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charts/chart6.xml" ContentType="application/vnd.openxmlformats-officedocument.drawingml.chart+xml"/>
  <Override PartName="/xl/charts/chart20.xml" ContentType="application/vnd.openxmlformats-officedocument.drawingml.char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harts/chart4.xml" ContentType="application/vnd.openxmlformats-officedocument.drawingml.chart+xml"/>
  <Override PartName="/xl/drawings/drawing6.xml" ContentType="application/vnd.openxmlformats-officedocument.drawingml.chartshapes+xml"/>
  <Override PartName="/xl/drawings/drawing8.xml" ContentType="application/vnd.openxmlformats-officedocument.drawingml.chartshapes+xml"/>
  <Override PartName="/xl/drawings/drawing19.xml" ContentType="application/vnd.openxmlformats-officedocument.drawingml.chartshape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charts/chart2.xml" ContentType="application/vnd.openxmlformats-officedocument.drawingml.chart+xml"/>
  <Override PartName="/xl/drawings/drawing4.xml" ContentType="application/vnd.openxmlformats-officedocument.drawing+xml"/>
  <Override PartName="/xl/drawings/drawing17.xml" ContentType="application/vnd.openxmlformats-officedocument.drawingml.chartshapes+xml"/>
  <Override PartName="/xl/drawings/drawing28.xml" ContentType="application/vnd.openxmlformats-officedocument.drawingml.chartshapes+xml"/>
  <Default Extension="rels" ContentType="application/vnd.openxmlformats-package.relationships+xml"/>
  <Default Extension="xml" ContentType="application/xml"/>
  <Override PartName="/xl/worksheets/sheet5.xml" ContentType="application/vnd.openxmlformats-officedocument.spreadsheetml.worksheet+xml"/>
  <Override PartName="/xl/drawings/drawing2.xml" ContentType="application/vnd.openxmlformats-officedocument.drawingml.chartshapes+xml"/>
  <Override PartName="/xl/drawings/drawing15.xml" ContentType="application/vnd.openxmlformats-officedocument.drawingml.chartshapes+xml"/>
  <Override PartName="/xl/drawings/drawing26.xml" ContentType="application/vnd.openxmlformats-officedocument.drawingml.chartshapes+xml"/>
  <Override PartName="/xl/worksheets/sheet3.xml" ContentType="application/vnd.openxmlformats-officedocument.spreadsheetml.worksheet+xml"/>
  <Override PartName="/xl/drawings/drawing13.xml" ContentType="application/vnd.openxmlformats-officedocument.drawingml.chartshapes+xml"/>
  <Override PartName="/xl/drawings/drawing22.xml" ContentType="application/vnd.openxmlformats-officedocument.drawingml.chartshapes+xml"/>
  <Override PartName="/xl/charts/chart18.xml" ContentType="application/vnd.openxmlformats-officedocument.drawingml.chart+xml"/>
  <Override PartName="/xl/drawings/drawing24.xml" ContentType="application/vnd.openxmlformats-officedocument.drawingml.chartshapes+xml"/>
  <Override PartName="/xl/worksheets/sheet1.xml" ContentType="application/vnd.openxmlformats-officedocument.spreadsheetml.worksheet+xml"/>
  <Override PartName="/xl/drawings/drawing11.xml" ContentType="application/vnd.openxmlformats-officedocument.drawing+xml"/>
  <Override PartName="/xl/drawings/drawing20.xml" ContentType="application/vnd.openxmlformats-officedocument.drawingml.chartshapes+xml"/>
  <Override PartName="/xl/charts/chart16.xml" ContentType="application/vnd.openxmlformats-officedocument.drawingml.chart+xml"/>
  <Override PartName="/xl/drawings/drawing31.xml" ContentType="application/vnd.openxmlformats-officedocument.drawing+xml"/>
  <Override PartName="/xl/sharedStrings.xml" ContentType="application/vnd.openxmlformats-officedocument.spreadsheetml.sharedStrings+xml"/>
  <Override PartName="/xl/charts/chart14.xml" ContentType="application/vnd.openxmlformats-officedocument.drawingml.chart+xml"/>
  <Override PartName="/xl/charts/chart23.xml" ContentType="application/vnd.openxmlformats-officedocument.drawingml.chart+xml"/>
  <Override PartName="/xl/worksheets/sheet18.xml" ContentType="application/vnd.openxmlformats-officedocument.spreadsheetml.worksheet+xml"/>
  <Override PartName="/xl/charts/chart9.xml" ContentType="application/vnd.openxmlformats-officedocument.drawingml.chart+xml"/>
  <Override PartName="/xl/charts/chart12.xml" ContentType="application/vnd.openxmlformats-officedocument.drawingml.chart+xml"/>
  <Override PartName="/xl/charts/chart21.xml" ContentType="application/vnd.openxmlformats-officedocument.drawingml.chart+xml"/>
  <Override PartName="/xl/worksheets/sheet16.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Default Extension="png" ContentType="image/png"/>
  <Override PartName="/xl/charts/chart7.xml" ContentType="application/vnd.openxmlformats-officedocument.drawingml.chart+xml"/>
  <Override PartName="/xl/drawings/drawing9.xml" ContentType="application/vnd.openxmlformats-officedocument.drawingml.chartshapes+xml"/>
  <Override PartName="/xl/charts/chart10.xml" ContentType="application/vnd.openxmlformats-officedocument.drawingml.chart+xml"/>
  <Override PartName="/xl/worksheets/sheet14.xml" ContentType="application/vnd.openxmlformats-officedocument.spreadsheetml.worksheet+xml"/>
  <Override PartName="/xl/worksheets/sheet23.xml" ContentType="application/vnd.openxmlformats-officedocument.spreadsheetml.worksheet+xml"/>
  <Override PartName="/xl/charts/chart5.xml" ContentType="application/vnd.openxmlformats-officedocument.drawingml.chart+xml"/>
  <Override PartName="/xl/drawings/drawing7.xml" ContentType="application/vnd.openxmlformats-officedocument.drawingml.chartshapes+xml"/>
  <Override PartName="/xl/drawings/drawing29.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charts/chart3.xml" ContentType="application/vnd.openxmlformats-officedocument.drawingml.chart+xml"/>
  <Override PartName="/xl/drawings/drawing5.xml" ContentType="application/vnd.openxmlformats-officedocument.drawingml.chartshapes+xml"/>
  <Override PartName="/xl/drawings/drawing18.xml" ContentType="application/vnd.openxmlformats-officedocument.drawingml.chartshapes+xml"/>
  <Override PartName="/xl/drawings/drawing27.xml" ContentType="application/vnd.openxmlformats-officedocument.drawingml.chartshape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drawings/drawing3.xml" ContentType="application/vnd.openxmlformats-officedocument.drawingml.chartshapes+xml"/>
  <Override PartName="/xl/drawings/drawing16.xml" ContentType="application/vnd.openxmlformats-officedocument.drawing+xml"/>
  <Override PartName="/xl/drawings/drawing25.xml" ContentType="application/vnd.openxmlformats-officedocument.drawingml.chartshapes+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drawings/drawing14.xml" ContentType="application/vnd.openxmlformats-officedocument.drawing+xml"/>
  <Override PartName="/xl/drawings/drawing23.xml" ContentType="application/vnd.openxmlformats-officedocument.drawingml.chartshapes+xml"/>
  <Override PartName="/xl/charts/chart19.xml" ContentType="application/vnd.openxmlformats-officedocument.drawingml.chart+xml"/>
  <Override PartName="/xl/drawings/drawing12.xml" ContentType="application/vnd.openxmlformats-officedocument.drawingml.chartshapes+xml"/>
  <Override PartName="/xl/drawings/drawing21.xml" ContentType="application/vnd.openxmlformats-officedocument.drawingml.chartshapes+xml"/>
  <Override PartName="/xl/charts/chart17.xml" ContentType="application/vnd.openxmlformats-officedocument.drawingml.chart+xml"/>
  <Override PartName="/xl/drawings/drawing30.xml" ContentType="application/vnd.openxmlformats-officedocument.drawingml.chartshapes+xml"/>
  <Override PartName="/xl/calcChain.xml" ContentType="application/vnd.openxmlformats-officedocument.spreadsheetml.calcChain+xml"/>
  <Override PartName="/xl/worksheets/sheet19.xml" ContentType="application/vnd.openxmlformats-officedocument.spreadsheetml.worksheet+xml"/>
  <Override PartName="/xl/drawings/drawing10.xml" ContentType="application/vnd.openxmlformats-officedocument.drawingml.chartshapes+xml"/>
  <Override PartName="/xl/charts/chart13.xml" ContentType="application/vnd.openxmlformats-officedocument.drawingml.chart+xml"/>
  <Override PartName="/xl/charts/chart15.xml" ContentType="application/vnd.openxmlformats-officedocument.drawingml.chart+xml"/>
  <Override PartName="/xl/charts/chart24.xml" ContentType="application/vnd.openxmlformats-officedocument.drawingml.chart+xml"/>
  <Override PartName="/xl/worksheets/sheet17.xml" ContentType="application/vnd.openxmlformats-officedocument.spreadsheetml.worksheet+xml"/>
  <Override PartName="/xl/worksheets/sheet26.xml" ContentType="application/vnd.openxmlformats-officedocument.spreadsheetml.worksheet+xml"/>
  <Override PartName="/xl/charts/chart8.xml" ContentType="application/vnd.openxmlformats-officedocument.drawingml.chart+xml"/>
  <Override PartName="/xl/charts/chart11.xml" ContentType="application/vnd.openxmlformats-officedocument.drawingml.chart+xml"/>
  <Override PartName="/xl/charts/chart22.xml" ContentType="application/vnd.openxmlformats-officedocument.drawingml.char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7" rupBuild="4507"/>
  <workbookPr/>
  <bookViews>
    <workbookView xWindow="660" yWindow="456" windowWidth="23256" windowHeight="13176" tabRatio="860"/>
  </bookViews>
  <sheets>
    <sheet name="Summary" sheetId="10" r:id="rId1"/>
    <sheet name="Index" sheetId="31" r:id="rId2"/>
    <sheet name="Graph_CO2" sheetId="11" r:id="rId3"/>
    <sheet name="Graph_Oil" sheetId="22" r:id="rId4"/>
    <sheet name="Graph_Revenue" sheetId="30" r:id="rId5"/>
    <sheet name="Other Graphs" sheetId="32" r:id="rId6"/>
    <sheet name="Scenarios" sheetId="36" r:id="rId7"/>
    <sheet name="How" sheetId="28" r:id="rId8"/>
    <sheet name="Electricity" sheetId="4" r:id="rId9"/>
    <sheet name="Personal Ground Travel" sheetId="8" r:id="rId10"/>
    <sheet name="Freight" sheetId="26" r:id="rId11"/>
    <sheet name="Aviation" sheetId="13" r:id="rId12"/>
    <sheet name="Oil Refining" sheetId="37" r:id="rId13"/>
    <sheet name="Other_Petrol" sheetId="29" r:id="rId14"/>
    <sheet name="Other_Natural Gas" sheetId="9" r:id="rId15"/>
    <sheet name="Miscellany" sheetId="35" r:id="rId16"/>
    <sheet name="Emissions" sheetId="3" r:id="rId17"/>
    <sheet name="Energy" sheetId="27" r:id="rId18"/>
    <sheet name="AEO" sheetId="23" r:id="rId19"/>
    <sheet name="Parameters" sheetId="19" r:id="rId20"/>
    <sheet name="GHG's" sheetId="16" r:id="rId21"/>
    <sheet name="Elasticities" sheetId="21" state="hidden" r:id="rId22"/>
    <sheet name="Larson Revenue" sheetId="15" r:id="rId23"/>
    <sheet name="Re-Spending" sheetId="20" state="hidden" r:id="rId24"/>
    <sheet name="Admin Cost" sheetId="33" r:id="rId25"/>
    <sheet name="Settings" sheetId="24" r:id="rId26"/>
  </sheets>
  <definedNames>
    <definedName name="Electricity_Realignment_Sketch">Electricity!$152:$152</definedName>
    <definedName name="global_mitigation" localSheetId="20">'GHG''s'!$B$47</definedName>
    <definedName name="Inputs">Summary!$A$56</definedName>
    <definedName name="_xlnm.Print_Area" localSheetId="11">Aviation!$B$1:$AL$76</definedName>
    <definedName name="_xlnm.Print_Area" localSheetId="8">Electricity!$B$1:$AL$84</definedName>
    <definedName name="_xlnm.Print_Area" localSheetId="16">Emissions!$B$1:$I$102</definedName>
    <definedName name="_xlnm.Print_Area" localSheetId="2">Graph_CO2!#REF!</definedName>
    <definedName name="_xlnm.Print_Area" localSheetId="3">Graph_Oil!$M$13:$W$37</definedName>
    <definedName name="_xlnm.Print_Area" localSheetId="14">'Other_Natural Gas'!$B$1:$AL$87</definedName>
    <definedName name="_xlnm.Print_Area" localSheetId="0">Summary!$B$1:$AP$212</definedName>
    <definedName name="Results">Summary!$A$92</definedName>
    <definedName name="Scenarios">Scenarios!$A$1</definedName>
  </definedNames>
  <calcPr calcId="125725" iterate="1"/>
</workbook>
</file>

<file path=xl/calcChain.xml><?xml version="1.0" encoding="utf-8"?>
<calcChain xmlns="http://schemas.openxmlformats.org/spreadsheetml/2006/main">
  <c r="B2" i="19"/>
  <c r="E1" i="4"/>
  <c r="I121" l="1"/>
  <c r="H121"/>
  <c r="B10" i="36"/>
  <c r="B8"/>
  <c r="O53"/>
  <c r="B47"/>
  <c r="B45"/>
  <c r="AR45" i="10"/>
  <c r="AR44"/>
  <c r="AS2" i="22"/>
  <c r="AS3"/>
  <c r="AS4"/>
  <c r="AT3" i="11"/>
  <c r="AT4"/>
  <c r="I56" i="10"/>
  <c r="S85" l="1"/>
  <c r="S87"/>
  <c r="S86"/>
  <c r="S83"/>
  <c r="B83"/>
  <c r="AT121" i="11" l="1"/>
  <c r="AT120"/>
  <c r="AT119"/>
  <c r="AT118"/>
  <c r="AT117"/>
  <c r="AT116"/>
  <c r="AT115"/>
  <c r="AT114"/>
  <c r="AT113"/>
  <c r="AT112"/>
  <c r="AT111"/>
  <c r="AT110"/>
  <c r="AT109"/>
  <c r="AT108"/>
  <c r="AT107"/>
  <c r="AT106"/>
  <c r="AT105"/>
  <c r="AT104"/>
  <c r="AT103"/>
  <c r="AT102"/>
  <c r="AT65"/>
  <c r="AT59"/>
  <c r="AT51"/>
  <c r="AT50"/>
  <c r="AT48"/>
  <c r="AT47"/>
  <c r="AT46"/>
  <c r="AT45"/>
  <c r="AT44"/>
  <c r="AT43"/>
  <c r="AT42"/>
  <c r="AT12"/>
  <c r="AT11"/>
  <c r="AT10"/>
  <c r="AT9"/>
  <c r="AT8"/>
  <c r="AT7"/>
  <c r="AT6"/>
  <c r="I60" i="10"/>
  <c r="B59" i="11" l="1"/>
  <c r="B84"/>
  <c r="AT84"/>
  <c r="B73"/>
  <c r="AT73"/>
  <c r="AR249" i="10" l="1"/>
  <c r="AS18" i="37"/>
  <c r="AS86"/>
  <c r="AS116"/>
  <c r="AS115"/>
  <c r="AS114"/>
  <c r="AS26"/>
  <c r="AS25"/>
  <c r="AS24"/>
  <c r="AS23"/>
  <c r="AS22"/>
  <c r="AS21"/>
  <c r="AS20"/>
  <c r="AS19"/>
  <c r="AS17"/>
  <c r="AS16"/>
  <c r="AS15"/>
  <c r="AS14"/>
  <c r="AS13"/>
  <c r="AS12"/>
  <c r="AS11"/>
  <c r="AS10"/>
  <c r="AS9"/>
  <c r="AS8"/>
  <c r="AS7"/>
  <c r="AS6"/>
  <c r="I210" i="10"/>
  <c r="S172"/>
  <c r="R172"/>
  <c r="Q172"/>
  <c r="P172"/>
  <c r="O172"/>
  <c r="N172"/>
  <c r="M172"/>
  <c r="L172"/>
  <c r="K172"/>
  <c r="J172"/>
  <c r="I172"/>
  <c r="S126"/>
  <c r="R126"/>
  <c r="Q126"/>
  <c r="P126"/>
  <c r="AR1"/>
  <c r="AR2"/>
  <c r="AR3"/>
  <c r="AR4"/>
  <c r="AR5"/>
  <c r="AR6"/>
  <c r="AR7"/>
  <c r="AR8"/>
  <c r="AR9"/>
  <c r="AR26"/>
  <c r="AR106"/>
  <c r="S210"/>
  <c r="R210"/>
  <c r="Q34" i="27"/>
  <c r="Q36" s="1"/>
  <c r="Q38" s="1"/>
  <c r="S20" i="37" s="1"/>
  <c r="AQ20" s="1"/>
  <c r="P34" i="27"/>
  <c r="P36" s="1"/>
  <c r="P38" s="1"/>
  <c r="R20" i="37" s="1"/>
  <c r="O34" i="27"/>
  <c r="O36" s="1"/>
  <c r="O38" s="1"/>
  <c r="Q20" i="37" s="1"/>
  <c r="N34" i="27"/>
  <c r="N36" s="1"/>
  <c r="N38" s="1"/>
  <c r="P20" i="37" s="1"/>
  <c r="M34" i="27"/>
  <c r="M36" s="1"/>
  <c r="M38" s="1"/>
  <c r="O20" i="37" s="1"/>
  <c r="L34" i="27"/>
  <c r="L36" s="1"/>
  <c r="L38" s="1"/>
  <c r="N20" i="37" s="1"/>
  <c r="K34" i="27"/>
  <c r="K36" s="1"/>
  <c r="K38" s="1"/>
  <c r="M20" i="37" s="1"/>
  <c r="J34" i="27"/>
  <c r="J36" s="1"/>
  <c r="J38" s="1"/>
  <c r="L20" i="37" s="1"/>
  <c r="I34" i="27"/>
  <c r="I36" s="1"/>
  <c r="I38" s="1"/>
  <c r="K20" i="37" s="1"/>
  <c r="H34" i="27"/>
  <c r="H36" s="1"/>
  <c r="H38" s="1"/>
  <c r="J20" i="37" s="1"/>
  <c r="G34" i="27"/>
  <c r="G36" s="1"/>
  <c r="G38" s="1"/>
  <c r="I20" i="37" s="1"/>
  <c r="T20" l="1"/>
  <c r="Y20"/>
  <c r="AD20"/>
  <c r="AJ20"/>
  <c r="AO20"/>
  <c r="X20"/>
  <c r="AC20"/>
  <c r="AH20"/>
  <c r="AN20"/>
  <c r="V20"/>
  <c r="AB20"/>
  <c r="AG20"/>
  <c r="AL20"/>
  <c r="U20"/>
  <c r="Z20"/>
  <c r="AF20"/>
  <c r="AK20"/>
  <c r="AP20"/>
  <c r="W20"/>
  <c r="AA20"/>
  <c r="AE20"/>
  <c r="AI20"/>
  <c r="AM20"/>
  <c r="R40" i="27"/>
  <c r="R39"/>
  <c r="R38"/>
  <c r="R37"/>
  <c r="R36"/>
  <c r="R35"/>
  <c r="R34"/>
  <c r="R33"/>
  <c r="R32"/>
  <c r="R31"/>
  <c r="R30"/>
  <c r="Q3" i="8"/>
  <c r="O8" i="37"/>
  <c r="O7"/>
  <c r="O5"/>
  <c r="O1"/>
  <c r="AS81" i="22"/>
  <c r="AQ82"/>
  <c r="AP82"/>
  <c r="AO82"/>
  <c r="AN82"/>
  <c r="AM82"/>
  <c r="AL82"/>
  <c r="AK82"/>
  <c r="AJ82"/>
  <c r="AI82"/>
  <c r="AH82"/>
  <c r="AG82"/>
  <c r="AF82"/>
  <c r="AE82"/>
  <c r="AD82"/>
  <c r="AC82"/>
  <c r="AB82"/>
  <c r="AA82"/>
  <c r="Z82"/>
  <c r="Y82"/>
  <c r="X82"/>
  <c r="W82"/>
  <c r="V82"/>
  <c r="U82"/>
  <c r="T82"/>
  <c r="B81"/>
  <c r="AS153"/>
  <c r="AS70"/>
  <c r="AS58"/>
  <c r="AS12"/>
  <c r="S51"/>
  <c r="R51"/>
  <c r="Q51"/>
  <c r="P51"/>
  <c r="O51"/>
  <c r="N51"/>
  <c r="M51"/>
  <c r="L51"/>
  <c r="K51"/>
  <c r="J51"/>
  <c r="I51"/>
  <c r="B80"/>
  <c r="B70"/>
  <c r="G43" i="29"/>
  <c r="H112" i="10"/>
  <c r="S14" i="37"/>
  <c r="R14"/>
  <c r="Q14"/>
  <c r="P14"/>
  <c r="O14"/>
  <c r="N14"/>
  <c r="M14"/>
  <c r="L14"/>
  <c r="K14"/>
  <c r="J14"/>
  <c r="I14"/>
  <c r="B35" i="27" l="1"/>
  <c r="G115" i="10"/>
  <c r="AR251"/>
  <c r="AR250"/>
  <c r="AR248"/>
  <c r="AR247"/>
  <c r="AR246"/>
  <c r="AR245"/>
  <c r="AR244"/>
  <c r="AR243"/>
  <c r="AR242"/>
  <c r="AR241"/>
  <c r="AR240"/>
  <c r="AR239"/>
  <c r="AR238"/>
  <c r="AR237"/>
  <c r="AR236"/>
  <c r="AR235"/>
  <c r="AR234"/>
  <c r="AR233"/>
  <c r="AR232"/>
  <c r="AR231"/>
  <c r="AR230"/>
  <c r="AR229"/>
  <c r="AR228"/>
  <c r="AR227"/>
  <c r="AR226"/>
  <c r="AR225"/>
  <c r="AR224"/>
  <c r="AR223"/>
  <c r="AR222"/>
  <c r="AR221"/>
  <c r="AR220"/>
  <c r="AR219"/>
  <c r="AR218"/>
  <c r="AR217"/>
  <c r="AR216"/>
  <c r="AR215"/>
  <c r="AR214"/>
  <c r="AR213"/>
  <c r="AR212"/>
  <c r="AR211"/>
  <c r="AR210"/>
  <c r="AR209"/>
  <c r="AR208"/>
  <c r="AR207"/>
  <c r="AR206"/>
  <c r="AR205"/>
  <c r="AR204"/>
  <c r="AR203"/>
  <c r="AR202"/>
  <c r="AR201"/>
  <c r="AR200"/>
  <c r="AR199"/>
  <c r="AR198"/>
  <c r="AR197"/>
  <c r="AR196"/>
  <c r="AR195"/>
  <c r="AR194"/>
  <c r="AR193"/>
  <c r="AR192"/>
  <c r="AR191"/>
  <c r="AR190"/>
  <c r="AR189"/>
  <c r="AR188"/>
  <c r="AR187"/>
  <c r="AR186"/>
  <c r="AR185"/>
  <c r="AR184"/>
  <c r="AR183"/>
  <c r="AR182"/>
  <c r="AR181"/>
  <c r="AR180"/>
  <c r="AR179"/>
  <c r="AR178"/>
  <c r="AR177"/>
  <c r="AR176"/>
  <c r="AR175"/>
  <c r="AR174"/>
  <c r="AR173"/>
  <c r="AR172"/>
  <c r="AR171"/>
  <c r="AR170"/>
  <c r="AR169"/>
  <c r="AR168"/>
  <c r="AR167"/>
  <c r="AR166"/>
  <c r="AR165"/>
  <c r="AR164"/>
  <c r="AR163"/>
  <c r="AR162"/>
  <c r="AR161"/>
  <c r="AR160"/>
  <c r="AR159"/>
  <c r="AR158"/>
  <c r="AR157"/>
  <c r="AR156"/>
  <c r="AR155"/>
  <c r="AR154"/>
  <c r="AR153"/>
  <c r="AR152"/>
  <c r="AR151"/>
  <c r="AR150"/>
  <c r="AR149"/>
  <c r="AR148"/>
  <c r="AR147"/>
  <c r="AR146"/>
  <c r="AR145"/>
  <c r="AR144"/>
  <c r="AR143"/>
  <c r="AR142"/>
  <c r="AR141"/>
  <c r="AR140"/>
  <c r="AR139"/>
  <c r="AR138"/>
  <c r="AR137"/>
  <c r="AR136"/>
  <c r="AR135"/>
  <c r="AR134"/>
  <c r="AR133"/>
  <c r="AR132"/>
  <c r="AR131"/>
  <c r="AR130"/>
  <c r="AR129"/>
  <c r="AR128"/>
  <c r="AR127"/>
  <c r="AR126"/>
  <c r="AR125"/>
  <c r="AR124"/>
  <c r="AR123"/>
  <c r="AR122"/>
  <c r="AR121"/>
  <c r="AR120"/>
  <c r="Q62" i="27"/>
  <c r="S35" i="35" s="1"/>
  <c r="I35" i="29"/>
  <c r="AS45"/>
  <c r="AS44"/>
  <c r="AS43"/>
  <c r="AS42"/>
  <c r="AS41"/>
  <c r="AS40"/>
  <c r="AS89" i="37"/>
  <c r="AS88"/>
  <c r="AS87"/>
  <c r="AS85"/>
  <c r="AS83"/>
  <c r="AS79"/>
  <c r="AS75"/>
  <c r="AQ80"/>
  <c r="AP80"/>
  <c r="AO80"/>
  <c r="AN80"/>
  <c r="AM80"/>
  <c r="AL80"/>
  <c r="AK80"/>
  <c r="AJ80"/>
  <c r="AI80"/>
  <c r="AH80"/>
  <c r="AG80"/>
  <c r="AF80"/>
  <c r="AE80"/>
  <c r="AD80"/>
  <c r="AC80"/>
  <c r="AB80"/>
  <c r="AA80"/>
  <c r="Z80"/>
  <c r="Y80"/>
  <c r="X80"/>
  <c r="W80"/>
  <c r="V80"/>
  <c r="U80"/>
  <c r="T80"/>
  <c r="S80"/>
  <c r="R80"/>
  <c r="Q80"/>
  <c r="P80"/>
  <c r="O80"/>
  <c r="N80"/>
  <c r="M80"/>
  <c r="L80"/>
  <c r="K80"/>
  <c r="J80"/>
  <c r="I80"/>
  <c r="AQ76"/>
  <c r="AP76"/>
  <c r="AO76"/>
  <c r="AN76"/>
  <c r="AM76"/>
  <c r="AL76"/>
  <c r="AK76"/>
  <c r="AJ76"/>
  <c r="AI76"/>
  <c r="AH76"/>
  <c r="AG76"/>
  <c r="AF76"/>
  <c r="AE76"/>
  <c r="AD76"/>
  <c r="AC76"/>
  <c r="AB76"/>
  <c r="AA76"/>
  <c r="Z76"/>
  <c r="Y76"/>
  <c r="X76"/>
  <c r="W76"/>
  <c r="V76"/>
  <c r="U76"/>
  <c r="T76"/>
  <c r="S76"/>
  <c r="R76"/>
  <c r="Q76"/>
  <c r="P76"/>
  <c r="O76"/>
  <c r="N76"/>
  <c r="M76"/>
  <c r="L76"/>
  <c r="K76"/>
  <c r="J76"/>
  <c r="I76"/>
  <c r="AS84"/>
  <c r="AS82"/>
  <c r="AS81"/>
  <c r="AS80"/>
  <c r="AS78"/>
  <c r="AS77"/>
  <c r="AS76"/>
  <c r="AS74"/>
  <c r="B41" i="29" s="1"/>
  <c r="AS73" i="37"/>
  <c r="AS72"/>
  <c r="AS71"/>
  <c r="D115"/>
  <c r="P115" s="1"/>
  <c r="Q115" s="1"/>
  <c r="D114"/>
  <c r="P114" s="1"/>
  <c r="Q114" s="1"/>
  <c r="D113"/>
  <c r="P113" s="1"/>
  <c r="Q113" s="1"/>
  <c r="G26" i="27" l="1"/>
  <c r="I61" i="37" s="1"/>
  <c r="I62" s="1"/>
  <c r="AS69" l="1"/>
  <c r="AS68"/>
  <c r="AS67"/>
  <c r="AS66"/>
  <c r="AS65"/>
  <c r="AS64"/>
  <c r="AS63"/>
  <c r="AS62"/>
  <c r="AS61"/>
  <c r="AS60"/>
  <c r="AS59"/>
  <c r="AS70"/>
  <c r="AS57"/>
  <c r="AS56"/>
  <c r="AS55"/>
  <c r="AS54"/>
  <c r="AS53"/>
  <c r="AS52"/>
  <c r="AS51"/>
  <c r="AS50"/>
  <c r="AS49"/>
  <c r="AS48"/>
  <c r="AS47"/>
  <c r="AS45"/>
  <c r="AS44"/>
  <c r="AS43"/>
  <c r="AS42"/>
  <c r="AS41"/>
  <c r="AS40"/>
  <c r="AS39"/>
  <c r="AS38"/>
  <c r="AS37"/>
  <c r="AS36"/>
  <c r="AS35"/>
  <c r="Q111"/>
  <c r="Q110"/>
  <c r="Q109"/>
  <c r="Q108"/>
  <c r="Q101"/>
  <c r="Q100"/>
  <c r="Q99"/>
  <c r="Q107"/>
  <c r="Q106"/>
  <c r="Q105"/>
  <c r="Q98"/>
  <c r="Q97"/>
  <c r="Q104"/>
  <c r="Q103"/>
  <c r="Q102"/>
  <c r="Q96"/>
  <c r="AS27"/>
  <c r="AS46"/>
  <c r="AS34"/>
  <c r="J86" s="1"/>
  <c r="AS33"/>
  <c r="AS32"/>
  <c r="AS31"/>
  <c r="AS30"/>
  <c r="AS29"/>
  <c r="AS113"/>
  <c r="AS112"/>
  <c r="AS111"/>
  <c r="AS110"/>
  <c r="AS109"/>
  <c r="AS108"/>
  <c r="AS101"/>
  <c r="AS100"/>
  <c r="AS99"/>
  <c r="AS107"/>
  <c r="AS106"/>
  <c r="AS105"/>
  <c r="AS96"/>
  <c r="AS98"/>
  <c r="AS97"/>
  <c r="AS104"/>
  <c r="AS103"/>
  <c r="AS102"/>
  <c r="AS95"/>
  <c r="AS94"/>
  <c r="AS93"/>
  <c r="AS92"/>
  <c r="AS91"/>
  <c r="AS90"/>
  <c r="AS58"/>
  <c r="AS28"/>
  <c r="AS4"/>
  <c r="AS3"/>
  <c r="AS2"/>
  <c r="AS1"/>
  <c r="M112"/>
  <c r="L112"/>
  <c r="K112"/>
  <c r="J112"/>
  <c r="I112"/>
  <c r="H112"/>
  <c r="G112"/>
  <c r="F112"/>
  <c r="E112"/>
  <c r="D112"/>
  <c r="I64" l="1"/>
  <c r="I65" s="1"/>
  <c r="I67" l="1"/>
  <c r="I68"/>
  <c r="O111"/>
  <c r="O110"/>
  <c r="O109"/>
  <c r="O108"/>
  <c r="O101"/>
  <c r="O100"/>
  <c r="O99"/>
  <c r="O107"/>
  <c r="O106"/>
  <c r="O105"/>
  <c r="O96"/>
  <c r="O98"/>
  <c r="O97"/>
  <c r="O104"/>
  <c r="O103"/>
  <c r="O90"/>
  <c r="O102"/>
  <c r="AS45" i="13" l="1"/>
  <c r="AS63"/>
  <c r="AS64"/>
  <c r="AS47"/>
  <c r="AS46"/>
  <c r="AS45" i="26"/>
  <c r="AS47"/>
  <c r="AS46"/>
  <c r="S48" i="13"/>
  <c r="AS8"/>
  <c r="AS41"/>
  <c r="AS42"/>
  <c r="AS43"/>
  <c r="AS44"/>
  <c r="J43"/>
  <c r="AS63" i="26"/>
  <c r="AS64"/>
  <c r="S48"/>
  <c r="AS44"/>
  <c r="AS43"/>
  <c r="AS42"/>
  <c r="AS41"/>
  <c r="J41"/>
  <c r="J43" s="1"/>
  <c r="AS69" i="8"/>
  <c r="AS68"/>
  <c r="J75" s="1"/>
  <c r="AS67"/>
  <c r="AS66"/>
  <c r="AS43"/>
  <c r="B67" i="19"/>
  <c r="B66"/>
  <c r="AS8" i="8"/>
  <c r="B72" i="19"/>
  <c r="B71"/>
  <c r="B70"/>
  <c r="B69"/>
  <c r="B68"/>
  <c r="AS61" i="8"/>
  <c r="AS59"/>
  <c r="AS58"/>
  <c r="H63" i="19"/>
  <c r="B65"/>
  <c r="B64"/>
  <c r="B63"/>
  <c r="B62"/>
  <c r="B61"/>
  <c r="B60"/>
  <c r="B59"/>
  <c r="B58"/>
  <c r="B57"/>
  <c r="B56"/>
  <c r="B55"/>
  <c r="B54"/>
  <c r="B53"/>
  <c r="B52"/>
  <c r="B51"/>
  <c r="B50"/>
  <c r="Q63"/>
  <c r="P63"/>
  <c r="O63"/>
  <c r="N63"/>
  <c r="M63"/>
  <c r="L63"/>
  <c r="K63"/>
  <c r="J63"/>
  <c r="I63"/>
  <c r="R60"/>
  <c r="P56" i="8" s="1"/>
  <c r="P64" s="1"/>
  <c r="B57" l="1"/>
  <c r="C67" i="19"/>
  <c r="L43" i="13"/>
  <c r="L43" i="26"/>
  <c r="H56" i="8"/>
  <c r="H64" s="1"/>
  <c r="K56"/>
  <c r="K64" s="1"/>
  <c r="O56"/>
  <c r="S56"/>
  <c r="J56"/>
  <c r="J64" s="1"/>
  <c r="N56"/>
  <c r="N64" s="1"/>
  <c r="R56"/>
  <c r="R64" s="1"/>
  <c r="I56"/>
  <c r="M56"/>
  <c r="M64" s="1"/>
  <c r="Q56"/>
  <c r="R63" i="19"/>
  <c r="L56" i="8"/>
  <c r="L64" s="1"/>
  <c r="L66" l="1"/>
  <c r="P58"/>
  <c r="O64"/>
  <c r="I58"/>
  <c r="I64"/>
  <c r="I66" s="1"/>
  <c r="M66"/>
  <c r="S64"/>
  <c r="S66" s="1"/>
  <c r="Q58"/>
  <c r="Q64"/>
  <c r="Q66" s="1"/>
  <c r="N66"/>
  <c r="K66"/>
  <c r="M58"/>
  <c r="J58"/>
  <c r="N58"/>
  <c r="O58"/>
  <c r="K58"/>
  <c r="R58"/>
  <c r="L58"/>
  <c r="S58"/>
  <c r="O66" l="1"/>
  <c r="P66"/>
  <c r="J66"/>
  <c r="R66"/>
  <c r="AR83" i="10" l="1"/>
  <c r="AR88"/>
  <c r="V107"/>
  <c r="S28" i="23"/>
  <c r="R67" i="10" s="1"/>
  <c r="S27" i="23"/>
  <c r="Q31"/>
  <c r="Q30"/>
  <c r="Q29"/>
  <c r="Q28"/>
  <c r="Q27"/>
  <c r="Q21"/>
  <c r="Q20"/>
  <c r="Q19"/>
  <c r="Q18"/>
  <c r="Q15"/>
  <c r="Q14"/>
  <c r="Q13"/>
  <c r="Q12"/>
  <c r="Q11"/>
  <c r="O31"/>
  <c r="O30"/>
  <c r="O29"/>
  <c r="O28"/>
  <c r="O27"/>
  <c r="O21"/>
  <c r="O20"/>
  <c r="O19"/>
  <c r="O18"/>
  <c r="O15"/>
  <c r="O14"/>
  <c r="O13"/>
  <c r="O12"/>
  <c r="O11"/>
  <c r="U70" i="19" l="1"/>
  <c r="T70"/>
  <c r="W70"/>
  <c r="S70"/>
  <c r="V70"/>
  <c r="AQ72"/>
  <c r="AM72"/>
  <c r="AI72"/>
  <c r="AP72"/>
  <c r="AL72"/>
  <c r="AH72"/>
  <c r="AO72"/>
  <c r="AK72"/>
  <c r="AN72"/>
  <c r="AJ72"/>
  <c r="T71"/>
  <c r="W71"/>
  <c r="S71"/>
  <c r="V71"/>
  <c r="U71"/>
  <c r="AP69"/>
  <c r="AL69"/>
  <c r="AH69"/>
  <c r="AO69"/>
  <c r="AK69"/>
  <c r="AN69"/>
  <c r="AJ69"/>
  <c r="AQ69"/>
  <c r="AM69"/>
  <c r="AI69"/>
  <c r="W63"/>
  <c r="S63"/>
  <c r="S66" s="1"/>
  <c r="V63"/>
  <c r="U63"/>
  <c r="T63"/>
  <c r="W72"/>
  <c r="S72"/>
  <c r="V72"/>
  <c r="U72"/>
  <c r="T72"/>
  <c r="AO70"/>
  <c r="AK70"/>
  <c r="AN70"/>
  <c r="AJ70"/>
  <c r="AQ70"/>
  <c r="AM70"/>
  <c r="AI70"/>
  <c r="AP70"/>
  <c r="AL70"/>
  <c r="AH70"/>
  <c r="AQ63"/>
  <c r="AM63"/>
  <c r="AI63"/>
  <c r="AP63"/>
  <c r="AL63"/>
  <c r="AH63"/>
  <c r="AO63"/>
  <c r="AK63"/>
  <c r="AN63"/>
  <c r="AJ63"/>
  <c r="V69"/>
  <c r="U69"/>
  <c r="T69"/>
  <c r="W69"/>
  <c r="S69"/>
  <c r="T56" i="8" s="1"/>
  <c r="AN71" i="19"/>
  <c r="AJ71"/>
  <c r="AQ71"/>
  <c r="AM71"/>
  <c r="AI71"/>
  <c r="AP71"/>
  <c r="AL71"/>
  <c r="AH71"/>
  <c r="AO71"/>
  <c r="AK71"/>
  <c r="T50" i="26"/>
  <c r="Q90" i="3"/>
  <c r="Q88"/>
  <c r="Q76"/>
  <c r="Q75"/>
  <c r="Q74" s="1"/>
  <c r="Q73"/>
  <c r="Q71"/>
  <c r="Q70"/>
  <c r="Q69"/>
  <c r="Q68"/>
  <c r="Q67"/>
  <c r="Q66"/>
  <c r="Q65"/>
  <c r="Q64"/>
  <c r="Q63"/>
  <c r="Q62"/>
  <c r="Q61"/>
  <c r="Q60"/>
  <c r="Q59"/>
  <c r="Q58"/>
  <c r="Q51"/>
  <c r="Q57"/>
  <c r="Q56"/>
  <c r="Q55"/>
  <c r="Q54"/>
  <c r="Q53"/>
  <c r="Q52"/>
  <c r="T66" i="19" l="1"/>
  <c r="U66" s="1"/>
  <c r="V66" s="1"/>
  <c r="W66" s="1"/>
  <c r="Q82" i="3"/>
  <c r="S35" i="26" s="1"/>
  <c r="T60" i="8"/>
  <c r="U56"/>
  <c r="Q85" i="3"/>
  <c r="S35" i="13" s="1"/>
  <c r="Q78" i="3"/>
  <c r="S41" i="8" s="1"/>
  <c r="F29" i="16"/>
  <c r="S38" i="35"/>
  <c r="Q64" i="27" s="1"/>
  <c r="S43" i="9"/>
  <c r="S48" i="4"/>
  <c r="S34"/>
  <c r="R34"/>
  <c r="O93" i="3"/>
  <c r="P93"/>
  <c r="Q93" s="1"/>
  <c r="Q98" s="1"/>
  <c r="P74"/>
  <c r="P40"/>
  <c r="P21"/>
  <c r="P19"/>
  <c r="O57" i="27"/>
  <c r="P117"/>
  <c r="P113"/>
  <c r="P111"/>
  <c r="P109"/>
  <c r="K1"/>
  <c r="H93"/>
  <c r="H102" s="1"/>
  <c r="I93"/>
  <c r="I98" s="1"/>
  <c r="J93"/>
  <c r="J102" s="1"/>
  <c r="K93"/>
  <c r="L93"/>
  <c r="L102" s="1"/>
  <c r="M93"/>
  <c r="N93"/>
  <c r="N102" s="1"/>
  <c r="O93"/>
  <c r="O100"/>
  <c r="Q43" i="9" s="1"/>
  <c r="P93" i="27"/>
  <c r="P100"/>
  <c r="R43" i="9" s="1"/>
  <c r="Q93" i="27"/>
  <c r="S41" i="9" s="1"/>
  <c r="P110" i="27"/>
  <c r="Q109"/>
  <c r="Q110"/>
  <c r="Q113"/>
  <c r="Q114"/>
  <c r="Q117"/>
  <c r="Q118"/>
  <c r="R53"/>
  <c r="R55"/>
  <c r="S78" i="3"/>
  <c r="S82"/>
  <c r="S85"/>
  <c r="S90"/>
  <c r="B40" i="19"/>
  <c r="AS38" i="35"/>
  <c r="R43" i="27"/>
  <c r="R58"/>
  <c r="R63"/>
  <c r="H25"/>
  <c r="R15"/>
  <c r="Q14"/>
  <c r="Q17" s="1"/>
  <c r="P87"/>
  <c r="Q87" s="1"/>
  <c r="Q55"/>
  <c r="Q54"/>
  <c r="Q53"/>
  <c r="R73" i="36"/>
  <c r="R75" s="1"/>
  <c r="Q73"/>
  <c r="S73" s="1"/>
  <c r="Q75"/>
  <c r="J135"/>
  <c r="J134"/>
  <c r="K1"/>
  <c r="O128"/>
  <c r="O127"/>
  <c r="O126"/>
  <c r="O125"/>
  <c r="O124"/>
  <c r="O123"/>
  <c r="O122"/>
  <c r="O121"/>
  <c r="O120"/>
  <c r="O119"/>
  <c r="O118"/>
  <c r="O117"/>
  <c r="O116"/>
  <c r="O115"/>
  <c r="O114"/>
  <c r="O11"/>
  <c r="O12"/>
  <c r="O10"/>
  <c r="O9"/>
  <c r="O8"/>
  <c r="O7"/>
  <c r="AR36" i="10"/>
  <c r="AR43"/>
  <c r="O50" i="36"/>
  <c r="O49"/>
  <c r="O48"/>
  <c r="O47"/>
  <c r="O46"/>
  <c r="O45"/>
  <c r="H103"/>
  <c r="I103"/>
  <c r="J103"/>
  <c r="J100"/>
  <c r="J99"/>
  <c r="J115"/>
  <c r="O113"/>
  <c r="O112"/>
  <c r="O111"/>
  <c r="O110"/>
  <c r="O109"/>
  <c r="O108"/>
  <c r="O107"/>
  <c r="O106"/>
  <c r="O105"/>
  <c r="O104"/>
  <c r="O103"/>
  <c r="O102"/>
  <c r="O101"/>
  <c r="O100"/>
  <c r="G103"/>
  <c r="O99"/>
  <c r="O98"/>
  <c r="O97"/>
  <c r="O96"/>
  <c r="O95"/>
  <c r="O94"/>
  <c r="AS31" i="8"/>
  <c r="O93" i="36"/>
  <c r="O92"/>
  <c r="O91"/>
  <c r="B96" s="1"/>
  <c r="O90"/>
  <c r="O89"/>
  <c r="O88"/>
  <c r="O87"/>
  <c r="B92" s="1"/>
  <c r="O86"/>
  <c r="O85"/>
  <c r="O84"/>
  <c r="O83"/>
  <c r="O82"/>
  <c r="O81"/>
  <c r="B84" s="1"/>
  <c r="B88"/>
  <c r="O80"/>
  <c r="O79"/>
  <c r="O78"/>
  <c r="O77"/>
  <c r="B82" s="1"/>
  <c r="O76"/>
  <c r="O75"/>
  <c r="O74"/>
  <c r="O73"/>
  <c r="B78" s="1"/>
  <c r="O72"/>
  <c r="O71"/>
  <c r="O70"/>
  <c r="AS49" i="8"/>
  <c r="B33" i="37" s="1"/>
  <c r="B10" i="19"/>
  <c r="B16"/>
  <c r="B45"/>
  <c r="K69" i="36"/>
  <c r="K63"/>
  <c r="J101" s="1"/>
  <c r="J102" s="1"/>
  <c r="J116"/>
  <c r="O69"/>
  <c r="O68"/>
  <c r="O67"/>
  <c r="O66"/>
  <c r="O65"/>
  <c r="O64"/>
  <c r="O63"/>
  <c r="O62"/>
  <c r="O61"/>
  <c r="O60"/>
  <c r="O59"/>
  <c r="O58"/>
  <c r="O57"/>
  <c r="O56"/>
  <c r="O55"/>
  <c r="O54"/>
  <c r="O52"/>
  <c r="B3" s="1"/>
  <c r="O51"/>
  <c r="O44"/>
  <c r="O43"/>
  <c r="O42"/>
  <c r="O41"/>
  <c r="O40"/>
  <c r="O39"/>
  <c r="B44" s="1"/>
  <c r="O16"/>
  <c r="O15"/>
  <c r="O22"/>
  <c r="O21"/>
  <c r="B42" s="1"/>
  <c r="O38"/>
  <c r="O37"/>
  <c r="O36"/>
  <c r="O35"/>
  <c r="O34"/>
  <c r="O33"/>
  <c r="O32"/>
  <c r="O31"/>
  <c r="O30"/>
  <c r="O29"/>
  <c r="B32" s="1"/>
  <c r="O28"/>
  <c r="O27"/>
  <c r="O26"/>
  <c r="O25"/>
  <c r="B28" s="1"/>
  <c r="O24"/>
  <c r="O23"/>
  <c r="O20"/>
  <c r="O19"/>
  <c r="B22" s="1"/>
  <c r="O18"/>
  <c r="O17"/>
  <c r="B26" s="1"/>
  <c r="O14"/>
  <c r="O13"/>
  <c r="B20" s="1"/>
  <c r="O6"/>
  <c r="O5"/>
  <c r="O4"/>
  <c r="O3"/>
  <c r="O2"/>
  <c r="O1"/>
  <c r="B4" i="19"/>
  <c r="F17" i="30"/>
  <c r="F16"/>
  <c r="F15"/>
  <c r="F11" i="22"/>
  <c r="F12" i="11"/>
  <c r="F10" i="22"/>
  <c r="F9"/>
  <c r="AQ193" i="10"/>
  <c r="AP193"/>
  <c r="AO193"/>
  <c r="AN193"/>
  <c r="AM193"/>
  <c r="AL193"/>
  <c r="AK193"/>
  <c r="AJ193"/>
  <c r="AI193"/>
  <c r="AH193"/>
  <c r="AG193"/>
  <c r="AF193"/>
  <c r="AE193"/>
  <c r="AD193"/>
  <c r="AC193"/>
  <c r="AB193"/>
  <c r="AA193"/>
  <c r="Z193"/>
  <c r="Y193"/>
  <c r="X193"/>
  <c r="W193"/>
  <c r="V193"/>
  <c r="U193"/>
  <c r="T193"/>
  <c r="S193"/>
  <c r="R193"/>
  <c r="S205"/>
  <c r="R205"/>
  <c r="B126"/>
  <c r="B137"/>
  <c r="O8" i="35"/>
  <c r="O7"/>
  <c r="O5"/>
  <c r="O8" i="9"/>
  <c r="O7"/>
  <c r="O5"/>
  <c r="O8" i="29"/>
  <c r="O7"/>
  <c r="O5"/>
  <c r="O8" i="13"/>
  <c r="O7"/>
  <c r="O5"/>
  <c r="O8" i="26"/>
  <c r="O7"/>
  <c r="O5"/>
  <c r="B34" i="36"/>
  <c r="AS32" i="4"/>
  <c r="B174" s="1"/>
  <c r="AS66"/>
  <c r="L67" s="1"/>
  <c r="O8" i="8"/>
  <c r="O7"/>
  <c r="O5"/>
  <c r="O8" i="4"/>
  <c r="AT49" i="11"/>
  <c r="AS50" i="8"/>
  <c r="AS48"/>
  <c r="AS47"/>
  <c r="AS46"/>
  <c r="AS42"/>
  <c r="AS52"/>
  <c r="AS51"/>
  <c r="R66" i="4"/>
  <c r="Q66"/>
  <c r="P66"/>
  <c r="O66"/>
  <c r="N66"/>
  <c r="M66"/>
  <c r="AS65"/>
  <c r="AS23"/>
  <c r="AS22"/>
  <c r="AS21"/>
  <c r="AS23" i="9"/>
  <c r="Q67" s="1"/>
  <c r="AS22"/>
  <c r="AS21"/>
  <c r="AS16"/>
  <c r="AS17"/>
  <c r="AS18"/>
  <c r="AS19"/>
  <c r="AS20"/>
  <c r="AS24"/>
  <c r="AS16" i="13"/>
  <c r="AS26"/>
  <c r="AS53" i="29"/>
  <c r="AS48"/>
  <c r="AS26" i="35"/>
  <c r="AS25"/>
  <c r="AS24"/>
  <c r="AS23"/>
  <c r="AS22"/>
  <c r="AS21"/>
  <c r="AS20"/>
  <c r="AS19"/>
  <c r="AS18"/>
  <c r="AS17"/>
  <c r="AS16"/>
  <c r="AS15"/>
  <c r="AS26" i="29"/>
  <c r="AS25"/>
  <c r="AS24"/>
  <c r="AS23"/>
  <c r="AS22"/>
  <c r="AS21"/>
  <c r="AS20"/>
  <c r="AS19"/>
  <c r="AS18"/>
  <c r="AS17"/>
  <c r="AS16"/>
  <c r="AS15"/>
  <c r="AS14"/>
  <c r="AS65" i="13"/>
  <c r="AS25"/>
  <c r="AS24"/>
  <c r="AS23"/>
  <c r="B66" s="1"/>
  <c r="AS22"/>
  <c r="AS26" i="26"/>
  <c r="AS17"/>
  <c r="AS25"/>
  <c r="AS24"/>
  <c r="AS23"/>
  <c r="B66" s="1"/>
  <c r="AS22"/>
  <c r="AS23" i="8"/>
  <c r="AS17"/>
  <c r="AS26"/>
  <c r="AS25"/>
  <c r="AS24"/>
  <c r="AR87" i="10"/>
  <c r="B8" i="30"/>
  <c r="AR89" i="10"/>
  <c r="AR86"/>
  <c r="AR85"/>
  <c r="AR84"/>
  <c r="AR82"/>
  <c r="B18" i="26" s="1"/>
  <c r="B23" i="4"/>
  <c r="B24" i="26"/>
  <c r="B23" i="9"/>
  <c r="B24" i="8"/>
  <c r="B24" i="35"/>
  <c r="B24" i="13"/>
  <c r="B24" i="29"/>
  <c r="S44" i="11"/>
  <c r="S66" s="1"/>
  <c r="R44"/>
  <c r="R66" s="1"/>
  <c r="B3" i="19"/>
  <c r="J14"/>
  <c r="J13"/>
  <c r="J11"/>
  <c r="J10"/>
  <c r="J9"/>
  <c r="S42" i="22"/>
  <c r="S63" s="1"/>
  <c r="R54"/>
  <c r="R66" s="1"/>
  <c r="R199" i="10" s="1"/>
  <c r="R42" i="22"/>
  <c r="R63" s="1"/>
  <c r="R51" i="35"/>
  <c r="R49"/>
  <c r="R47"/>
  <c r="Q47"/>
  <c r="R38"/>
  <c r="P64" i="27" s="1"/>
  <c r="R35" i="35"/>
  <c r="AS53" i="9"/>
  <c r="AS54"/>
  <c r="AS50"/>
  <c r="AS49"/>
  <c r="AS48"/>
  <c r="AS47"/>
  <c r="R41"/>
  <c r="O21" i="3"/>
  <c r="O40"/>
  <c r="O43" s="1"/>
  <c r="O78"/>
  <c r="O82"/>
  <c r="O85"/>
  <c r="O98"/>
  <c r="R35" i="29"/>
  <c r="R50" i="13"/>
  <c r="S50" s="1"/>
  <c r="R48"/>
  <c r="R48" i="26"/>
  <c r="S14" i="35"/>
  <c r="R14"/>
  <c r="R80" s="1"/>
  <c r="S14" i="9"/>
  <c r="R14"/>
  <c r="R74" s="1"/>
  <c r="S14" i="29"/>
  <c r="R14"/>
  <c r="S14" i="13"/>
  <c r="R14"/>
  <c r="R33" s="1"/>
  <c r="R40" s="1"/>
  <c r="S14" i="26"/>
  <c r="R14"/>
  <c r="S14" i="8"/>
  <c r="S33" s="1"/>
  <c r="B35" s="1"/>
  <c r="R14"/>
  <c r="R48" i="4"/>
  <c r="S66"/>
  <c r="S14"/>
  <c r="S26" s="1"/>
  <c r="R14"/>
  <c r="S184" i="10"/>
  <c r="R184"/>
  <c r="S150"/>
  <c r="S16" i="37"/>
  <c r="R150" i="10"/>
  <c r="P98" i="3"/>
  <c r="N93"/>
  <c r="P49" i="35" s="1"/>
  <c r="S35" i="29"/>
  <c r="Q14" i="35"/>
  <c r="Q32" s="1"/>
  <c r="P14"/>
  <c r="P32" s="1"/>
  <c r="P64" s="1"/>
  <c r="O14"/>
  <c r="O32" s="1"/>
  <c r="O64" s="1"/>
  <c r="Q14" i="9"/>
  <c r="Q74" s="1"/>
  <c r="P14"/>
  <c r="P39" s="1"/>
  <c r="P43"/>
  <c r="O14"/>
  <c r="Q14" i="29"/>
  <c r="Q31" s="1"/>
  <c r="P14"/>
  <c r="P54" s="1"/>
  <c r="O14"/>
  <c r="O31" s="1"/>
  <c r="AS37" i="13"/>
  <c r="B45" s="1"/>
  <c r="AS31"/>
  <c r="B47" s="1"/>
  <c r="Q14"/>
  <c r="Q67" s="1"/>
  <c r="P14"/>
  <c r="P33" s="1"/>
  <c r="AS55" i="26"/>
  <c r="B29" i="35" s="1"/>
  <c r="Q14" i="26"/>
  <c r="Q33" s="1"/>
  <c r="Q40" s="1"/>
  <c r="P14"/>
  <c r="P33" s="1"/>
  <c r="P48"/>
  <c r="N39" i="3"/>
  <c r="O39" s="1"/>
  <c r="P39" s="1"/>
  <c r="Q34" i="4"/>
  <c r="Q14"/>
  <c r="Q53" s="1"/>
  <c r="Q69" s="1"/>
  <c r="P121" s="1"/>
  <c r="R16" i="37"/>
  <c r="R31" i="23"/>
  <c r="R21"/>
  <c r="R20"/>
  <c r="R19"/>
  <c r="R18"/>
  <c r="R14"/>
  <c r="P31"/>
  <c r="P30"/>
  <c r="P29"/>
  <c r="P28"/>
  <c r="P27"/>
  <c r="P21"/>
  <c r="P20"/>
  <c r="P19"/>
  <c r="P18"/>
  <c r="P15"/>
  <c r="P14"/>
  <c r="P13"/>
  <c r="P12"/>
  <c r="P11"/>
  <c r="V24"/>
  <c r="V23"/>
  <c r="V22"/>
  <c r="V21"/>
  <c r="V20"/>
  <c r="V19"/>
  <c r="V18"/>
  <c r="V17"/>
  <c r="N220" i="4"/>
  <c r="N221" s="1"/>
  <c r="R92" i="27"/>
  <c r="R95"/>
  <c r="R87"/>
  <c r="P55"/>
  <c r="P54"/>
  <c r="P53"/>
  <c r="Q48" i="4"/>
  <c r="P48"/>
  <c r="P34"/>
  <c r="O48"/>
  <c r="N48"/>
  <c r="M48"/>
  <c r="L48"/>
  <c r="L47" s="1"/>
  <c r="K48"/>
  <c r="J48"/>
  <c r="I48"/>
  <c r="N40" i="3"/>
  <c r="N43" s="1"/>
  <c r="P45" i="4" s="1"/>
  <c r="P59" s="1"/>
  <c r="M40" i="3"/>
  <c r="O50" i="4" s="1"/>
  <c r="L40" i="3"/>
  <c r="L43" s="1"/>
  <c r="N45" i="4" s="1"/>
  <c r="N59" s="1"/>
  <c r="K40" i="3"/>
  <c r="K43" s="1"/>
  <c r="M45" i="4" s="1"/>
  <c r="J40" i="3"/>
  <c r="J43" s="1"/>
  <c r="L45" i="4" s="1"/>
  <c r="I40" i="3"/>
  <c r="I43" s="1"/>
  <c r="K45" i="4" s="1"/>
  <c r="H40" i="3"/>
  <c r="H43" s="1"/>
  <c r="J45" i="4" s="1"/>
  <c r="G40" i="3"/>
  <c r="I50" i="4" s="1"/>
  <c r="P14" i="27"/>
  <c r="P17" s="1"/>
  <c r="O74" i="3"/>
  <c r="N74"/>
  <c r="M74"/>
  <c r="L74"/>
  <c r="K74"/>
  <c r="J74"/>
  <c r="I74"/>
  <c r="H74"/>
  <c r="G74"/>
  <c r="O72"/>
  <c r="N72"/>
  <c r="M72"/>
  <c r="L72"/>
  <c r="K72"/>
  <c r="J72"/>
  <c r="I72"/>
  <c r="H72"/>
  <c r="P35"/>
  <c r="Q26"/>
  <c r="O19"/>
  <c r="P31"/>
  <c r="Q30"/>
  <c r="P27"/>
  <c r="K85" i="36" s="1"/>
  <c r="B123" i="10"/>
  <c r="B180" s="1"/>
  <c r="B122"/>
  <c r="B86" i="11" s="1"/>
  <c r="B85"/>
  <c r="B119" i="10"/>
  <c r="B202" s="1"/>
  <c r="B118"/>
  <c r="B130" s="1"/>
  <c r="B117"/>
  <c r="B200" s="1"/>
  <c r="B116"/>
  <c r="B80" i="11" s="1"/>
  <c r="J1" i="32"/>
  <c r="O243" i="4"/>
  <c r="J244"/>
  <c r="J237"/>
  <c r="O236"/>
  <c r="J230"/>
  <c r="AT40" i="11"/>
  <c r="AT39"/>
  <c r="AT38"/>
  <c r="AT37"/>
  <c r="AT36"/>
  <c r="AT35"/>
  <c r="AT34"/>
  <c r="AT33"/>
  <c r="AT32"/>
  <c r="AT31"/>
  <c r="AT30"/>
  <c r="AT29"/>
  <c r="AT28"/>
  <c r="AT27"/>
  <c r="AT26"/>
  <c r="AT25"/>
  <c r="AT24"/>
  <c r="AT23"/>
  <c r="AT22"/>
  <c r="AT21"/>
  <c r="AT20"/>
  <c r="AT19"/>
  <c r="AT18"/>
  <c r="AT17"/>
  <c r="AT16"/>
  <c r="AT53"/>
  <c r="AT52"/>
  <c r="AR55" i="10"/>
  <c r="AR54"/>
  <c r="AR53"/>
  <c r="AR52"/>
  <c r="L220" i="4"/>
  <c r="L225" s="1"/>
  <c r="L226" s="1"/>
  <c r="K220"/>
  <c r="I133" i="32" s="1"/>
  <c r="D192" s="1"/>
  <c r="J220" i="4"/>
  <c r="J223" s="1"/>
  <c r="I220"/>
  <c r="H220"/>
  <c r="H225" s="1"/>
  <c r="G220"/>
  <c r="F133" i="32" s="1"/>
  <c r="D189" s="1"/>
  <c r="F220" i="4"/>
  <c r="E133" i="32" s="1"/>
  <c r="D188" s="1"/>
  <c r="E220" i="4"/>
  <c r="E225" s="1"/>
  <c r="D220"/>
  <c r="D226" s="1"/>
  <c r="AR76" i="10"/>
  <c r="AR77"/>
  <c r="AR96"/>
  <c r="AS16" i="26"/>
  <c r="AS16" i="8"/>
  <c r="AR112" i="10"/>
  <c r="AR98"/>
  <c r="AR65"/>
  <c r="AS94" i="29"/>
  <c r="AS93"/>
  <c r="AS92"/>
  <c r="AS91"/>
  <c r="AS90"/>
  <c r="AS89"/>
  <c r="AS88"/>
  <c r="AS87"/>
  <c r="AS86"/>
  <c r="AS85"/>
  <c r="AS84"/>
  <c r="AS83"/>
  <c r="AS38" i="9"/>
  <c r="AS106" i="35"/>
  <c r="AS105"/>
  <c r="AS104"/>
  <c r="AS103"/>
  <c r="AS102"/>
  <c r="AS101"/>
  <c r="AS100"/>
  <c r="AS99"/>
  <c r="AS98"/>
  <c r="AS97"/>
  <c r="AS96"/>
  <c r="AS95"/>
  <c r="AS94"/>
  <c r="B14" i="19"/>
  <c r="R139" i="27"/>
  <c r="R138"/>
  <c r="R137"/>
  <c r="R136"/>
  <c r="R135"/>
  <c r="R134"/>
  <c r="R133"/>
  <c r="R132"/>
  <c r="R131"/>
  <c r="R130"/>
  <c r="R129"/>
  <c r="R128"/>
  <c r="R127"/>
  <c r="R126"/>
  <c r="R125"/>
  <c r="R124"/>
  <c r="R123"/>
  <c r="R122"/>
  <c r="R82"/>
  <c r="R81"/>
  <c r="R80"/>
  <c r="R79"/>
  <c r="R78"/>
  <c r="R77"/>
  <c r="AT95" i="11"/>
  <c r="AT101"/>
  <c r="AT100"/>
  <c r="AT99"/>
  <c r="AT98"/>
  <c r="AT97"/>
  <c r="AT96"/>
  <c r="AT94"/>
  <c r="AT93"/>
  <c r="AT92"/>
  <c r="AT91"/>
  <c r="AT90"/>
  <c r="AT89"/>
  <c r="Y15" s="1"/>
  <c r="AT88"/>
  <c r="AT87"/>
  <c r="AT86"/>
  <c r="AT85"/>
  <c r="AT83"/>
  <c r="AT82"/>
  <c r="AT81"/>
  <c r="AT80"/>
  <c r="AT79"/>
  <c r="AT78"/>
  <c r="AT77"/>
  <c r="AT76"/>
  <c r="AT75"/>
  <c r="AT74"/>
  <c r="AT72"/>
  <c r="AT71"/>
  <c r="AT70"/>
  <c r="AT69"/>
  <c r="N15" s="1"/>
  <c r="AT68"/>
  <c r="AT67"/>
  <c r="AT66"/>
  <c r="AT64"/>
  <c r="AT63"/>
  <c r="AT62"/>
  <c r="AT61"/>
  <c r="AT60"/>
  <c r="AT58"/>
  <c r="AT57"/>
  <c r="AT56"/>
  <c r="AT55"/>
  <c r="AT54"/>
  <c r="AT41"/>
  <c r="AT15"/>
  <c r="AT14"/>
  <c r="AT13"/>
  <c r="AT5"/>
  <c r="AT2"/>
  <c r="AT1"/>
  <c r="Q44"/>
  <c r="Q66" s="1"/>
  <c r="B82"/>
  <c r="B81"/>
  <c r="B74"/>
  <c r="B60"/>
  <c r="B58"/>
  <c r="B56"/>
  <c r="AR257" i="10"/>
  <c r="AR256"/>
  <c r="AR255"/>
  <c r="AR254"/>
  <c r="AR253"/>
  <c r="AR252"/>
  <c r="H88" i="35"/>
  <c r="B248" i="10"/>
  <c r="B247"/>
  <c r="B244"/>
  <c r="B243"/>
  <c r="B242"/>
  <c r="B241"/>
  <c r="Q193"/>
  <c r="AS83" i="22"/>
  <c r="AS62"/>
  <c r="AS9"/>
  <c r="AS8"/>
  <c r="AS7"/>
  <c r="AS6"/>
  <c r="AS5"/>
  <c r="AS25" i="4"/>
  <c r="Q205" i="10"/>
  <c r="Q54" i="22"/>
  <c r="Q187" i="10" s="1"/>
  <c r="Q42" i="22"/>
  <c r="Q63" s="1"/>
  <c r="B83"/>
  <c r="B60"/>
  <c r="B82" s="1"/>
  <c r="B71"/>
  <c r="B57"/>
  <c r="B56"/>
  <c r="B78" s="1"/>
  <c r="B55"/>
  <c r="B67" s="1"/>
  <c r="B54"/>
  <c r="Q210" i="10"/>
  <c r="Q184"/>
  <c r="B205"/>
  <c r="B199"/>
  <c r="B190"/>
  <c r="B188"/>
  <c r="B156"/>
  <c r="B141"/>
  <c r="B134"/>
  <c r="AR97"/>
  <c r="AR12"/>
  <c r="AR11"/>
  <c r="AR10"/>
  <c r="R64" i="27"/>
  <c r="B73" i="22"/>
  <c r="AS79" i="35"/>
  <c r="AS33"/>
  <c r="AS63"/>
  <c r="AS65"/>
  <c r="AS72"/>
  <c r="AS71"/>
  <c r="AS69"/>
  <c r="AS77"/>
  <c r="AS37"/>
  <c r="AS40"/>
  <c r="AS45"/>
  <c r="AS78"/>
  <c r="AS74"/>
  <c r="AS27"/>
  <c r="AS30"/>
  <c r="AS31"/>
  <c r="AS28"/>
  <c r="AS64"/>
  <c r="AS62"/>
  <c r="AS61"/>
  <c r="AS60"/>
  <c r="AS59"/>
  <c r="AS58"/>
  <c r="AS70"/>
  <c r="AS76"/>
  <c r="AS75"/>
  <c r="AS29"/>
  <c r="AS73"/>
  <c r="B76" s="1"/>
  <c r="J21" i="3"/>
  <c r="J78"/>
  <c r="J82"/>
  <c r="J85"/>
  <c r="L35" i="13" s="1"/>
  <c r="L119" i="10" s="1"/>
  <c r="J93" i="3"/>
  <c r="I21"/>
  <c r="I78"/>
  <c r="K41" i="8" s="1"/>
  <c r="I82" i="3"/>
  <c r="I85"/>
  <c r="I93"/>
  <c r="K49" i="35" s="1"/>
  <c r="H21" i="3"/>
  <c r="H78"/>
  <c r="J41" i="8" s="1"/>
  <c r="H82" i="3"/>
  <c r="J35" i="26" s="1"/>
  <c r="J118" i="10" s="1"/>
  <c r="H85" i="3"/>
  <c r="H93"/>
  <c r="H98" s="1"/>
  <c r="S99"/>
  <c r="S98"/>
  <c r="M93"/>
  <c r="L93"/>
  <c r="L98" s="1"/>
  <c r="K93"/>
  <c r="K98" s="1"/>
  <c r="G93"/>
  <c r="G98" s="1"/>
  <c r="AS68" i="35"/>
  <c r="AS67"/>
  <c r="AS66"/>
  <c r="AS32"/>
  <c r="AS57"/>
  <c r="AS56"/>
  <c r="I28" i="29"/>
  <c r="AS55" i="35"/>
  <c r="AS52"/>
  <c r="AS51"/>
  <c r="AS54"/>
  <c r="AS53"/>
  <c r="Q51"/>
  <c r="P51"/>
  <c r="O51"/>
  <c r="N51"/>
  <c r="M51"/>
  <c r="L51"/>
  <c r="K51"/>
  <c r="J51"/>
  <c r="I51"/>
  <c r="I49"/>
  <c r="P47"/>
  <c r="O47"/>
  <c r="N47"/>
  <c r="M47"/>
  <c r="L47"/>
  <c r="K47"/>
  <c r="J47"/>
  <c r="I47"/>
  <c r="B49" i="19"/>
  <c r="B48"/>
  <c r="B47"/>
  <c r="B46"/>
  <c r="Q38" i="35"/>
  <c r="O64" i="27" s="1"/>
  <c r="P38" i="35"/>
  <c r="N64" i="27" s="1"/>
  <c r="O38" i="35"/>
  <c r="M64" i="27" s="1"/>
  <c r="N38" i="35"/>
  <c r="L64" i="27" s="1"/>
  <c r="M38" i="35"/>
  <c r="K64" i="27" s="1"/>
  <c r="L38" i="35"/>
  <c r="J64" i="27" s="1"/>
  <c r="K38" i="35"/>
  <c r="I64" i="27" s="1"/>
  <c r="J38" i="35"/>
  <c r="H64" i="27" s="1"/>
  <c r="I38" i="35"/>
  <c r="G64" i="27" s="1"/>
  <c r="R75"/>
  <c r="R74"/>
  <c r="R73"/>
  <c r="R72"/>
  <c r="R71"/>
  <c r="R70"/>
  <c r="R69"/>
  <c r="S96" i="3"/>
  <c r="S95"/>
  <c r="S94"/>
  <c r="S93"/>
  <c r="B99" s="1"/>
  <c r="S91"/>
  <c r="S89"/>
  <c r="S88"/>
  <c r="S100"/>
  <c r="S97"/>
  <c r="S92"/>
  <c r="Q35" i="35"/>
  <c r="P35"/>
  <c r="O35"/>
  <c r="N35"/>
  <c r="M35"/>
  <c r="L35"/>
  <c r="I35"/>
  <c r="R76" i="27"/>
  <c r="R68"/>
  <c r="N57"/>
  <c r="M57"/>
  <c r="L57"/>
  <c r="K57"/>
  <c r="J57"/>
  <c r="I57"/>
  <c r="H57"/>
  <c r="G57"/>
  <c r="R48"/>
  <c r="AS93" i="35"/>
  <c r="AS92"/>
  <c r="AS91"/>
  <c r="AS90"/>
  <c r="AS89"/>
  <c r="AS88"/>
  <c r="AS87"/>
  <c r="AS86"/>
  <c r="AS85"/>
  <c r="AS84"/>
  <c r="AS83"/>
  <c r="AS82"/>
  <c r="J83" s="1"/>
  <c r="AS81"/>
  <c r="AS80"/>
  <c r="AS50"/>
  <c r="AS49"/>
  <c r="AS48"/>
  <c r="AS47"/>
  <c r="AS46"/>
  <c r="AS44"/>
  <c r="AS43"/>
  <c r="AS42"/>
  <c r="AS41"/>
  <c r="AS39"/>
  <c r="AS36"/>
  <c r="AS35"/>
  <c r="AS34"/>
  <c r="AS14"/>
  <c r="N14"/>
  <c r="N32" s="1"/>
  <c r="N64" s="1"/>
  <c r="M14"/>
  <c r="M32" s="1"/>
  <c r="M64" s="1"/>
  <c r="L14"/>
  <c r="L32" s="1"/>
  <c r="L64" s="1"/>
  <c r="K14"/>
  <c r="K32" s="1"/>
  <c r="K64" s="1"/>
  <c r="J14"/>
  <c r="I14"/>
  <c r="I80" s="1"/>
  <c r="AS13"/>
  <c r="AS12"/>
  <c r="AS11"/>
  <c r="AS10"/>
  <c r="AS8"/>
  <c r="AS7"/>
  <c r="AS6"/>
  <c r="AS5"/>
  <c r="AS4"/>
  <c r="AS3"/>
  <c r="AS2"/>
  <c r="AS1"/>
  <c r="O1"/>
  <c r="AS55" i="29"/>
  <c r="AS67"/>
  <c r="AS68"/>
  <c r="AS70"/>
  <c r="AS76"/>
  <c r="AS62" i="13"/>
  <c r="AS52"/>
  <c r="AS40"/>
  <c r="AS22" i="8"/>
  <c r="AS39"/>
  <c r="AS40"/>
  <c r="AS45"/>
  <c r="AS57"/>
  <c r="AS71"/>
  <c r="AS40" i="26"/>
  <c r="AS62"/>
  <c r="AS18" i="13"/>
  <c r="AS19" i="8"/>
  <c r="AS19" i="26"/>
  <c r="I69" i="4"/>
  <c r="J69"/>
  <c r="AS39" i="29"/>
  <c r="AS59"/>
  <c r="AS58"/>
  <c r="AS57"/>
  <c r="AS56"/>
  <c r="AS32"/>
  <c r="R142" i="27"/>
  <c r="R141"/>
  <c r="R140"/>
  <c r="R121"/>
  <c r="R94"/>
  <c r="AS66" i="29"/>
  <c r="AS31"/>
  <c r="AS30"/>
  <c r="AS29"/>
  <c r="AS28"/>
  <c r="AS27"/>
  <c r="AS73" i="9"/>
  <c r="AS28"/>
  <c r="AS27"/>
  <c r="AS26"/>
  <c r="AS25"/>
  <c r="P35" i="29"/>
  <c r="I43" i="9"/>
  <c r="J43"/>
  <c r="J14"/>
  <c r="J39" s="1"/>
  <c r="G93" i="27"/>
  <c r="G98" s="1"/>
  <c r="N14" i="9"/>
  <c r="N61" s="1"/>
  <c r="M14"/>
  <c r="M61" s="1"/>
  <c r="M43"/>
  <c r="L14"/>
  <c r="L39" s="1"/>
  <c r="L43"/>
  <c r="K14"/>
  <c r="K61" s="1"/>
  <c r="I14"/>
  <c r="I61" s="1"/>
  <c r="H62" i="27"/>
  <c r="J35" i="35" s="1"/>
  <c r="I62" i="27"/>
  <c r="K35" i="35" s="1"/>
  <c r="I14" i="29"/>
  <c r="I31" s="1"/>
  <c r="J14"/>
  <c r="J31" s="1"/>
  <c r="K14"/>
  <c r="K31" s="1"/>
  <c r="L14"/>
  <c r="L31" s="1"/>
  <c r="M14"/>
  <c r="M31" s="1"/>
  <c r="N14"/>
  <c r="AS67" i="13"/>
  <c r="AS66"/>
  <c r="AS61"/>
  <c r="AS60"/>
  <c r="AS59"/>
  <c r="AS58"/>
  <c r="AS57"/>
  <c r="B60" s="1"/>
  <c r="AS39"/>
  <c r="AS38"/>
  <c r="AS36"/>
  <c r="AS34"/>
  <c r="I74" i="26"/>
  <c r="V26" i="23"/>
  <c r="V10"/>
  <c r="R112" i="27"/>
  <c r="R116"/>
  <c r="V28" i="23"/>
  <c r="C64" i="19" s="1"/>
  <c r="AS37" i="26"/>
  <c r="B45" s="1"/>
  <c r="R120" i="27"/>
  <c r="R119"/>
  <c r="R118"/>
  <c r="R117"/>
  <c r="R115"/>
  <c r="R114"/>
  <c r="R113"/>
  <c r="R111"/>
  <c r="R110"/>
  <c r="R109"/>
  <c r="R108"/>
  <c r="R107"/>
  <c r="R106"/>
  <c r="R105"/>
  <c r="Q61" i="35"/>
  <c r="Q49"/>
  <c r="J68" i="13"/>
  <c r="O48" i="26"/>
  <c r="K48"/>
  <c r="M48" i="13"/>
  <c r="I48"/>
  <c r="L48" i="26"/>
  <c r="N48" i="13"/>
  <c r="J48"/>
  <c r="M48" i="26"/>
  <c r="O48" i="13"/>
  <c r="K48"/>
  <c r="N48" i="26"/>
  <c r="P48" i="13"/>
  <c r="L48"/>
  <c r="J35"/>
  <c r="J119" i="10" s="1"/>
  <c r="Q14" i="8"/>
  <c r="Q74" s="1"/>
  <c r="P14"/>
  <c r="P53" s="1"/>
  <c r="S43" i="3"/>
  <c r="S44"/>
  <c r="S45"/>
  <c r="B38" i="4" s="1"/>
  <c r="S46" i="3"/>
  <c r="Q48" i="13"/>
  <c r="Q53" s="1"/>
  <c r="Q48" i="26"/>
  <c r="Q53" s="1"/>
  <c r="S49" i="3"/>
  <c r="S48"/>
  <c r="O35"/>
  <c r="O31"/>
  <c r="F222" i="4" s="1"/>
  <c r="P14"/>
  <c r="P26" s="1"/>
  <c r="Q150" i="10"/>
  <c r="K29" i="8"/>
  <c r="I17" i="19"/>
  <c r="J120" i="3" s="1"/>
  <c r="K29" i="26"/>
  <c r="Q35" i="29"/>
  <c r="K28" i="8"/>
  <c r="K28" i="26"/>
  <c r="H60" i="27" s="1"/>
  <c r="K28" i="13"/>
  <c r="I100" i="36" s="1"/>
  <c r="I29" i="19"/>
  <c r="N14" i="4"/>
  <c r="M14"/>
  <c r="M53" s="1"/>
  <c r="M69" s="1"/>
  <c r="L121" s="1"/>
  <c r="O14"/>
  <c r="O53" s="1"/>
  <c r="O69" s="1"/>
  <c r="N121" s="1"/>
  <c r="O27" i="3"/>
  <c r="V27" i="23"/>
  <c r="V15"/>
  <c r="I30" i="4" s="1"/>
  <c r="O34"/>
  <c r="N34"/>
  <c r="Q16" i="37"/>
  <c r="S103" i="3"/>
  <c r="P82"/>
  <c r="N82"/>
  <c r="P35" i="26" s="1"/>
  <c r="M82" i="3"/>
  <c r="L82"/>
  <c r="N35" i="26" s="1"/>
  <c r="N118" i="10" s="1"/>
  <c r="K82" i="3"/>
  <c r="L35" i="26"/>
  <c r="K35"/>
  <c r="K118" i="10" s="1"/>
  <c r="G82" i="3"/>
  <c r="I35" i="26" s="1"/>
  <c r="I118" i="10" s="1"/>
  <c r="E93" i="32" s="1"/>
  <c r="N78" i="3"/>
  <c r="P41" i="8" s="1"/>
  <c r="M78" i="3"/>
  <c r="O41" i="8" s="1"/>
  <c r="O14"/>
  <c r="O53" s="1"/>
  <c r="L78" i="3"/>
  <c r="N41" i="8" s="1"/>
  <c r="K78" i="3"/>
  <c r="M41" i="8" s="1"/>
  <c r="L41"/>
  <c r="G78" i="3"/>
  <c r="I41" i="8" s="1"/>
  <c r="S54" i="3"/>
  <c r="S61"/>
  <c r="S63"/>
  <c r="S65"/>
  <c r="E62" s="1"/>
  <c r="S66"/>
  <c r="S75"/>
  <c r="T75" s="1"/>
  <c r="S76"/>
  <c r="S52"/>
  <c r="S53"/>
  <c r="S56"/>
  <c r="S57"/>
  <c r="S59"/>
  <c r="S60"/>
  <c r="S64"/>
  <c r="N35"/>
  <c r="G35"/>
  <c r="M35"/>
  <c r="N31"/>
  <c r="G31"/>
  <c r="M31"/>
  <c r="N27"/>
  <c r="G27"/>
  <c r="M27"/>
  <c r="L27"/>
  <c r="N21"/>
  <c r="N19"/>
  <c r="M21"/>
  <c r="M85"/>
  <c r="O35" i="13" s="1"/>
  <c r="N51" i="3"/>
  <c r="O53" i="27"/>
  <c r="O54"/>
  <c r="O55"/>
  <c r="O14"/>
  <c r="O17" s="1"/>
  <c r="I40" i="33"/>
  <c r="I39"/>
  <c r="I38"/>
  <c r="J49"/>
  <c r="J48"/>
  <c r="I1"/>
  <c r="AS241" i="4"/>
  <c r="AS234"/>
  <c r="AS227"/>
  <c r="AS221"/>
  <c r="AS213"/>
  <c r="AS116"/>
  <c r="AS117"/>
  <c r="AS115"/>
  <c r="AS114"/>
  <c r="AS113"/>
  <c r="E142" i="32"/>
  <c r="G188" s="1"/>
  <c r="G264" s="1"/>
  <c r="D142"/>
  <c r="G187" s="1"/>
  <c r="G263" s="1"/>
  <c r="E139"/>
  <c r="F188" s="1"/>
  <c r="F264" s="1"/>
  <c r="D139"/>
  <c r="F187" s="1"/>
  <c r="F263" s="1"/>
  <c r="E136"/>
  <c r="E188" s="1"/>
  <c r="E264" s="1"/>
  <c r="D136"/>
  <c r="E187" s="1"/>
  <c r="E263" s="1"/>
  <c r="AS214" i="4"/>
  <c r="AS212"/>
  <c r="AS211"/>
  <c r="AS210"/>
  <c r="AS209"/>
  <c r="AS208"/>
  <c r="AS139"/>
  <c r="AS138"/>
  <c r="AS250"/>
  <c r="AS249"/>
  <c r="AS248"/>
  <c r="AS247"/>
  <c r="AS246"/>
  <c r="AS245"/>
  <c r="AS244"/>
  <c r="AS243"/>
  <c r="AS242"/>
  <c r="AS239"/>
  <c r="AS238"/>
  <c r="AS237"/>
  <c r="AS236"/>
  <c r="AS235"/>
  <c r="AS232"/>
  <c r="AS231"/>
  <c r="AS230"/>
  <c r="AS229"/>
  <c r="AS228"/>
  <c r="AS225"/>
  <c r="AS224"/>
  <c r="AS223"/>
  <c r="AS222"/>
  <c r="AS220"/>
  <c r="AS219"/>
  <c r="AS218"/>
  <c r="AS217"/>
  <c r="AS216"/>
  <c r="AS215"/>
  <c r="AS207"/>
  <c r="AS206"/>
  <c r="AS205"/>
  <c r="AS204"/>
  <c r="AS203"/>
  <c r="AS202"/>
  <c r="AS201"/>
  <c r="AS200"/>
  <c r="AS199"/>
  <c r="AS198"/>
  <c r="AS151"/>
  <c r="AS150"/>
  <c r="AS194"/>
  <c r="AS193"/>
  <c r="AS192"/>
  <c r="AS191"/>
  <c r="AS190"/>
  <c r="AS188"/>
  <c r="AS189"/>
  <c r="AS187"/>
  <c r="AS186"/>
  <c r="AS185"/>
  <c r="AS182"/>
  <c r="AS180"/>
  <c r="AS178"/>
  <c r="AS176"/>
  <c r="AS174"/>
  <c r="AS172"/>
  <c r="AS168"/>
  <c r="AS160"/>
  <c r="AS162"/>
  <c r="AS165"/>
  <c r="AS169"/>
  <c r="AS167"/>
  <c r="AS197"/>
  <c r="AS196"/>
  <c r="AS195"/>
  <c r="AS184"/>
  <c r="AS183"/>
  <c r="AS181"/>
  <c r="AS179"/>
  <c r="AS177"/>
  <c r="AS175"/>
  <c r="B180" s="1"/>
  <c r="AS173"/>
  <c r="AS171"/>
  <c r="AS170"/>
  <c r="AS166"/>
  <c r="AS164"/>
  <c r="AS163"/>
  <c r="AS161"/>
  <c r="AS159"/>
  <c r="AS158"/>
  <c r="AS157"/>
  <c r="AS156"/>
  <c r="AS155"/>
  <c r="B162" s="1"/>
  <c r="AS154"/>
  <c r="AS153"/>
  <c r="AS152"/>
  <c r="AS149"/>
  <c r="AS148"/>
  <c r="AS147"/>
  <c r="AS146"/>
  <c r="AS145"/>
  <c r="AS144"/>
  <c r="AS143"/>
  <c r="AS142"/>
  <c r="AS141"/>
  <c r="AS140"/>
  <c r="AS137"/>
  <c r="AS136"/>
  <c r="AS119"/>
  <c r="AR28" i="10"/>
  <c r="AR25"/>
  <c r="AR24"/>
  <c r="AR23"/>
  <c r="K248" i="4"/>
  <c r="I223"/>
  <c r="M235"/>
  <c r="M242" s="1"/>
  <c r="F235"/>
  <c r="F236" s="1"/>
  <c r="F229"/>
  <c r="K1" i="24"/>
  <c r="L1" i="30"/>
  <c r="F11" i="11"/>
  <c r="F10"/>
  <c r="AR16" i="10"/>
  <c r="AR17"/>
  <c r="AR22"/>
  <c r="AR27"/>
  <c r="R25" i="27"/>
  <c r="B9" i="19"/>
  <c r="B15"/>
  <c r="B13"/>
  <c r="B12"/>
  <c r="B11"/>
  <c r="B8"/>
  <c r="C1" i="31"/>
  <c r="AS45" i="22"/>
  <c r="H5" i="30"/>
  <c r="B68" i="11"/>
  <c r="B89" s="1"/>
  <c r="P193" i="10"/>
  <c r="O193"/>
  <c r="N193"/>
  <c r="M193"/>
  <c r="L193"/>
  <c r="K193"/>
  <c r="J193"/>
  <c r="I193"/>
  <c r="AS59" i="22"/>
  <c r="AS72"/>
  <c r="AR110" i="10"/>
  <c r="AR111"/>
  <c r="AS75" i="29"/>
  <c r="AS74"/>
  <c r="AS73"/>
  <c r="AS72"/>
  <c r="J75" s="1"/>
  <c r="AS71"/>
  <c r="AS69"/>
  <c r="AS64"/>
  <c r="AS65"/>
  <c r="AS63"/>
  <c r="AS62"/>
  <c r="H44" i="19"/>
  <c r="AS51" i="29"/>
  <c r="O35"/>
  <c r="N35"/>
  <c r="B44" i="19"/>
  <c r="B43"/>
  <c r="J28" i="29" s="1"/>
  <c r="B42" i="19"/>
  <c r="J27" i="29" s="1"/>
  <c r="B41" i="19"/>
  <c r="B39"/>
  <c r="B38"/>
  <c r="B37"/>
  <c r="M35" i="29"/>
  <c r="L35"/>
  <c r="K35"/>
  <c r="J35"/>
  <c r="AS64" i="9"/>
  <c r="AS82" i="29"/>
  <c r="AS81"/>
  <c r="AS80"/>
  <c r="AS79"/>
  <c r="AS78"/>
  <c r="AS77"/>
  <c r="H77"/>
  <c r="AS49"/>
  <c r="AS61"/>
  <c r="AS60"/>
  <c r="B63" s="1"/>
  <c r="AS54"/>
  <c r="AS52"/>
  <c r="AS50"/>
  <c r="AS47"/>
  <c r="AS46"/>
  <c r="AS38"/>
  <c r="AS37"/>
  <c r="B45" s="1"/>
  <c r="AS36"/>
  <c r="AS35"/>
  <c r="AS34"/>
  <c r="AS33"/>
  <c r="AS13"/>
  <c r="AS12"/>
  <c r="AS11"/>
  <c r="AS10"/>
  <c r="AS9"/>
  <c r="AS7"/>
  <c r="AS6"/>
  <c r="AS5"/>
  <c r="AS4"/>
  <c r="AS3"/>
  <c r="AS2"/>
  <c r="AS1"/>
  <c r="O1"/>
  <c r="B36" i="19"/>
  <c r="B35"/>
  <c r="B32" i="9" s="1"/>
  <c r="B34" i="19"/>
  <c r="B33"/>
  <c r="C38" s="1"/>
  <c r="B32"/>
  <c r="B31"/>
  <c r="B28"/>
  <c r="B30"/>
  <c r="B29"/>
  <c r="B27"/>
  <c r="B26"/>
  <c r="B25"/>
  <c r="B24"/>
  <c r="AS37" i="9"/>
  <c r="AS36"/>
  <c r="AS35"/>
  <c r="AS34"/>
  <c r="AS33"/>
  <c r="AS31"/>
  <c r="AS32"/>
  <c r="R57" i="27"/>
  <c r="R62"/>
  <c r="P54" i="22"/>
  <c r="P187" i="10" s="1"/>
  <c r="O54" i="22"/>
  <c r="O187" i="10" s="1"/>
  <c r="N54" i="22"/>
  <c r="N187" i="10" s="1"/>
  <c r="M54" i="22"/>
  <c r="M187" i="10" s="1"/>
  <c r="L54" i="22"/>
  <c r="L187" i="10" s="1"/>
  <c r="K54" i="22"/>
  <c r="K187" i="10" s="1"/>
  <c r="J54" i="22"/>
  <c r="J187" i="10" s="1"/>
  <c r="I54" i="22"/>
  <c r="I187" i="10" s="1"/>
  <c r="AS55" i="13"/>
  <c r="AS56"/>
  <c r="AS36" i="26"/>
  <c r="AS35"/>
  <c r="AS56"/>
  <c r="P42" i="22"/>
  <c r="P63" s="1"/>
  <c r="R18" i="27"/>
  <c r="R17"/>
  <c r="R16"/>
  <c r="AR13" i="10"/>
  <c r="AR18"/>
  <c r="AR19"/>
  <c r="AR30"/>
  <c r="AR72"/>
  <c r="AR99"/>
  <c r="AS63" i="4"/>
  <c r="AS44"/>
  <c r="AS43"/>
  <c r="AS42"/>
  <c r="AS41"/>
  <c r="B44" s="1"/>
  <c r="AS38"/>
  <c r="AS39"/>
  <c r="B42" s="1"/>
  <c r="J1" i="28"/>
  <c r="L14" i="13"/>
  <c r="L67" s="1"/>
  <c r="O14"/>
  <c r="O33" s="1"/>
  <c r="O40" s="1"/>
  <c r="N14"/>
  <c r="N67" s="1"/>
  <c r="M14"/>
  <c r="M67" s="1"/>
  <c r="K14"/>
  <c r="J14"/>
  <c r="I14"/>
  <c r="O14" i="26"/>
  <c r="O67" s="1"/>
  <c r="N14"/>
  <c r="N33" s="1"/>
  <c r="N40" s="1"/>
  <c r="M14"/>
  <c r="L14"/>
  <c r="L33" s="1"/>
  <c r="L40" s="1"/>
  <c r="K14"/>
  <c r="K67" s="1"/>
  <c r="J14"/>
  <c r="I14"/>
  <c r="N14" i="8"/>
  <c r="N33" s="1"/>
  <c r="M14"/>
  <c r="L14"/>
  <c r="K14"/>
  <c r="J14"/>
  <c r="J53" s="1"/>
  <c r="I14"/>
  <c r="I53" s="1"/>
  <c r="L14" i="4"/>
  <c r="L53" s="1"/>
  <c r="L69" s="1"/>
  <c r="K121" s="1"/>
  <c r="K14"/>
  <c r="K53" s="1"/>
  <c r="K69" s="1"/>
  <c r="J121" s="1"/>
  <c r="J14"/>
  <c r="I14"/>
  <c r="AS70"/>
  <c r="AS68"/>
  <c r="AS52"/>
  <c r="AS9"/>
  <c r="AS10"/>
  <c r="AS11"/>
  <c r="AS12"/>
  <c r="AS13"/>
  <c r="O7"/>
  <c r="O5"/>
  <c r="I44" i="11"/>
  <c r="I66" s="1"/>
  <c r="P44"/>
  <c r="P66" s="1"/>
  <c r="O44"/>
  <c r="O66" s="1"/>
  <c r="N44"/>
  <c r="N66" s="1"/>
  <c r="M44"/>
  <c r="M66" s="1"/>
  <c r="L44"/>
  <c r="L66" s="1"/>
  <c r="K44"/>
  <c r="K66" s="1"/>
  <c r="J44"/>
  <c r="J66" s="1"/>
  <c r="P184" i="10"/>
  <c r="O184"/>
  <c r="N184"/>
  <c r="M184"/>
  <c r="L184"/>
  <c r="K184"/>
  <c r="J184"/>
  <c r="I184"/>
  <c r="P210"/>
  <c r="O210"/>
  <c r="N210"/>
  <c r="M210"/>
  <c r="L210"/>
  <c r="K210"/>
  <c r="J210"/>
  <c r="P150"/>
  <c r="O150"/>
  <c r="N150"/>
  <c r="M150"/>
  <c r="L150"/>
  <c r="K150"/>
  <c r="J150"/>
  <c r="I150"/>
  <c r="F115"/>
  <c r="B7" i="19"/>
  <c r="AR100" i="10"/>
  <c r="AS76" i="9"/>
  <c r="AS75"/>
  <c r="AS69"/>
  <c r="AS70"/>
  <c r="AS53" i="13"/>
  <c r="AS54"/>
  <c r="AS33" i="4"/>
  <c r="AS73"/>
  <c r="AS72"/>
  <c r="AS71"/>
  <c r="AS67"/>
  <c r="J71" s="1"/>
  <c r="AS11" i="26"/>
  <c r="AS10"/>
  <c r="AS54"/>
  <c r="AS53"/>
  <c r="B56" s="1"/>
  <c r="AS60"/>
  <c r="AS61"/>
  <c r="AS55" i="9"/>
  <c r="AS52"/>
  <c r="AS51"/>
  <c r="AS56"/>
  <c r="AS57"/>
  <c r="AS40"/>
  <c r="AS46"/>
  <c r="AS45"/>
  <c r="AS44"/>
  <c r="AS43"/>
  <c r="V13" i="23"/>
  <c r="AS42" i="9"/>
  <c r="AS41"/>
  <c r="AS39"/>
  <c r="O43"/>
  <c r="N43"/>
  <c r="K43"/>
  <c r="K41"/>
  <c r="I83" i="27"/>
  <c r="J83"/>
  <c r="K83"/>
  <c r="O41" i="9"/>
  <c r="I135" i="3"/>
  <c r="J135" s="1"/>
  <c r="I130"/>
  <c r="I133"/>
  <c r="I132"/>
  <c r="I131"/>
  <c r="J131" s="1"/>
  <c r="H134"/>
  <c r="N83" i="27"/>
  <c r="M83"/>
  <c r="L83"/>
  <c r="AS63" i="9"/>
  <c r="AS61"/>
  <c r="AS59"/>
  <c r="R13" i="23"/>
  <c r="AS83" i="9"/>
  <c r="AS8"/>
  <c r="AS7"/>
  <c r="AS6"/>
  <c r="AS5"/>
  <c r="AS4"/>
  <c r="AS3"/>
  <c r="AS29"/>
  <c r="N55" i="27"/>
  <c r="N54"/>
  <c r="N53"/>
  <c r="M55"/>
  <c r="M54"/>
  <c r="M53"/>
  <c r="J55"/>
  <c r="I55"/>
  <c r="H55"/>
  <c r="G55"/>
  <c r="J54"/>
  <c r="I54"/>
  <c r="H54"/>
  <c r="G54"/>
  <c r="J53"/>
  <c r="I53"/>
  <c r="H53"/>
  <c r="H58" s="1"/>
  <c r="G53"/>
  <c r="G58" s="1"/>
  <c r="L55"/>
  <c r="L54"/>
  <c r="L53"/>
  <c r="K55"/>
  <c r="K54"/>
  <c r="K53"/>
  <c r="R47"/>
  <c r="S81" i="3"/>
  <c r="L85"/>
  <c r="N35" i="13" s="1"/>
  <c r="N119" i="10" s="1"/>
  <c r="M50" i="4"/>
  <c r="R104" i="27"/>
  <c r="R103"/>
  <c r="R102"/>
  <c r="R101"/>
  <c r="R100"/>
  <c r="R99"/>
  <c r="R98"/>
  <c r="R97"/>
  <c r="R96"/>
  <c r="R93"/>
  <c r="R52"/>
  <c r="R91"/>
  <c r="R90"/>
  <c r="R89"/>
  <c r="R88"/>
  <c r="R86"/>
  <c r="R85"/>
  <c r="R84"/>
  <c r="R83"/>
  <c r="R67"/>
  <c r="R66"/>
  <c r="R65"/>
  <c r="R61"/>
  <c r="R60"/>
  <c r="R59"/>
  <c r="R56"/>
  <c r="R54"/>
  <c r="R51"/>
  <c r="R50"/>
  <c r="R49"/>
  <c r="R46"/>
  <c r="R45"/>
  <c r="R44"/>
  <c r="R42"/>
  <c r="R41"/>
  <c r="R29"/>
  <c r="R28"/>
  <c r="R26"/>
  <c r="B69" i="37" s="1"/>
  <c r="R21" i="27"/>
  <c r="R24"/>
  <c r="R58" i="3" s="1"/>
  <c r="R27" i="27"/>
  <c r="R23"/>
  <c r="R67" i="3" s="1"/>
  <c r="R22" i="27"/>
  <c r="R51" i="3" s="1"/>
  <c r="R20" i="27"/>
  <c r="R19"/>
  <c r="R14"/>
  <c r="R13"/>
  <c r="R12"/>
  <c r="R11"/>
  <c r="R10"/>
  <c r="R9"/>
  <c r="R8"/>
  <c r="R7"/>
  <c r="B44" i="3" s="1"/>
  <c r="R6" i="27"/>
  <c r="R5"/>
  <c r="R4"/>
  <c r="R3"/>
  <c r="R2"/>
  <c r="R1"/>
  <c r="S144" i="3"/>
  <c r="S143"/>
  <c r="S142"/>
  <c r="S141"/>
  <c r="S140"/>
  <c r="S139"/>
  <c r="S138"/>
  <c r="S137"/>
  <c r="S136"/>
  <c r="S135"/>
  <c r="S134"/>
  <c r="S133"/>
  <c r="S132"/>
  <c r="S131"/>
  <c r="S130"/>
  <c r="S129"/>
  <c r="S128"/>
  <c r="S127"/>
  <c r="S126"/>
  <c r="S125"/>
  <c r="S124"/>
  <c r="S123"/>
  <c r="S122"/>
  <c r="S121"/>
  <c r="S120"/>
  <c r="S119"/>
  <c r="S118"/>
  <c r="S117"/>
  <c r="S116"/>
  <c r="S115"/>
  <c r="S114"/>
  <c r="S113"/>
  <c r="E29" i="8" s="1"/>
  <c r="S112" i="3"/>
  <c r="S111"/>
  <c r="S110"/>
  <c r="S109"/>
  <c r="S108"/>
  <c r="S107"/>
  <c r="S106"/>
  <c r="S105"/>
  <c r="S104"/>
  <c r="S102"/>
  <c r="S101"/>
  <c r="B53" i="29" s="1"/>
  <c r="S84" i="3"/>
  <c r="S83"/>
  <c r="S87"/>
  <c r="S86"/>
  <c r="S80"/>
  <c r="S79"/>
  <c r="S77"/>
  <c r="S74"/>
  <c r="S73"/>
  <c r="S72"/>
  <c r="S71"/>
  <c r="S70"/>
  <c r="S69"/>
  <c r="S68"/>
  <c r="S67"/>
  <c r="S62"/>
  <c r="S58"/>
  <c r="S55"/>
  <c r="S51"/>
  <c r="S50"/>
  <c r="S47"/>
  <c r="S42"/>
  <c r="S41"/>
  <c r="S40"/>
  <c r="S39"/>
  <c r="S38"/>
  <c r="S37"/>
  <c r="S36"/>
  <c r="S35"/>
  <c r="S34"/>
  <c r="S33"/>
  <c r="S32"/>
  <c r="S31"/>
  <c r="S30"/>
  <c r="S29"/>
  <c r="S28"/>
  <c r="S27"/>
  <c r="B86" i="36" s="1"/>
  <c r="S26" i="3"/>
  <c r="S25"/>
  <c r="G24" s="1"/>
  <c r="S24"/>
  <c r="S23"/>
  <c r="S22"/>
  <c r="S21"/>
  <c r="B102" s="1"/>
  <c r="S20"/>
  <c r="S19"/>
  <c r="S18"/>
  <c r="S17"/>
  <c r="S16"/>
  <c r="S15"/>
  <c r="S14"/>
  <c r="S13"/>
  <c r="S12"/>
  <c r="S11"/>
  <c r="S10"/>
  <c r="S9"/>
  <c r="S8"/>
  <c r="S7"/>
  <c r="S6"/>
  <c r="S5"/>
  <c r="S4"/>
  <c r="S3"/>
  <c r="S2"/>
  <c r="G14" i="27"/>
  <c r="G17" s="1"/>
  <c r="H14"/>
  <c r="H17" s="1"/>
  <c r="I14"/>
  <c r="I17" s="1"/>
  <c r="J14"/>
  <c r="J17" s="1"/>
  <c r="K14"/>
  <c r="K17" s="1"/>
  <c r="L14"/>
  <c r="L17" s="1"/>
  <c r="M14"/>
  <c r="M17" s="1"/>
  <c r="N14"/>
  <c r="N17" s="1"/>
  <c r="M19" i="3"/>
  <c r="AS51" i="13"/>
  <c r="AS21"/>
  <c r="AS15"/>
  <c r="AS14"/>
  <c r="AS13"/>
  <c r="AS12"/>
  <c r="AS11"/>
  <c r="AS10"/>
  <c r="AS50"/>
  <c r="AS49"/>
  <c r="AS48"/>
  <c r="B54" s="1"/>
  <c r="J63"/>
  <c r="AS33"/>
  <c r="AS20"/>
  <c r="AS19"/>
  <c r="AS17"/>
  <c r="AS65" i="26"/>
  <c r="AS65" i="8"/>
  <c r="AS63"/>
  <c r="AS56"/>
  <c r="B59" s="1"/>
  <c r="AS36"/>
  <c r="AS11"/>
  <c r="AS10"/>
  <c r="AS59" i="26"/>
  <c r="AS50"/>
  <c r="AS51"/>
  <c r="AS52"/>
  <c r="AS103"/>
  <c r="AS102"/>
  <c r="AS101"/>
  <c r="AS100"/>
  <c r="AS99"/>
  <c r="AS98"/>
  <c r="AS97"/>
  <c r="AS96"/>
  <c r="AS95"/>
  <c r="AS94"/>
  <c r="AS93"/>
  <c r="AS92"/>
  <c r="AS91"/>
  <c r="AS90"/>
  <c r="AS89"/>
  <c r="AS88"/>
  <c r="AS87"/>
  <c r="AS86"/>
  <c r="AS85"/>
  <c r="AS84"/>
  <c r="AS83"/>
  <c r="AS82"/>
  <c r="AS81"/>
  <c r="AS80"/>
  <c r="AS79"/>
  <c r="AS78"/>
  <c r="AS77"/>
  <c r="AS76"/>
  <c r="AS75"/>
  <c r="AS74"/>
  <c r="AS73"/>
  <c r="AS72"/>
  <c r="AS71"/>
  <c r="AS70"/>
  <c r="AS69"/>
  <c r="J72" s="1"/>
  <c r="AS68"/>
  <c r="B45" i="37" s="1"/>
  <c r="AS67" i="26"/>
  <c r="AS66"/>
  <c r="AS58"/>
  <c r="AS57"/>
  <c r="B60" s="1"/>
  <c r="AS49"/>
  <c r="AS48"/>
  <c r="AS39"/>
  <c r="AS38"/>
  <c r="AS34"/>
  <c r="AS33"/>
  <c r="AS32"/>
  <c r="AS31"/>
  <c r="B47" s="1"/>
  <c r="AS30"/>
  <c r="AS29"/>
  <c r="AS28"/>
  <c r="AS27"/>
  <c r="AS21"/>
  <c r="AS20"/>
  <c r="AS18"/>
  <c r="AS15"/>
  <c r="AS14"/>
  <c r="AS13"/>
  <c r="AS12"/>
  <c r="AS8"/>
  <c r="AS7"/>
  <c r="AS6"/>
  <c r="AS5"/>
  <c r="AS4"/>
  <c r="AS3"/>
  <c r="AS2"/>
  <c r="AS1"/>
  <c r="O1"/>
  <c r="AS15" i="8"/>
  <c r="AS53"/>
  <c r="AS21"/>
  <c r="R12" i="23"/>
  <c r="R11"/>
  <c r="AR95" i="10"/>
  <c r="AS20" i="8"/>
  <c r="AS18"/>
  <c r="T80" i="10"/>
  <c r="T77" s="1"/>
  <c r="AS118" i="4"/>
  <c r="AS112"/>
  <c r="AS111"/>
  <c r="AS110"/>
  <c r="AS109"/>
  <c r="AS108"/>
  <c r="AS107"/>
  <c r="AS106"/>
  <c r="AS105"/>
  <c r="AS104"/>
  <c r="AS103"/>
  <c r="AS102"/>
  <c r="B145" s="1"/>
  <c r="AS101"/>
  <c r="AS100"/>
  <c r="AS99"/>
  <c r="AS98"/>
  <c r="AS97"/>
  <c r="AS96"/>
  <c r="AS95"/>
  <c r="AS94"/>
  <c r="AS93"/>
  <c r="AS92"/>
  <c r="AS91"/>
  <c r="AS90"/>
  <c r="AS89"/>
  <c r="AS31"/>
  <c r="AS29"/>
  <c r="AS28"/>
  <c r="V33" i="23"/>
  <c r="V32"/>
  <c r="V31"/>
  <c r="V30"/>
  <c r="V29"/>
  <c r="V25"/>
  <c r="V16"/>
  <c r="V14"/>
  <c r="V12"/>
  <c r="V11"/>
  <c r="V9"/>
  <c r="V8"/>
  <c r="V7"/>
  <c r="V6"/>
  <c r="V5"/>
  <c r="V4"/>
  <c r="V3"/>
  <c r="V2"/>
  <c r="V1"/>
  <c r="AR71" i="10"/>
  <c r="AR70"/>
  <c r="AR69"/>
  <c r="O82" s="1"/>
  <c r="AR68"/>
  <c r="R30" i="23"/>
  <c r="R29"/>
  <c r="R28"/>
  <c r="R27"/>
  <c r="R15"/>
  <c r="N1"/>
  <c r="AS55" i="4"/>
  <c r="AS54"/>
  <c r="AS51"/>
  <c r="AS30"/>
  <c r="AS27"/>
  <c r="AS26"/>
  <c r="AS20"/>
  <c r="AS19"/>
  <c r="J34"/>
  <c r="K1" i="20"/>
  <c r="P4"/>
  <c r="P5"/>
  <c r="P6"/>
  <c r="P7"/>
  <c r="P8"/>
  <c r="P9"/>
  <c r="P10"/>
  <c r="P11"/>
  <c r="P12"/>
  <c r="P13"/>
  <c r="P14"/>
  <c r="G15"/>
  <c r="G16" s="1"/>
  <c r="H16" s="1"/>
  <c r="P15"/>
  <c r="P16"/>
  <c r="P17"/>
  <c r="P18"/>
  <c r="P19"/>
  <c r="P20"/>
  <c r="P21"/>
  <c r="P22"/>
  <c r="P23"/>
  <c r="I30" s="1"/>
  <c r="P24"/>
  <c r="P25"/>
  <c r="I29" s="1"/>
  <c r="P26"/>
  <c r="G27"/>
  <c r="H27" s="1"/>
  <c r="P27"/>
  <c r="G28"/>
  <c r="H28" s="1"/>
  <c r="I28"/>
  <c r="P28"/>
  <c r="G29"/>
  <c r="H29" s="1"/>
  <c r="P29"/>
  <c r="G30"/>
  <c r="H30" s="1"/>
  <c r="P30"/>
  <c r="G31"/>
  <c r="H31" s="1"/>
  <c r="P31"/>
  <c r="P32"/>
  <c r="P33"/>
  <c r="P34"/>
  <c r="G35"/>
  <c r="G44" s="1"/>
  <c r="P35"/>
  <c r="P36"/>
  <c r="P37"/>
  <c r="P38"/>
  <c r="P39"/>
  <c r="H4"/>
  <c r="P40"/>
  <c r="G41"/>
  <c r="G42" s="1"/>
  <c r="P41"/>
  <c r="I42"/>
  <c r="P42"/>
  <c r="P43"/>
  <c r="P44"/>
  <c r="G45"/>
  <c r="P45"/>
  <c r="K1" i="15"/>
  <c r="G23"/>
  <c r="G25"/>
  <c r="J1" i="21"/>
  <c r="I31"/>
  <c r="G32"/>
  <c r="H32"/>
  <c r="I32"/>
  <c r="J32"/>
  <c r="G33"/>
  <c r="H33"/>
  <c r="I33"/>
  <c r="J33"/>
  <c r="G34"/>
  <c r="H34"/>
  <c r="I34"/>
  <c r="J34"/>
  <c r="G35"/>
  <c r="H35"/>
  <c r="I35"/>
  <c r="J35"/>
  <c r="G36"/>
  <c r="H36"/>
  <c r="I36"/>
  <c r="J36"/>
  <c r="G37"/>
  <c r="H37"/>
  <c r="I37"/>
  <c r="J37"/>
  <c r="G38"/>
  <c r="H38"/>
  <c r="I38"/>
  <c r="J38"/>
  <c r="G39"/>
  <c r="H39"/>
  <c r="I39"/>
  <c r="J39"/>
  <c r="G40"/>
  <c r="H40"/>
  <c r="I40"/>
  <c r="J40"/>
  <c r="G41"/>
  <c r="H41"/>
  <c r="I41"/>
  <c r="J41"/>
  <c r="G42"/>
  <c r="H42"/>
  <c r="I42"/>
  <c r="J42"/>
  <c r="G43"/>
  <c r="H43"/>
  <c r="I43"/>
  <c r="J43"/>
  <c r="G44"/>
  <c r="H44"/>
  <c r="I44"/>
  <c r="J44"/>
  <c r="G45"/>
  <c r="H45"/>
  <c r="I45"/>
  <c r="J45"/>
  <c r="G46"/>
  <c r="H46"/>
  <c r="I46"/>
  <c r="J46"/>
  <c r="G47"/>
  <c r="H47"/>
  <c r="I47"/>
  <c r="J47"/>
  <c r="G48"/>
  <c r="H48"/>
  <c r="I48"/>
  <c r="J48"/>
  <c r="G49"/>
  <c r="H49"/>
  <c r="I49"/>
  <c r="J49"/>
  <c r="G50"/>
  <c r="H50"/>
  <c r="I50"/>
  <c r="J50"/>
  <c r="G51"/>
  <c r="H51"/>
  <c r="I51"/>
  <c r="J51"/>
  <c r="G52"/>
  <c r="H52"/>
  <c r="I52"/>
  <c r="J52"/>
  <c r="G53"/>
  <c r="H53"/>
  <c r="I53"/>
  <c r="J53"/>
  <c r="G54"/>
  <c r="H54"/>
  <c r="I54"/>
  <c r="J54"/>
  <c r="G55"/>
  <c r="H55"/>
  <c r="I55"/>
  <c r="J55"/>
  <c r="G56"/>
  <c r="H56"/>
  <c r="I56"/>
  <c r="J56"/>
  <c r="G57"/>
  <c r="H57"/>
  <c r="I57"/>
  <c r="J57"/>
  <c r="G58"/>
  <c r="H58"/>
  <c r="I58"/>
  <c r="J58"/>
  <c r="G59"/>
  <c r="H59"/>
  <c r="I59"/>
  <c r="J59"/>
  <c r="G60"/>
  <c r="H60"/>
  <c r="I60"/>
  <c r="J60"/>
  <c r="G61"/>
  <c r="H61"/>
  <c r="I61"/>
  <c r="J61"/>
  <c r="G62"/>
  <c r="H62"/>
  <c r="I62"/>
  <c r="J62"/>
  <c r="G63"/>
  <c r="H63"/>
  <c r="I63"/>
  <c r="J63"/>
  <c r="G64"/>
  <c r="H64"/>
  <c r="I64"/>
  <c r="J64"/>
  <c r="G65"/>
  <c r="H65"/>
  <c r="I65"/>
  <c r="J65"/>
  <c r="G66"/>
  <c r="H66"/>
  <c r="I66"/>
  <c r="J66"/>
  <c r="G67"/>
  <c r="H67"/>
  <c r="I67"/>
  <c r="J67"/>
  <c r="G68"/>
  <c r="H68"/>
  <c r="I68"/>
  <c r="J68"/>
  <c r="G69"/>
  <c r="H69"/>
  <c r="I69"/>
  <c r="J69"/>
  <c r="G70"/>
  <c r="H70"/>
  <c r="I70"/>
  <c r="J70"/>
  <c r="L1" i="16"/>
  <c r="G15"/>
  <c r="H15"/>
  <c r="O15"/>
  <c r="P15" s="1"/>
  <c r="H16"/>
  <c r="I16"/>
  <c r="O16"/>
  <c r="P16" s="1"/>
  <c r="I17"/>
  <c r="O17"/>
  <c r="P17" s="1"/>
  <c r="I18"/>
  <c r="O18"/>
  <c r="P18"/>
  <c r="I19"/>
  <c r="O19"/>
  <c r="P19" s="1"/>
  <c r="I20"/>
  <c r="O20"/>
  <c r="P20" s="1"/>
  <c r="I21"/>
  <c r="F40"/>
  <c r="J18" s="1"/>
  <c r="K18" s="1"/>
  <c r="L18" s="1"/>
  <c r="O21"/>
  <c r="P21" s="1"/>
  <c r="I22"/>
  <c r="O22"/>
  <c r="P22" s="1"/>
  <c r="O24"/>
  <c r="P24" s="1"/>
  <c r="O25"/>
  <c r="P25" s="1"/>
  <c r="O26"/>
  <c r="P26"/>
  <c r="O27"/>
  <c r="P27" s="1"/>
  <c r="O28"/>
  <c r="P28" s="1"/>
  <c r="G29"/>
  <c r="G30"/>
  <c r="O30"/>
  <c r="P30" s="1"/>
  <c r="F33"/>
  <c r="F23" s="1"/>
  <c r="F35"/>
  <c r="J19"/>
  <c r="K19" s="1"/>
  <c r="L19" s="1"/>
  <c r="N1" i="3"/>
  <c r="S1"/>
  <c r="K34" i="4"/>
  <c r="G19" i="3"/>
  <c r="H19"/>
  <c r="I19"/>
  <c r="J19"/>
  <c r="K19"/>
  <c r="L19"/>
  <c r="G21"/>
  <c r="K21"/>
  <c r="L21"/>
  <c r="H27"/>
  <c r="I27"/>
  <c r="J27"/>
  <c r="K27"/>
  <c r="H31"/>
  <c r="I31"/>
  <c r="J31"/>
  <c r="K31"/>
  <c r="L31"/>
  <c r="H35"/>
  <c r="I35"/>
  <c r="J35"/>
  <c r="K35"/>
  <c r="L35"/>
  <c r="K85"/>
  <c r="M35" i="13" s="1"/>
  <c r="M119" i="10" s="1"/>
  <c r="M58" i="11" s="1"/>
  <c r="AS1" i="22"/>
  <c r="L1"/>
  <c r="AS10"/>
  <c r="AS11"/>
  <c r="AS13"/>
  <c r="AS14"/>
  <c r="AS15"/>
  <c r="AS16"/>
  <c r="AS17"/>
  <c r="AS18"/>
  <c r="AS19"/>
  <c r="AS20"/>
  <c r="AS21"/>
  <c r="AS22"/>
  <c r="AS23"/>
  <c r="AS24"/>
  <c r="AS25"/>
  <c r="AS26"/>
  <c r="AS27"/>
  <c r="AS28"/>
  <c r="AS29"/>
  <c r="AS30"/>
  <c r="AS31"/>
  <c r="AS32"/>
  <c r="AS33"/>
  <c r="AS34"/>
  <c r="AS35"/>
  <c r="AS36"/>
  <c r="AS37"/>
  <c r="AS38"/>
  <c r="AS39"/>
  <c r="AS40"/>
  <c r="AS41"/>
  <c r="I42"/>
  <c r="I63" s="1"/>
  <c r="J42"/>
  <c r="J63" s="1"/>
  <c r="K42"/>
  <c r="K63" s="1"/>
  <c r="L42"/>
  <c r="L63" s="1"/>
  <c r="M42"/>
  <c r="M63" s="1"/>
  <c r="N42"/>
  <c r="N63" s="1"/>
  <c r="O42"/>
  <c r="O63" s="1"/>
  <c r="AS42"/>
  <c r="AS43"/>
  <c r="AS44"/>
  <c r="AS46"/>
  <c r="AS47"/>
  <c r="AS48"/>
  <c r="AS49"/>
  <c r="AS50"/>
  <c r="AS51"/>
  <c r="AS52"/>
  <c r="AS53"/>
  <c r="B45" s="1"/>
  <c r="AS54"/>
  <c r="AS55"/>
  <c r="AS56"/>
  <c r="AS57"/>
  <c r="AS60"/>
  <c r="AS61"/>
  <c r="AS63"/>
  <c r="AS64"/>
  <c r="AS65"/>
  <c r="B47" s="1"/>
  <c r="AS66"/>
  <c r="AS67"/>
  <c r="AS68"/>
  <c r="AS69"/>
  <c r="AS71"/>
  <c r="AS73"/>
  <c r="AS74"/>
  <c r="AS75"/>
  <c r="AS76"/>
  <c r="AS77"/>
  <c r="AS78"/>
  <c r="AS79"/>
  <c r="AS82"/>
  <c r="AS80"/>
  <c r="AS84"/>
  <c r="AS85"/>
  <c r="AS86"/>
  <c r="AS87"/>
  <c r="AS88"/>
  <c r="AS89"/>
  <c r="AS90"/>
  <c r="AS91"/>
  <c r="AS92"/>
  <c r="AS93"/>
  <c r="AS94"/>
  <c r="AS95"/>
  <c r="AS96"/>
  <c r="AS97"/>
  <c r="AS98"/>
  <c r="AS99"/>
  <c r="AS100"/>
  <c r="AS101"/>
  <c r="AS102"/>
  <c r="AS103"/>
  <c r="AS104"/>
  <c r="AS105"/>
  <c r="AS106"/>
  <c r="AS107"/>
  <c r="AS108"/>
  <c r="AS109"/>
  <c r="AS110"/>
  <c r="AS111"/>
  <c r="AS112"/>
  <c r="AS113"/>
  <c r="AS114"/>
  <c r="AS115"/>
  <c r="AS116"/>
  <c r="AS117"/>
  <c r="AS118"/>
  <c r="AS119"/>
  <c r="AS120"/>
  <c r="AS121"/>
  <c r="AS122"/>
  <c r="AS123"/>
  <c r="AS124"/>
  <c r="AS125"/>
  <c r="AS126"/>
  <c r="AS127"/>
  <c r="AS128"/>
  <c r="AS129"/>
  <c r="AS130"/>
  <c r="AS131"/>
  <c r="AS132"/>
  <c r="AS133"/>
  <c r="AS134"/>
  <c r="AS135"/>
  <c r="AS136"/>
  <c r="AS137"/>
  <c r="AS138"/>
  <c r="AS139"/>
  <c r="AS140"/>
  <c r="AS141"/>
  <c r="AS142"/>
  <c r="AS143"/>
  <c r="AS144"/>
  <c r="AS145"/>
  <c r="AS146"/>
  <c r="AS147"/>
  <c r="AS148"/>
  <c r="AS149"/>
  <c r="AS150"/>
  <c r="AS151"/>
  <c r="AS152"/>
  <c r="L1" i="11"/>
  <c r="O1" i="9"/>
  <c r="AS1"/>
  <c r="AS2"/>
  <c r="AS10"/>
  <c r="AS11"/>
  <c r="AS12"/>
  <c r="AS13"/>
  <c r="AS14"/>
  <c r="AS15"/>
  <c r="AS30"/>
  <c r="AS58"/>
  <c r="AS60"/>
  <c r="AS62"/>
  <c r="AS65"/>
  <c r="AS66"/>
  <c r="AS67"/>
  <c r="AS68"/>
  <c r="AS71"/>
  <c r="AS72"/>
  <c r="AS74"/>
  <c r="AS77"/>
  <c r="J78" s="1"/>
  <c r="AS78"/>
  <c r="AS79"/>
  <c r="J82" s="1"/>
  <c r="AS80"/>
  <c r="AS81"/>
  <c r="AS82"/>
  <c r="H84"/>
  <c r="AS84"/>
  <c r="AS85"/>
  <c r="AS86"/>
  <c r="AS87"/>
  <c r="AS88"/>
  <c r="AS89"/>
  <c r="AS90"/>
  <c r="O1" i="13"/>
  <c r="AS1"/>
  <c r="AS2"/>
  <c r="AS3"/>
  <c r="AS4"/>
  <c r="AS5"/>
  <c r="AS6"/>
  <c r="AS7"/>
  <c r="AS9"/>
  <c r="AS27"/>
  <c r="AS28"/>
  <c r="AS29"/>
  <c r="AS30"/>
  <c r="AS32"/>
  <c r="AS35"/>
  <c r="AS68"/>
  <c r="B57" i="37" s="1"/>
  <c r="AS69" i="13"/>
  <c r="AS70"/>
  <c r="AS71"/>
  <c r="AS72"/>
  <c r="AS73"/>
  <c r="AS74"/>
  <c r="AS75"/>
  <c r="AS76"/>
  <c r="AS77"/>
  <c r="AS78"/>
  <c r="AS79"/>
  <c r="AS80"/>
  <c r="AS81"/>
  <c r="AS82"/>
  <c r="AS83"/>
  <c r="AS84"/>
  <c r="AS85"/>
  <c r="AS86"/>
  <c r="AS87"/>
  <c r="AS88"/>
  <c r="AS89"/>
  <c r="AS90"/>
  <c r="AS91"/>
  <c r="AS92"/>
  <c r="AS93"/>
  <c r="AS94"/>
  <c r="AS95"/>
  <c r="AS96"/>
  <c r="AS97"/>
  <c r="AS98"/>
  <c r="AS99"/>
  <c r="AS100"/>
  <c r="AS101"/>
  <c r="AS102"/>
  <c r="AS103"/>
  <c r="O1" i="8"/>
  <c r="AS1"/>
  <c r="AS2"/>
  <c r="AS3"/>
  <c r="AS4"/>
  <c r="AS5"/>
  <c r="AS6"/>
  <c r="AS7"/>
  <c r="AS9"/>
  <c r="AS12"/>
  <c r="AS13"/>
  <c r="AS14"/>
  <c r="AS27"/>
  <c r="E28" s="1"/>
  <c r="AS28"/>
  <c r="AS29"/>
  <c r="AS30"/>
  <c r="AS32"/>
  <c r="AS33"/>
  <c r="AS34"/>
  <c r="AS35"/>
  <c r="AS37"/>
  <c r="AS38"/>
  <c r="J38"/>
  <c r="AS70"/>
  <c r="AS44"/>
  <c r="AS41"/>
  <c r="AS54"/>
  <c r="AS55"/>
  <c r="AS60"/>
  <c r="AS62"/>
  <c r="AS64"/>
  <c r="AS72"/>
  <c r="AS73"/>
  <c r="AS74"/>
  <c r="AS75"/>
  <c r="AS76"/>
  <c r="AS77"/>
  <c r="AS78"/>
  <c r="AS79"/>
  <c r="AS80"/>
  <c r="I81"/>
  <c r="AS81"/>
  <c r="AS82"/>
  <c r="AS83"/>
  <c r="AS84"/>
  <c r="AS85"/>
  <c r="AS86"/>
  <c r="AS87"/>
  <c r="AS88"/>
  <c r="AS89"/>
  <c r="AS90"/>
  <c r="AS91"/>
  <c r="AS92"/>
  <c r="AS93"/>
  <c r="AS94"/>
  <c r="AS95"/>
  <c r="AS96"/>
  <c r="AS97"/>
  <c r="AS98"/>
  <c r="AS99"/>
  <c r="AS100"/>
  <c r="AS101"/>
  <c r="AS102"/>
  <c r="AS103"/>
  <c r="AS104"/>
  <c r="AS105"/>
  <c r="AS106"/>
  <c r="AS107"/>
  <c r="AS108"/>
  <c r="AS109"/>
  <c r="AS110"/>
  <c r="O1" i="4"/>
  <c r="AS1"/>
  <c r="AS2"/>
  <c r="AS3"/>
  <c r="AS4"/>
  <c r="AS5"/>
  <c r="AS6"/>
  <c r="AS7"/>
  <c r="AS14"/>
  <c r="AS15"/>
  <c r="AS16"/>
  <c r="AS18"/>
  <c r="I34"/>
  <c r="L34"/>
  <c r="M34"/>
  <c r="G12" i="20" s="1"/>
  <c r="AS34" i="4"/>
  <c r="B158" s="1"/>
  <c r="AS35"/>
  <c r="AS36"/>
  <c r="AS37"/>
  <c r="AS40"/>
  <c r="AS45"/>
  <c r="AS46"/>
  <c r="AS47"/>
  <c r="J62" s="1"/>
  <c r="AS48"/>
  <c r="AS49"/>
  <c r="AS50"/>
  <c r="AS53"/>
  <c r="AS56"/>
  <c r="AS57"/>
  <c r="AS58"/>
  <c r="AS59"/>
  <c r="H61" s="1"/>
  <c r="AS60"/>
  <c r="AS61"/>
  <c r="AS62"/>
  <c r="AS64"/>
  <c r="AS69"/>
  <c r="AS74"/>
  <c r="AS75"/>
  <c r="AS76"/>
  <c r="J77" s="1"/>
  <c r="AS77"/>
  <c r="AS78"/>
  <c r="AS79"/>
  <c r="AS80"/>
  <c r="AS81"/>
  <c r="H82"/>
  <c r="AS82"/>
  <c r="AS83"/>
  <c r="AS84"/>
  <c r="AS85"/>
  <c r="AS86"/>
  <c r="AS87"/>
  <c r="AS88"/>
  <c r="L1" i="19"/>
  <c r="B1"/>
  <c r="B5"/>
  <c r="B6"/>
  <c r="B17"/>
  <c r="B18"/>
  <c r="B19"/>
  <c r="B20"/>
  <c r="B21"/>
  <c r="B49" i="29" s="1"/>
  <c r="B22" i="19"/>
  <c r="B23"/>
  <c r="H74" i="13"/>
  <c r="AR14" i="10"/>
  <c r="AR15"/>
  <c r="AR20"/>
  <c r="AR21"/>
  <c r="AR29"/>
  <c r="AR31"/>
  <c r="AR32"/>
  <c r="AR33"/>
  <c r="AR34"/>
  <c r="AR35"/>
  <c r="AR37"/>
  <c r="AR38"/>
  <c r="AR39"/>
  <c r="AR40"/>
  <c r="AR41"/>
  <c r="AR42"/>
  <c r="AR46"/>
  <c r="AR47"/>
  <c r="AR48"/>
  <c r="AR49"/>
  <c r="AR50"/>
  <c r="AR51"/>
  <c r="AR56"/>
  <c r="AR60"/>
  <c r="AR57"/>
  <c r="AR58"/>
  <c r="N63" s="1"/>
  <c r="AR64"/>
  <c r="AR59"/>
  <c r="AR61"/>
  <c r="AR62"/>
  <c r="AR63"/>
  <c r="AR66"/>
  <c r="AR67"/>
  <c r="AR73"/>
  <c r="G85" s="1"/>
  <c r="AR74"/>
  <c r="AR78"/>
  <c r="AR79"/>
  <c r="AR80"/>
  <c r="AR81"/>
  <c r="AR90"/>
  <c r="AR91"/>
  <c r="AR92"/>
  <c r="AR93"/>
  <c r="AR94"/>
  <c r="AR101"/>
  <c r="AR102"/>
  <c r="AR103"/>
  <c r="AR104"/>
  <c r="AR105"/>
  <c r="AR107"/>
  <c r="AR108"/>
  <c r="AR109"/>
  <c r="AR113"/>
  <c r="AR114"/>
  <c r="AR115"/>
  <c r="B36" i="36" s="1"/>
  <c r="AR116" i="10"/>
  <c r="B24" i="36" s="1"/>
  <c r="AR117" i="10"/>
  <c r="B40" i="36" s="1"/>
  <c r="AR118" i="10"/>
  <c r="AR119"/>
  <c r="B48" i="11"/>
  <c r="G214" i="10"/>
  <c r="F227"/>
  <c r="N50" i="4"/>
  <c r="J205" i="10"/>
  <c r="I205"/>
  <c r="M205"/>
  <c r="L205"/>
  <c r="K205"/>
  <c r="N205"/>
  <c r="P205"/>
  <c r="O205"/>
  <c r="C34" i="19"/>
  <c r="O29" i="16"/>
  <c r="Q29" s="1"/>
  <c r="J225" i="4"/>
  <c r="J232" s="1"/>
  <c r="G223"/>
  <c r="B178"/>
  <c r="B83"/>
  <c r="L66"/>
  <c r="B56" i="9"/>
  <c r="J74" i="29"/>
  <c r="B54" i="26"/>
  <c r="I58" i="27"/>
  <c r="P78" i="3"/>
  <c r="M15" i="16"/>
  <c r="B189" i="4"/>
  <c r="B193"/>
  <c r="I225"/>
  <c r="I226" s="1"/>
  <c r="P41" i="9"/>
  <c r="L41"/>
  <c r="N85" i="3"/>
  <c r="P35" i="13" s="1"/>
  <c r="P119" i="10" s="1"/>
  <c r="J77" i="9"/>
  <c r="B62" i="13"/>
  <c r="O67" i="3"/>
  <c r="B47"/>
  <c r="Q35" i="26"/>
  <c r="Q41" i="8"/>
  <c r="P85" i="3"/>
  <c r="P72"/>
  <c r="Q72" s="1"/>
  <c r="Q35" i="13"/>
  <c r="Q119" i="10" s="1"/>
  <c r="T205"/>
  <c r="U205"/>
  <c r="V205"/>
  <c r="W205"/>
  <c r="X205"/>
  <c r="Y205"/>
  <c r="Z205"/>
  <c r="AA205"/>
  <c r="AB205"/>
  <c r="AC205"/>
  <c r="AD205"/>
  <c r="AE205"/>
  <c r="AF205"/>
  <c r="AG205"/>
  <c r="AH205"/>
  <c r="AI205"/>
  <c r="AJ205"/>
  <c r="AK205"/>
  <c r="AL205"/>
  <c r="AM205"/>
  <c r="AN205"/>
  <c r="AO205"/>
  <c r="AP205"/>
  <c r="AQ205"/>
  <c r="G72" i="3"/>
  <c r="G85"/>
  <c r="I35" i="13" s="1"/>
  <c r="I119" i="10" s="1"/>
  <c r="Q34" i="3"/>
  <c r="P43"/>
  <c r="R50" i="4"/>
  <c r="M116" i="10" l="1"/>
  <c r="M128" s="1"/>
  <c r="M69" i="11" s="1"/>
  <c r="M90" s="1"/>
  <c r="L123" i="4"/>
  <c r="O116" i="10"/>
  <c r="N123" i="4"/>
  <c r="I116" i="10"/>
  <c r="E49" i="32" s="1"/>
  <c r="H123" i="4"/>
  <c r="J60" i="27"/>
  <c r="N116" i="10"/>
  <c r="N128" s="1"/>
  <c r="N69" i="11" s="1"/>
  <c r="N90" s="1"/>
  <c r="M123" i="4"/>
  <c r="R116" i="10"/>
  <c r="Q123" i="4"/>
  <c r="H223"/>
  <c r="J133" i="32"/>
  <c r="D193" s="1"/>
  <c r="B149" i="4"/>
  <c r="I12" i="20"/>
  <c r="L65" i="4"/>
  <c r="J75"/>
  <c r="L64"/>
  <c r="B160"/>
  <c r="B167"/>
  <c r="B183"/>
  <c r="J76"/>
  <c r="B60"/>
  <c r="B78" i="35"/>
  <c r="Q69" i="9"/>
  <c r="B117" i="4"/>
  <c r="J50"/>
  <c r="J80"/>
  <c r="Q68" i="9"/>
  <c r="I31" i="20"/>
  <c r="I27"/>
  <c r="I32" i="4"/>
  <c r="B156"/>
  <c r="B114"/>
  <c r="B46" i="9"/>
  <c r="J74" i="4"/>
  <c r="B165"/>
  <c r="B185"/>
  <c r="J81" i="35"/>
  <c r="B135" i="10"/>
  <c r="B175"/>
  <c r="B194"/>
  <c r="B66" i="29"/>
  <c r="B70" i="35"/>
  <c r="J71" i="29"/>
  <c r="B83" i="3"/>
  <c r="I229" i="4"/>
  <c r="J80" i="9"/>
  <c r="B62" i="26"/>
  <c r="J226" i="4"/>
  <c r="F242"/>
  <c r="F243" s="1"/>
  <c r="J17" i="16"/>
  <c r="K17" s="1"/>
  <c r="L17" s="1"/>
  <c r="B84" i="37"/>
  <c r="J79" i="9"/>
  <c r="K101" i="3"/>
  <c r="M52" i="29" s="1"/>
  <c r="B44" i="35"/>
  <c r="B142" i="10"/>
  <c r="B189"/>
  <c r="K47" i="4"/>
  <c r="R47"/>
  <c r="K52" i="32"/>
  <c r="K93" s="1"/>
  <c r="H49"/>
  <c r="B46" i="36"/>
  <c r="B48"/>
  <c r="AJ15" i="11"/>
  <c r="C15"/>
  <c r="B139" i="10"/>
  <c r="B26" i="9"/>
  <c r="F240" i="4"/>
  <c r="F223"/>
  <c r="K30" i="26"/>
  <c r="T79" i="10"/>
  <c r="T16" i="37" s="1"/>
  <c r="K3" i="35"/>
  <c r="B153" i="10"/>
  <c r="B187"/>
  <c r="B163"/>
  <c r="T110"/>
  <c r="T184" s="1"/>
  <c r="O16" i="37"/>
  <c r="P16"/>
  <c r="M16"/>
  <c r="N16"/>
  <c r="T78" i="10"/>
  <c r="T126"/>
  <c r="N67" i="26"/>
  <c r="B37" i="27"/>
  <c r="B39"/>
  <c r="B66"/>
  <c r="P53" i="35"/>
  <c r="P123" i="10" s="1"/>
  <c r="P62" i="11" s="1"/>
  <c r="K3" i="37"/>
  <c r="B55" i="11"/>
  <c r="B69"/>
  <c r="S31" i="29"/>
  <c r="B38" s="1"/>
  <c r="B23"/>
  <c r="B19"/>
  <c r="S80" i="35"/>
  <c r="B19"/>
  <c r="B23"/>
  <c r="S74" i="9"/>
  <c r="B22"/>
  <c r="B19"/>
  <c r="O4" i="8"/>
  <c r="O4" i="37"/>
  <c r="I61" i="27"/>
  <c r="K133" i="32"/>
  <c r="B28" i="9"/>
  <c r="B36" i="29"/>
  <c r="I50" i="22"/>
  <c r="H37" i="3"/>
  <c r="P45" i="9"/>
  <c r="P67" i="26"/>
  <c r="K74" i="9"/>
  <c r="K39"/>
  <c r="K50" i="13"/>
  <c r="K53" s="1"/>
  <c r="K55" s="1"/>
  <c r="Q26" i="4"/>
  <c r="Q33" i="13"/>
  <c r="Q40" s="1"/>
  <c r="P69" i="29"/>
  <c r="P31"/>
  <c r="I39" i="9"/>
  <c r="H136" i="32"/>
  <c r="E191" s="1"/>
  <c r="E267" s="1"/>
  <c r="H229" i="4"/>
  <c r="H226"/>
  <c r="H232"/>
  <c r="J69" i="26"/>
  <c r="B72" i="35"/>
  <c r="B43" i="29"/>
  <c r="K50" i="4"/>
  <c r="B70" i="11"/>
  <c r="K80" i="35"/>
  <c r="B72" i="22"/>
  <c r="Q50" i="4"/>
  <c r="K50" i="26"/>
  <c r="K53" s="1"/>
  <c r="J73" i="29"/>
  <c r="E72" i="3"/>
  <c r="U80" i="10"/>
  <c r="U126" s="1"/>
  <c r="L229" i="4"/>
  <c r="B61" i="29"/>
  <c r="H133" i="32"/>
  <c r="D191" s="1"/>
  <c r="L232" i="4"/>
  <c r="Q15" i="16"/>
  <c r="R15" s="1"/>
  <c r="J69" i="13"/>
  <c r="K35"/>
  <c r="K119" i="10" s="1"/>
  <c r="K131" s="1"/>
  <c r="K72" i="11" s="1"/>
  <c r="O54" i="29"/>
  <c r="J72"/>
  <c r="L223" i="4"/>
  <c r="M35" i="26"/>
  <c r="M118" i="10" s="1"/>
  <c r="M57" i="11" s="1"/>
  <c r="P67" i="13"/>
  <c r="N49" i="35"/>
  <c r="N53" s="1"/>
  <c r="N123" i="10" s="1"/>
  <c r="N135" s="1"/>
  <c r="N76" i="11" s="1"/>
  <c r="B140" i="10"/>
  <c r="B146"/>
  <c r="B159"/>
  <c r="B174"/>
  <c r="B193"/>
  <c r="B61" i="11"/>
  <c r="B75"/>
  <c r="B87"/>
  <c r="G225" i="4"/>
  <c r="J47"/>
  <c r="N47"/>
  <c r="B51" i="29"/>
  <c r="B52" i="9"/>
  <c r="B38" i="36"/>
  <c r="B68"/>
  <c r="I25" i="27"/>
  <c r="H26"/>
  <c r="J61" i="37" s="1"/>
  <c r="K232" i="4"/>
  <c r="B42" i="35"/>
  <c r="K239" i="4"/>
  <c r="K240" s="1"/>
  <c r="K244" s="1"/>
  <c r="B209" s="1"/>
  <c r="K223"/>
  <c r="B154" i="10"/>
  <c r="B164"/>
  <c r="B179"/>
  <c r="P61" i="27"/>
  <c r="P50" i="4"/>
  <c r="D133" i="32"/>
  <c r="D187" s="1"/>
  <c r="K225" i="4"/>
  <c r="J136" i="32"/>
  <c r="E193" s="1"/>
  <c r="E269" s="1"/>
  <c r="B191" i="4"/>
  <c r="I31"/>
  <c r="C47" i="19"/>
  <c r="B47" i="29"/>
  <c r="L50" i="4"/>
  <c r="B65" i="8"/>
  <c r="N74" i="9"/>
  <c r="U27" i="35"/>
  <c r="B86" i="3"/>
  <c r="L239" i="4"/>
  <c r="B30" i="9"/>
  <c r="J49" i="35"/>
  <c r="J53" s="1"/>
  <c r="J123" i="10" s="1"/>
  <c r="J135" s="1"/>
  <c r="J76" i="11" s="1"/>
  <c r="N98" i="3"/>
  <c r="N101" s="1"/>
  <c r="P52" i="29" s="1"/>
  <c r="I98" i="3"/>
  <c r="I101" s="1"/>
  <c r="K52" i="29" s="1"/>
  <c r="B129" i="10"/>
  <c r="B145"/>
  <c r="B169"/>
  <c r="S49" i="35"/>
  <c r="L109" i="36"/>
  <c r="V80" i="10"/>
  <c r="V126" s="1"/>
  <c r="N55" i="11"/>
  <c r="F231" i="10"/>
  <c r="F229"/>
  <c r="B10" i="30"/>
  <c r="M50" i="13"/>
  <c r="M53" s="1"/>
  <c r="M55" s="1"/>
  <c r="L50" i="26"/>
  <c r="L53" s="1"/>
  <c r="L55" s="1"/>
  <c r="G220" i="10"/>
  <c r="K3" i="9"/>
  <c r="O80" i="35"/>
  <c r="G218" i="10"/>
  <c r="Q67" i="26"/>
  <c r="Q53" i="8"/>
  <c r="J54" i="29"/>
  <c r="S54"/>
  <c r="M50" i="26"/>
  <c r="M53" s="1"/>
  <c r="M55" s="1"/>
  <c r="K3" i="8"/>
  <c r="N60" i="10"/>
  <c r="S39" i="9"/>
  <c r="J47" s="1"/>
  <c r="K3" i="13"/>
  <c r="B60" i="10"/>
  <c r="I55" i="11"/>
  <c r="B77"/>
  <c r="K3" i="26"/>
  <c r="K3" i="4"/>
  <c r="B46" i="11"/>
  <c r="P50" i="13"/>
  <c r="P53" s="1"/>
  <c r="P55" s="1"/>
  <c r="P80" i="35"/>
  <c r="E91" i="32"/>
  <c r="H91" s="1"/>
  <c r="R67" i="13"/>
  <c r="K3" i="29"/>
  <c r="B18" i="9"/>
  <c r="B62" i="10"/>
  <c r="F233"/>
  <c r="J29" i="29"/>
  <c r="I54"/>
  <c r="M58" i="27"/>
  <c r="M66" i="22"/>
  <c r="M199" i="10" s="1"/>
  <c r="F221" i="4"/>
  <c r="F233"/>
  <c r="I66" i="22"/>
  <c r="I199" i="10" s="1"/>
  <c r="R187"/>
  <c r="K37" i="3"/>
  <c r="H32"/>
  <c r="K58" i="27"/>
  <c r="B103"/>
  <c r="O58"/>
  <c r="Q58"/>
  <c r="Q111"/>
  <c r="J58"/>
  <c r="N41" i="9"/>
  <c r="N45" s="1"/>
  <c r="J41"/>
  <c r="J45" s="1"/>
  <c r="I41"/>
  <c r="L58" i="27"/>
  <c r="G102"/>
  <c r="G101" i="3"/>
  <c r="I52" i="29" s="1"/>
  <c r="L101" i="3"/>
  <c r="N52" i="29" s="1"/>
  <c r="B66" i="36"/>
  <c r="B72"/>
  <c r="B76"/>
  <c r="O102" i="27"/>
  <c r="P29" i="16"/>
  <c r="B21" i="3"/>
  <c r="B58" i="26"/>
  <c r="I16" i="20"/>
  <c r="N58" i="27"/>
  <c r="I41" i="33"/>
  <c r="B79" i="3"/>
  <c r="K61" i="36"/>
  <c r="K65" s="1"/>
  <c r="J82" i="35"/>
  <c r="J81" i="9"/>
  <c r="B31" i="35"/>
  <c r="G43" i="3"/>
  <c r="I45" i="4" s="1"/>
  <c r="M43" i="3"/>
  <c r="O45" i="4" s="1"/>
  <c r="O59" s="1"/>
  <c r="I47"/>
  <c r="M47"/>
  <c r="P47"/>
  <c r="Q47"/>
  <c r="B74" i="36"/>
  <c r="Q115" i="27"/>
  <c r="Q98"/>
  <c r="J33" i="3"/>
  <c r="M28"/>
  <c r="M33"/>
  <c r="N37"/>
  <c r="O33" i="26"/>
  <c r="O40" s="1"/>
  <c r="O50"/>
  <c r="O53" s="1"/>
  <c r="O55" s="1"/>
  <c r="K33"/>
  <c r="K40" s="1"/>
  <c r="M33" i="13"/>
  <c r="M40" s="1"/>
  <c r="H61" i="27"/>
  <c r="J236" i="4"/>
  <c r="J233"/>
  <c r="J239"/>
  <c r="H23" i="16"/>
  <c r="L23"/>
  <c r="O23"/>
  <c r="P23" s="1"/>
  <c r="H221" i="4"/>
  <c r="B63" i="11"/>
  <c r="J132" i="3"/>
  <c r="L221" i="4"/>
  <c r="L64" i="29"/>
  <c r="J133" i="3"/>
  <c r="M26" i="4"/>
  <c r="K221"/>
  <c r="J78"/>
  <c r="J79"/>
  <c r="J20" i="16"/>
  <c r="K20" s="1"/>
  <c r="L20" s="1"/>
  <c r="J71" i="13"/>
  <c r="J70"/>
  <c r="J75" i="9"/>
  <c r="O35" i="26"/>
  <c r="O118" i="10" s="1"/>
  <c r="O130" s="1"/>
  <c r="O71" i="11" s="1"/>
  <c r="J98" i="3"/>
  <c r="J101" s="1"/>
  <c r="L52" i="29" s="1"/>
  <c r="L49" i="35"/>
  <c r="L53" s="1"/>
  <c r="L123" i="10" s="1"/>
  <c r="L135" s="1"/>
  <c r="L76" i="11" s="1"/>
  <c r="O61" i="9"/>
  <c r="O39"/>
  <c r="O74"/>
  <c r="B49" i="26"/>
  <c r="B34" i="29"/>
  <c r="AF71" i="19"/>
  <c r="AB71"/>
  <c r="X71"/>
  <c r="AE71"/>
  <c r="AA71"/>
  <c r="AD71"/>
  <c r="Z71"/>
  <c r="AG71"/>
  <c r="AC71"/>
  <c r="Y71"/>
  <c r="K102" i="27"/>
  <c r="M41" i="9"/>
  <c r="M45" s="1"/>
  <c r="L54" i="29"/>
  <c r="L28" i="3"/>
  <c r="I32" i="35"/>
  <c r="I64" s="1"/>
  <c r="I221" i="4"/>
  <c r="E221"/>
  <c r="I232"/>
  <c r="H233"/>
  <c r="T44" i="11"/>
  <c r="T66" s="1"/>
  <c r="T14" i="35"/>
  <c r="T80" s="1"/>
  <c r="O74" i="8"/>
  <c r="B19" i="3"/>
  <c r="G222" i="10"/>
  <c r="L236" i="4"/>
  <c r="B18" i="36"/>
  <c r="B42" i="9"/>
  <c r="C36" i="19"/>
  <c r="Q41" i="9"/>
  <c r="Q45" s="1"/>
  <c r="B39" i="35"/>
  <c r="B71" i="11"/>
  <c r="B165" i="10"/>
  <c r="B57" i="11"/>
  <c r="B201" i="10"/>
  <c r="B155"/>
  <c r="B76" i="11"/>
  <c r="B170" i="10"/>
  <c r="B62" i="11"/>
  <c r="B206" i="10"/>
  <c r="B160"/>
  <c r="AE72" i="19"/>
  <c r="AA72"/>
  <c r="AD72"/>
  <c r="Z72"/>
  <c r="AG72"/>
  <c r="AC72"/>
  <c r="Y72"/>
  <c r="AF72"/>
  <c r="AB72"/>
  <c r="X72"/>
  <c r="B18" i="4"/>
  <c r="B18" i="13"/>
  <c r="B18" i="8"/>
  <c r="B18" i="29"/>
  <c r="B176" i="4"/>
  <c r="B172"/>
  <c r="B30" i="36"/>
  <c r="J117"/>
  <c r="J118" s="1"/>
  <c r="O98" i="27"/>
  <c r="J21" i="16"/>
  <c r="K21" s="1"/>
  <c r="L21" s="1"/>
  <c r="J40"/>
  <c r="J84" i="35"/>
  <c r="J85"/>
  <c r="I99" i="36"/>
  <c r="L69" i="29"/>
  <c r="G221" i="4"/>
  <c r="J221"/>
  <c r="T42" i="22"/>
  <c r="T52" s="1"/>
  <c r="T14" i="4"/>
  <c r="T53" s="1"/>
  <c r="T69" s="1"/>
  <c r="T121" s="1"/>
  <c r="J130" i="3"/>
  <c r="J229" i="4"/>
  <c r="B71" i="8"/>
  <c r="B67"/>
  <c r="B73"/>
  <c r="B64" i="13"/>
  <c r="B44" i="9"/>
  <c r="M49" i="35"/>
  <c r="M53" s="1"/>
  <c r="M123" i="10" s="1"/>
  <c r="O49" i="35"/>
  <c r="O53" s="1"/>
  <c r="O123" i="10" s="1"/>
  <c r="O135" s="1"/>
  <c r="O76" i="11" s="1"/>
  <c r="M98" i="3"/>
  <c r="M101" s="1"/>
  <c r="O52" i="29" s="1"/>
  <c r="H101" i="3"/>
  <c r="J52" i="29" s="1"/>
  <c r="B83" i="11"/>
  <c r="B176" i="10"/>
  <c r="B131"/>
  <c r="B72" i="11"/>
  <c r="B166" i="10"/>
  <c r="P58" i="27"/>
  <c r="O101" i="3"/>
  <c r="Q52" i="29" s="1"/>
  <c r="B18" i="35"/>
  <c r="J104" i="36"/>
  <c r="Q119" i="27"/>
  <c r="K98"/>
  <c r="P102"/>
  <c r="M98"/>
  <c r="M102"/>
  <c r="K33" i="3"/>
  <c r="J72" i="13"/>
  <c r="O69" i="29"/>
  <c r="B128" i="10"/>
  <c r="B173"/>
  <c r="AG70" i="19"/>
  <c r="AC70"/>
  <c r="Y70"/>
  <c r="AF70"/>
  <c r="AB70"/>
  <c r="X70"/>
  <c r="AE70"/>
  <c r="AA70"/>
  <c r="AD70"/>
  <c r="Z70"/>
  <c r="AE63"/>
  <c r="AA63"/>
  <c r="AD63"/>
  <c r="Z63"/>
  <c r="AG63"/>
  <c r="AC63"/>
  <c r="Y63"/>
  <c r="AF63"/>
  <c r="AB63"/>
  <c r="X63"/>
  <c r="X66" s="1"/>
  <c r="B50" i="8"/>
  <c r="L41" i="26"/>
  <c r="P98" i="27"/>
  <c r="L98"/>
  <c r="H98"/>
  <c r="I102"/>
  <c r="N98"/>
  <c r="J98"/>
  <c r="Q102"/>
  <c r="K53" i="35"/>
  <c r="K123" i="10" s="1"/>
  <c r="B36" i="35"/>
  <c r="O47" i="4"/>
  <c r="F69" i="19"/>
  <c r="AD69"/>
  <c r="Z69"/>
  <c r="AG69"/>
  <c r="AC69"/>
  <c r="Y69"/>
  <c r="AF69"/>
  <c r="AB69"/>
  <c r="X69"/>
  <c r="AE69"/>
  <c r="AA69"/>
  <c r="S31" i="4"/>
  <c r="B22"/>
  <c r="B19"/>
  <c r="U60" i="8"/>
  <c r="V56"/>
  <c r="B19" i="13"/>
  <c r="B23"/>
  <c r="J70" i="26"/>
  <c r="J71"/>
  <c r="J68"/>
  <c r="B58" i="13"/>
  <c r="B56"/>
  <c r="S33"/>
  <c r="S40" s="1"/>
  <c r="B36" s="1"/>
  <c r="B49"/>
  <c r="Q57"/>
  <c r="Q59" s="1"/>
  <c r="Q55"/>
  <c r="R53"/>
  <c r="R55" s="1"/>
  <c r="L80" i="35"/>
  <c r="S33" i="26"/>
  <c r="S40" s="1"/>
  <c r="Q60" i="29"/>
  <c r="Q62" s="1"/>
  <c r="Q55" i="26"/>
  <c r="Q28" i="35" s="1"/>
  <c r="Q30" s="1"/>
  <c r="R53" i="26"/>
  <c r="R55" s="1"/>
  <c r="R28" i="35" s="1"/>
  <c r="R30" s="1"/>
  <c r="S67" i="26"/>
  <c r="B23"/>
  <c r="B19"/>
  <c r="B36"/>
  <c r="I130" i="10"/>
  <c r="I71" i="11" s="1"/>
  <c r="J76" i="8"/>
  <c r="B52"/>
  <c r="B39"/>
  <c r="J79"/>
  <c r="J77"/>
  <c r="B70" i="36"/>
  <c r="N32" i="3"/>
  <c r="B80" i="36"/>
  <c r="J78" i="8"/>
  <c r="K36"/>
  <c r="P33"/>
  <c r="M220" i="4"/>
  <c r="D221"/>
  <c r="N50" i="26"/>
  <c r="N53" s="1"/>
  <c r="N57" s="1"/>
  <c r="K33" i="13"/>
  <c r="K40" s="1"/>
  <c r="P53" i="4"/>
  <c r="P69" s="1"/>
  <c r="O121" s="1"/>
  <c r="L74" i="9"/>
  <c r="Q39"/>
  <c r="D240" i="4"/>
  <c r="L61" i="9"/>
  <c r="Q53" i="35"/>
  <c r="Q123" i="10" s="1"/>
  <c r="Q135" s="1"/>
  <c r="Q76" i="11" s="1"/>
  <c r="I57"/>
  <c r="K67" i="13"/>
  <c r="Q40" i="3"/>
  <c r="M131" i="10"/>
  <c r="M72" i="11" s="1"/>
  <c r="G59" i="27"/>
  <c r="B63" i="8"/>
  <c r="M32" i="3"/>
  <c r="M54" i="29"/>
  <c r="S45" i="9"/>
  <c r="Q33" i="8"/>
  <c r="O59" i="27"/>
  <c r="K66" i="22"/>
  <c r="K199" i="10" s="1"/>
  <c r="K59" i="36"/>
  <c r="K67" s="1"/>
  <c r="K71" s="1"/>
  <c r="N66" i="22"/>
  <c r="N199" i="10" s="1"/>
  <c r="I59" i="27"/>
  <c r="J32" i="3"/>
  <c r="O4" i="4"/>
  <c r="Q45"/>
  <c r="Q59" s="1"/>
  <c r="C32" i="19"/>
  <c r="J36" i="3"/>
  <c r="J37"/>
  <c r="I28"/>
  <c r="N29"/>
  <c r="G119" i="36"/>
  <c r="H119" s="1"/>
  <c r="I119" s="1"/>
  <c r="J119" s="1"/>
  <c r="R45" i="4"/>
  <c r="R59" s="1"/>
  <c r="H36" i="3"/>
  <c r="L66" i="22"/>
  <c r="L199" i="10" s="1"/>
  <c r="O128"/>
  <c r="O69" i="11" s="1"/>
  <c r="O90" s="1"/>
  <c r="O55"/>
  <c r="Q131" i="10"/>
  <c r="Q72" i="11" s="1"/>
  <c r="Q58"/>
  <c r="P74" i="8"/>
  <c r="S74"/>
  <c r="B19"/>
  <c r="B23"/>
  <c r="B46" i="4"/>
  <c r="R33" i="8"/>
  <c r="B42" s="1"/>
  <c r="L45" i="9"/>
  <c r="R53" i="35"/>
  <c r="R123" i="10" s="1"/>
  <c r="O45" i="9"/>
  <c r="K74" i="8"/>
  <c r="O33"/>
  <c r="N28" i="3"/>
  <c r="O4" i="29"/>
  <c r="M61" i="27"/>
  <c r="J59"/>
  <c r="I101" i="36"/>
  <c r="I102" s="1"/>
  <c r="I104" s="1"/>
  <c r="I116"/>
  <c r="I117" s="1"/>
  <c r="I31" i="19"/>
  <c r="I33" s="1"/>
  <c r="I35" s="1"/>
  <c r="I37" s="1"/>
  <c r="I71" i="9" s="1"/>
  <c r="G99" s="1"/>
  <c r="I32" i="3"/>
  <c r="N61" i="27"/>
  <c r="L33" i="3"/>
  <c r="K61" i="27"/>
  <c r="K29" i="13"/>
  <c r="K31" s="1"/>
  <c r="L60" i="27"/>
  <c r="H59"/>
  <c r="L32" i="3"/>
  <c r="I60" i="27"/>
  <c r="K31" i="26"/>
  <c r="N37" s="1"/>
  <c r="K31" i="8"/>
  <c r="S43" s="1"/>
  <c r="G61" i="27"/>
  <c r="O61"/>
  <c r="I36" i="3"/>
  <c r="N60" i="27"/>
  <c r="S75" i="36"/>
  <c r="P60" i="27"/>
  <c r="L61"/>
  <c r="H28" i="3"/>
  <c r="N33"/>
  <c r="R16" i="26"/>
  <c r="R16" i="4"/>
  <c r="R16" i="29"/>
  <c r="M16" i="35"/>
  <c r="M16" i="4"/>
  <c r="N16" i="26"/>
  <c r="N16" i="9"/>
  <c r="O16"/>
  <c r="N16" i="4"/>
  <c r="P16" i="35"/>
  <c r="M16" i="26"/>
  <c r="O16" i="13"/>
  <c r="O16" i="35"/>
  <c r="N16" i="8"/>
  <c r="M16"/>
  <c r="P16" i="9"/>
  <c r="P16" i="8"/>
  <c r="N16" i="13"/>
  <c r="M16" i="9"/>
  <c r="O16" i="4"/>
  <c r="O16" i="26"/>
  <c r="M16" i="13"/>
  <c r="P16" i="29"/>
  <c r="P16" i="26"/>
  <c r="P16" i="4"/>
  <c r="O16" i="29"/>
  <c r="N16" i="35"/>
  <c r="O16" i="8"/>
  <c r="M16" i="29"/>
  <c r="N16"/>
  <c r="P16" i="13"/>
  <c r="Q16" i="9"/>
  <c r="Q16" i="8"/>
  <c r="Q16" i="4"/>
  <c r="Q16" i="13"/>
  <c r="Q16" i="35"/>
  <c r="Q16" i="29"/>
  <c r="Q16" i="26"/>
  <c r="S16" i="9"/>
  <c r="S16" i="29"/>
  <c r="S16" i="26"/>
  <c r="S16" i="13"/>
  <c r="S16" i="35"/>
  <c r="S16" i="8"/>
  <c r="S16" i="4"/>
  <c r="R16" i="35"/>
  <c r="R16" i="13"/>
  <c r="R16" i="9"/>
  <c r="R16" i="8"/>
  <c r="L26" i="4"/>
  <c r="K26"/>
  <c r="J61" i="9"/>
  <c r="L33" i="8"/>
  <c r="K53"/>
  <c r="N39" i="9"/>
  <c r="S61"/>
  <c r="B72" s="1"/>
  <c r="R53" i="8"/>
  <c r="R54" i="29"/>
  <c r="R33" i="26"/>
  <c r="R40" s="1"/>
  <c r="R69" i="29"/>
  <c r="N131" i="10"/>
  <c r="N72" i="11" s="1"/>
  <c r="N58"/>
  <c r="J58"/>
  <c r="J131" i="10"/>
  <c r="J72" i="11" s="1"/>
  <c r="I37" i="3"/>
  <c r="H99" i="36"/>
  <c r="H115" s="1"/>
  <c r="K29" i="3"/>
  <c r="L67" i="26"/>
  <c r="Q69" i="29"/>
  <c r="M29" i="3"/>
  <c r="R35" i="26"/>
  <c r="Q60" i="27"/>
  <c r="N80" i="35"/>
  <c r="M39" i="9"/>
  <c r="S69" i="29"/>
  <c r="F7" i="22"/>
  <c r="R35" i="13"/>
  <c r="I115" i="36"/>
  <c r="S69" i="4"/>
  <c r="R121" s="1"/>
  <c r="Q118" i="10"/>
  <c r="O60" i="27"/>
  <c r="K28" i="3"/>
  <c r="K60" i="27"/>
  <c r="M60"/>
  <c r="H100" i="36"/>
  <c r="M74" i="9"/>
  <c r="K36" i="3"/>
  <c r="H33"/>
  <c r="H29"/>
  <c r="Q61" i="9"/>
  <c r="Q54" i="29"/>
  <c r="P74" i="9"/>
  <c r="Q80" i="35"/>
  <c r="F13" i="30"/>
  <c r="K55" i="32"/>
  <c r="K96" s="1"/>
  <c r="M130" i="10"/>
  <c r="M71" i="11" s="1"/>
  <c r="G100" i="36"/>
  <c r="G101" s="1"/>
  <c r="M55" i="11"/>
  <c r="N50" i="13"/>
  <c r="N53" s="1"/>
  <c r="N55" s="1"/>
  <c r="L29" i="3"/>
  <c r="I29"/>
  <c r="G60" i="27"/>
  <c r="J66" i="22"/>
  <c r="J199" i="10" s="1"/>
  <c r="I33" i="3"/>
  <c r="K69" i="29"/>
  <c r="F8" i="11"/>
  <c r="Q61" i="27"/>
  <c r="P61" i="9"/>
  <c r="B77" i="22"/>
  <c r="P50" i="26"/>
  <c r="P53" s="1"/>
  <c r="R74" i="8"/>
  <c r="Q57" i="26"/>
  <c r="S47" i="4"/>
  <c r="E52" i="32"/>
  <c r="N52" s="1"/>
  <c r="N93" s="1"/>
  <c r="I58" i="11"/>
  <c r="E94" i="32"/>
  <c r="Q64" i="35"/>
  <c r="L58" i="11"/>
  <c r="L131" i="10"/>
  <c r="L72" i="11" s="1"/>
  <c r="P58"/>
  <c r="P131" i="10"/>
  <c r="P72" i="11" s="1"/>
  <c r="E226" i="4"/>
  <c r="E232"/>
  <c r="P101" i="3"/>
  <c r="T50" i="13"/>
  <c r="U50" s="1"/>
  <c r="V50" s="1"/>
  <c r="W50" s="1"/>
  <c r="X50" s="1"/>
  <c r="Y50" s="1"/>
  <c r="Z50" s="1"/>
  <c r="AA50" s="1"/>
  <c r="AB50" s="1"/>
  <c r="AC50" s="1"/>
  <c r="AD50" s="1"/>
  <c r="AE50" s="1"/>
  <c r="AF50" s="1"/>
  <c r="AG50" s="1"/>
  <c r="AH50" s="1"/>
  <c r="AI50" s="1"/>
  <c r="AJ50" s="1"/>
  <c r="AK50" s="1"/>
  <c r="AL50" s="1"/>
  <c r="AM50" s="1"/>
  <c r="AN50" s="1"/>
  <c r="AO50" s="1"/>
  <c r="AP50" s="1"/>
  <c r="AQ50" s="1"/>
  <c r="E51" i="32"/>
  <c r="M52" s="1"/>
  <c r="K32" i="3"/>
  <c r="I45" i="9"/>
  <c r="I53" i="35"/>
  <c r="B68" i="22"/>
  <c r="Q66"/>
  <c r="Q199" i="10" s="1"/>
  <c r="P33" i="3"/>
  <c r="S53" i="8"/>
  <c r="B61" s="1"/>
  <c r="R53" i="4"/>
  <c r="B54" s="1"/>
  <c r="R39" i="9"/>
  <c r="R32" i="35"/>
  <c r="O4" i="26"/>
  <c r="O4" i="9"/>
  <c r="O4" i="13"/>
  <c r="L36" i="3"/>
  <c r="J28"/>
  <c r="P29"/>
  <c r="R67" i="26"/>
  <c r="R45" i="9"/>
  <c r="R41" i="8"/>
  <c r="F91" i="32"/>
  <c r="R55" i="11"/>
  <c r="R128" i="10"/>
  <c r="J130"/>
  <c r="J57" i="11"/>
  <c r="K33" i="8"/>
  <c r="P118" i="10"/>
  <c r="M59" i="27"/>
  <c r="K59"/>
  <c r="K30" i="8"/>
  <c r="Q59" i="27"/>
  <c r="L59"/>
  <c r="N59"/>
  <c r="P59"/>
  <c r="T58" i="8"/>
  <c r="K57" i="11"/>
  <c r="K130" i="10"/>
  <c r="K71" i="11" s="1"/>
  <c r="P31" i="16"/>
  <c r="P32" s="1"/>
  <c r="R31"/>
  <c r="S32" s="1"/>
  <c r="M67" i="26"/>
  <c r="M33"/>
  <c r="M40" s="1"/>
  <c r="O37" i="3"/>
  <c r="O36"/>
  <c r="E222" i="4"/>
  <c r="N69" i="29"/>
  <c r="N31"/>
  <c r="N54"/>
  <c r="J80" i="35"/>
  <c r="J32"/>
  <c r="J64" s="1"/>
  <c r="B76" i="22"/>
  <c r="B66"/>
  <c r="N45" i="3"/>
  <c r="I131" i="10"/>
  <c r="I72" i="11" s="1"/>
  <c r="M53" i="8"/>
  <c r="M74"/>
  <c r="M33"/>
  <c r="O50" i="13"/>
  <c r="O53" s="1"/>
  <c r="O55" s="1"/>
  <c r="O67"/>
  <c r="O119" i="10"/>
  <c r="M36" i="3"/>
  <c r="M37"/>
  <c r="N36"/>
  <c r="O28"/>
  <c r="D222" i="4"/>
  <c r="O29" i="3"/>
  <c r="N26" i="4"/>
  <c r="N53"/>
  <c r="N69" s="1"/>
  <c r="M121" s="1"/>
  <c r="L37" i="3"/>
  <c r="K45" i="9"/>
  <c r="P66" i="22"/>
  <c r="N57" i="11"/>
  <c r="N130" i="10"/>
  <c r="N71" i="11" s="1"/>
  <c r="K17" i="36"/>
  <c r="I128" i="10"/>
  <c r="L118"/>
  <c r="B79" i="22"/>
  <c r="B69"/>
  <c r="P36" i="3"/>
  <c r="R61" i="9"/>
  <c r="S67" i="13"/>
  <c r="O33" i="3"/>
  <c r="P37"/>
  <c r="N74" i="8"/>
  <c r="L33" i="13"/>
  <c r="L40" s="1"/>
  <c r="O66" i="22"/>
  <c r="J29" i="3"/>
  <c r="O26" i="4"/>
  <c r="N33" i="13"/>
  <c r="N40" s="1"/>
  <c r="D233" i="4"/>
  <c r="M80" i="35"/>
  <c r="S53" i="4"/>
  <c r="S32" i="35"/>
  <c r="R31" i="29"/>
  <c r="O4" i="35"/>
  <c r="P28" i="3"/>
  <c r="O32"/>
  <c r="R26" i="4"/>
  <c r="P32" i="3"/>
  <c r="N53" i="8"/>
  <c r="L50" i="13"/>
  <c r="L53" s="1"/>
  <c r="L55" s="1"/>
  <c r="J61" i="27"/>
  <c r="F226" i="4"/>
  <c r="L74" i="8"/>
  <c r="L53"/>
  <c r="K54" i="29"/>
  <c r="M69"/>
  <c r="L116" i="10" l="1"/>
  <c r="L128" s="1"/>
  <c r="L69" i="11" s="1"/>
  <c r="L90" s="1"/>
  <c r="K123" i="4"/>
  <c r="P116" i="10"/>
  <c r="P55" i="11" s="1"/>
  <c r="O123" i="4"/>
  <c r="J120" i="36"/>
  <c r="Q116" i="10"/>
  <c r="Q128" s="1"/>
  <c r="Q69" i="11" s="1"/>
  <c r="Q90" s="1"/>
  <c r="P123" i="4"/>
  <c r="K116" i="10"/>
  <c r="K55" i="11" s="1"/>
  <c r="J123" i="4"/>
  <c r="P45" i="3"/>
  <c r="O45"/>
  <c r="J116" i="10"/>
  <c r="J128" s="1"/>
  <c r="J69" i="11" s="1"/>
  <c r="J90" s="1"/>
  <c r="I123" i="4"/>
  <c r="Q55" i="11"/>
  <c r="J134" i="32"/>
  <c r="J55" i="11"/>
  <c r="P135" i="10"/>
  <c r="P76" i="11" s="1"/>
  <c r="T14" i="13"/>
  <c r="U14" s="1"/>
  <c r="U33" s="1"/>
  <c r="U40" s="1"/>
  <c r="T172" i="10"/>
  <c r="T14" i="26"/>
  <c r="T67" s="1"/>
  <c r="I5" i="30"/>
  <c r="I12" i="15"/>
  <c r="T14" i="37"/>
  <c r="B21" s="1"/>
  <c r="J62" i="11"/>
  <c r="K58"/>
  <c r="V78" i="10"/>
  <c r="D134" i="32"/>
  <c r="N62" i="11"/>
  <c r="T14" i="9"/>
  <c r="U14" s="1"/>
  <c r="U74" s="1"/>
  <c r="T150" i="10"/>
  <c r="T14" i="8"/>
  <c r="B44" s="1"/>
  <c r="N47" i="9"/>
  <c r="S49"/>
  <c r="T49" s="1"/>
  <c r="U49" s="1"/>
  <c r="V49" s="1"/>
  <c r="W49" s="1"/>
  <c r="X49" s="1"/>
  <c r="Y49" s="1"/>
  <c r="Z49" s="1"/>
  <c r="AA49" s="1"/>
  <c r="AB49" s="1"/>
  <c r="AC49" s="1"/>
  <c r="AD49" s="1"/>
  <c r="AE49" s="1"/>
  <c r="AF49" s="1"/>
  <c r="AG49" s="1"/>
  <c r="AH49" s="1"/>
  <c r="AI49" s="1"/>
  <c r="AJ49" s="1"/>
  <c r="AK49" s="1"/>
  <c r="AL49" s="1"/>
  <c r="AM49" s="1"/>
  <c r="AN49" s="1"/>
  <c r="AO49" s="1"/>
  <c r="AP49" s="1"/>
  <c r="AQ49" s="1"/>
  <c r="R47"/>
  <c r="T14" i="29"/>
  <c r="T210" i="10"/>
  <c r="L55" i="11"/>
  <c r="P128" i="10"/>
  <c r="P69" i="11" s="1"/>
  <c r="P90" s="1"/>
  <c r="O57"/>
  <c r="O49" i="9"/>
  <c r="T31" i="4"/>
  <c r="T48" i="13"/>
  <c r="U48" s="1"/>
  <c r="T67"/>
  <c r="I134" i="32"/>
  <c r="D194"/>
  <c r="E134"/>
  <c r="F134"/>
  <c r="I49" i="9"/>
  <c r="M47"/>
  <c r="L49"/>
  <c r="O47"/>
  <c r="K49"/>
  <c r="T33" i="13"/>
  <c r="T40" s="1"/>
  <c r="Q47" i="9"/>
  <c r="J49"/>
  <c r="J51" s="1"/>
  <c r="O6" i="37"/>
  <c r="O6" i="4"/>
  <c r="F14" i="30"/>
  <c r="O6" i="29"/>
  <c r="O6" i="8"/>
  <c r="F9" i="11"/>
  <c r="O6" i="9"/>
  <c r="O6" i="26"/>
  <c r="F8" i="22"/>
  <c r="O6" i="13"/>
  <c r="O6" i="35"/>
  <c r="U14" i="37"/>
  <c r="V14" s="1"/>
  <c r="W14" s="1"/>
  <c r="X14" s="1"/>
  <c r="Y14" s="1"/>
  <c r="Z14" s="1"/>
  <c r="AA14" s="1"/>
  <c r="AB14" s="1"/>
  <c r="AC14" s="1"/>
  <c r="AD14" s="1"/>
  <c r="AE14" s="1"/>
  <c r="AF14" s="1"/>
  <c r="AG14" s="1"/>
  <c r="AH14" s="1"/>
  <c r="AI14" s="1"/>
  <c r="AJ14" s="1"/>
  <c r="AK14" s="1"/>
  <c r="AL14" s="1"/>
  <c r="AM14" s="1"/>
  <c r="AN14" s="1"/>
  <c r="AO14" s="1"/>
  <c r="AP14" s="1"/>
  <c r="AQ14" s="1"/>
  <c r="R49" i="9"/>
  <c r="K47"/>
  <c r="I47"/>
  <c r="P49"/>
  <c r="Q49"/>
  <c r="M49"/>
  <c r="B63"/>
  <c r="B54"/>
  <c r="B50"/>
  <c r="B48"/>
  <c r="P47"/>
  <c r="L47"/>
  <c r="S47"/>
  <c r="N49"/>
  <c r="L45" i="3"/>
  <c r="T63" i="22"/>
  <c r="M45" i="3"/>
  <c r="K229" i="4"/>
  <c r="K226"/>
  <c r="K230" s="1"/>
  <c r="I136" i="32"/>
  <c r="E192" s="1"/>
  <c r="E268" s="1"/>
  <c r="J62" i="37"/>
  <c r="J64"/>
  <c r="F136" i="32"/>
  <c r="E189" s="1"/>
  <c r="E265" s="1"/>
  <c r="G229" i="4"/>
  <c r="G226"/>
  <c r="G232"/>
  <c r="G47"/>
  <c r="K62" s="1"/>
  <c r="U14" i="35"/>
  <c r="U80" s="1"/>
  <c r="Q120" i="27"/>
  <c r="L243" i="4"/>
  <c r="J142" i="32"/>
  <c r="G193" s="1"/>
  <c r="G269" s="1"/>
  <c r="L240" i="4"/>
  <c r="K243"/>
  <c r="I142" i="32"/>
  <c r="G192" s="1"/>
  <c r="G268" s="1"/>
  <c r="J25" i="27"/>
  <c r="I26"/>
  <c r="K61" i="37" s="1"/>
  <c r="H139" i="32"/>
  <c r="F191" s="1"/>
  <c r="F267" s="1"/>
  <c r="H239" i="4"/>
  <c r="H134" i="32"/>
  <c r="K128" i="10"/>
  <c r="K69" i="11" s="1"/>
  <c r="K90" s="1"/>
  <c r="P60" i="35"/>
  <c r="H236" i="4"/>
  <c r="K233"/>
  <c r="K237" s="1"/>
  <c r="I139" i="32"/>
  <c r="F192" s="1"/>
  <c r="F268" s="1"/>
  <c r="K236" i="4"/>
  <c r="L233"/>
  <c r="J139" i="32"/>
  <c r="F193" s="1"/>
  <c r="F269" s="1"/>
  <c r="U78" i="10"/>
  <c r="U110"/>
  <c r="U77"/>
  <c r="V110"/>
  <c r="V77"/>
  <c r="W80"/>
  <c r="W126" s="1"/>
  <c r="U14" i="26"/>
  <c r="V14" s="1"/>
  <c r="L62" i="11"/>
  <c r="T30" i="4"/>
  <c r="Q62" i="11"/>
  <c r="B38" i="26"/>
  <c r="T32" i="35"/>
  <c r="T64" s="1"/>
  <c r="B38" i="13"/>
  <c r="Q43" i="3"/>
  <c r="S45" i="4" s="1"/>
  <c r="R57" i="26"/>
  <c r="Y66" i="19"/>
  <c r="L31" i="16"/>
  <c r="N60" i="29"/>
  <c r="N62" s="1"/>
  <c r="R60"/>
  <c r="R62" s="1"/>
  <c r="Z66" i="19"/>
  <c r="AA66" s="1"/>
  <c r="AB66" s="1"/>
  <c r="AC66" s="1"/>
  <c r="AD66" s="1"/>
  <c r="AE66" s="1"/>
  <c r="AF66" s="1"/>
  <c r="AG66" s="1"/>
  <c r="AH66" s="1"/>
  <c r="AI66" s="1"/>
  <c r="AJ66" s="1"/>
  <c r="AK66" s="1"/>
  <c r="AL66" s="1"/>
  <c r="AM66" s="1"/>
  <c r="AN66" s="1"/>
  <c r="AO66" s="1"/>
  <c r="AP66" s="1"/>
  <c r="AQ66" s="1"/>
  <c r="M135" i="10"/>
  <c r="M76" i="11" s="1"/>
  <c r="M62"/>
  <c r="J240" i="4"/>
  <c r="J243"/>
  <c r="O62" i="11"/>
  <c r="R57" i="13"/>
  <c r="R59" s="1"/>
  <c r="T48" i="26"/>
  <c r="U48" s="1"/>
  <c r="V60" i="8"/>
  <c r="W56"/>
  <c r="K135" i="10"/>
  <c r="K76" i="11" s="1"/>
  <c r="K62"/>
  <c r="S102" i="27"/>
  <c r="U14" i="4"/>
  <c r="T26"/>
  <c r="T34"/>
  <c r="T33" i="26"/>
  <c r="T40" s="1"/>
  <c r="S98" i="27"/>
  <c r="I236" i="4"/>
  <c r="I239"/>
  <c r="I233"/>
  <c r="L16" i="16"/>
  <c r="G99" i="36"/>
  <c r="G115" s="1"/>
  <c r="U67" i="13"/>
  <c r="V14"/>
  <c r="N56" i="22"/>
  <c r="N44" i="26"/>
  <c r="K65" i="13"/>
  <c r="O65" s="1"/>
  <c r="S37"/>
  <c r="P37" i="26"/>
  <c r="Q37"/>
  <c r="M37"/>
  <c r="P57"/>
  <c r="P55"/>
  <c r="P28" i="35" s="1"/>
  <c r="P30" s="1"/>
  <c r="P73" s="1"/>
  <c r="P75" s="1"/>
  <c r="K60" i="29"/>
  <c r="K55" i="26"/>
  <c r="K28" i="35" s="1"/>
  <c r="K30" s="1"/>
  <c r="K73" s="1"/>
  <c r="K75" s="1"/>
  <c r="N55" i="26"/>
  <c r="N28" i="35" s="1"/>
  <c r="N30" s="1"/>
  <c r="N73" s="1"/>
  <c r="N75" s="1"/>
  <c r="S53" i="26"/>
  <c r="S60" i="29" s="1"/>
  <c r="S62" s="1"/>
  <c r="J43" i="8"/>
  <c r="J49" s="1"/>
  <c r="J55" i="22" s="1"/>
  <c r="G102" i="36"/>
  <c r="G104" s="1"/>
  <c r="K57" i="26"/>
  <c r="P57" i="13"/>
  <c r="P59" s="1"/>
  <c r="I118" i="36"/>
  <c r="I120" s="1"/>
  <c r="M225" i="4"/>
  <c r="M221"/>
  <c r="M223"/>
  <c r="G133" i="32"/>
  <c r="M232" i="4"/>
  <c r="M239"/>
  <c r="M43" i="8"/>
  <c r="M49" s="1"/>
  <c r="K79" i="36"/>
  <c r="G108" s="1"/>
  <c r="G124" s="1"/>
  <c r="G116"/>
  <c r="G117" s="1"/>
  <c r="G118" s="1"/>
  <c r="G120" s="1"/>
  <c r="R43" i="8"/>
  <c r="R49" s="1"/>
  <c r="Q43"/>
  <c r="Q49" s="1"/>
  <c r="Q25" i="37" s="1"/>
  <c r="Q26" s="1"/>
  <c r="I43" i="8"/>
  <c r="I49" s="1"/>
  <c r="I25" i="37" s="1"/>
  <c r="I26" s="1"/>
  <c r="G41" i="19"/>
  <c r="I41" s="1"/>
  <c r="N43" i="8"/>
  <c r="N49" s="1"/>
  <c r="N25" i="37" s="1"/>
  <c r="N26" s="1"/>
  <c r="Q77" i="36"/>
  <c r="P43" i="8"/>
  <c r="P49" s="1"/>
  <c r="P25" i="37" s="1"/>
  <c r="P26" s="1"/>
  <c r="L43" i="8"/>
  <c r="L49" s="1"/>
  <c r="L55" i="22" s="1"/>
  <c r="R77" i="36"/>
  <c r="R79" s="1"/>
  <c r="R87" s="1"/>
  <c r="R91" s="1"/>
  <c r="R95" s="1"/>
  <c r="K72" i="8"/>
  <c r="R72" s="1"/>
  <c r="K43"/>
  <c r="K49" s="1"/>
  <c r="O37" i="13"/>
  <c r="N37"/>
  <c r="L37" i="26"/>
  <c r="K37" i="13"/>
  <c r="O43" i="8"/>
  <c r="O49" s="1"/>
  <c r="O25" i="37" s="1"/>
  <c r="O26" s="1"/>
  <c r="M37" i="13"/>
  <c r="J37"/>
  <c r="I108" i="36"/>
  <c r="I124" s="1"/>
  <c r="I37" i="13"/>
  <c r="I57" i="22" s="1"/>
  <c r="P37" i="13"/>
  <c r="G43" i="19"/>
  <c r="I43" s="1"/>
  <c r="Q37" i="13"/>
  <c r="L37"/>
  <c r="K30"/>
  <c r="K57"/>
  <c r="K59" s="1"/>
  <c r="G42" i="19"/>
  <c r="I42" s="1"/>
  <c r="I37" i="26"/>
  <c r="O37"/>
  <c r="K37"/>
  <c r="H108" i="36"/>
  <c r="H124" s="1"/>
  <c r="J37" i="26"/>
  <c r="K65"/>
  <c r="Q45" i="3"/>
  <c r="K37" i="4" s="1"/>
  <c r="K41" s="1"/>
  <c r="K43" s="1"/>
  <c r="T16" i="29"/>
  <c r="T182" i="10"/>
  <c r="T16" i="35"/>
  <c r="T208" i="10"/>
  <c r="T16" i="4"/>
  <c r="T16" i="26"/>
  <c r="T103" i="10"/>
  <c r="T16" i="13"/>
  <c r="T16" i="9"/>
  <c r="T16" i="8"/>
  <c r="T148" i="10"/>
  <c r="P60" i="29"/>
  <c r="P62" s="1"/>
  <c r="M28" i="35"/>
  <c r="M30" s="1"/>
  <c r="M73" s="1"/>
  <c r="M75" s="1"/>
  <c r="M57" i="26"/>
  <c r="M60" i="29"/>
  <c r="M62" s="1"/>
  <c r="R37" i="26"/>
  <c r="R44" s="1"/>
  <c r="R118" i="10"/>
  <c r="T81"/>
  <c r="T82" s="1"/>
  <c r="Q57" i="11"/>
  <c r="Q130" i="10"/>
  <c r="Q71" i="11" s="1"/>
  <c r="R37" i="13"/>
  <c r="R44" s="1"/>
  <c r="R119" i="10"/>
  <c r="N57" i="13"/>
  <c r="N59" s="1"/>
  <c r="H116" i="36"/>
  <c r="H117" s="1"/>
  <c r="H118" s="1"/>
  <c r="H120" s="1"/>
  <c r="H101"/>
  <c r="H102" s="1"/>
  <c r="H104" s="1"/>
  <c r="F97" i="32"/>
  <c r="R62" i="11"/>
  <c r="R135" i="10"/>
  <c r="R76" i="11" s="1"/>
  <c r="R64" i="35"/>
  <c r="B74"/>
  <c r="M93" i="32"/>
  <c r="I123" i="10"/>
  <c r="M65" i="13"/>
  <c r="S65"/>
  <c r="R73" i="35"/>
  <c r="R75" s="1"/>
  <c r="R52" i="29"/>
  <c r="Q101" i="3"/>
  <c r="S52" i="29" s="1"/>
  <c r="N232" i="4"/>
  <c r="E239"/>
  <c r="E233"/>
  <c r="Q73" i="35"/>
  <c r="Q75" s="1"/>
  <c r="K19" i="36"/>
  <c r="K21" s="1"/>
  <c r="H125" i="4" s="1"/>
  <c r="AG125" s="1"/>
  <c r="L57" i="26"/>
  <c r="L60" i="29"/>
  <c r="L28" i="35"/>
  <c r="L30" s="1"/>
  <c r="L73" s="1"/>
  <c r="L75" s="1"/>
  <c r="U58" i="8"/>
  <c r="P130" i="10"/>
  <c r="P71" i="11" s="1"/>
  <c r="P57"/>
  <c r="J71"/>
  <c r="L57" i="13"/>
  <c r="L59" s="1"/>
  <c r="R69" i="4"/>
  <c r="Q121" s="1"/>
  <c r="O199" i="10"/>
  <c r="S53" i="13"/>
  <c r="S55" s="1"/>
  <c r="I69" i="11"/>
  <c r="I90" s="1"/>
  <c r="O28" i="35"/>
  <c r="O30" s="1"/>
  <c r="O73" s="1"/>
  <c r="O75" s="1"/>
  <c r="O57" i="26"/>
  <c r="O60" i="29"/>
  <c r="O62" s="1"/>
  <c r="E228" i="4"/>
  <c r="E223"/>
  <c r="N189" i="10"/>
  <c r="N68" i="22"/>
  <c r="M57" i="13"/>
  <c r="M59" s="1"/>
  <c r="R69" i="11"/>
  <c r="R90" s="1"/>
  <c r="G91" i="32"/>
  <c r="K95" s="1"/>
  <c r="P199" i="10"/>
  <c r="O131"/>
  <c r="O72" i="11" s="1"/>
  <c r="O58"/>
  <c r="T32" i="16"/>
  <c r="T15" s="1"/>
  <c r="S15"/>
  <c r="S64" i="35"/>
  <c r="B52"/>
  <c r="P62"/>
  <c r="B48"/>
  <c r="B57"/>
  <c r="B59"/>
  <c r="B54"/>
  <c r="B50"/>
  <c r="L130" i="10"/>
  <c r="L71" i="11" s="1"/>
  <c r="L57"/>
  <c r="N222" i="4"/>
  <c r="D228"/>
  <c r="D223"/>
  <c r="O57" i="13"/>
  <c r="O59" s="1"/>
  <c r="AE125" i="4" l="1"/>
  <c r="AA125"/>
  <c r="W125"/>
  <c r="S125"/>
  <c r="O125"/>
  <c r="K125"/>
  <c r="X125"/>
  <c r="AD125"/>
  <c r="Z125"/>
  <c r="V125"/>
  <c r="R125"/>
  <c r="N125"/>
  <c r="J125"/>
  <c r="AB125"/>
  <c r="P125"/>
  <c r="AC125"/>
  <c r="Y125"/>
  <c r="U125"/>
  <c r="Q125"/>
  <c r="M125"/>
  <c r="I125"/>
  <c r="AF125"/>
  <c r="T125"/>
  <c r="L125"/>
  <c r="R51" i="9"/>
  <c r="T83" i="10"/>
  <c r="T85" s="1"/>
  <c r="T86" s="1"/>
  <c r="U79"/>
  <c r="V14" i="9"/>
  <c r="V74" s="1"/>
  <c r="T43" i="8"/>
  <c r="T33"/>
  <c r="B69"/>
  <c r="U14"/>
  <c r="V14" s="1"/>
  <c r="V74" s="1"/>
  <c r="T74"/>
  <c r="P65" i="13"/>
  <c r="T53" i="8"/>
  <c r="T61" i="9"/>
  <c r="T47"/>
  <c r="U47" s="1"/>
  <c r="U51" s="1"/>
  <c r="T74"/>
  <c r="B58"/>
  <c r="T39"/>
  <c r="U61"/>
  <c r="U39"/>
  <c r="T69" i="29"/>
  <c r="U14"/>
  <c r="T31"/>
  <c r="T54"/>
  <c r="Q51" i="9"/>
  <c r="T32" i="4"/>
  <c r="W14" i="9"/>
  <c r="W61" s="1"/>
  <c r="L51" i="8"/>
  <c r="L117" i="10" s="1"/>
  <c r="L56" i="11" s="1"/>
  <c r="V39" i="9"/>
  <c r="V61"/>
  <c r="V48" i="13"/>
  <c r="U67" i="26"/>
  <c r="U33"/>
  <c r="U40" s="1"/>
  <c r="J51" i="8"/>
  <c r="J117" i="10" s="1"/>
  <c r="J56" i="11" s="1"/>
  <c r="M72" i="8"/>
  <c r="U50" i="26"/>
  <c r="U53" s="1"/>
  <c r="U81" i="10"/>
  <c r="U82" s="1"/>
  <c r="U83" s="1"/>
  <c r="U16" i="37"/>
  <c r="V67" i="26"/>
  <c r="V33"/>
  <c r="V40" s="1"/>
  <c r="T18" i="37"/>
  <c r="T48" i="4"/>
  <c r="P51" i="8"/>
  <c r="P117" i="10" s="1"/>
  <c r="P56" i="11" s="1"/>
  <c r="I51" i="8"/>
  <c r="I117" i="10" s="1"/>
  <c r="I56" i="11" s="1"/>
  <c r="U32" i="35"/>
  <c r="U64" s="1"/>
  <c r="Q51" i="8"/>
  <c r="Q117" i="10" s="1"/>
  <c r="Q56" i="11" s="1"/>
  <c r="V14" i="35"/>
  <c r="L65" i="13"/>
  <c r="W14" i="26"/>
  <c r="W33" s="1"/>
  <c r="W40" s="1"/>
  <c r="N72" i="8"/>
  <c r="Q65" i="13"/>
  <c r="R65"/>
  <c r="K62" i="37"/>
  <c r="K64"/>
  <c r="Q72" i="8"/>
  <c r="G88" i="13"/>
  <c r="U42" i="22"/>
  <c r="U63" s="1"/>
  <c r="U184" i="10"/>
  <c r="J5" i="30"/>
  <c r="J12" i="15"/>
  <c r="U150" i="10"/>
  <c r="U44" i="11"/>
  <c r="U66" s="1"/>
  <c r="U210" i="10"/>
  <c r="U172"/>
  <c r="L72" i="8"/>
  <c r="N65" i="13"/>
  <c r="K25" i="27"/>
  <c r="J26"/>
  <c r="L61" i="37" s="1"/>
  <c r="H240" i="4"/>
  <c r="H142" i="32"/>
  <c r="G191" s="1"/>
  <c r="G267" s="1"/>
  <c r="H243" i="4"/>
  <c r="G233"/>
  <c r="G239"/>
  <c r="F139" i="32"/>
  <c r="F189" s="1"/>
  <c r="F265" s="1"/>
  <c r="G236" i="4"/>
  <c r="J65" i="37"/>
  <c r="J68" s="1"/>
  <c r="J67"/>
  <c r="K12" i="15"/>
  <c r="K5" i="30"/>
  <c r="V172" i="10"/>
  <c r="V42" i="22"/>
  <c r="V63" s="1"/>
  <c r="V184" i="10"/>
  <c r="V44" i="11"/>
  <c r="V66" s="1"/>
  <c r="V210" i="10"/>
  <c r="V150"/>
  <c r="X80"/>
  <c r="X126" s="1"/>
  <c r="W110"/>
  <c r="W77"/>
  <c r="W78"/>
  <c r="N51" i="8"/>
  <c r="N117" i="10" s="1"/>
  <c r="N129" s="1"/>
  <c r="N70" i="11" s="1"/>
  <c r="K51" i="9"/>
  <c r="R46" i="26"/>
  <c r="R37" i="37"/>
  <c r="R38" s="1"/>
  <c r="J68" i="8"/>
  <c r="J28" i="37" s="1"/>
  <c r="J29" s="1"/>
  <c r="J25"/>
  <c r="J26" s="1"/>
  <c r="N46" i="26"/>
  <c r="N37" i="37"/>
  <c r="N38" s="1"/>
  <c r="R68" i="8"/>
  <c r="R28" i="37" s="1"/>
  <c r="R29" s="1"/>
  <c r="R25"/>
  <c r="R26" s="1"/>
  <c r="R46" i="13"/>
  <c r="R49" i="37"/>
  <c r="L68" i="8"/>
  <c r="L28" i="37" s="1"/>
  <c r="L29" s="1"/>
  <c r="L25"/>
  <c r="L26" s="1"/>
  <c r="K68" i="8"/>
  <c r="K28" i="37" s="1"/>
  <c r="K29" s="1"/>
  <c r="K25"/>
  <c r="K26" s="1"/>
  <c r="M68" i="8"/>
  <c r="M28" i="37" s="1"/>
  <c r="M29" s="1"/>
  <c r="M25"/>
  <c r="M26" s="1"/>
  <c r="B49" i="4"/>
  <c r="B35"/>
  <c r="B51"/>
  <c r="U30"/>
  <c r="U53"/>
  <c r="U69" s="1"/>
  <c r="U121" s="1"/>
  <c r="V14"/>
  <c r="U31"/>
  <c r="U26"/>
  <c r="W60" i="8"/>
  <c r="X56"/>
  <c r="V33" i="13"/>
  <c r="V40" s="1"/>
  <c r="V67"/>
  <c r="W14"/>
  <c r="I240" i="4"/>
  <c r="I243"/>
  <c r="U34"/>
  <c r="K157"/>
  <c r="K161" s="1"/>
  <c r="K164" s="1"/>
  <c r="D253" i="32" s="1"/>
  <c r="J57" i="22"/>
  <c r="J190" i="10" s="1"/>
  <c r="J44" i="13"/>
  <c r="T37"/>
  <c r="T44" s="1"/>
  <c r="T49" i="37" s="1"/>
  <c r="T50" s="1"/>
  <c r="S44" i="13"/>
  <c r="Q57" i="22"/>
  <c r="Q190" i="10" s="1"/>
  <c r="Q44" i="13"/>
  <c r="K57" i="22"/>
  <c r="K44" i="13"/>
  <c r="L57" i="22"/>
  <c r="L44" i="13"/>
  <c r="I44"/>
  <c r="O57" i="22"/>
  <c r="O44" i="13"/>
  <c r="P57" i="22"/>
  <c r="P69" s="1"/>
  <c r="P202" i="10" s="1"/>
  <c r="P44" i="13"/>
  <c r="M57" i="22"/>
  <c r="M69" s="1"/>
  <c r="M202" i="10" s="1"/>
  <c r="M44" i="13"/>
  <c r="N57" i="22"/>
  <c r="N44" i="13"/>
  <c r="O56" i="22"/>
  <c r="O68" s="1"/>
  <c r="O201" i="10" s="1"/>
  <c r="O44" i="26"/>
  <c r="P56" i="22"/>
  <c r="P44" i="26"/>
  <c r="K56" i="22"/>
  <c r="K189" i="10" s="1"/>
  <c r="K44" i="26"/>
  <c r="Q56" i="22"/>
  <c r="Q68" s="1"/>
  <c r="Q201" i="10" s="1"/>
  <c r="Q44" i="26"/>
  <c r="M56" i="22"/>
  <c r="M44" i="26"/>
  <c r="J56" i="22"/>
  <c r="J68" s="1"/>
  <c r="J201" i="10" s="1"/>
  <c r="J44" i="26"/>
  <c r="I56" i="22"/>
  <c r="I68" s="1"/>
  <c r="I201" i="10" s="1"/>
  <c r="I44" i="26"/>
  <c r="L56" i="22"/>
  <c r="L44" i="26"/>
  <c r="Q55" i="22"/>
  <c r="Q67" s="1"/>
  <c r="Q200" i="10" s="1"/>
  <c r="Q68" i="8"/>
  <c r="Q28" i="37" s="1"/>
  <c r="Q29" s="1"/>
  <c r="P55" i="22"/>
  <c r="P188" i="10" s="1"/>
  <c r="P68" i="8"/>
  <c r="P28" i="37" s="1"/>
  <c r="P29" s="1"/>
  <c r="I55" i="22"/>
  <c r="I188" i="10" s="1"/>
  <c r="I68" i="8"/>
  <c r="I28" i="37" s="1"/>
  <c r="I29" s="1"/>
  <c r="O55" i="22"/>
  <c r="O67" s="1"/>
  <c r="O200" i="10" s="1"/>
  <c r="O68" i="8"/>
  <c r="O28" i="37" s="1"/>
  <c r="O29" s="1"/>
  <c r="N55" i="22"/>
  <c r="N188" i="10" s="1"/>
  <c r="N68" i="8"/>
  <c r="N28" i="37" s="1"/>
  <c r="N29" s="1"/>
  <c r="V48" i="26"/>
  <c r="S57"/>
  <c r="S55"/>
  <c r="S28" i="35" s="1"/>
  <c r="S30" s="1"/>
  <c r="S73" s="1"/>
  <c r="S75" s="1"/>
  <c r="G44" i="19"/>
  <c r="K65" i="29" s="1"/>
  <c r="U43" i="8"/>
  <c r="S77" i="36"/>
  <c r="Q79"/>
  <c r="K51" i="8"/>
  <c r="K117" i="10" s="1"/>
  <c r="K129" s="1"/>
  <c r="K55" i="22"/>
  <c r="K188" i="10" s="1"/>
  <c r="M51" i="8"/>
  <c r="M117" i="10" s="1"/>
  <c r="M129" s="1"/>
  <c r="M55" i="22"/>
  <c r="M67" s="1"/>
  <c r="M233" i="4"/>
  <c r="M236"/>
  <c r="M229"/>
  <c r="M226"/>
  <c r="N225"/>
  <c r="G136" i="32"/>
  <c r="M243" i="4"/>
  <c r="M240"/>
  <c r="S72" i="8"/>
  <c r="O72"/>
  <c r="D190" i="32"/>
  <c r="G134"/>
  <c r="L133"/>
  <c r="G95" i="8"/>
  <c r="P72"/>
  <c r="G139" i="32"/>
  <c r="I44" i="19"/>
  <c r="I46" s="1"/>
  <c r="O51" i="8"/>
  <c r="O117" i="10" s="1"/>
  <c r="O129" s="1"/>
  <c r="O70" i="11" s="1"/>
  <c r="N223" i="4"/>
  <c r="Q65" i="26"/>
  <c r="N65"/>
  <c r="L65"/>
  <c r="O65"/>
  <c r="R65"/>
  <c r="S65"/>
  <c r="M65"/>
  <c r="P65"/>
  <c r="G88"/>
  <c r="M63" i="27"/>
  <c r="K63"/>
  <c r="O63"/>
  <c r="Q63"/>
  <c r="S41" i="35" s="1"/>
  <c r="L63" i="27"/>
  <c r="I63"/>
  <c r="J63"/>
  <c r="N63"/>
  <c r="H63"/>
  <c r="G63"/>
  <c r="P63"/>
  <c r="R41" i="35" s="1"/>
  <c r="S50" i="4"/>
  <c r="S54" i="22"/>
  <c r="S59" i="4"/>
  <c r="T45"/>
  <c r="U16" i="26"/>
  <c r="U16" i="9"/>
  <c r="V79" i="10"/>
  <c r="V16" i="37" s="1"/>
  <c r="U103" i="10"/>
  <c r="U182"/>
  <c r="U16" i="29"/>
  <c r="U148" i="10"/>
  <c r="U208"/>
  <c r="U16" i="13"/>
  <c r="U16" i="8"/>
  <c r="U16" i="4"/>
  <c r="U16" i="35"/>
  <c r="V53" i="8"/>
  <c r="M51" i="9"/>
  <c r="O51"/>
  <c r="T53" i="26"/>
  <c r="T60" i="29" s="1"/>
  <c r="R57" i="22"/>
  <c r="T18" i="13"/>
  <c r="T20" s="1"/>
  <c r="T18" i="4"/>
  <c r="T20" s="1"/>
  <c r="T18" i="8"/>
  <c r="T20" s="1"/>
  <c r="T18" i="26"/>
  <c r="T20" s="1"/>
  <c r="T18" i="29"/>
  <c r="T20" s="1"/>
  <c r="T18" i="9"/>
  <c r="T20" s="1"/>
  <c r="T18" i="35"/>
  <c r="T20" s="1"/>
  <c r="F93" i="32"/>
  <c r="R57" i="11"/>
  <c r="R130" i="10"/>
  <c r="R71" i="11" s="1"/>
  <c r="R58"/>
  <c r="R131" i="10"/>
  <c r="R72" i="11" s="1"/>
  <c r="F94" i="32"/>
  <c r="U18" i="9"/>
  <c r="U20" s="1"/>
  <c r="R56" i="22"/>
  <c r="S51" i="9"/>
  <c r="K41" i="36"/>
  <c r="G142" i="32"/>
  <c r="N239" i="4"/>
  <c r="E240"/>
  <c r="N51" i="9"/>
  <c r="K139" i="32"/>
  <c r="H234" i="4"/>
  <c r="J234"/>
  <c r="G234"/>
  <c r="L234"/>
  <c r="K234"/>
  <c r="D234"/>
  <c r="N233"/>
  <c r="B203" s="1"/>
  <c r="I234"/>
  <c r="F234"/>
  <c r="N234"/>
  <c r="M234"/>
  <c r="L51" i="9"/>
  <c r="N56" i="11"/>
  <c r="J188" i="10"/>
  <c r="J67" i="22"/>
  <c r="J200" i="10" s="1"/>
  <c r="E234" i="4"/>
  <c r="I51" i="9"/>
  <c r="P51"/>
  <c r="I135" i="10"/>
  <c r="I76" i="11" s="1"/>
  <c r="E56" i="32"/>
  <c r="R52" s="1"/>
  <c r="I62" i="11"/>
  <c r="E97" i="32"/>
  <c r="S49" i="8"/>
  <c r="R51"/>
  <c r="R117" i="10" s="1"/>
  <c r="R55" i="22"/>
  <c r="T16" i="16"/>
  <c r="T17"/>
  <c r="L67" i="22"/>
  <c r="L188" i="10"/>
  <c r="S17" i="16"/>
  <c r="S16"/>
  <c r="S57" i="13"/>
  <c r="S59" s="1"/>
  <c r="V58" i="8"/>
  <c r="D229" i="4"/>
  <c r="D235"/>
  <c r="N201" i="10"/>
  <c r="T53" i="13"/>
  <c r="T55" s="1"/>
  <c r="E229" i="4"/>
  <c r="E235"/>
  <c r="S116" i="10" l="1"/>
  <c r="F49" i="32" s="1"/>
  <c r="K53" s="1"/>
  <c r="K94" s="1"/>
  <c r="R123" i="4"/>
  <c r="U53" i="9"/>
  <c r="K68" i="22"/>
  <c r="K201" i="10" s="1"/>
  <c r="Q69" i="22"/>
  <c r="Q202" i="10" s="1"/>
  <c r="J69" i="22"/>
  <c r="J202" i="10" s="1"/>
  <c r="T51" i="9"/>
  <c r="U55" s="1"/>
  <c r="W14" i="8"/>
  <c r="W74" s="1"/>
  <c r="V33"/>
  <c r="M190" i="10"/>
  <c r="U53" i="8"/>
  <c r="U74"/>
  <c r="U33"/>
  <c r="V47" i="9"/>
  <c r="V51" s="1"/>
  <c r="V53" s="1"/>
  <c r="X14" i="26"/>
  <c r="X67" s="1"/>
  <c r="W67"/>
  <c r="U18" i="35"/>
  <c r="U20" s="1"/>
  <c r="L129" i="10"/>
  <c r="L70" i="11" s="1"/>
  <c r="V14" i="29"/>
  <c r="U54"/>
  <c r="U31"/>
  <c r="U69"/>
  <c r="W39" i="9"/>
  <c r="E92" i="32"/>
  <c r="X14" i="9"/>
  <c r="Y14" s="1"/>
  <c r="W74"/>
  <c r="P129" i="10"/>
  <c r="P70" i="11" s="1"/>
  <c r="U55" i="26"/>
  <c r="U28" i="35" s="1"/>
  <c r="U30" s="1"/>
  <c r="U73" s="1"/>
  <c r="U60" i="29"/>
  <c r="J129" i="10"/>
  <c r="J70" i="11" s="1"/>
  <c r="V50" i="26"/>
  <c r="W50" s="1"/>
  <c r="E50" i="32"/>
  <c r="L52" s="1"/>
  <c r="L93" s="1"/>
  <c r="U18" i="29"/>
  <c r="U20" s="1"/>
  <c r="U18" i="8"/>
  <c r="U20" s="1"/>
  <c r="U18" i="26"/>
  <c r="U20" s="1"/>
  <c r="J189" i="10"/>
  <c r="I129"/>
  <c r="I70" i="11" s="1"/>
  <c r="U18" i="4"/>
  <c r="U20" s="1"/>
  <c r="U18" i="13"/>
  <c r="U20" s="1"/>
  <c r="Q189" i="10"/>
  <c r="U18" i="37"/>
  <c r="P190" i="10"/>
  <c r="P67" i="22"/>
  <c r="P200" i="10" s="1"/>
  <c r="M56" i="11"/>
  <c r="Q129" i="10"/>
  <c r="Q70" i="11" s="1"/>
  <c r="W48" i="26"/>
  <c r="K67" i="22"/>
  <c r="K200" i="10" s="1"/>
  <c r="O188"/>
  <c r="W14" i="35"/>
  <c r="V80"/>
  <c r="V32"/>
  <c r="V64" s="1"/>
  <c r="Q188" i="10"/>
  <c r="O189"/>
  <c r="L139" i="32"/>
  <c r="F142"/>
  <c r="G189" s="1"/>
  <c r="G265" s="1"/>
  <c r="G240" i="4"/>
  <c r="G243"/>
  <c r="K65" i="37"/>
  <c r="K68" s="1"/>
  <c r="K67"/>
  <c r="I27" i="29"/>
  <c r="I29" s="1"/>
  <c r="J108" i="36" s="1"/>
  <c r="J124" s="1"/>
  <c r="I189" i="10"/>
  <c r="L62" i="37"/>
  <c r="L64"/>
  <c r="L25" i="27"/>
  <c r="K26"/>
  <c r="M61" i="37" s="1"/>
  <c r="Y80" i="10"/>
  <c r="Y126" s="1"/>
  <c r="X110"/>
  <c r="X77"/>
  <c r="X78"/>
  <c r="L12" i="15"/>
  <c r="W44" i="11"/>
  <c r="W66" s="1"/>
  <c r="W150" i="10"/>
  <c r="W184"/>
  <c r="W210"/>
  <c r="W172"/>
  <c r="W42" i="22"/>
  <c r="W63" s="1"/>
  <c r="L5" i="30"/>
  <c r="N67" i="22"/>
  <c r="N200" i="10" s="1"/>
  <c r="M46" i="13"/>
  <c r="M49" i="37"/>
  <c r="O46" i="13"/>
  <c r="O49" i="37"/>
  <c r="L46" i="13"/>
  <c r="L49" i="37"/>
  <c r="Q46" i="13"/>
  <c r="Q49" i="37"/>
  <c r="J46" i="13"/>
  <c r="J49" i="37"/>
  <c r="M31"/>
  <c r="L31"/>
  <c r="R31"/>
  <c r="O31"/>
  <c r="P31"/>
  <c r="L46" i="26"/>
  <c r="L37" i="37"/>
  <c r="J46" i="26"/>
  <c r="J37" i="37"/>
  <c r="J38" s="1"/>
  <c r="Q46" i="26"/>
  <c r="Q37" i="37"/>
  <c r="Q38" s="1"/>
  <c r="P46" i="26"/>
  <c r="P37" i="37"/>
  <c r="P38" s="1"/>
  <c r="R52"/>
  <c r="R50"/>
  <c r="J31"/>
  <c r="N31"/>
  <c r="N46" i="13"/>
  <c r="N49" i="37"/>
  <c r="P46" i="13"/>
  <c r="P49" i="37"/>
  <c r="I46" i="13"/>
  <c r="I49" i="37"/>
  <c r="K46" i="13"/>
  <c r="K49" i="37"/>
  <c r="S46" i="13"/>
  <c r="S49" i="37"/>
  <c r="K31"/>
  <c r="N40"/>
  <c r="N41" s="1"/>
  <c r="R40"/>
  <c r="R41" s="1"/>
  <c r="S68" i="8"/>
  <c r="S28" i="37" s="1"/>
  <c r="S29" s="1"/>
  <c r="S25"/>
  <c r="S26" s="1"/>
  <c r="I31"/>
  <c r="Q31"/>
  <c r="I46" i="26"/>
  <c r="I37" i="37"/>
  <c r="I38" s="1"/>
  <c r="M46" i="26"/>
  <c r="M37" i="37"/>
  <c r="M38" s="1"/>
  <c r="K46" i="26"/>
  <c r="K37" i="37"/>
  <c r="O46" i="26"/>
  <c r="O37" i="37"/>
  <c r="O38" s="1"/>
  <c r="U37" i="13"/>
  <c r="U44" s="1"/>
  <c r="X60" i="8"/>
  <c r="Y56"/>
  <c r="V31" i="4"/>
  <c r="V26"/>
  <c r="V53"/>
  <c r="V69" s="1"/>
  <c r="V121" s="1"/>
  <c r="V30"/>
  <c r="W14"/>
  <c r="X14" i="13"/>
  <c r="W33"/>
  <c r="W40" s="1"/>
  <c r="W67"/>
  <c r="V34" i="4"/>
  <c r="V48" s="1"/>
  <c r="U48"/>
  <c r="U32"/>
  <c r="W48" i="13"/>
  <c r="O190" i="10"/>
  <c r="O69" i="22"/>
  <c r="O202" i="10" s="1"/>
  <c r="L190"/>
  <c r="L69" i="22"/>
  <c r="L202" i="10" s="1"/>
  <c r="N190"/>
  <c r="N69" i="22"/>
  <c r="N202" i="10" s="1"/>
  <c r="I69" i="22"/>
  <c r="I202" i="10" s="1"/>
  <c r="I190"/>
  <c r="K69" i="22"/>
  <c r="K202" i="10" s="1"/>
  <c r="K190"/>
  <c r="T46" i="13"/>
  <c r="M68" i="22"/>
  <c r="M201" i="10" s="1"/>
  <c r="M189"/>
  <c r="L68" i="22"/>
  <c r="L201" i="10" s="1"/>
  <c r="L189"/>
  <c r="P68" i="22"/>
  <c r="P201" i="10" s="1"/>
  <c r="P189"/>
  <c r="T55" i="26"/>
  <c r="T28" i="35" s="1"/>
  <c r="T30" s="1"/>
  <c r="I67" i="22"/>
  <c r="I200" i="10" s="1"/>
  <c r="F190" i="32"/>
  <c r="F266" s="1"/>
  <c r="G140"/>
  <c r="S47" i="35"/>
  <c r="V43" i="8"/>
  <c r="O56" i="11"/>
  <c r="Q87" i="36"/>
  <c r="S79"/>
  <c r="M188" i="10"/>
  <c r="K227" i="4"/>
  <c r="F227"/>
  <c r="G227"/>
  <c r="D227"/>
  <c r="K136" i="32"/>
  <c r="L227" i="4"/>
  <c r="J227"/>
  <c r="N226"/>
  <c r="E227"/>
  <c r="I227"/>
  <c r="M227"/>
  <c r="N227"/>
  <c r="H227"/>
  <c r="E190" i="32"/>
  <c r="E266" s="1"/>
  <c r="L136"/>
  <c r="K56" i="11"/>
  <c r="P41" i="35"/>
  <c r="P43" s="1"/>
  <c r="N65" i="27"/>
  <c r="P33" i="29" s="1"/>
  <c r="J41" i="35"/>
  <c r="J43" s="1"/>
  <c r="H65" i="27"/>
  <c r="J33" i="29" s="1"/>
  <c r="N41" i="35"/>
  <c r="N43" s="1"/>
  <c r="L65" i="27"/>
  <c r="N33" i="29" s="1"/>
  <c r="O41" i="35"/>
  <c r="O43" s="1"/>
  <c r="M65" i="27"/>
  <c r="O33" i="29" s="1"/>
  <c r="I41" i="35"/>
  <c r="I43" s="1"/>
  <c r="G65" i="27"/>
  <c r="I33" i="29" s="1"/>
  <c r="I65" i="27"/>
  <c r="K33" i="29" s="1"/>
  <c r="K41" i="35"/>
  <c r="K43" s="1"/>
  <c r="M41"/>
  <c r="M43" s="1"/>
  <c r="K65" i="27"/>
  <c r="M33" i="29" s="1"/>
  <c r="R43" i="35"/>
  <c r="L41"/>
  <c r="L43" s="1"/>
  <c r="J65" i="27"/>
  <c r="L33" i="29" s="1"/>
  <c r="O65" i="27"/>
  <c r="Q33" i="29" s="1"/>
  <c r="Q41" i="35"/>
  <c r="Q43" s="1"/>
  <c r="U45" i="4"/>
  <c r="T50"/>
  <c r="T116" i="10" s="1"/>
  <c r="T55" i="11" s="1"/>
  <c r="T54" i="22"/>
  <c r="T187" i="10" s="1"/>
  <c r="S128"/>
  <c r="S69" i="11" s="1"/>
  <c r="S90" s="1"/>
  <c r="S55"/>
  <c r="S66" i="22"/>
  <c r="S199" i="10" s="1"/>
  <c r="S187"/>
  <c r="V208"/>
  <c r="V16" i="26"/>
  <c r="V182" i="10"/>
  <c r="V16" i="29"/>
  <c r="V103" i="10"/>
  <c r="V16" i="4"/>
  <c r="V16" i="35"/>
  <c r="V148" i="10"/>
  <c r="V16" i="9"/>
  <c r="V16" i="13"/>
  <c r="V16" i="8"/>
  <c r="W79" i="10"/>
  <c r="W16" i="37" s="1"/>
  <c r="V81" i="10"/>
  <c r="V82" s="1"/>
  <c r="V83" s="1"/>
  <c r="W33" i="8"/>
  <c r="R69" i="22"/>
  <c r="R202" i="10" s="1"/>
  <c r="R190"/>
  <c r="U19" i="26"/>
  <c r="U19" i="8"/>
  <c r="U19" i="4"/>
  <c r="U19" i="13"/>
  <c r="U19" i="29"/>
  <c r="U19" i="9"/>
  <c r="U19" i="35"/>
  <c r="R68" i="22"/>
  <c r="R201" i="10" s="1"/>
  <c r="R189"/>
  <c r="T19" i="9"/>
  <c r="T19" i="8"/>
  <c r="T19" i="35"/>
  <c r="T19" i="4"/>
  <c r="T19" i="26"/>
  <c r="T19" i="29"/>
  <c r="T19" i="13"/>
  <c r="S57" i="22"/>
  <c r="S119" i="10"/>
  <c r="Q93" i="32"/>
  <c r="N240" i="4"/>
  <c r="N241"/>
  <c r="J241"/>
  <c r="L241"/>
  <c r="H241"/>
  <c r="I241"/>
  <c r="F241"/>
  <c r="D241"/>
  <c r="K142" i="32"/>
  <c r="G143" s="1"/>
  <c r="K241" i="4"/>
  <c r="G241"/>
  <c r="M241"/>
  <c r="E241"/>
  <c r="E140" i="32"/>
  <c r="H140"/>
  <c r="F194"/>
  <c r="F270" s="1"/>
  <c r="J140"/>
  <c r="D140"/>
  <c r="I140"/>
  <c r="F140"/>
  <c r="G190"/>
  <c r="G266" s="1"/>
  <c r="R188" i="10"/>
  <c r="R67" i="22"/>
  <c r="R200" i="10" s="1"/>
  <c r="S55" i="22"/>
  <c r="S51" i="8"/>
  <c r="S117" i="10" s="1"/>
  <c r="T41" i="8"/>
  <c r="T49"/>
  <c r="T25" i="37" s="1"/>
  <c r="T26" s="1"/>
  <c r="F92" i="32"/>
  <c r="R129" i="10"/>
  <c r="R70" i="11" s="1"/>
  <c r="R56"/>
  <c r="K70"/>
  <c r="N229" i="4"/>
  <c r="N228" s="1"/>
  <c r="D236"/>
  <c r="D242"/>
  <c r="N235"/>
  <c r="W58" i="8"/>
  <c r="M200" i="10"/>
  <c r="L200"/>
  <c r="O65" i="29"/>
  <c r="M65"/>
  <c r="G91"/>
  <c r="S65"/>
  <c r="P65"/>
  <c r="Q65"/>
  <c r="R65"/>
  <c r="N65"/>
  <c r="L65"/>
  <c r="M70" i="11"/>
  <c r="E242" i="4"/>
  <c r="E243" s="1"/>
  <c r="E236"/>
  <c r="U53" i="13"/>
  <c r="U55" s="1"/>
  <c r="E7" i="32" l="1"/>
  <c r="K23" i="36"/>
  <c r="K29" s="1"/>
  <c r="K31" s="1"/>
  <c r="E10" i="32"/>
  <c r="F52"/>
  <c r="N53" s="1"/>
  <c r="N94" s="1"/>
  <c r="E8"/>
  <c r="F50"/>
  <c r="L53" s="1"/>
  <c r="W53" i="8"/>
  <c r="T55" i="9"/>
  <c r="T53"/>
  <c r="V55"/>
  <c r="V18" i="37"/>
  <c r="X14" i="8"/>
  <c r="Y14" s="1"/>
  <c r="X33" i="26"/>
  <c r="X40" s="1"/>
  <c r="X48"/>
  <c r="W47" i="9"/>
  <c r="W51" s="1"/>
  <c r="W53" s="1"/>
  <c r="X50" i="26"/>
  <c r="Y14"/>
  <c r="X74" i="9"/>
  <c r="V54" i="29"/>
  <c r="W14"/>
  <c r="V69"/>
  <c r="V31"/>
  <c r="X39" i="9"/>
  <c r="X61"/>
  <c r="V53" i="26"/>
  <c r="V55" s="1"/>
  <c r="V28" i="35" s="1"/>
  <c r="V30" s="1"/>
  <c r="V73" s="1"/>
  <c r="L73" i="37"/>
  <c r="L38"/>
  <c r="K73"/>
  <c r="K38"/>
  <c r="V37" i="13"/>
  <c r="V44" s="1"/>
  <c r="V49" i="37" s="1"/>
  <c r="V50" s="1"/>
  <c r="W53" i="26"/>
  <c r="W55" s="1"/>
  <c r="W28" i="35" s="1"/>
  <c r="W30" s="1"/>
  <c r="X14"/>
  <c r="W80"/>
  <c r="W32"/>
  <c r="W64" s="1"/>
  <c r="L67" i="37"/>
  <c r="L65"/>
  <c r="L68" s="1"/>
  <c r="M62"/>
  <c r="M64"/>
  <c r="L142" i="32"/>
  <c r="M25" i="27"/>
  <c r="L26"/>
  <c r="N61" i="37" s="1"/>
  <c r="N73" s="1"/>
  <c r="Y77" i="10"/>
  <c r="Y78"/>
  <c r="Y110"/>
  <c r="Z80"/>
  <c r="Z126" s="1"/>
  <c r="X44" i="11"/>
  <c r="X66" s="1"/>
  <c r="X42" i="22"/>
  <c r="X63" s="1"/>
  <c r="M5" i="30"/>
  <c r="X172" i="10"/>
  <c r="X210"/>
  <c r="X184"/>
  <c r="X150"/>
  <c r="M12" i="15"/>
  <c r="M73" i="37"/>
  <c r="J73"/>
  <c r="I73"/>
  <c r="I32"/>
  <c r="K32"/>
  <c r="N32"/>
  <c r="O32"/>
  <c r="L32"/>
  <c r="Q32"/>
  <c r="J32"/>
  <c r="P32"/>
  <c r="R32"/>
  <c r="M32"/>
  <c r="O40"/>
  <c r="O41" s="1"/>
  <c r="M40"/>
  <c r="M41" s="1"/>
  <c r="N43"/>
  <c r="N44"/>
  <c r="S52"/>
  <c r="S50"/>
  <c r="I50"/>
  <c r="I52"/>
  <c r="N52"/>
  <c r="N50"/>
  <c r="P40"/>
  <c r="P41" s="1"/>
  <c r="J40"/>
  <c r="J41" s="1"/>
  <c r="Q50"/>
  <c r="Q52"/>
  <c r="O52"/>
  <c r="O50"/>
  <c r="S31"/>
  <c r="K40"/>
  <c r="K41" s="1"/>
  <c r="I74"/>
  <c r="I58" i="22" s="1"/>
  <c r="I191" i="10" s="1"/>
  <c r="I40" i="37"/>
  <c r="R43"/>
  <c r="R44"/>
  <c r="K52"/>
  <c r="K50"/>
  <c r="P50"/>
  <c r="P52"/>
  <c r="Q40"/>
  <c r="Q41" s="1"/>
  <c r="L40"/>
  <c r="L41" s="1"/>
  <c r="J52"/>
  <c r="J50"/>
  <c r="L50"/>
  <c r="L52"/>
  <c r="M50"/>
  <c r="M52"/>
  <c r="U46" i="13"/>
  <c r="U49" i="37"/>
  <c r="U50" s="1"/>
  <c r="R53"/>
  <c r="R56" s="1"/>
  <c r="R55"/>
  <c r="X48" i="13"/>
  <c r="Y14"/>
  <c r="X67"/>
  <c r="X33"/>
  <c r="X40" s="1"/>
  <c r="W34" i="4"/>
  <c r="W48" s="1"/>
  <c r="X14"/>
  <c r="W31"/>
  <c r="W30"/>
  <c r="W53"/>
  <c r="W69" s="1"/>
  <c r="W121" s="1"/>
  <c r="W26"/>
  <c r="Y60" i="8"/>
  <c r="Z56"/>
  <c r="V32" i="4"/>
  <c r="T73" i="35"/>
  <c r="T38"/>
  <c r="U38" s="1"/>
  <c r="T41"/>
  <c r="U41" s="1"/>
  <c r="T35"/>
  <c r="U35" s="1"/>
  <c r="W43" i="8"/>
  <c r="S87" i="36"/>
  <c r="Q91"/>
  <c r="I137" i="32"/>
  <c r="J137"/>
  <c r="F137"/>
  <c r="H137"/>
  <c r="E137"/>
  <c r="E194"/>
  <c r="E270" s="1"/>
  <c r="D137"/>
  <c r="G137"/>
  <c r="Z51" i="35"/>
  <c r="K61" i="22" s="1"/>
  <c r="Q56" i="35"/>
  <c r="S51"/>
  <c r="S53" s="1"/>
  <c r="S43"/>
  <c r="K56"/>
  <c r="K58" s="1"/>
  <c r="K69" s="1"/>
  <c r="O37" i="29"/>
  <c r="O25" i="9"/>
  <c r="O29" s="1"/>
  <c r="J37" i="29"/>
  <c r="J25" i="9"/>
  <c r="J29" s="1"/>
  <c r="P56" i="35"/>
  <c r="L56"/>
  <c r="L58" s="1"/>
  <c r="L69" s="1"/>
  <c r="M56"/>
  <c r="I56"/>
  <c r="I58" s="1"/>
  <c r="I69" s="1"/>
  <c r="N56"/>
  <c r="P37" i="29"/>
  <c r="P25" i="9"/>
  <c r="P29" s="1"/>
  <c r="L25"/>
  <c r="L29" s="1"/>
  <c r="L37" i="29"/>
  <c r="M25" i="9"/>
  <c r="M29" s="1"/>
  <c r="M37" i="29"/>
  <c r="I37"/>
  <c r="I25" i="9"/>
  <c r="I29" s="1"/>
  <c r="N25"/>
  <c r="N29" s="1"/>
  <c r="N37" i="29"/>
  <c r="Q37"/>
  <c r="Q25" i="9"/>
  <c r="Q29" s="1"/>
  <c r="R56" i="35"/>
  <c r="K37" i="29"/>
  <c r="K25" i="9"/>
  <c r="K29" s="1"/>
  <c r="O56" i="35"/>
  <c r="J56"/>
  <c r="J58" s="1"/>
  <c r="J69" s="1"/>
  <c r="V45" i="4"/>
  <c r="U54" i="22"/>
  <c r="U50" i="4"/>
  <c r="U116" i="10" s="1"/>
  <c r="U55" i="11" s="1"/>
  <c r="W16" i="4"/>
  <c r="W16" i="13"/>
  <c r="W16" i="29"/>
  <c r="W16" i="26"/>
  <c r="W16" i="8"/>
  <c r="W16" i="35"/>
  <c r="W182" i="10"/>
  <c r="W16" i="9"/>
  <c r="X79" i="10"/>
  <c r="X16" i="37" s="1"/>
  <c r="W103" i="10"/>
  <c r="W208"/>
  <c r="W148"/>
  <c r="W81"/>
  <c r="W82" s="1"/>
  <c r="W83" s="1"/>
  <c r="V18" i="8"/>
  <c r="V20" s="1"/>
  <c r="V18" i="9"/>
  <c r="V20" s="1"/>
  <c r="V18" i="4"/>
  <c r="V20" s="1"/>
  <c r="V18" i="13"/>
  <c r="V20" s="1"/>
  <c r="V18" i="26"/>
  <c r="V20" s="1"/>
  <c r="V18" i="29"/>
  <c r="V20" s="1"/>
  <c r="V18" i="35"/>
  <c r="V20" s="1"/>
  <c r="S58" i="11"/>
  <c r="S131" i="10"/>
  <c r="S72" i="11" s="1"/>
  <c r="Y61" i="9"/>
  <c r="Y39"/>
  <c r="Y74"/>
  <c r="Z14"/>
  <c r="S190" i="10"/>
  <c r="S69" i="22"/>
  <c r="S202" i="10" s="1"/>
  <c r="T57" i="22"/>
  <c r="T35" i="13"/>
  <c r="T119" i="10" s="1"/>
  <c r="T58" i="11" s="1"/>
  <c r="F143" i="32"/>
  <c r="G194"/>
  <c r="G270" s="1"/>
  <c r="E143"/>
  <c r="J143"/>
  <c r="D143"/>
  <c r="I143"/>
  <c r="H143"/>
  <c r="L94"/>
  <c r="U49" i="8"/>
  <c r="U25" i="37" s="1"/>
  <c r="U26" s="1"/>
  <c r="U41" i="8"/>
  <c r="T55" i="22"/>
  <c r="T188" i="10" s="1"/>
  <c r="T51" i="8"/>
  <c r="T117" i="10" s="1"/>
  <c r="T56" i="11" s="1"/>
  <c r="S67" i="22"/>
  <c r="S200" i="10" s="1"/>
  <c r="S188"/>
  <c r="S56" i="11"/>
  <c r="S129" i="10"/>
  <c r="S70" i="11" s="1"/>
  <c r="Y33" i="26"/>
  <c r="Y40" s="1"/>
  <c r="Y67"/>
  <c r="Z14"/>
  <c r="X58" i="8"/>
  <c r="N236" i="4"/>
  <c r="D243"/>
  <c r="N243" s="1"/>
  <c r="N242"/>
  <c r="V53" i="13"/>
  <c r="V55" s="1"/>
  <c r="K25" i="36" l="1"/>
  <c r="K27" s="1"/>
  <c r="K33" s="1"/>
  <c r="L23" s="1"/>
  <c r="Y50" i="26"/>
  <c r="Z50" s="1"/>
  <c r="X47" i="9"/>
  <c r="X51" s="1"/>
  <c r="X53" s="1"/>
  <c r="W55"/>
  <c r="X74" i="8"/>
  <c r="X53"/>
  <c r="Y48" i="26"/>
  <c r="Z48" s="1"/>
  <c r="X33" i="8"/>
  <c r="W18" i="37"/>
  <c r="X53" i="26"/>
  <c r="X55" s="1"/>
  <c r="X28" i="35" s="1"/>
  <c r="X30" s="1"/>
  <c r="W31" i="29"/>
  <c r="W69"/>
  <c r="W54"/>
  <c r="X14"/>
  <c r="V60"/>
  <c r="V41" i="35"/>
  <c r="W41" s="1"/>
  <c r="V38"/>
  <c r="W38" s="1"/>
  <c r="W60" i="29"/>
  <c r="W37" i="13"/>
  <c r="W44" s="1"/>
  <c r="W49" i="37" s="1"/>
  <c r="W50" s="1"/>
  <c r="I77"/>
  <c r="I41"/>
  <c r="V46" i="13"/>
  <c r="T190" i="10"/>
  <c r="U187"/>
  <c r="W73" i="35"/>
  <c r="X80"/>
  <c r="X32"/>
  <c r="X64" s="1"/>
  <c r="Y14"/>
  <c r="N25" i="27"/>
  <c r="M26"/>
  <c r="O61" i="37" s="1"/>
  <c r="M65"/>
  <c r="M68" s="1"/>
  <c r="M67"/>
  <c r="N62"/>
  <c r="N74" s="1"/>
  <c r="N64"/>
  <c r="N77" s="1"/>
  <c r="Y172" i="10"/>
  <c r="N5" i="30"/>
  <c r="Y150" i="10"/>
  <c r="Y184"/>
  <c r="Y210"/>
  <c r="N12" i="15"/>
  <c r="Y44" i="11"/>
  <c r="Y66" s="1"/>
  <c r="Y42" i="22"/>
  <c r="Y63" s="1"/>
  <c r="Z110" i="10"/>
  <c r="AA80"/>
  <c r="AA126" s="1"/>
  <c r="Z78"/>
  <c r="Z77"/>
  <c r="P65" i="27"/>
  <c r="R33" i="29" s="1"/>
  <c r="K77" i="37"/>
  <c r="J77"/>
  <c r="I75"/>
  <c r="I120" i="10" s="1"/>
  <c r="I40" i="29"/>
  <c r="I42" s="1"/>
  <c r="I44" s="1"/>
  <c r="L74" i="37"/>
  <c r="L58" i="22" s="1"/>
  <c r="L191" i="10" s="1"/>
  <c r="K74" i="37"/>
  <c r="K58" i="22" s="1"/>
  <c r="K191" i="10" s="1"/>
  <c r="J74" i="37"/>
  <c r="J58" i="22" s="1"/>
  <c r="J191" i="10" s="1"/>
  <c r="M74" i="37"/>
  <c r="M58" i="22" s="1"/>
  <c r="M191" i="10" s="1"/>
  <c r="L77" i="37"/>
  <c r="M77"/>
  <c r="S32"/>
  <c r="P53"/>
  <c r="P56" s="1"/>
  <c r="P55"/>
  <c r="K43"/>
  <c r="J43"/>
  <c r="M43"/>
  <c r="M53"/>
  <c r="M56" s="1"/>
  <c r="M55"/>
  <c r="Q43"/>
  <c r="O53"/>
  <c r="O56" s="1"/>
  <c r="O55"/>
  <c r="N53"/>
  <c r="N56" s="1"/>
  <c r="N55"/>
  <c r="S53"/>
  <c r="S56" s="1"/>
  <c r="S55"/>
  <c r="J53"/>
  <c r="J56" s="1"/>
  <c r="J55"/>
  <c r="I43"/>
  <c r="Q53"/>
  <c r="Q56" s="1"/>
  <c r="Q55"/>
  <c r="P43"/>
  <c r="I53"/>
  <c r="I56" s="1"/>
  <c r="I55"/>
  <c r="O43"/>
  <c r="L53"/>
  <c r="L56" s="1"/>
  <c r="L55"/>
  <c r="L43"/>
  <c r="K53"/>
  <c r="K56" s="1"/>
  <c r="K55"/>
  <c r="Z60" i="8"/>
  <c r="AA56"/>
  <c r="X34" i="4"/>
  <c r="X48" s="1"/>
  <c r="Y14"/>
  <c r="X31"/>
  <c r="X53"/>
  <c r="X69" s="1"/>
  <c r="X121" s="1"/>
  <c r="X26"/>
  <c r="X30"/>
  <c r="Y48" i="13"/>
  <c r="Z14"/>
  <c r="Y67"/>
  <c r="Y33"/>
  <c r="Y40" s="1"/>
  <c r="W32" i="4"/>
  <c r="T43" i="35"/>
  <c r="T61" i="22" s="1"/>
  <c r="X43" i="8"/>
  <c r="S91" i="36"/>
  <c r="Q95"/>
  <c r="S95" s="1"/>
  <c r="J61" i="22"/>
  <c r="J73" s="1"/>
  <c r="J206" i="10" s="1"/>
  <c r="O61" i="22"/>
  <c r="O194" i="10" s="1"/>
  <c r="R61" i="22"/>
  <c r="R194" i="10" s="1"/>
  <c r="I61" i="22"/>
  <c r="I194" i="10" s="1"/>
  <c r="L61" i="22"/>
  <c r="L194" i="10" s="1"/>
  <c r="N61" i="22"/>
  <c r="N73" s="1"/>
  <c r="N206" i="10" s="1"/>
  <c r="M61" i="22"/>
  <c r="M194" i="10" s="1"/>
  <c r="P61" i="22"/>
  <c r="P73" s="1"/>
  <c r="P206" i="10" s="1"/>
  <c r="S61" i="22"/>
  <c r="S73" s="1"/>
  <c r="S206" i="10" s="1"/>
  <c r="K194"/>
  <c r="K73" i="22"/>
  <c r="K206" i="10" s="1"/>
  <c r="K31" i="9"/>
  <c r="K62" s="1"/>
  <c r="K122" i="10" s="1"/>
  <c r="K57" i="9"/>
  <c r="Q31"/>
  <c r="Q62" s="1"/>
  <c r="Q122" i="10" s="1"/>
  <c r="Q57" i="9"/>
  <c r="I31"/>
  <c r="I62" s="1"/>
  <c r="I122" i="10" s="1"/>
  <c r="I57" i="9"/>
  <c r="O31"/>
  <c r="O62" s="1"/>
  <c r="O122" i="10" s="1"/>
  <c r="O57" i="9"/>
  <c r="O58" i="35"/>
  <c r="O69" s="1"/>
  <c r="R58"/>
  <c r="R69" s="1"/>
  <c r="N31" i="9"/>
  <c r="N62" s="1"/>
  <c r="N122" i="10" s="1"/>
  <c r="N57" i="9"/>
  <c r="M31"/>
  <c r="M62" s="1"/>
  <c r="M122" i="10" s="1"/>
  <c r="M57" i="9"/>
  <c r="Q61" i="22"/>
  <c r="P31" i="9"/>
  <c r="P62" s="1"/>
  <c r="P122" i="10" s="1"/>
  <c r="P57" i="9"/>
  <c r="J57"/>
  <c r="J31"/>
  <c r="J62" s="1"/>
  <c r="J122" i="10" s="1"/>
  <c r="Q58" i="35"/>
  <c r="L31" i="9"/>
  <c r="L62" s="1"/>
  <c r="L122" i="10" s="1"/>
  <c r="L57" i="9"/>
  <c r="N58" i="35"/>
  <c r="N69" s="1"/>
  <c r="M58"/>
  <c r="M69" s="1"/>
  <c r="P58"/>
  <c r="P69" s="1"/>
  <c r="S56"/>
  <c r="S123" i="10"/>
  <c r="V50" i="4"/>
  <c r="V116" i="10" s="1"/>
  <c r="V55" i="11" s="1"/>
  <c r="W45" i="4"/>
  <c r="V54" i="22"/>
  <c r="W18" i="26"/>
  <c r="W20" s="1"/>
  <c r="W18" i="13"/>
  <c r="W20" s="1"/>
  <c r="W18" i="9"/>
  <c r="W20" s="1"/>
  <c r="W18" i="29"/>
  <c r="W20" s="1"/>
  <c r="W18" i="8"/>
  <c r="W20" s="1"/>
  <c r="W18" i="4"/>
  <c r="W20" s="1"/>
  <c r="W18" i="35"/>
  <c r="W20" s="1"/>
  <c r="X16" i="29"/>
  <c r="X182" i="10"/>
  <c r="X16" i="8"/>
  <c r="X16" i="35"/>
  <c r="X16" i="13"/>
  <c r="X208" i="10"/>
  <c r="X16" i="9"/>
  <c r="X103" i="10"/>
  <c r="X16" i="4"/>
  <c r="X148" i="10"/>
  <c r="X16" i="26"/>
  <c r="Y79" i="10"/>
  <c r="Y16" i="37" s="1"/>
  <c r="X81" i="10"/>
  <c r="X82" s="1"/>
  <c r="X83" s="1"/>
  <c r="V19" i="29"/>
  <c r="V19" i="4"/>
  <c r="V19" i="13"/>
  <c r="V19" i="26"/>
  <c r="V19" i="35"/>
  <c r="V19" i="9"/>
  <c r="V19" i="8"/>
  <c r="Y53"/>
  <c r="Z14"/>
  <c r="Y74"/>
  <c r="Y33"/>
  <c r="Z74" i="9"/>
  <c r="Z39"/>
  <c r="AA14"/>
  <c r="Z61"/>
  <c r="U35" i="13"/>
  <c r="U119" i="10" s="1"/>
  <c r="U58" i="11" s="1"/>
  <c r="U57" i="22"/>
  <c r="X55" i="9"/>
  <c r="V49" i="8"/>
  <c r="V25" i="37" s="1"/>
  <c r="V26" s="1"/>
  <c r="V41" i="8"/>
  <c r="U55" i="22"/>
  <c r="U51" i="8"/>
  <c r="U117" i="10" s="1"/>
  <c r="U56" i="11" s="1"/>
  <c r="U43" i="35"/>
  <c r="V35"/>
  <c r="W53" i="13"/>
  <c r="W55" s="1"/>
  <c r="Z33" i="26"/>
  <c r="Z40" s="1"/>
  <c r="Z67"/>
  <c r="AA14"/>
  <c r="Y58" i="8"/>
  <c r="E14" i="32" l="1"/>
  <c r="F56"/>
  <c r="R53" s="1"/>
  <c r="Q94" s="1"/>
  <c r="I59" i="11"/>
  <c r="E53" i="32"/>
  <c r="O52" s="1"/>
  <c r="Y53" i="26"/>
  <c r="Y55" s="1"/>
  <c r="Y28" i="35" s="1"/>
  <c r="Y30" s="1"/>
  <c r="Y47" i="9"/>
  <c r="Y51" s="1"/>
  <c r="Y53" s="1"/>
  <c r="X60" i="29"/>
  <c r="X18" i="37"/>
  <c r="AA50" i="26"/>
  <c r="X69" i="29"/>
  <c r="X54"/>
  <c r="X31"/>
  <c r="Y14"/>
  <c r="X73" i="35"/>
  <c r="W46" i="13"/>
  <c r="X37"/>
  <c r="X44" s="1"/>
  <c r="X49" i="37" s="1"/>
  <c r="X50" s="1"/>
  <c r="U190" i="10"/>
  <c r="U188"/>
  <c r="V187"/>
  <c r="N40" i="29"/>
  <c r="N42" s="1"/>
  <c r="N44" s="1"/>
  <c r="N46" s="1"/>
  <c r="N121" i="10" s="1"/>
  <c r="N58" i="22"/>
  <c r="N191" i="10" s="1"/>
  <c r="P194"/>
  <c r="Z14" i="35"/>
  <c r="Y32"/>
  <c r="Y64" s="1"/>
  <c r="Y80"/>
  <c r="I132" i="10"/>
  <c r="I73" i="11" s="1"/>
  <c r="N75" i="37"/>
  <c r="N120" i="10" s="1"/>
  <c r="O62" i="37"/>
  <c r="O74" s="1"/>
  <c r="O58" i="22" s="1"/>
  <c r="O191" i="10" s="1"/>
  <c r="O64" i="37"/>
  <c r="O73"/>
  <c r="N65"/>
  <c r="N68" s="1"/>
  <c r="N82" s="1"/>
  <c r="N67"/>
  <c r="N81" s="1"/>
  <c r="O25" i="27"/>
  <c r="N26"/>
  <c r="P61" i="37" s="1"/>
  <c r="Q65" i="27"/>
  <c r="S33" i="29" s="1"/>
  <c r="S37" s="1"/>
  <c r="Z172" i="10"/>
  <c r="O12" i="15"/>
  <c r="Z44" i="11"/>
  <c r="Z66" s="1"/>
  <c r="Z150" i="10"/>
  <c r="Z210"/>
  <c r="Z184"/>
  <c r="Z42" i="22"/>
  <c r="Z63" s="1"/>
  <c r="O5" i="30"/>
  <c r="AA110" i="10"/>
  <c r="AA78"/>
  <c r="AB80"/>
  <c r="AB126" s="1"/>
  <c r="AA77"/>
  <c r="R37" i="29"/>
  <c r="R25" i="9"/>
  <c r="R29" s="1"/>
  <c r="R31" s="1"/>
  <c r="R62" s="1"/>
  <c r="R122" i="10" s="1"/>
  <c r="I48" i="29"/>
  <c r="I59" i="22" s="1"/>
  <c r="I46" i="29"/>
  <c r="I121" i="10" s="1"/>
  <c r="J75" i="37"/>
  <c r="J120" i="10" s="1"/>
  <c r="J40" i="29"/>
  <c r="J42" s="1"/>
  <c r="J44" s="1"/>
  <c r="M75" i="37"/>
  <c r="M120" i="10" s="1"/>
  <c r="M40" i="29"/>
  <c r="M42" s="1"/>
  <c r="M44" s="1"/>
  <c r="L75" i="37"/>
  <c r="L120" i="10" s="1"/>
  <c r="L40" i="29"/>
  <c r="L42" s="1"/>
  <c r="L44" s="1"/>
  <c r="K75" i="37"/>
  <c r="K120" i="10" s="1"/>
  <c r="K40" i="29"/>
  <c r="K42" s="1"/>
  <c r="K44" s="1"/>
  <c r="M81" i="37"/>
  <c r="K44"/>
  <c r="K82" s="1"/>
  <c r="K78"/>
  <c r="L44"/>
  <c r="L82" s="1"/>
  <c r="L78"/>
  <c r="P44"/>
  <c r="I44"/>
  <c r="I82" s="1"/>
  <c r="I78"/>
  <c r="J81"/>
  <c r="O44"/>
  <c r="J44"/>
  <c r="J82" s="1"/>
  <c r="J78"/>
  <c r="L81"/>
  <c r="I81"/>
  <c r="Q44"/>
  <c r="M44"/>
  <c r="M82" s="1"/>
  <c r="M78"/>
  <c r="K81"/>
  <c r="Y34" i="4"/>
  <c r="Y48" s="1"/>
  <c r="Y31"/>
  <c r="Y53"/>
  <c r="Y69" s="1"/>
  <c r="Y121" s="1"/>
  <c r="Y30"/>
  <c r="Y26"/>
  <c r="Z14"/>
  <c r="I73" i="22"/>
  <c r="I206" i="10" s="1"/>
  <c r="Z48" i="13"/>
  <c r="Z67"/>
  <c r="Z33"/>
  <c r="Z40" s="1"/>
  <c r="AA14"/>
  <c r="AA60" i="8"/>
  <c r="AB56"/>
  <c r="X32" i="4"/>
  <c r="X46" i="13"/>
  <c r="AA48" i="26"/>
  <c r="O73" i="22"/>
  <c r="O206" i="10" s="1"/>
  <c r="Y43" i="8"/>
  <c r="R73" i="22"/>
  <c r="R206" i="10" s="1"/>
  <c r="L73" i="22"/>
  <c r="L206" i="10" s="1"/>
  <c r="S194"/>
  <c r="M73" i="22"/>
  <c r="M206" i="10" s="1"/>
  <c r="N194"/>
  <c r="J194"/>
  <c r="L61" i="11"/>
  <c r="L134" i="10"/>
  <c r="L75" i="11" s="1"/>
  <c r="Q60" i="35"/>
  <c r="Q69"/>
  <c r="P61" i="11"/>
  <c r="P134" i="10"/>
  <c r="P75" i="11" s="1"/>
  <c r="M61"/>
  <c r="M134" i="10"/>
  <c r="M75" i="11" s="1"/>
  <c r="E96" i="32"/>
  <c r="I134" i="10"/>
  <c r="I75" i="11" s="1"/>
  <c r="I61"/>
  <c r="E55" i="32"/>
  <c r="Q52" s="1"/>
  <c r="K61" i="11"/>
  <c r="K134" i="10"/>
  <c r="K75" i="11" s="1"/>
  <c r="S58" i="35"/>
  <c r="S69" s="1"/>
  <c r="S62" i="11"/>
  <c r="S135" i="10"/>
  <c r="S76" i="11" s="1"/>
  <c r="J134" i="10"/>
  <c r="J75" i="11" s="1"/>
  <c r="J61"/>
  <c r="Q194" i="10"/>
  <c r="Q73" i="22"/>
  <c r="Q206" i="10" s="1"/>
  <c r="N134"/>
  <c r="N75" i="11" s="1"/>
  <c r="N61"/>
  <c r="O134" i="10"/>
  <c r="O75" i="11" s="1"/>
  <c r="O61"/>
  <c r="Q134" i="10"/>
  <c r="Q75" i="11" s="1"/>
  <c r="Q61"/>
  <c r="X45" i="4"/>
  <c r="W54" i="22"/>
  <c r="W50" i="4"/>
  <c r="W116" i="10" s="1"/>
  <c r="W55" i="11" s="1"/>
  <c r="X18" i="35"/>
  <c r="X20" s="1"/>
  <c r="X18" i="4"/>
  <c r="X20" s="1"/>
  <c r="X18" i="29"/>
  <c r="X20" s="1"/>
  <c r="X18" i="26"/>
  <c r="X20" s="1"/>
  <c r="X18" i="9"/>
  <c r="X20" s="1"/>
  <c r="X18" i="8"/>
  <c r="X20" s="1"/>
  <c r="X18" i="13"/>
  <c r="X20" s="1"/>
  <c r="W19" i="8"/>
  <c r="W19" i="9"/>
  <c r="W19" i="4"/>
  <c r="W19" i="29"/>
  <c r="W19" i="35"/>
  <c r="W19" i="26"/>
  <c r="W19" i="13"/>
  <c r="Y16" i="35"/>
  <c r="Y103" i="10"/>
  <c r="Y182"/>
  <c r="Y148"/>
  <c r="Y16" i="8"/>
  <c r="Y208" i="10"/>
  <c r="Y16" i="26"/>
  <c r="Y16" i="4"/>
  <c r="Y16" i="29"/>
  <c r="Y16" i="13"/>
  <c r="Y16" i="9"/>
  <c r="Z79" i="10"/>
  <c r="Z16" i="37" s="1"/>
  <c r="Y81" i="10"/>
  <c r="Y82" s="1"/>
  <c r="Y83" s="1"/>
  <c r="Z53" i="8"/>
  <c r="AA14"/>
  <c r="Z33"/>
  <c r="Z74"/>
  <c r="T88" i="10"/>
  <c r="V57" i="22"/>
  <c r="V35" i="13"/>
  <c r="V119" i="10" s="1"/>
  <c r="V58" i="11" s="1"/>
  <c r="AA74" i="9"/>
  <c r="AB14"/>
  <c r="AA61"/>
  <c r="AA39"/>
  <c r="V51" i="8"/>
  <c r="V117" i="10" s="1"/>
  <c r="V56" i="11" s="1"/>
  <c r="V55" i="22"/>
  <c r="W41" i="8"/>
  <c r="W49"/>
  <c r="W25" i="37" s="1"/>
  <c r="W26" s="1"/>
  <c r="Z58" i="8"/>
  <c r="T194" i="10"/>
  <c r="AA33" i="26"/>
  <c r="AA40" s="1"/>
  <c r="AB14"/>
  <c r="AA67"/>
  <c r="X41" i="35"/>
  <c r="Z53" i="26"/>
  <c r="Z55" s="1"/>
  <c r="X53" i="13"/>
  <c r="X55" s="1"/>
  <c r="U61" i="22"/>
  <c r="X38" i="35"/>
  <c r="W35"/>
  <c r="V43"/>
  <c r="Y60" i="29" l="1"/>
  <c r="AB50" i="26"/>
  <c r="Y55" i="9"/>
  <c r="Z47"/>
  <c r="AA47" s="1"/>
  <c r="AA51" s="1"/>
  <c r="AA53" s="1"/>
  <c r="Y18" i="37"/>
  <c r="Y73" i="35"/>
  <c r="Z14" i="29"/>
  <c r="Y69"/>
  <c r="Y31"/>
  <c r="Y54"/>
  <c r="Y37" i="13"/>
  <c r="Y44" s="1"/>
  <c r="Y49" i="37" s="1"/>
  <c r="Y50" s="1"/>
  <c r="K132" i="10"/>
  <c r="K73" i="11" s="1"/>
  <c r="K59"/>
  <c r="M132" i="10"/>
  <c r="M73" i="11" s="1"/>
  <c r="M59"/>
  <c r="N132" i="10"/>
  <c r="N73" i="11" s="1"/>
  <c r="N59"/>
  <c r="L132" i="10"/>
  <c r="L73" i="11" s="1"/>
  <c r="L59"/>
  <c r="J132" i="10"/>
  <c r="J73" i="11" s="1"/>
  <c r="J59"/>
  <c r="O40" i="29"/>
  <c r="O42" s="1"/>
  <c r="O44" s="1"/>
  <c r="O46" s="1"/>
  <c r="N48"/>
  <c r="N59" i="22" s="1"/>
  <c r="N71" s="1"/>
  <c r="N204" i="10" s="1"/>
  <c r="O75" i="37"/>
  <c r="O120" i="10" s="1"/>
  <c r="I79" i="37"/>
  <c r="I83" s="1"/>
  <c r="I70" i="22"/>
  <c r="I203" i="10" s="1"/>
  <c r="V188"/>
  <c r="K79" i="37"/>
  <c r="K83" s="1"/>
  <c r="K70" i="22"/>
  <c r="K203" i="10" s="1"/>
  <c r="J79" i="37"/>
  <c r="J83" s="1"/>
  <c r="J70" i="22"/>
  <c r="J203" i="10" s="1"/>
  <c r="V190"/>
  <c r="W187"/>
  <c r="M79" i="37"/>
  <c r="M70" i="22"/>
  <c r="M203" i="10" s="1"/>
  <c r="L79" i="37"/>
  <c r="L83" s="1"/>
  <c r="L70" i="22"/>
  <c r="L203" i="10" s="1"/>
  <c r="R57" i="9"/>
  <c r="N53" i="22"/>
  <c r="N44" s="1"/>
  <c r="I50" i="29"/>
  <c r="N50"/>
  <c r="M83" i="37"/>
  <c r="Z32" i="35"/>
  <c r="Z64" s="1"/>
  <c r="Z80"/>
  <c r="AA14"/>
  <c r="T37" i="29"/>
  <c r="P62" i="37"/>
  <c r="P74" s="1"/>
  <c r="P58" i="22" s="1"/>
  <c r="P191" i="10" s="1"/>
  <c r="P64" i="37"/>
  <c r="P73"/>
  <c r="P25" i="27"/>
  <c r="P26" s="1"/>
  <c r="O26"/>
  <c r="Q61" i="37" s="1"/>
  <c r="O65"/>
  <c r="O67"/>
  <c r="O81" s="1"/>
  <c r="O77"/>
  <c r="N78"/>
  <c r="AA210" i="10"/>
  <c r="AA150"/>
  <c r="AA44" i="11"/>
  <c r="AA66" s="1"/>
  <c r="AA42" i="22"/>
  <c r="AA63" s="1"/>
  <c r="P5" i="30"/>
  <c r="P12" i="15"/>
  <c r="AA184" i="10"/>
  <c r="AA172"/>
  <c r="AB78"/>
  <c r="AC80"/>
  <c r="AC126" s="1"/>
  <c r="AB77"/>
  <c r="AB110"/>
  <c r="I192"/>
  <c r="I186" s="1"/>
  <c r="I71" i="22"/>
  <c r="I204" i="10" s="1"/>
  <c r="K46" i="29"/>
  <c r="K48"/>
  <c r="K59" i="22" s="1"/>
  <c r="L48" i="29"/>
  <c r="L59" i="22" s="1"/>
  <c r="L46" i="29"/>
  <c r="J46"/>
  <c r="J48"/>
  <c r="J59" i="22" s="1"/>
  <c r="M48" i="29"/>
  <c r="M59" i="22" s="1"/>
  <c r="M46" i="29"/>
  <c r="I53" i="22"/>
  <c r="I44" s="1"/>
  <c r="AA48" i="13"/>
  <c r="AA67"/>
  <c r="AA33"/>
  <c r="AA40" s="1"/>
  <c r="AB14"/>
  <c r="Y32" i="4"/>
  <c r="Z34"/>
  <c r="Z26"/>
  <c r="Z31"/>
  <c r="Z53"/>
  <c r="Z69" s="1"/>
  <c r="Z121" s="1"/>
  <c r="Z30"/>
  <c r="AA14"/>
  <c r="AB60" i="8"/>
  <c r="AC56"/>
  <c r="AB48" i="26"/>
  <c r="Z43" i="8"/>
  <c r="I115" i="10"/>
  <c r="E54" i="32"/>
  <c r="E95"/>
  <c r="E98" s="1"/>
  <c r="G98" s="1"/>
  <c r="I60" i="11"/>
  <c r="I133" i="10"/>
  <c r="N115"/>
  <c r="N60" i="11"/>
  <c r="N133" i="10"/>
  <c r="T58" i="35"/>
  <c r="P93" i="32"/>
  <c r="X54" i="22"/>
  <c r="X50" i="4"/>
  <c r="X116" i="10" s="1"/>
  <c r="X55" i="11" s="1"/>
  <c r="Y45" i="4"/>
  <c r="Y18" i="29"/>
  <c r="Y20" s="1"/>
  <c r="Y18" i="9"/>
  <c r="Y20" s="1"/>
  <c r="Y18" i="4"/>
  <c r="Y20" s="1"/>
  <c r="Y18" i="13"/>
  <c r="Y20" s="1"/>
  <c r="Y18" i="8"/>
  <c r="Y20" s="1"/>
  <c r="Y18" i="26"/>
  <c r="Y20" s="1"/>
  <c r="Y18" i="35"/>
  <c r="Y20" s="1"/>
  <c r="X19" i="26"/>
  <c r="X19" i="8"/>
  <c r="X19" i="35"/>
  <c r="X19" i="29"/>
  <c r="X19" i="9"/>
  <c r="X19" i="4"/>
  <c r="X19" i="13"/>
  <c r="Z16" i="35"/>
  <c r="Z16" i="26"/>
  <c r="Z16" i="4"/>
  <c r="Z208" i="10"/>
  <c r="Z16" i="13"/>
  <c r="Z16" i="9"/>
  <c r="AA79" i="10"/>
  <c r="AA16" i="37" s="1"/>
  <c r="Z182" i="10"/>
  <c r="Z16" i="8"/>
  <c r="Z16" i="29"/>
  <c r="Z148" i="10"/>
  <c r="Z103"/>
  <c r="Z81"/>
  <c r="Z82" s="1"/>
  <c r="Z83" s="1"/>
  <c r="AA53" i="8"/>
  <c r="AA33"/>
  <c r="AA74"/>
  <c r="AB14"/>
  <c r="T87" i="10"/>
  <c r="U85" s="1"/>
  <c r="U86" s="1"/>
  <c r="U88" s="1"/>
  <c r="T23" i="8"/>
  <c r="T72" s="1"/>
  <c r="T21" s="1"/>
  <c r="T22" i="9"/>
  <c r="T71" s="1"/>
  <c r="T23" i="29"/>
  <c r="T65" s="1"/>
  <c r="T21" s="1"/>
  <c r="T22" i="4"/>
  <c r="T59" s="1"/>
  <c r="T61" s="1"/>
  <c r="T64" s="1"/>
  <c r="T65" s="1"/>
  <c r="T66" s="1"/>
  <c r="T23" i="13"/>
  <c r="T65" s="1"/>
  <c r="T21" s="1"/>
  <c r="T23" i="26"/>
  <c r="T65" s="1"/>
  <c r="T21" s="1"/>
  <c r="T23" i="35"/>
  <c r="AB61" i="9"/>
  <c r="AB74"/>
  <c r="AB39"/>
  <c r="AC14"/>
  <c r="W57" i="22"/>
  <c r="W35" i="13"/>
  <c r="W119" i="10" s="1"/>
  <c r="W58" i="11" s="1"/>
  <c r="AB47" i="9"/>
  <c r="W55" i="22"/>
  <c r="W51" i="8"/>
  <c r="W117" i="10" s="1"/>
  <c r="W56" i="11" s="1"/>
  <c r="X41" i="8"/>
  <c r="X49"/>
  <c r="X25" i="37" s="1"/>
  <c r="X26" s="1"/>
  <c r="Y41" i="35"/>
  <c r="R61" i="11"/>
  <c r="R134" i="10"/>
  <c r="R75" i="11" s="1"/>
  <c r="F96" i="32"/>
  <c r="W43" i="35"/>
  <c r="X35"/>
  <c r="U194" i="10"/>
  <c r="AA53" i="26"/>
  <c r="AA55" s="1"/>
  <c r="Y38" i="35"/>
  <c r="Y53" i="13"/>
  <c r="Y55" s="1"/>
  <c r="Z28" i="35"/>
  <c r="Z30" s="1"/>
  <c r="Z60" i="29"/>
  <c r="V61" i="22"/>
  <c r="AB33" i="26"/>
  <c r="AB40" s="1"/>
  <c r="AC14"/>
  <c r="AC50" s="1"/>
  <c r="AB67"/>
  <c r="S25" i="9"/>
  <c r="S29" s="1"/>
  <c r="AA58" i="8"/>
  <c r="F120" i="10" l="1"/>
  <c r="I100"/>
  <c r="Z51" i="9"/>
  <c r="Z53" s="1"/>
  <c r="Z18" i="37"/>
  <c r="Z69" i="29"/>
  <c r="AA14"/>
  <c r="Z54"/>
  <c r="Z31"/>
  <c r="Z73" i="35"/>
  <c r="Y46" i="13"/>
  <c r="Z37"/>
  <c r="Z44" s="1"/>
  <c r="Z49" i="37" s="1"/>
  <c r="Z50" s="1"/>
  <c r="O132" i="10"/>
  <c r="O73" i="11" s="1"/>
  <c r="O59"/>
  <c r="I198" i="10"/>
  <c r="O48" i="29"/>
  <c r="O59" i="22" s="1"/>
  <c r="O53" s="1"/>
  <c r="O44" s="1"/>
  <c r="N192" i="10"/>
  <c r="N186" s="1"/>
  <c r="W188"/>
  <c r="X187"/>
  <c r="N79" i="37"/>
  <c r="N83" s="1"/>
  <c r="N70" i="22"/>
  <c r="W190" i="10"/>
  <c r="I65" i="22"/>
  <c r="I46" s="1"/>
  <c r="AA80" i="35"/>
  <c r="AB14"/>
  <c r="AA32"/>
  <c r="AA64" s="1"/>
  <c r="Q25" i="27"/>
  <c r="R61" i="37"/>
  <c r="P65"/>
  <c r="P67"/>
  <c r="P81" s="1"/>
  <c r="P77"/>
  <c r="P75"/>
  <c r="P120" i="10" s="1"/>
  <c r="P40" i="29"/>
  <c r="P42" s="1"/>
  <c r="P44" s="1"/>
  <c r="O68" i="37"/>
  <c r="O82" s="1"/>
  <c r="O78"/>
  <c r="Q62"/>
  <c r="Q74" s="1"/>
  <c r="Q58" i="22" s="1"/>
  <c r="Q191" i="10" s="1"/>
  <c r="Q64" i="37"/>
  <c r="Q73"/>
  <c r="AB210" i="10"/>
  <c r="AB184"/>
  <c r="AB172"/>
  <c r="AB44" i="11"/>
  <c r="AB66" s="1"/>
  <c r="AB150" i="10"/>
  <c r="Q5" i="30"/>
  <c r="AB42" i="22"/>
  <c r="AB63" s="1"/>
  <c r="Q12" i="15"/>
  <c r="AC77" i="10"/>
  <c r="AD80"/>
  <c r="AD126" s="1"/>
  <c r="AC78"/>
  <c r="AC110"/>
  <c r="J50" i="29"/>
  <c r="J121" i="10"/>
  <c r="M192"/>
  <c r="M186" s="1"/>
  <c r="M53" i="22"/>
  <c r="M44" s="1"/>
  <c r="M71"/>
  <c r="J53"/>
  <c r="J44" s="1"/>
  <c r="J192" i="10"/>
  <c r="J186" s="1"/>
  <c r="J71" i="22"/>
  <c r="M121" i="10"/>
  <c r="M50" i="29"/>
  <c r="L53" i="22"/>
  <c r="L44" s="1"/>
  <c r="L192" i="10"/>
  <c r="L186" s="1"/>
  <c r="L71" i="22"/>
  <c r="K121" i="10"/>
  <c r="K50" i="29"/>
  <c r="O121" i="10"/>
  <c r="O50" i="29"/>
  <c r="L50"/>
  <c r="L121" i="10"/>
  <c r="K53" i="22"/>
  <c r="K44" s="1"/>
  <c r="K71"/>
  <c r="K192" i="10"/>
  <c r="K186" s="1"/>
  <c r="AB48" i="13"/>
  <c r="AC14"/>
  <c r="AB33"/>
  <c r="AB40" s="1"/>
  <c r="AB67"/>
  <c r="AA31" i="4"/>
  <c r="AA30"/>
  <c r="AA53"/>
  <c r="AA69" s="1"/>
  <c r="AA121" s="1"/>
  <c r="AB14"/>
  <c r="AA26"/>
  <c r="Z48"/>
  <c r="AA34"/>
  <c r="AC60" i="8"/>
  <c r="AD56"/>
  <c r="Z32" i="4"/>
  <c r="AC48" i="26"/>
  <c r="T69" i="35"/>
  <c r="T21" s="1"/>
  <c r="AA43" i="8"/>
  <c r="I127" i="10"/>
  <c r="I74" i="11"/>
  <c r="I91" s="1"/>
  <c r="F121" i="10"/>
  <c r="I54" i="11"/>
  <c r="I45"/>
  <c r="F116" i="10"/>
  <c r="F117"/>
  <c r="F122"/>
  <c r="F119"/>
  <c r="F118"/>
  <c r="F123"/>
  <c r="N127"/>
  <c r="N74" i="11"/>
  <c r="N91" s="1"/>
  <c r="P52" i="32"/>
  <c r="E57"/>
  <c r="U58" i="35"/>
  <c r="T56"/>
  <c r="T53" s="1"/>
  <c r="T123" i="10" s="1"/>
  <c r="T62" i="11" s="1"/>
  <c r="N45"/>
  <c r="N124" i="10"/>
  <c r="N54" i="11"/>
  <c r="Z45" i="4"/>
  <c r="Y54" i="22"/>
  <c r="Y50" i="4"/>
  <c r="Y116" i="10" s="1"/>
  <c r="Y55" i="11" s="1"/>
  <c r="Z18" i="9"/>
  <c r="Z20" s="1"/>
  <c r="Z18" i="4"/>
  <c r="Z20" s="1"/>
  <c r="Z18" i="29"/>
  <c r="Z20" s="1"/>
  <c r="Z18" i="35"/>
  <c r="Z20" s="1"/>
  <c r="Z18" i="13"/>
  <c r="Z20" s="1"/>
  <c r="Z18" i="8"/>
  <c r="Z20" s="1"/>
  <c r="Z18" i="26"/>
  <c r="Z20" s="1"/>
  <c r="Y19" i="8"/>
  <c r="Y19" i="26"/>
  <c r="Y19" i="4"/>
  <c r="Y19" i="9"/>
  <c r="Y19" i="29"/>
  <c r="Y19" i="13"/>
  <c r="Y19" i="35"/>
  <c r="AA16"/>
  <c r="AA103" i="10"/>
  <c r="AA16" i="26"/>
  <c r="AA16" i="4"/>
  <c r="AA208" i="10"/>
  <c r="AA16" i="9"/>
  <c r="AA16" i="8"/>
  <c r="AA16" i="13"/>
  <c r="AA16" i="29"/>
  <c r="AA148" i="10"/>
  <c r="AA182"/>
  <c r="AB79"/>
  <c r="AB16" i="37" s="1"/>
  <c r="AA81" i="10"/>
  <c r="AA82" s="1"/>
  <c r="AA83" s="1"/>
  <c r="AB74" i="8"/>
  <c r="AB53"/>
  <c r="AB33"/>
  <c r="AC14"/>
  <c r="AD14" i="9"/>
  <c r="AC61"/>
  <c r="AC74"/>
  <c r="AC39"/>
  <c r="T67" i="4"/>
  <c r="T71" s="1"/>
  <c r="T74" s="1"/>
  <c r="T75" s="1"/>
  <c r="T76" s="1"/>
  <c r="J171"/>
  <c r="K171" s="1"/>
  <c r="U23" i="26"/>
  <c r="U65" s="1"/>
  <c r="U21" s="1"/>
  <c r="U23" i="35"/>
  <c r="U22" i="4"/>
  <c r="U59" s="1"/>
  <c r="U61" s="1"/>
  <c r="U64" s="1"/>
  <c r="U65" s="1"/>
  <c r="U66" s="1"/>
  <c r="U67" s="1"/>
  <c r="U71" s="1"/>
  <c r="U74" s="1"/>
  <c r="U75" s="1"/>
  <c r="U76" s="1"/>
  <c r="U23" i="13"/>
  <c r="U65" s="1"/>
  <c r="U21" s="1"/>
  <c r="U87" i="10"/>
  <c r="V85" s="1"/>
  <c r="V86" s="1"/>
  <c r="V88" s="1"/>
  <c r="U23" i="29"/>
  <c r="U65" s="1"/>
  <c r="U21" s="1"/>
  <c r="U23" i="8"/>
  <c r="U72" s="1"/>
  <c r="U21" s="1"/>
  <c r="U22" i="9"/>
  <c r="U71" s="1"/>
  <c r="T24" i="13"/>
  <c r="T25" s="1"/>
  <c r="T57" s="1"/>
  <c r="T59" s="1"/>
  <c r="T24" i="29"/>
  <c r="T25" s="1"/>
  <c r="T62" s="1"/>
  <c r="T64" s="1"/>
  <c r="T24" i="8"/>
  <c r="T25" s="1"/>
  <c r="T62" s="1"/>
  <c r="T23" i="4"/>
  <c r="T24" i="35"/>
  <c r="T24" i="26"/>
  <c r="T25" s="1"/>
  <c r="T57" s="1"/>
  <c r="T59" s="1"/>
  <c r="T23" i="9"/>
  <c r="T67" s="1"/>
  <c r="T68" s="1"/>
  <c r="X57" i="22"/>
  <c r="X35" i="13"/>
  <c r="X119" i="10" s="1"/>
  <c r="X58" i="11" s="1"/>
  <c r="AA55" i="9"/>
  <c r="AB51"/>
  <c r="AB53" s="1"/>
  <c r="AC47"/>
  <c r="X55" i="22"/>
  <c r="X51" i="8"/>
  <c r="X117" i="10" s="1"/>
  <c r="X56" i="11" s="1"/>
  <c r="Y49" i="8"/>
  <c r="Y25" i="37" s="1"/>
  <c r="Y26" s="1"/>
  <c r="Y41" i="8"/>
  <c r="Z53" i="13"/>
  <c r="Z55" s="1"/>
  <c r="AB53" i="26"/>
  <c r="AB55" s="1"/>
  <c r="W61" i="22"/>
  <c r="Z41" i="35"/>
  <c r="AB58" i="8"/>
  <c r="AA28" i="35"/>
  <c r="AA30" s="1"/>
  <c r="AA60" i="29"/>
  <c r="X43" i="35"/>
  <c r="Y35"/>
  <c r="Z38"/>
  <c r="V194" i="10"/>
  <c r="U37" i="29"/>
  <c r="AD14" i="26"/>
  <c r="AD50" s="1"/>
  <c r="AC67"/>
  <c r="AC33"/>
  <c r="S57" i="9"/>
  <c r="T57" s="1"/>
  <c r="S31"/>
  <c r="S62" s="1"/>
  <c r="S122" i="10" s="1"/>
  <c r="E13" i="32" l="1"/>
  <c r="F55"/>
  <c r="Q53" s="1"/>
  <c r="P94" s="1"/>
  <c r="Z55" i="9"/>
  <c r="Z46" i="13"/>
  <c r="AA18" i="37"/>
  <c r="AA31" i="29"/>
  <c r="AA69"/>
  <c r="AB14"/>
  <c r="AA54"/>
  <c r="AA37" i="13"/>
  <c r="AA44" s="1"/>
  <c r="AA49" i="37" s="1"/>
  <c r="AA50" s="1"/>
  <c r="AA73" i="35"/>
  <c r="P132" i="10"/>
  <c r="P73" i="11" s="1"/>
  <c r="P59"/>
  <c r="N65" i="22"/>
  <c r="N46" s="1"/>
  <c r="N203" i="10"/>
  <c r="N198" s="1"/>
  <c r="O192"/>
  <c r="O186" s="1"/>
  <c r="O71" i="22"/>
  <c r="X188" i="10"/>
  <c r="Y187"/>
  <c r="X190"/>
  <c r="O79" i="37"/>
  <c r="O83" s="1"/>
  <c r="O70" i="22"/>
  <c r="O203" i="10" s="1"/>
  <c r="Q26" i="27"/>
  <c r="S61" i="37" s="1"/>
  <c r="AC14" i="35"/>
  <c r="AB32"/>
  <c r="AB64" s="1"/>
  <c r="AB80"/>
  <c r="P48" i="29"/>
  <c r="P59" i="22" s="1"/>
  <c r="P46" i="29"/>
  <c r="Q75" i="37"/>
  <c r="Q120" i="10" s="1"/>
  <c r="Q59" i="11" s="1"/>
  <c r="Q40" i="29"/>
  <c r="Q42" s="1"/>
  <c r="Q44" s="1"/>
  <c r="R62" i="37"/>
  <c r="R74" s="1"/>
  <c r="R58" i="22" s="1"/>
  <c r="R191" i="10" s="1"/>
  <c r="R64" i="37"/>
  <c r="R73"/>
  <c r="Q65"/>
  <c r="Q67"/>
  <c r="Q81" s="1"/>
  <c r="Q77"/>
  <c r="P68"/>
  <c r="P82" s="1"/>
  <c r="P78"/>
  <c r="AC172" i="10"/>
  <c r="R5" i="30"/>
  <c r="AC150" i="10"/>
  <c r="AC210"/>
  <c r="AC42" i="22"/>
  <c r="AC63" s="1"/>
  <c r="AC44" i="11"/>
  <c r="AC66" s="1"/>
  <c r="AC184" i="10"/>
  <c r="R12" i="15"/>
  <c r="AD77" i="10"/>
  <c r="AD78"/>
  <c r="AE80"/>
  <c r="AE126" s="1"/>
  <c r="AD110"/>
  <c r="O133"/>
  <c r="O60" i="11"/>
  <c r="O115" i="10"/>
  <c r="J133"/>
  <c r="J115"/>
  <c r="J60" i="11"/>
  <c r="K65" i="22"/>
  <c r="K46" s="1"/>
  <c r="K204" i="10"/>
  <c r="K198" s="1"/>
  <c r="L65" i="22"/>
  <c r="L46" s="1"/>
  <c r="L204" i="10"/>
  <c r="L198" s="1"/>
  <c r="M115"/>
  <c r="M60" i="11"/>
  <c r="M133" i="10"/>
  <c r="K115"/>
  <c r="K133"/>
  <c r="K60" i="11"/>
  <c r="J65" i="22"/>
  <c r="J46" s="1"/>
  <c r="J204" i="10"/>
  <c r="J198" s="1"/>
  <c r="O204"/>
  <c r="L133"/>
  <c r="L115"/>
  <c r="L60" i="11"/>
  <c r="M65" i="22"/>
  <c r="M46" s="1"/>
  <c r="M204" i="10"/>
  <c r="M198" s="1"/>
  <c r="AA32" i="4"/>
  <c r="AB53"/>
  <c r="AB69" s="1"/>
  <c r="AB121" s="1"/>
  <c r="AB30"/>
  <c r="AB26"/>
  <c r="AC14"/>
  <c r="AB31"/>
  <c r="AA48"/>
  <c r="AB34"/>
  <c r="AC48" i="13"/>
  <c r="AC33"/>
  <c r="AC40" s="1"/>
  <c r="AD14"/>
  <c r="AC67"/>
  <c r="AD60" i="8"/>
  <c r="AE56"/>
  <c r="AD48" i="26"/>
  <c r="T71" i="35"/>
  <c r="U69"/>
  <c r="U21" s="1"/>
  <c r="T25"/>
  <c r="T75" s="1"/>
  <c r="T77" s="1"/>
  <c r="T81" s="1"/>
  <c r="T73" i="22" s="1"/>
  <c r="T83" s="1"/>
  <c r="AB43" i="8"/>
  <c r="V58" i="35"/>
  <c r="U56"/>
  <c r="U53" s="1"/>
  <c r="U123" i="10" s="1"/>
  <c r="U62" i="11" s="1"/>
  <c r="O93" i="32"/>
  <c r="R93" s="1"/>
  <c r="S52"/>
  <c r="N49" i="11"/>
  <c r="N47"/>
  <c r="N68"/>
  <c r="N162" i="10"/>
  <c r="N136"/>
  <c r="I47" i="11"/>
  <c r="I49"/>
  <c r="I68"/>
  <c r="Z54" i="22"/>
  <c r="AA45" i="4"/>
  <c r="Z50"/>
  <c r="Z116" i="10" s="1"/>
  <c r="Z55" i="11" s="1"/>
  <c r="T64" i="8"/>
  <c r="Z19" i="26"/>
  <c r="Z19" i="9"/>
  <c r="Z19" i="13"/>
  <c r="Z19" i="8"/>
  <c r="Z19" i="29"/>
  <c r="Z19" i="4"/>
  <c r="Z19" i="35"/>
  <c r="AB16" i="26"/>
  <c r="AB182" i="10"/>
  <c r="AB16" i="13"/>
  <c r="AB16" i="35"/>
  <c r="AB148" i="10"/>
  <c r="AB103"/>
  <c r="AB208"/>
  <c r="AB16" i="9"/>
  <c r="AB16" i="29"/>
  <c r="AB16" i="4"/>
  <c r="AB16" i="8"/>
  <c r="AB81" i="10"/>
  <c r="AB82" s="1"/>
  <c r="AB83" s="1"/>
  <c r="AC79"/>
  <c r="AC16" i="37" s="1"/>
  <c r="AA18" i="29"/>
  <c r="AA20" s="1"/>
  <c r="AA18" i="9"/>
  <c r="AA20" s="1"/>
  <c r="AA18" i="13"/>
  <c r="AA20" s="1"/>
  <c r="AA18" i="8"/>
  <c r="AA20" s="1"/>
  <c r="AA18" i="35"/>
  <c r="AA20" s="1"/>
  <c r="AA18" i="4"/>
  <c r="AA20" s="1"/>
  <c r="AA18" i="26"/>
  <c r="AA20" s="1"/>
  <c r="AC53" i="8"/>
  <c r="AD14"/>
  <c r="AC74"/>
  <c r="AC33"/>
  <c r="U23" i="4"/>
  <c r="U24" i="35"/>
  <c r="U24" i="13"/>
  <c r="U25" s="1"/>
  <c r="U57" s="1"/>
  <c r="U59" s="1"/>
  <c r="U24" i="26"/>
  <c r="U25" s="1"/>
  <c r="U57" s="1"/>
  <c r="U59" s="1"/>
  <c r="U24" i="8"/>
  <c r="U25" s="1"/>
  <c r="U62" s="1"/>
  <c r="U23" i="9"/>
  <c r="U67" s="1"/>
  <c r="U68" s="1"/>
  <c r="U24" i="29"/>
  <c r="U25" s="1"/>
  <c r="U62" s="1"/>
  <c r="U64" s="1"/>
  <c r="AD61" i="9"/>
  <c r="AD74"/>
  <c r="AE14"/>
  <c r="AD39"/>
  <c r="T61" i="13"/>
  <c r="T68" s="1"/>
  <c r="V23" i="29"/>
  <c r="V65" s="1"/>
  <c r="V21" s="1"/>
  <c r="V23" i="26"/>
  <c r="V65" s="1"/>
  <c r="V21" s="1"/>
  <c r="V22" i="9"/>
  <c r="V71" s="1"/>
  <c r="V22" i="4"/>
  <c r="V59" s="1"/>
  <c r="V61" s="1"/>
  <c r="V64" s="1"/>
  <c r="V65" s="1"/>
  <c r="V66" s="1"/>
  <c r="V67" s="1"/>
  <c r="V71" s="1"/>
  <c r="V74" s="1"/>
  <c r="V75" s="1"/>
  <c r="V76" s="1"/>
  <c r="V23" i="35"/>
  <c r="V23" i="8"/>
  <c r="V72" s="1"/>
  <c r="V21" s="1"/>
  <c r="V87" i="10"/>
  <c r="W85" s="1"/>
  <c r="W86" s="1"/>
  <c r="W88" s="1"/>
  <c r="V23" i="13"/>
  <c r="V65" s="1"/>
  <c r="V21" s="1"/>
  <c r="T69" i="9"/>
  <c r="T75" s="1"/>
  <c r="T77" s="1"/>
  <c r="T78" s="1"/>
  <c r="T79" s="1"/>
  <c r="T70"/>
  <c r="Y57" i="22"/>
  <c r="Y35" i="13"/>
  <c r="Y119" i="10" s="1"/>
  <c r="Y58" i="11" s="1"/>
  <c r="T61" i="26"/>
  <c r="U66" i="22"/>
  <c r="U76" s="1"/>
  <c r="U77" i="4"/>
  <c r="T77"/>
  <c r="T66" i="22"/>
  <c r="AA38" i="35"/>
  <c r="AB55" i="9"/>
  <c r="AC51"/>
  <c r="AC53" s="1"/>
  <c r="AD47"/>
  <c r="Z41" i="8"/>
  <c r="Z49"/>
  <c r="Z25" i="37" s="1"/>
  <c r="Z26" s="1"/>
  <c r="Y55" i="22"/>
  <c r="Y51" i="8"/>
  <c r="Y117" i="10" s="1"/>
  <c r="Y56" i="11" s="1"/>
  <c r="AC40" i="26"/>
  <c r="AA41" i="35"/>
  <c r="X61" i="22"/>
  <c r="AC58" i="8"/>
  <c r="U57" i="9"/>
  <c r="T62"/>
  <c r="T122" i="10" s="1"/>
  <c r="T61" i="11" s="1"/>
  <c r="AD67" i="26"/>
  <c r="AD33"/>
  <c r="AD40" s="1"/>
  <c r="AE14"/>
  <c r="AE50" s="1"/>
  <c r="Y43" i="35"/>
  <c r="Z35"/>
  <c r="AC53" i="26"/>
  <c r="AC55" s="1"/>
  <c r="S134" i="10"/>
  <c r="S75" i="11" s="1"/>
  <c r="S61"/>
  <c r="V37" i="29"/>
  <c r="W194" i="10"/>
  <c r="AB28" i="35"/>
  <c r="AB30" s="1"/>
  <c r="AB73" s="1"/>
  <c r="AB60" i="29"/>
  <c r="AA53" i="13"/>
  <c r="AA55" s="1"/>
  <c r="U71" i="35" l="1"/>
  <c r="AB18" i="37"/>
  <c r="AB69" i="29"/>
  <c r="AB54"/>
  <c r="AC14"/>
  <c r="AB31"/>
  <c r="AB37" i="13"/>
  <c r="AB44" s="1"/>
  <c r="AB49" i="37" s="1"/>
  <c r="AB50" s="1"/>
  <c r="AA46" i="13"/>
  <c r="O198" i="10"/>
  <c r="O65" i="22"/>
  <c r="O46" s="1"/>
  <c r="Y190" i="10"/>
  <c r="P79" i="37"/>
  <c r="P83" s="1"/>
  <c r="P70" i="22"/>
  <c r="P203" i="10" s="1"/>
  <c r="Y188"/>
  <c r="Z187"/>
  <c r="S62" i="37"/>
  <c r="S64"/>
  <c r="S67" s="1"/>
  <c r="U25" i="35"/>
  <c r="U75" s="1"/>
  <c r="U77" s="1"/>
  <c r="U81" s="1"/>
  <c r="U73" i="22" s="1"/>
  <c r="U83" s="1"/>
  <c r="AD14" i="35"/>
  <c r="AC80"/>
  <c r="AC32"/>
  <c r="AC64" s="1"/>
  <c r="Q68" i="37"/>
  <c r="Q82" s="1"/>
  <c r="Q78"/>
  <c r="Q132" i="10"/>
  <c r="Q73" i="11" s="1"/>
  <c r="R65" i="37"/>
  <c r="R67"/>
  <c r="R81" s="1"/>
  <c r="R77"/>
  <c r="P50" i="29"/>
  <c r="P121" i="10"/>
  <c r="Q48" i="29"/>
  <c r="Q59" i="22" s="1"/>
  <c r="Q46" i="29"/>
  <c r="R75" i="37"/>
  <c r="R120" i="10" s="1"/>
  <c r="R59" i="11" s="1"/>
  <c r="R40" i="29"/>
  <c r="R42" s="1"/>
  <c r="R44" s="1"/>
  <c r="P71" i="22"/>
  <c r="P192" i="10"/>
  <c r="P186" s="1"/>
  <c r="P53" i="22"/>
  <c r="P44" s="1"/>
  <c r="AD210" i="10"/>
  <c r="S12" i="15"/>
  <c r="AD172" i="10"/>
  <c r="AD42" i="22"/>
  <c r="AD63" s="1"/>
  <c r="S5" i="30"/>
  <c r="AD44" i="11"/>
  <c r="AD66" s="1"/>
  <c r="AD150" i="10"/>
  <c r="AD184"/>
  <c r="AE78"/>
  <c r="AE110"/>
  <c r="AE77"/>
  <c r="AF80"/>
  <c r="AF126" s="1"/>
  <c r="J124"/>
  <c r="J54" i="11"/>
  <c r="J45"/>
  <c r="O127" i="10"/>
  <c r="O74" i="11"/>
  <c r="O91" s="1"/>
  <c r="L74"/>
  <c r="L91" s="1"/>
  <c r="L127" i="10"/>
  <c r="M74" i="11"/>
  <c r="M91" s="1"/>
  <c r="M127" i="10"/>
  <c r="L54" i="11"/>
  <c r="L45"/>
  <c r="L124" i="10"/>
  <c r="K124"/>
  <c r="K45" i="11"/>
  <c r="K54"/>
  <c r="O45"/>
  <c r="O54"/>
  <c r="O124" i="10"/>
  <c r="K74" i="11"/>
  <c r="K91" s="1"/>
  <c r="K127" i="10"/>
  <c r="M54" i="11"/>
  <c r="M45"/>
  <c r="M124" i="10"/>
  <c r="J74" i="11"/>
  <c r="J91" s="1"/>
  <c r="J127" i="10"/>
  <c r="T69" i="13"/>
  <c r="T70" s="1"/>
  <c r="T52" i="37"/>
  <c r="AB32" i="4"/>
  <c r="AC53"/>
  <c r="AC69" s="1"/>
  <c r="AC121" s="1"/>
  <c r="AC30"/>
  <c r="AC26"/>
  <c r="AD14"/>
  <c r="AC31"/>
  <c r="AB48"/>
  <c r="AC34"/>
  <c r="AD48" i="13"/>
  <c r="AE14"/>
  <c r="AD33"/>
  <c r="AD40" s="1"/>
  <c r="AD67"/>
  <c r="AF56" i="8"/>
  <c r="AE60"/>
  <c r="AE48" i="26"/>
  <c r="V69" i="35"/>
  <c r="V21" s="1"/>
  <c r="T82"/>
  <c r="T83" s="1"/>
  <c r="T70" i="8"/>
  <c r="T66"/>
  <c r="T68" s="1"/>
  <c r="T28" i="37" s="1"/>
  <c r="T29" s="1"/>
  <c r="AC43" i="8"/>
  <c r="W58" i="35"/>
  <c r="V56"/>
  <c r="V53" s="1"/>
  <c r="V123" i="10" s="1"/>
  <c r="V62" i="11" s="1"/>
  <c r="AA54" i="22"/>
  <c r="AA50" i="4"/>
  <c r="AA116" i="10" s="1"/>
  <c r="AA55" i="11" s="1"/>
  <c r="AB45" i="4"/>
  <c r="U64" i="8"/>
  <c r="AA19" i="26"/>
  <c r="AA19" i="8"/>
  <c r="AA19" i="9"/>
  <c r="AA19" i="35"/>
  <c r="AA19" i="13"/>
  <c r="AA19" i="29"/>
  <c r="AA19" i="4"/>
  <c r="AB18" i="8"/>
  <c r="AB20" s="1"/>
  <c r="AB18" i="29"/>
  <c r="AB20" s="1"/>
  <c r="AB18" i="13"/>
  <c r="AB20" s="1"/>
  <c r="AB18" i="4"/>
  <c r="AB20" s="1"/>
  <c r="AB18" i="9"/>
  <c r="AB20" s="1"/>
  <c r="AB18" i="35"/>
  <c r="AB20" s="1"/>
  <c r="AB18" i="26"/>
  <c r="AB20" s="1"/>
  <c r="AC16" i="35"/>
  <c r="AC208" i="10"/>
  <c r="AC182"/>
  <c r="AC16" i="26"/>
  <c r="AC148" i="10"/>
  <c r="AC16" i="13"/>
  <c r="AC16" i="8"/>
  <c r="AC16" i="4"/>
  <c r="AC16" i="29"/>
  <c r="AC16" i="9"/>
  <c r="AC103" i="10"/>
  <c r="AC81"/>
  <c r="AC82" s="1"/>
  <c r="AC83" s="1"/>
  <c r="AD79"/>
  <c r="AD16" i="37" s="1"/>
  <c r="AD33" i="8"/>
  <c r="AE14"/>
  <c r="AD53"/>
  <c r="AD74"/>
  <c r="T128" i="10"/>
  <c r="T78" i="4"/>
  <c r="T79"/>
  <c r="T80"/>
  <c r="T206" i="10"/>
  <c r="U61" i="13"/>
  <c r="U68" s="1"/>
  <c r="T76" i="22"/>
  <c r="T199" i="10"/>
  <c r="U61" i="26"/>
  <c r="U199" i="10"/>
  <c r="Z57" i="22"/>
  <c r="Z35" i="13"/>
  <c r="Z119" i="10" s="1"/>
  <c r="Z58" i="11" s="1"/>
  <c r="V24" i="26"/>
  <c r="V25" s="1"/>
  <c r="V57" s="1"/>
  <c r="V59" s="1"/>
  <c r="V23" i="4"/>
  <c r="V23" i="9"/>
  <c r="V67" s="1"/>
  <c r="V68" s="1"/>
  <c r="V24" i="29"/>
  <c r="V25" s="1"/>
  <c r="V62" s="1"/>
  <c r="V64" s="1"/>
  <c r="V24" i="35"/>
  <c r="V24" i="13"/>
  <c r="V25" s="1"/>
  <c r="V57" s="1"/>
  <c r="V59" s="1"/>
  <c r="V24" i="8"/>
  <c r="V25" s="1"/>
  <c r="V62" s="1"/>
  <c r="U78" i="4"/>
  <c r="U128" i="10"/>
  <c r="U79" i="4"/>
  <c r="U80"/>
  <c r="W23" i="13"/>
  <c r="W65" s="1"/>
  <c r="W21" s="1"/>
  <c r="W23" i="8"/>
  <c r="W72" s="1"/>
  <c r="W21" s="1"/>
  <c r="W23" i="26"/>
  <c r="W65" s="1"/>
  <c r="W21" s="1"/>
  <c r="W22" i="9"/>
  <c r="W71" s="1"/>
  <c r="W22" i="4"/>
  <c r="W59" s="1"/>
  <c r="W61" s="1"/>
  <c r="W64" s="1"/>
  <c r="W65" s="1"/>
  <c r="W66" s="1"/>
  <c r="W67" s="1"/>
  <c r="W71" s="1"/>
  <c r="W74" s="1"/>
  <c r="W75" s="1"/>
  <c r="W76" s="1"/>
  <c r="W23" i="29"/>
  <c r="W65" s="1"/>
  <c r="W21" s="1"/>
  <c r="W87" i="10"/>
  <c r="X85" s="1"/>
  <c r="X86" s="1"/>
  <c r="X88" s="1"/>
  <c r="W23" i="35"/>
  <c r="V77" i="4"/>
  <c r="V66" i="22"/>
  <c r="V76" s="1"/>
  <c r="T69"/>
  <c r="T79" s="1"/>
  <c r="AE61" i="9"/>
  <c r="AF14"/>
  <c r="AE74"/>
  <c r="AE39"/>
  <c r="U69"/>
  <c r="U75" s="1"/>
  <c r="U77" s="1"/>
  <c r="U78" s="1"/>
  <c r="U79" s="1"/>
  <c r="U70"/>
  <c r="AC55"/>
  <c r="AE47"/>
  <c r="AD51"/>
  <c r="AD53" s="1"/>
  <c r="Z55" i="22"/>
  <c r="Z51" i="8"/>
  <c r="Z117" i="10" s="1"/>
  <c r="Z56" i="11" s="1"/>
  <c r="AA41" i="8"/>
  <c r="AA49"/>
  <c r="AA25" i="37" s="1"/>
  <c r="AA26" s="1"/>
  <c r="T81" i="9"/>
  <c r="T80"/>
  <c r="T82"/>
  <c r="T134" i="10"/>
  <c r="W37" i="29"/>
  <c r="U62" i="9"/>
  <c r="U122" i="10" s="1"/>
  <c r="U61" i="11" s="1"/>
  <c r="V57" i="9"/>
  <c r="AB53" i="13"/>
  <c r="AB55" s="1"/>
  <c r="AD53" i="26"/>
  <c r="AD55" s="1"/>
  <c r="AC28" i="35"/>
  <c r="AC30" s="1"/>
  <c r="AC60" i="29"/>
  <c r="AE33" i="26"/>
  <c r="AE40" s="1"/>
  <c r="AE67"/>
  <c r="AF14"/>
  <c r="AF50" s="1"/>
  <c r="AD58" i="8"/>
  <c r="AB38" i="35"/>
  <c r="Y61" i="22"/>
  <c r="X194" i="10"/>
  <c r="Z43" i="35"/>
  <c r="AA35"/>
  <c r="AB41"/>
  <c r="AC18" i="37" l="1"/>
  <c r="AD14" i="29"/>
  <c r="AC31"/>
  <c r="AC69"/>
  <c r="AC54"/>
  <c r="AC37" i="13"/>
  <c r="AC44" s="1"/>
  <c r="AC49" i="37" s="1"/>
  <c r="AC50" s="1"/>
  <c r="AB46" i="13"/>
  <c r="S65" i="37"/>
  <c r="S68" s="1"/>
  <c r="Z188" i="10"/>
  <c r="U82" i="35"/>
  <c r="U85" s="1"/>
  <c r="AA187" i="10"/>
  <c r="Q79" i="37"/>
  <c r="Q83" s="1"/>
  <c r="Q70" i="22"/>
  <c r="Q203" i="10" s="1"/>
  <c r="Z190"/>
  <c r="AC73" i="35"/>
  <c r="AD80"/>
  <c r="AD32"/>
  <c r="AD64" s="1"/>
  <c r="AE14"/>
  <c r="G90" i="4"/>
  <c r="B166" s="1"/>
  <c r="R48" i="29"/>
  <c r="R59" i="22" s="1"/>
  <c r="R46" i="29"/>
  <c r="P115" i="10"/>
  <c r="P133"/>
  <c r="P60" i="11"/>
  <c r="R68" i="37"/>
  <c r="R82" s="1"/>
  <c r="R78"/>
  <c r="P204" i="10"/>
  <c r="P198" s="1"/>
  <c r="P65" i="22"/>
  <c r="P46" s="1"/>
  <c r="Q192" i="10"/>
  <c r="Q186" s="1"/>
  <c r="Q53" i="22"/>
  <c r="Q44" s="1"/>
  <c r="Q71"/>
  <c r="R132" i="10"/>
  <c r="R73" i="11" s="1"/>
  <c r="Q50" i="29"/>
  <c r="Q121" i="10"/>
  <c r="AF77"/>
  <c r="AG80"/>
  <c r="AG126" s="1"/>
  <c r="AF78"/>
  <c r="AF110"/>
  <c r="AE172"/>
  <c r="AE184"/>
  <c r="AE44" i="11"/>
  <c r="AE66" s="1"/>
  <c r="AE150" i="10"/>
  <c r="T12" i="15"/>
  <c r="T5" i="30"/>
  <c r="AE210" i="10"/>
  <c r="AE42" i="22"/>
  <c r="AE63" s="1"/>
  <c r="L162" i="10"/>
  <c r="L47" i="11"/>
  <c r="L68"/>
  <c r="L136" i="10"/>
  <c r="L49" i="11"/>
  <c r="K136" i="10"/>
  <c r="K162"/>
  <c r="K68" i="11"/>
  <c r="K49"/>
  <c r="K47"/>
  <c r="O47"/>
  <c r="O136" i="10"/>
  <c r="O162"/>
  <c r="O49" i="11"/>
  <c r="O68"/>
  <c r="J49"/>
  <c r="J47"/>
  <c r="J68"/>
  <c r="J162" i="10"/>
  <c r="J136"/>
  <c r="M68" i="11"/>
  <c r="M136" i="10"/>
  <c r="M47" i="11"/>
  <c r="M49"/>
  <c r="M162" i="10"/>
  <c r="T71" i="13"/>
  <c r="T72"/>
  <c r="U69"/>
  <c r="U72" s="1"/>
  <c r="U52" i="37"/>
  <c r="T31"/>
  <c r="T53"/>
  <c r="T56" s="1"/>
  <c r="T55"/>
  <c r="W69" i="35"/>
  <c r="W21" s="1"/>
  <c r="T135" i="10"/>
  <c r="T170" s="1"/>
  <c r="AC32" i="4"/>
  <c r="J173" s="1"/>
  <c r="AG56" i="8"/>
  <c r="AF60"/>
  <c r="AE14" i="4"/>
  <c r="AD31"/>
  <c r="AD53"/>
  <c r="AD69" s="1"/>
  <c r="AD121" s="1"/>
  <c r="AD26"/>
  <c r="AD30"/>
  <c r="AD34"/>
  <c r="AC48"/>
  <c r="O225" s="1"/>
  <c r="AE48" i="13"/>
  <c r="AE67"/>
  <c r="AF14"/>
  <c r="AE33"/>
  <c r="AE40" s="1"/>
  <c r="T75" i="8"/>
  <c r="T67" i="22" s="1"/>
  <c r="T85" i="35"/>
  <c r="T84"/>
  <c r="AF48" i="26"/>
  <c r="V71" i="35"/>
  <c r="V25"/>
  <c r="V75" s="1"/>
  <c r="V77" s="1"/>
  <c r="V81" s="1"/>
  <c r="V73" i="22" s="1"/>
  <c r="V83" s="1"/>
  <c r="U70" i="8"/>
  <c r="U66"/>
  <c r="U68" s="1"/>
  <c r="U28" i="37" s="1"/>
  <c r="U29" s="1"/>
  <c r="AD43" i="8"/>
  <c r="X58" i="35"/>
  <c r="W56"/>
  <c r="W53" s="1"/>
  <c r="W123" i="10" s="1"/>
  <c r="W62" i="11" s="1"/>
  <c r="AB54" i="22"/>
  <c r="AB50" i="4"/>
  <c r="AB116" i="10" s="1"/>
  <c r="AB55" i="11" s="1"/>
  <c r="AC45" i="4"/>
  <c r="V64" i="8"/>
  <c r="AC18" i="26"/>
  <c r="AC20" s="1"/>
  <c r="AC18" i="4"/>
  <c r="AC20" s="1"/>
  <c r="AC18" i="29"/>
  <c r="AC20" s="1"/>
  <c r="AC18" i="13"/>
  <c r="AC20" s="1"/>
  <c r="AC18" i="9"/>
  <c r="AC20" s="1"/>
  <c r="AC18" i="35"/>
  <c r="AC20" s="1"/>
  <c r="AC18" i="8"/>
  <c r="AC20" s="1"/>
  <c r="AD16" i="35"/>
  <c r="AD103" i="10"/>
  <c r="AD16" i="9"/>
  <c r="AD16" i="4"/>
  <c r="AD16" i="13"/>
  <c r="AD16" i="26"/>
  <c r="AD16" i="8"/>
  <c r="AD148" i="10"/>
  <c r="AD16" i="29"/>
  <c r="AD182" i="10"/>
  <c r="AD208"/>
  <c r="AD81"/>
  <c r="AD82" s="1"/>
  <c r="AD83" s="1"/>
  <c r="AE79"/>
  <c r="AE16" i="37" s="1"/>
  <c r="AB19" i="35"/>
  <c r="AB19" i="13"/>
  <c r="AB19" i="26"/>
  <c r="AB19" i="9"/>
  <c r="AB19" i="29"/>
  <c r="AB19" i="8"/>
  <c r="AB19" i="4"/>
  <c r="AE74" i="8"/>
  <c r="AE33"/>
  <c r="AE53"/>
  <c r="AF14"/>
  <c r="T131" i="10"/>
  <c r="W24" i="29"/>
  <c r="W25" s="1"/>
  <c r="W62" s="1"/>
  <c r="W64" s="1"/>
  <c r="W23" i="9"/>
  <c r="W67" s="1"/>
  <c r="W68" s="1"/>
  <c r="W24" i="8"/>
  <c r="W25" s="1"/>
  <c r="W62" s="1"/>
  <c r="W24" i="35"/>
  <c r="W23" i="4"/>
  <c r="W24" i="13"/>
  <c r="W25" s="1"/>
  <c r="W57" s="1"/>
  <c r="W59" s="1"/>
  <c r="W24" i="26"/>
  <c r="W25" s="1"/>
  <c r="W57" s="1"/>
  <c r="W59" s="1"/>
  <c r="V61" i="13"/>
  <c r="V68" s="1"/>
  <c r="U206" i="10"/>
  <c r="V78" i="4"/>
  <c r="V79"/>
  <c r="V80"/>
  <c r="V128" i="10"/>
  <c r="W66" i="22"/>
  <c r="W76" s="1"/>
  <c r="W77" i="4"/>
  <c r="U139" i="10"/>
  <c r="U153" s="1"/>
  <c r="U69" i="11"/>
  <c r="U163" i="10"/>
  <c r="V69" i="9"/>
  <c r="V75" s="1"/>
  <c r="V77" s="1"/>
  <c r="V78" s="1"/>
  <c r="V79" s="1"/>
  <c r="V70"/>
  <c r="U69" i="22"/>
  <c r="U79" s="1"/>
  <c r="T163" i="10"/>
  <c r="T139"/>
  <c r="T153" s="1"/>
  <c r="T69" i="11"/>
  <c r="V199" i="10"/>
  <c r="AA57" i="22"/>
  <c r="AA35" i="13"/>
  <c r="AA119" i="10" s="1"/>
  <c r="AA58" i="11" s="1"/>
  <c r="AF61" i="9"/>
  <c r="AF74"/>
  <c r="AF39"/>
  <c r="AG14"/>
  <c r="T202" i="10"/>
  <c r="X23" i="13"/>
  <c r="X65" s="1"/>
  <c r="X21" s="1"/>
  <c r="X87" i="10"/>
  <c r="Y85" s="1"/>
  <c r="Y86" s="1"/>
  <c r="Y88" s="1"/>
  <c r="X23" i="35"/>
  <c r="X23" i="29"/>
  <c r="X65" s="1"/>
  <c r="X21" s="1"/>
  <c r="X23" i="8"/>
  <c r="X72" s="1"/>
  <c r="X21" s="1"/>
  <c r="X23" i="26"/>
  <c r="X65" s="1"/>
  <c r="X21" s="1"/>
  <c r="X22" i="9"/>
  <c r="X71" s="1"/>
  <c r="X22" i="4"/>
  <c r="X59" s="1"/>
  <c r="X61" s="1"/>
  <c r="X64" s="1"/>
  <c r="X65" s="1"/>
  <c r="X66" s="1"/>
  <c r="X67" s="1"/>
  <c r="X71" s="1"/>
  <c r="X74" s="1"/>
  <c r="X75" s="1"/>
  <c r="X76" s="1"/>
  <c r="V61" i="26"/>
  <c r="AC41" i="35"/>
  <c r="AC38"/>
  <c r="AF47" i="9"/>
  <c r="AE51"/>
  <c r="AE53" s="1"/>
  <c r="AD55"/>
  <c r="AB49" i="8"/>
  <c r="AB25" i="37" s="1"/>
  <c r="AB26" s="1"/>
  <c r="AB41" i="8"/>
  <c r="AA55" i="22"/>
  <c r="AA51" i="8"/>
  <c r="AA117" i="10" s="1"/>
  <c r="AA56" i="11" s="1"/>
  <c r="AE53" i="26"/>
  <c r="AE55" s="1"/>
  <c r="AC53" i="13"/>
  <c r="AC55" s="1"/>
  <c r="T75" i="11"/>
  <c r="T86" s="1"/>
  <c r="T169" i="10"/>
  <c r="T145"/>
  <c r="Y194"/>
  <c r="AD28" i="35"/>
  <c r="AD30" s="1"/>
  <c r="AD60" i="29"/>
  <c r="V62" i="9"/>
  <c r="V122" i="10" s="1"/>
  <c r="V61" i="11" s="1"/>
  <c r="W57" i="9"/>
  <c r="Z61" i="22"/>
  <c r="AE58" i="8"/>
  <c r="AF67" i="26"/>
  <c r="AF33"/>
  <c r="AF40" s="1"/>
  <c r="AG14"/>
  <c r="AG50" s="1"/>
  <c r="U80" i="9"/>
  <c r="U134" i="10"/>
  <c r="U81" i="9"/>
  <c r="U82"/>
  <c r="AA43" i="35"/>
  <c r="AB35"/>
  <c r="X37" i="29"/>
  <c r="AD18" i="37" l="1"/>
  <c r="AD31" i="29"/>
  <c r="AE14"/>
  <c r="AD54"/>
  <c r="AD69"/>
  <c r="U135" i="10"/>
  <c r="U146" s="1"/>
  <c r="U160" s="1"/>
  <c r="AD37" i="13"/>
  <c r="AD44" s="1"/>
  <c r="AD49" i="37" s="1"/>
  <c r="AD50" s="1"/>
  <c r="AC46" i="13"/>
  <c r="U83" i="35"/>
  <c r="U84"/>
  <c r="AA190" i="10"/>
  <c r="AA188"/>
  <c r="AB187"/>
  <c r="R79" i="37"/>
  <c r="R83" s="1"/>
  <c r="R70" i="22"/>
  <c r="R203" i="10" s="1"/>
  <c r="T146"/>
  <c r="T160" s="1"/>
  <c r="AD73" i="35"/>
  <c r="V82"/>
  <c r="V85" s="1"/>
  <c r="B140" i="4"/>
  <c r="B175"/>
  <c r="D224"/>
  <c r="B199" s="1"/>
  <c r="B173"/>
  <c r="B163"/>
  <c r="B164"/>
  <c r="AF14" i="35"/>
  <c r="AE80"/>
  <c r="AE32"/>
  <c r="AE64" s="1"/>
  <c r="R50" i="29"/>
  <c r="R121" i="10"/>
  <c r="Q133"/>
  <c r="Q60" i="11"/>
  <c r="Q115" i="10"/>
  <c r="Q65" i="22"/>
  <c r="Q46" s="1"/>
  <c r="Q204" i="10"/>
  <c r="Q198" s="1"/>
  <c r="R192"/>
  <c r="R186" s="1"/>
  <c r="R53" i="22"/>
  <c r="R44" s="1"/>
  <c r="R71"/>
  <c r="P124" i="10"/>
  <c r="P45" i="11"/>
  <c r="P54"/>
  <c r="T76"/>
  <c r="T87" s="1"/>
  <c r="P127" i="10"/>
  <c r="P74" i="11"/>
  <c r="P91" s="1"/>
  <c r="AG110" i="10"/>
  <c r="AH80"/>
  <c r="AH126" s="1"/>
  <c r="AG77"/>
  <c r="AG78"/>
  <c r="U5" i="30"/>
  <c r="AF150" i="10"/>
  <c r="AF184"/>
  <c r="AF44" i="11"/>
  <c r="AF66" s="1"/>
  <c r="AF42" i="22"/>
  <c r="AF63" s="1"/>
  <c r="AF210" i="10"/>
  <c r="AF172"/>
  <c r="U12" i="15"/>
  <c r="U70" i="13"/>
  <c r="U71"/>
  <c r="T32" i="37"/>
  <c r="W25" i="35"/>
  <c r="W75" s="1"/>
  <c r="W77" s="1"/>
  <c r="W81" s="1"/>
  <c r="W73" i="22" s="1"/>
  <c r="W83" s="1"/>
  <c r="W71" i="35"/>
  <c r="U31" i="37"/>
  <c r="V69" i="13"/>
  <c r="V72" s="1"/>
  <c r="V52" i="37"/>
  <c r="U53"/>
  <c r="U56" s="1"/>
  <c r="U55"/>
  <c r="J177" i="4"/>
  <c r="J181" s="1"/>
  <c r="C254" i="32" s="1"/>
  <c r="K173" i="4"/>
  <c r="K177" s="1"/>
  <c r="K181" s="1"/>
  <c r="C255" i="32" s="1"/>
  <c r="AD32" i="4"/>
  <c r="AF48" i="13"/>
  <c r="AF33"/>
  <c r="AF40" s="1"/>
  <c r="AF67"/>
  <c r="AG14"/>
  <c r="AE34" i="4"/>
  <c r="AD48"/>
  <c r="AF14"/>
  <c r="AE31"/>
  <c r="AE26"/>
  <c r="AE53"/>
  <c r="AE69" s="1"/>
  <c r="AE121" s="1"/>
  <c r="AE30"/>
  <c r="AH56" i="8"/>
  <c r="AG60"/>
  <c r="T76"/>
  <c r="T77" s="1"/>
  <c r="T200" i="10"/>
  <c r="T77" i="22"/>
  <c r="U75" i="8"/>
  <c r="AG48" i="26"/>
  <c r="V70" i="8"/>
  <c r="V66"/>
  <c r="V68" s="1"/>
  <c r="V28" i="37" s="1"/>
  <c r="V29" s="1"/>
  <c r="AE43" i="8"/>
  <c r="X56" i="35"/>
  <c r="X53" s="1"/>
  <c r="X123" i="10" s="1"/>
  <c r="X62" i="11" s="1"/>
  <c r="Y58" i="35"/>
  <c r="X69"/>
  <c r="X71" s="1"/>
  <c r="AC54" i="22"/>
  <c r="AC50" i="4"/>
  <c r="AD45"/>
  <c r="W64" i="8"/>
  <c r="AE16" i="35"/>
  <c r="AE182" i="10"/>
  <c r="AE16" i="26"/>
  <c r="AE16" i="4"/>
  <c r="AE103" i="10"/>
  <c r="AE16" i="9"/>
  <c r="AE16" i="13"/>
  <c r="AE148" i="10"/>
  <c r="AE16" i="29"/>
  <c r="AE208" i="10"/>
  <c r="AE16" i="8"/>
  <c r="AE81" i="10"/>
  <c r="AE82" s="1"/>
  <c r="AE83" s="1"/>
  <c r="AF79"/>
  <c r="AF16" i="37" s="1"/>
  <c r="AC19" i="9"/>
  <c r="AC19" i="13"/>
  <c r="AC19" i="4"/>
  <c r="AC19" i="35"/>
  <c r="AC19" i="26"/>
  <c r="AC19" i="29"/>
  <c r="AC19" i="8"/>
  <c r="AD18" i="26"/>
  <c r="AD20" s="1"/>
  <c r="AD18" i="29"/>
  <c r="AD20" s="1"/>
  <c r="AD18" i="13"/>
  <c r="AD20" s="1"/>
  <c r="AD18" i="9"/>
  <c r="AD20" s="1"/>
  <c r="AD18" i="35"/>
  <c r="AD20" s="1"/>
  <c r="AD18" i="4"/>
  <c r="AD20" s="1"/>
  <c r="AD18" i="8"/>
  <c r="AD20" s="1"/>
  <c r="AF74"/>
  <c r="AF53"/>
  <c r="AG14"/>
  <c r="AF33"/>
  <c r="X77" i="4"/>
  <c r="X66" i="22"/>
  <c r="X76" s="1"/>
  <c r="X23" i="9"/>
  <c r="X67" s="1"/>
  <c r="X68" s="1"/>
  <c r="X23" i="4"/>
  <c r="X24" i="13"/>
  <c r="X25" s="1"/>
  <c r="X57" s="1"/>
  <c r="X59" s="1"/>
  <c r="X24" i="29"/>
  <c r="X25" s="1"/>
  <c r="X62" s="1"/>
  <c r="X64" s="1"/>
  <c r="X24" i="8"/>
  <c r="X25" s="1"/>
  <c r="X62" s="1"/>
  <c r="X24" i="26"/>
  <c r="X25" s="1"/>
  <c r="X57" s="1"/>
  <c r="X59" s="1"/>
  <c r="X24" i="35"/>
  <c r="W61" i="13"/>
  <c r="W68" s="1"/>
  <c r="W70" i="9"/>
  <c r="W69"/>
  <c r="W75" s="1"/>
  <c r="W77" s="1"/>
  <c r="W78" s="1"/>
  <c r="W79" s="1"/>
  <c r="Y23" i="8"/>
  <c r="Y72" s="1"/>
  <c r="Y21" s="1"/>
  <c r="Y23" i="26"/>
  <c r="Y65" s="1"/>
  <c r="Y21" s="1"/>
  <c r="Y23" i="13"/>
  <c r="Y65" s="1"/>
  <c r="Y21" s="1"/>
  <c r="Y23" i="29"/>
  <c r="Y65" s="1"/>
  <c r="Y21" s="1"/>
  <c r="Y22" i="4"/>
  <c r="Y59" s="1"/>
  <c r="Y61" s="1"/>
  <c r="Y64" s="1"/>
  <c r="Y65" s="1"/>
  <c r="Y66" s="1"/>
  <c r="Y67" s="1"/>
  <c r="Y71" s="1"/>
  <c r="Y74" s="1"/>
  <c r="Y75" s="1"/>
  <c r="Y76" s="1"/>
  <c r="Y87" i="10"/>
  <c r="Z85" s="1"/>
  <c r="Z86" s="1"/>
  <c r="Z88" s="1"/>
  <c r="Y23" i="35"/>
  <c r="Y22" i="9"/>
  <c r="Y71" s="1"/>
  <c r="AG61"/>
  <c r="AG74"/>
  <c r="AH14"/>
  <c r="AG39"/>
  <c r="AB57" i="22"/>
  <c r="AB35" i="13"/>
  <c r="AB119" i="10" s="1"/>
  <c r="AB58" i="11" s="1"/>
  <c r="U90"/>
  <c r="U80"/>
  <c r="U94" s="1"/>
  <c r="V139" i="10"/>
  <c r="V153" s="1"/>
  <c r="V69" i="11"/>
  <c r="V163" i="10"/>
  <c r="W61" i="26"/>
  <c r="T90" i="11"/>
  <c r="T80"/>
  <c r="T94" s="1"/>
  <c r="U131" i="10"/>
  <c r="W199"/>
  <c r="V69" i="22"/>
  <c r="V79" s="1"/>
  <c r="T142" i="10"/>
  <c r="T156" s="1"/>
  <c r="T166"/>
  <c r="T72" i="11"/>
  <c r="T83" s="1"/>
  <c r="V206" i="10"/>
  <c r="U202"/>
  <c r="W80" i="4"/>
  <c r="W128" i="10"/>
  <c r="W79" i="4"/>
  <c r="W78"/>
  <c r="AD41" i="35"/>
  <c r="AG47" i="9"/>
  <c r="AF51"/>
  <c r="AF53" s="1"/>
  <c r="AE55"/>
  <c r="AC49" i="8"/>
  <c r="AC25" i="37" s="1"/>
  <c r="AC26" s="1"/>
  <c r="AC41" i="8"/>
  <c r="AB51"/>
  <c r="AB117" i="10" s="1"/>
  <c r="AB56" i="11" s="1"/>
  <c r="AB55" i="22"/>
  <c r="AA61"/>
  <c r="AB43" i="35"/>
  <c r="AC35"/>
  <c r="U145" i="10"/>
  <c r="U75" i="11"/>
  <c r="U86" s="1"/>
  <c r="U169" i="10"/>
  <c r="AG33" i="26"/>
  <c r="AG40" s="1"/>
  <c r="AG67"/>
  <c r="AH14"/>
  <c r="AH50" s="1"/>
  <c r="AF58" i="8"/>
  <c r="V134" i="10"/>
  <c r="V81" i="9"/>
  <c r="V80"/>
  <c r="V82"/>
  <c r="AF53" i="26"/>
  <c r="AF55" s="1"/>
  <c r="Z194" i="10"/>
  <c r="T159"/>
  <c r="AE28" i="35"/>
  <c r="AE30" s="1"/>
  <c r="AE60" i="29"/>
  <c r="AD38" i="35"/>
  <c r="Y37" i="29"/>
  <c r="X57" i="9"/>
  <c r="W62"/>
  <c r="W122" i="10" s="1"/>
  <c r="W61" i="11" s="1"/>
  <c r="AD53" i="13"/>
  <c r="AD55" s="1"/>
  <c r="AE18" i="37" l="1"/>
  <c r="AE54" i="29"/>
  <c r="AE31"/>
  <c r="AE69"/>
  <c r="AF14"/>
  <c r="AE37" i="13"/>
  <c r="AE44" s="1"/>
  <c r="AE49" i="37" s="1"/>
  <c r="AE50" s="1"/>
  <c r="V70" i="13"/>
  <c r="AD46"/>
  <c r="U170" i="10"/>
  <c r="U76" i="11"/>
  <c r="U87" s="1"/>
  <c r="V84" i="35"/>
  <c r="V83"/>
  <c r="AB190" i="10"/>
  <c r="AC187"/>
  <c r="AB188"/>
  <c r="V135"/>
  <c r="V146" s="1"/>
  <c r="V160" s="1"/>
  <c r="AE73" i="35"/>
  <c r="W82"/>
  <c r="W85" s="1"/>
  <c r="AF80"/>
  <c r="AF32"/>
  <c r="AF64" s="1"/>
  <c r="AG14"/>
  <c r="R204" i="10"/>
  <c r="R198" s="1"/>
  <c r="R65" i="22"/>
  <c r="R46" s="1"/>
  <c r="F95" i="32"/>
  <c r="R133" i="10"/>
  <c r="R60" i="11"/>
  <c r="R115" i="10"/>
  <c r="P162"/>
  <c r="P136"/>
  <c r="P47" i="11"/>
  <c r="P49"/>
  <c r="P68"/>
  <c r="Q74"/>
  <c r="Q91" s="1"/>
  <c r="Q127" i="10"/>
  <c r="Q54" i="11"/>
  <c r="Q45"/>
  <c r="Q124" i="10"/>
  <c r="V12" i="15"/>
  <c r="V5" i="30"/>
  <c r="AG184" i="10"/>
  <c r="AG42" i="22"/>
  <c r="AG63" s="1"/>
  <c r="AG172" i="10"/>
  <c r="AG150"/>
  <c r="AG44" i="11"/>
  <c r="AG66" s="1"/>
  <c r="AG210" i="10"/>
  <c r="AH77"/>
  <c r="AH110"/>
  <c r="AH78"/>
  <c r="AI80"/>
  <c r="AI126" s="1"/>
  <c r="AE32" i="4"/>
  <c r="U32" i="37"/>
  <c r="V71" i="13"/>
  <c r="V53" i="37"/>
  <c r="V56" s="1"/>
  <c r="V55"/>
  <c r="W69" i="13"/>
  <c r="W72" s="1"/>
  <c r="W52" i="37"/>
  <c r="V31"/>
  <c r="T78" i="8"/>
  <c r="T79"/>
  <c r="T129" i="10"/>
  <c r="T70" i="11" s="1"/>
  <c r="T81" s="1"/>
  <c r="AI56" i="8"/>
  <c r="AH60"/>
  <c r="AG48" i="13"/>
  <c r="AG33"/>
  <c r="AG40" s="1"/>
  <c r="AG67"/>
  <c r="AH14"/>
  <c r="AF26" i="4"/>
  <c r="AF30"/>
  <c r="AF53"/>
  <c r="AF69" s="1"/>
  <c r="AF121" s="1"/>
  <c r="AG14"/>
  <c r="AF31"/>
  <c r="G96"/>
  <c r="G92"/>
  <c r="K154" s="1"/>
  <c r="K159" s="1"/>
  <c r="K163" s="1"/>
  <c r="AE48"/>
  <c r="AF34"/>
  <c r="V75" i="8"/>
  <c r="U67" i="22"/>
  <c r="U77" s="1"/>
  <c r="U76" i="8"/>
  <c r="AH48" i="26"/>
  <c r="Y69" i="35"/>
  <c r="Y71" s="1"/>
  <c r="W70" i="8"/>
  <c r="W66"/>
  <c r="W68" s="1"/>
  <c r="W28" i="37" s="1"/>
  <c r="W29" s="1"/>
  <c r="AF43" i="8"/>
  <c r="X21" i="35"/>
  <c r="X25"/>
  <c r="X75" s="1"/>
  <c r="X77" s="1"/>
  <c r="X81" s="1"/>
  <c r="X82" s="1"/>
  <c r="Y56"/>
  <c r="Y53" s="1"/>
  <c r="Y123" i="10" s="1"/>
  <c r="Y62" i="11" s="1"/>
  <c r="Z58" i="35"/>
  <c r="X64" i="8"/>
  <c r="AD54" i="22"/>
  <c r="AE45" i="4"/>
  <c r="AD50"/>
  <c r="AD116" i="10" s="1"/>
  <c r="AD55" i="11" s="1"/>
  <c r="G101" i="4"/>
  <c r="K143" s="1"/>
  <c r="O229" s="1"/>
  <c r="AC116" i="10"/>
  <c r="AC55" i="11" s="1"/>
  <c r="AF16" i="35"/>
  <c r="AF208" i="10"/>
  <c r="AF16" i="9"/>
  <c r="AF16" i="8"/>
  <c r="AF16" i="26"/>
  <c r="AF16" i="13"/>
  <c r="AF182" i="10"/>
  <c r="AF148"/>
  <c r="AF16" i="29"/>
  <c r="AF16" i="4"/>
  <c r="AF103" i="10"/>
  <c r="AF81"/>
  <c r="AF82" s="1"/>
  <c r="AF83" s="1"/>
  <c r="AG79"/>
  <c r="AG16" i="37" s="1"/>
  <c r="AD19" i="29"/>
  <c r="AD19" i="26"/>
  <c r="AD19" i="4"/>
  <c r="AD19" i="35"/>
  <c r="AD19" i="8"/>
  <c r="AD19" i="9"/>
  <c r="AD19" i="13"/>
  <c r="AE18" i="29"/>
  <c r="AE20" s="1"/>
  <c r="AE18" i="9"/>
  <c r="AE20" s="1"/>
  <c r="AE18" i="13"/>
  <c r="AE20" s="1"/>
  <c r="AE18" i="35"/>
  <c r="AE20" s="1"/>
  <c r="AE18" i="8"/>
  <c r="AE20" s="1"/>
  <c r="AE18" i="26"/>
  <c r="AE20" s="1"/>
  <c r="AE18" i="4"/>
  <c r="AE20" s="1"/>
  <c r="AG53" i="8"/>
  <c r="AG33"/>
  <c r="AH14"/>
  <c r="AG74"/>
  <c r="V131" i="10"/>
  <c r="AH74" i="9"/>
  <c r="AH61"/>
  <c r="AI14"/>
  <c r="AH39"/>
  <c r="X199" i="10"/>
  <c r="X70" i="9"/>
  <c r="X69"/>
  <c r="X75" s="1"/>
  <c r="X77" s="1"/>
  <c r="X78" s="1"/>
  <c r="X79" s="1"/>
  <c r="W163" i="10"/>
  <c r="W139"/>
  <c r="W153" s="1"/>
  <c r="W69" i="11"/>
  <c r="W206" i="10"/>
  <c r="Y66" i="22"/>
  <c r="Y76" s="1"/>
  <c r="Y77" i="4"/>
  <c r="X61" i="26"/>
  <c r="V202" i="10"/>
  <c r="U166"/>
  <c r="U72" i="11"/>
  <c r="U83" s="1"/>
  <c r="U142" i="10"/>
  <c r="U156" s="1"/>
  <c r="V90" i="11"/>
  <c r="V80"/>
  <c r="V94" s="1"/>
  <c r="AC35" i="13"/>
  <c r="I105" i="36"/>
  <c r="AC57" i="22"/>
  <c r="Z87" i="10"/>
  <c r="AA85" s="1"/>
  <c r="AA86" s="1"/>
  <c r="AA88" s="1"/>
  <c r="Z22" i="9"/>
  <c r="Z71" s="1"/>
  <c r="Z23" i="35"/>
  <c r="Z22" i="4"/>
  <c r="Z59" s="1"/>
  <c r="Z61" s="1"/>
  <c r="Z64" s="1"/>
  <c r="Z65" s="1"/>
  <c r="Z66" s="1"/>
  <c r="Z67" s="1"/>
  <c r="Z71" s="1"/>
  <c r="Z74" s="1"/>
  <c r="Z75" s="1"/>
  <c r="Z76" s="1"/>
  <c r="Z23" i="8"/>
  <c r="Z72" s="1"/>
  <c r="Z21" s="1"/>
  <c r="Z23" i="29"/>
  <c r="Z65" s="1"/>
  <c r="Z21" s="1"/>
  <c r="Z23" i="26"/>
  <c r="Z65" s="1"/>
  <c r="Z21" s="1"/>
  <c r="Z23" i="13"/>
  <c r="Z65" s="1"/>
  <c r="Z21" s="1"/>
  <c r="Y24" i="26"/>
  <c r="Y25" s="1"/>
  <c r="Y57" s="1"/>
  <c r="Y59" s="1"/>
  <c r="Y23" i="4"/>
  <c r="Y23" i="9"/>
  <c r="Y67" s="1"/>
  <c r="Y68" s="1"/>
  <c r="Y24" i="13"/>
  <c r="Y25" s="1"/>
  <c r="Y57" s="1"/>
  <c r="Y59" s="1"/>
  <c r="Y24" i="8"/>
  <c r="Y25" s="1"/>
  <c r="Y62" s="1"/>
  <c r="Y24" i="29"/>
  <c r="Y25" s="1"/>
  <c r="Y62" s="1"/>
  <c r="Y64" s="1"/>
  <c r="Y24" i="35"/>
  <c r="W69" i="22"/>
  <c r="W79" s="1"/>
  <c r="X61" i="13"/>
  <c r="X68" s="1"/>
  <c r="X78" i="4"/>
  <c r="X128" i="10"/>
  <c r="X79" i="4"/>
  <c r="X80"/>
  <c r="AH47" i="9"/>
  <c r="AG51"/>
  <c r="AG53" s="1"/>
  <c r="AF55"/>
  <c r="AD41" i="8"/>
  <c r="AD49"/>
  <c r="AD25" i="37" s="1"/>
  <c r="AD26" s="1"/>
  <c r="AC55" i="22"/>
  <c r="AC51" i="8"/>
  <c r="K73" i="36"/>
  <c r="W134" i="10"/>
  <c r="W82" i="9"/>
  <c r="W81"/>
  <c r="W80"/>
  <c r="Z37" i="29"/>
  <c r="AF28" i="35"/>
  <c r="AF30" s="1"/>
  <c r="AF60" i="29"/>
  <c r="U159" i="10"/>
  <c r="V75" i="11"/>
  <c r="V86" s="1"/>
  <c r="V169" i="10"/>
  <c r="V145"/>
  <c r="AG58" i="8"/>
  <c r="AA194" i="10"/>
  <c r="AB61" i="22"/>
  <c r="AE38" i="35"/>
  <c r="AE41"/>
  <c r="AE53" i="13"/>
  <c r="AE55" s="1"/>
  <c r="Y57" i="9"/>
  <c r="X62"/>
  <c r="X122" i="10" s="1"/>
  <c r="X61" i="11" s="1"/>
  <c r="AG53" i="26"/>
  <c r="AG55" s="1"/>
  <c r="AI14"/>
  <c r="AI50" s="1"/>
  <c r="AH33"/>
  <c r="AH40" s="1"/>
  <c r="AH67"/>
  <c r="AD35" i="35"/>
  <c r="AC43"/>
  <c r="V170" i="10" l="1"/>
  <c r="AF18" i="37"/>
  <c r="AF54" i="29"/>
  <c r="AF69"/>
  <c r="AF31"/>
  <c r="AG14"/>
  <c r="W83" i="35"/>
  <c r="AF37" i="13"/>
  <c r="AF44" s="1"/>
  <c r="AF49" i="37" s="1"/>
  <c r="AF50" s="1"/>
  <c r="AE46" i="13"/>
  <c r="AF73" i="35"/>
  <c r="V76" i="11"/>
  <c r="V87" s="1"/>
  <c r="W70" i="13"/>
  <c r="W135" i="10"/>
  <c r="W146" s="1"/>
  <c r="W160" s="1"/>
  <c r="W84" i="35"/>
  <c r="AC190" i="10"/>
  <c r="AC188"/>
  <c r="AD187"/>
  <c r="W71" i="13"/>
  <c r="AG32" i="35"/>
  <c r="AG64" s="1"/>
  <c r="AH14"/>
  <c r="AG80"/>
  <c r="R54" i="11"/>
  <c r="R124" i="10"/>
  <c r="R45" i="11"/>
  <c r="F99" i="32"/>
  <c r="F98"/>
  <c r="Q136" i="10"/>
  <c r="Q162"/>
  <c r="Q47" i="11"/>
  <c r="Q68"/>
  <c r="Q49"/>
  <c r="R74"/>
  <c r="R91" s="1"/>
  <c r="R127" i="10"/>
  <c r="AI110"/>
  <c r="AI78"/>
  <c r="AI77"/>
  <c r="AJ80"/>
  <c r="AJ126" s="1"/>
  <c r="AH184"/>
  <c r="AH42" i="22"/>
  <c r="AH63" s="1"/>
  <c r="AH44" i="11"/>
  <c r="AH66" s="1"/>
  <c r="W12" i="15"/>
  <c r="W5" i="30"/>
  <c r="AH210" i="10"/>
  <c r="AH150"/>
  <c r="AH172"/>
  <c r="Y25" i="35"/>
  <c r="Y75" s="1"/>
  <c r="Y77" s="1"/>
  <c r="Y81" s="1"/>
  <c r="Y73" i="22" s="1"/>
  <c r="Y83" s="1"/>
  <c r="T164" i="10"/>
  <c r="Y21" i="35"/>
  <c r="T140" i="10"/>
  <c r="T154" s="1"/>
  <c r="V32" i="37"/>
  <c r="X69" i="13"/>
  <c r="X70" s="1"/>
  <c r="X52" i="37"/>
  <c r="W53"/>
  <c r="W56" s="1"/>
  <c r="W55"/>
  <c r="W31"/>
  <c r="AF32" i="4"/>
  <c r="AG34"/>
  <c r="AF48"/>
  <c r="AH14"/>
  <c r="AG26"/>
  <c r="AG53"/>
  <c r="AG69" s="1"/>
  <c r="AG121" s="1"/>
  <c r="AG31"/>
  <c r="AG30"/>
  <c r="AH48" i="13"/>
  <c r="AI14"/>
  <c r="AH67"/>
  <c r="AH33"/>
  <c r="AH40" s="1"/>
  <c r="K166" i="4"/>
  <c r="C253" i="32"/>
  <c r="E253" s="1"/>
  <c r="J188" i="4"/>
  <c r="C256" i="32" s="1"/>
  <c r="K188" i="4"/>
  <c r="C257" i="32" s="1"/>
  <c r="AJ56" i="8"/>
  <c r="AI60"/>
  <c r="W75"/>
  <c r="U129" i="10"/>
  <c r="U79" i="8"/>
  <c r="U77"/>
  <c r="U78"/>
  <c r="V76"/>
  <c r="V67" i="22"/>
  <c r="V77" s="1"/>
  <c r="U200" i="10"/>
  <c r="Z69" i="35"/>
  <c r="Z71" s="1"/>
  <c r="AI48" i="26"/>
  <c r="X73" i="22"/>
  <c r="X83" s="1"/>
  <c r="X70" i="8"/>
  <c r="X66"/>
  <c r="X68" s="1"/>
  <c r="X28" i="37" s="1"/>
  <c r="X29" s="1"/>
  <c r="AG43" i="8"/>
  <c r="AA58" i="35"/>
  <c r="Z56"/>
  <c r="Z53" s="1"/>
  <c r="Z123" i="10" s="1"/>
  <c r="Z62" i="11" s="1"/>
  <c r="Y64" i="8"/>
  <c r="AE50" i="4"/>
  <c r="AE116" i="10" s="1"/>
  <c r="AE55" i="11" s="1"/>
  <c r="AF45" i="4"/>
  <c r="AE54" i="22"/>
  <c r="AG16" i="35"/>
  <c r="AG148" i="10"/>
  <c r="AG16" i="9"/>
  <c r="AG16" i="13"/>
  <c r="AG182" i="10"/>
  <c r="AG16" i="8"/>
  <c r="AG16" i="26"/>
  <c r="AG16" i="4"/>
  <c r="AG16" i="29"/>
  <c r="AG103" i="10"/>
  <c r="AG208"/>
  <c r="AG81"/>
  <c r="AG82" s="1"/>
  <c r="AG83" s="1"/>
  <c r="AH79"/>
  <c r="AH16" i="37" s="1"/>
  <c r="AE19" i="35"/>
  <c r="AE19" i="26"/>
  <c r="AE19" i="9"/>
  <c r="AE19" i="13"/>
  <c r="AE19" i="4"/>
  <c r="AE19" i="29"/>
  <c r="AE19" i="8"/>
  <c r="AF18" i="13"/>
  <c r="AF20" s="1"/>
  <c r="AF18" i="26"/>
  <c r="AF20" s="1"/>
  <c r="AF18" i="9"/>
  <c r="AF20" s="1"/>
  <c r="AF18" i="4"/>
  <c r="AF20" s="1"/>
  <c r="AF18" i="8"/>
  <c r="AF20" s="1"/>
  <c r="AF18" i="29"/>
  <c r="AF20" s="1"/>
  <c r="AF18" i="35"/>
  <c r="AF20" s="1"/>
  <c r="AF38"/>
  <c r="AH74" i="8"/>
  <c r="AH33"/>
  <c r="AI14"/>
  <c r="AH53"/>
  <c r="AF41" i="35"/>
  <c r="X69" i="22"/>
  <c r="X79" s="1"/>
  <c r="W202" i="10"/>
  <c r="Y61" i="13"/>
  <c r="Y68" s="1"/>
  <c r="AA22" i="9"/>
  <c r="AA71" s="1"/>
  <c r="AA23" i="35"/>
  <c r="AA23" i="13"/>
  <c r="AA65" s="1"/>
  <c r="AA21" s="1"/>
  <c r="AA22" i="4"/>
  <c r="AA59" s="1"/>
  <c r="AA61" s="1"/>
  <c r="AA64" s="1"/>
  <c r="AA65" s="1"/>
  <c r="AA66" s="1"/>
  <c r="AA67" s="1"/>
  <c r="AA71" s="1"/>
  <c r="AA74" s="1"/>
  <c r="AA75" s="1"/>
  <c r="AA76" s="1"/>
  <c r="AA23" i="26"/>
  <c r="AA65" s="1"/>
  <c r="AA21" s="1"/>
  <c r="AA23" i="8"/>
  <c r="AA72" s="1"/>
  <c r="AA21" s="1"/>
  <c r="AA23" i="29"/>
  <c r="AA65" s="1"/>
  <c r="AA21" s="1"/>
  <c r="AA87" i="10"/>
  <c r="AB85" s="1"/>
  <c r="AB86" s="1"/>
  <c r="AB88" s="1"/>
  <c r="I106" i="36"/>
  <c r="I107" s="1"/>
  <c r="I109" s="1"/>
  <c r="I110" s="1"/>
  <c r="I111" s="1"/>
  <c r="I112" s="1"/>
  <c r="I121"/>
  <c r="I122" s="1"/>
  <c r="I123" s="1"/>
  <c r="I125" s="1"/>
  <c r="I126" s="1"/>
  <c r="I127" s="1"/>
  <c r="I128" s="1"/>
  <c r="AI61" i="9"/>
  <c r="AJ14"/>
  <c r="AI39"/>
  <c r="AI74"/>
  <c r="W131" i="10"/>
  <c r="Y61" i="26"/>
  <c r="Y199" i="10"/>
  <c r="Y78" i="4"/>
  <c r="Y80"/>
  <c r="Y128" i="10"/>
  <c r="Y79" i="4"/>
  <c r="W80" i="11"/>
  <c r="W94" s="1"/>
  <c r="W90"/>
  <c r="X69"/>
  <c r="X163" i="10"/>
  <c r="X139"/>
  <c r="X153" s="1"/>
  <c r="X84" i="35"/>
  <c r="X83"/>
  <c r="X85"/>
  <c r="X135" i="10"/>
  <c r="Y69" i="9"/>
  <c r="Y75" s="1"/>
  <c r="Y77" s="1"/>
  <c r="Y78" s="1"/>
  <c r="Y79" s="1"/>
  <c r="Y70"/>
  <c r="Z23" i="4"/>
  <c r="Z24" i="13"/>
  <c r="Z25" s="1"/>
  <c r="Z57" s="1"/>
  <c r="Z59" s="1"/>
  <c r="Z24" i="35"/>
  <c r="Z23" i="9"/>
  <c r="Z67" s="1"/>
  <c r="Z68" s="1"/>
  <c r="Z24" i="8"/>
  <c r="Z25" s="1"/>
  <c r="Z62" s="1"/>
  <c r="Z24" i="29"/>
  <c r="Z25" s="1"/>
  <c r="Z62" s="1"/>
  <c r="Z64" s="1"/>
  <c r="Z24" i="26"/>
  <c r="Z25" s="1"/>
  <c r="Z57" s="1"/>
  <c r="Z59" s="1"/>
  <c r="Z66" i="22"/>
  <c r="Z76" s="1"/>
  <c r="Z77" i="4"/>
  <c r="AD57" i="22"/>
  <c r="AD35" i="13"/>
  <c r="AD119" i="10" s="1"/>
  <c r="AD58" i="11" s="1"/>
  <c r="AC119" i="10"/>
  <c r="AC58" i="11" s="1"/>
  <c r="V72"/>
  <c r="V83" s="1"/>
  <c r="V166" i="10"/>
  <c r="V142"/>
  <c r="V156" s="1"/>
  <c r="AH51" i="9"/>
  <c r="AH53" s="1"/>
  <c r="AI47"/>
  <c r="AG55"/>
  <c r="AC117" i="10"/>
  <c r="AC56" i="11" s="1"/>
  <c r="AE41" i="8"/>
  <c r="AE49"/>
  <c r="AE25" i="37" s="1"/>
  <c r="AE26" s="1"/>
  <c r="K75" i="36"/>
  <c r="K77" s="1"/>
  <c r="K81" s="1"/>
  <c r="G105"/>
  <c r="AD55" i="22"/>
  <c r="AD51" i="8"/>
  <c r="AD117" i="10" s="1"/>
  <c r="AD56" i="11" s="1"/>
  <c r="X82" i="9"/>
  <c r="X80"/>
  <c r="X81"/>
  <c r="X134" i="10"/>
  <c r="AE35" i="35"/>
  <c r="AD43"/>
  <c r="AH53" i="26"/>
  <c r="AH55" s="1"/>
  <c r="AB194" i="10"/>
  <c r="W75" i="11"/>
  <c r="W86" s="1"/>
  <c r="W145" i="10"/>
  <c r="W169"/>
  <c r="AI33" i="26"/>
  <c r="AI40" s="1"/>
  <c r="AI67"/>
  <c r="AJ14"/>
  <c r="AJ50" s="1"/>
  <c r="AH58" i="8"/>
  <c r="AA37" i="29"/>
  <c r="AC61" i="22"/>
  <c r="AG28" i="35"/>
  <c r="AG30" s="1"/>
  <c r="AG60" i="29"/>
  <c r="Z57" i="9"/>
  <c r="Y62"/>
  <c r="Y122" i="10" s="1"/>
  <c r="Y61" i="11" s="1"/>
  <c r="AF53" i="13"/>
  <c r="AF55" s="1"/>
  <c r="V159" i="10"/>
  <c r="AG18" i="37" l="1"/>
  <c r="AG31" i="29"/>
  <c r="AG54"/>
  <c r="AH14"/>
  <c r="AG69"/>
  <c r="AG73" i="35"/>
  <c r="AF46" i="13"/>
  <c r="AG37"/>
  <c r="AG44" s="1"/>
  <c r="AG49" i="37" s="1"/>
  <c r="AG50" s="1"/>
  <c r="X72" i="13"/>
  <c r="W76" i="11"/>
  <c r="W87" s="1"/>
  <c r="W170" i="10"/>
  <c r="AD190"/>
  <c r="AD188"/>
  <c r="AE187"/>
  <c r="Z25" i="35"/>
  <c r="Z75" s="1"/>
  <c r="Z77" s="1"/>
  <c r="Z81" s="1"/>
  <c r="Z82" s="1"/>
  <c r="Z21"/>
  <c r="AH80"/>
  <c r="AI14"/>
  <c r="AH32"/>
  <c r="AH64" s="1"/>
  <c r="R68" i="11"/>
  <c r="R47"/>
  <c r="R49"/>
  <c r="R162" i="10"/>
  <c r="R136"/>
  <c r="Y82" i="35"/>
  <c r="Y85" s="1"/>
  <c r="G95" i="32"/>
  <c r="G92"/>
  <c r="G93"/>
  <c r="G96"/>
  <c r="G94"/>
  <c r="G97"/>
  <c r="AI210" i="10"/>
  <c r="AI42" i="22"/>
  <c r="AI63" s="1"/>
  <c r="X5" i="30"/>
  <c r="AI44" i="11"/>
  <c r="AI66" s="1"/>
  <c r="X12" i="15"/>
  <c r="AI184" i="10"/>
  <c r="AI172"/>
  <c r="AI150"/>
  <c r="AK80"/>
  <c r="AK126" s="1"/>
  <c r="AJ78"/>
  <c r="AJ77"/>
  <c r="AJ110"/>
  <c r="X71" i="13"/>
  <c r="W32" i="37"/>
  <c r="Y69" i="13"/>
  <c r="Y72" s="1"/>
  <c r="Y52" i="37"/>
  <c r="X31"/>
  <c r="X53"/>
  <c r="X56" s="1"/>
  <c r="X55"/>
  <c r="AH26" i="4"/>
  <c r="AH53"/>
  <c r="AH69" s="1"/>
  <c r="AH121" s="1"/>
  <c r="AH30"/>
  <c r="AI14"/>
  <c r="AH31"/>
  <c r="AI48" i="13"/>
  <c r="AI33"/>
  <c r="AI40" s="1"/>
  <c r="AJ14"/>
  <c r="AI67"/>
  <c r="AH34" i="4"/>
  <c r="AG48"/>
  <c r="AK56" i="8"/>
  <c r="AJ60"/>
  <c r="AG32" i="4"/>
  <c r="X206" i="10"/>
  <c r="X75" i="8"/>
  <c r="X67" i="22" s="1"/>
  <c r="X77" s="1"/>
  <c r="W67"/>
  <c r="W77" s="1"/>
  <c r="W76" i="8"/>
  <c r="V77"/>
  <c r="V79"/>
  <c r="V78"/>
  <c r="V129" i="10"/>
  <c r="U140"/>
  <c r="U164"/>
  <c r="U70" i="11"/>
  <c r="V200" i="10"/>
  <c r="AJ48" i="26"/>
  <c r="Y70" i="8"/>
  <c r="Y66"/>
  <c r="Y68" s="1"/>
  <c r="Y28" i="37" s="1"/>
  <c r="Y29" s="1"/>
  <c r="AH43" i="8"/>
  <c r="AA56" i="35"/>
  <c r="AA53" s="1"/>
  <c r="AA123" i="10" s="1"/>
  <c r="AA62" i="11" s="1"/>
  <c r="AB58" i="35"/>
  <c r="AA69"/>
  <c r="AA21" s="1"/>
  <c r="Z64" i="8"/>
  <c r="AG45" i="4"/>
  <c r="AF50"/>
  <c r="AF116" i="10" s="1"/>
  <c r="AF55" i="11" s="1"/>
  <c r="AF54" i="22"/>
  <c r="AH16" i="9"/>
  <c r="AH16" i="4"/>
  <c r="AH16" i="13"/>
  <c r="AH182" i="10"/>
  <c r="AH16" i="26"/>
  <c r="AH16" i="8"/>
  <c r="AH16" i="29"/>
  <c r="AH148" i="10"/>
  <c r="AH208"/>
  <c r="AH16" i="35"/>
  <c r="AH103" i="10"/>
  <c r="AH81"/>
  <c r="AH82" s="1"/>
  <c r="AH83" s="1"/>
  <c r="AI79"/>
  <c r="AI16" i="37" s="1"/>
  <c r="AF19" i="35"/>
  <c r="AF19" i="13"/>
  <c r="AF19" i="4"/>
  <c r="AF19" i="29"/>
  <c r="AF19" i="26"/>
  <c r="AF19" i="8"/>
  <c r="AF19" i="9"/>
  <c r="AG18" i="26"/>
  <c r="AG20" s="1"/>
  <c r="AG18" i="29"/>
  <c r="AG20" s="1"/>
  <c r="AG18" i="13"/>
  <c r="AG20" s="1"/>
  <c r="AG18" i="4"/>
  <c r="AG20" s="1"/>
  <c r="AG18" i="35"/>
  <c r="AG20" s="1"/>
  <c r="AG18" i="9"/>
  <c r="AG20" s="1"/>
  <c r="AG18" i="8"/>
  <c r="AG20" s="1"/>
  <c r="AI53"/>
  <c r="AI33"/>
  <c r="AJ14"/>
  <c r="AI74"/>
  <c r="Z79" i="4"/>
  <c r="Z78"/>
  <c r="Z128" i="10"/>
  <c r="Z80" i="4"/>
  <c r="Y206" i="10"/>
  <c r="Z61" i="13"/>
  <c r="Z68" s="1"/>
  <c r="X80" i="11"/>
  <c r="X94" s="1"/>
  <c r="X90"/>
  <c r="W142" i="10"/>
  <c r="W156" s="1"/>
  <c r="W72" i="11"/>
  <c r="W83" s="1"/>
  <c r="W166" i="10"/>
  <c r="Y69" i="22"/>
  <c r="Y79" s="1"/>
  <c r="X202" i="10"/>
  <c r="Z61" i="26"/>
  <c r="Y163" i="10"/>
  <c r="Y69" i="11"/>
  <c r="Y139" i="10"/>
  <c r="Y153" s="1"/>
  <c r="AK14" i="9"/>
  <c r="AJ39"/>
  <c r="AJ74"/>
  <c r="AJ61"/>
  <c r="AA24" i="35"/>
  <c r="AA23" i="9"/>
  <c r="AA67" s="1"/>
  <c r="AA68" s="1"/>
  <c r="AA24" i="29"/>
  <c r="AA25" s="1"/>
  <c r="AA62" s="1"/>
  <c r="AA64" s="1"/>
  <c r="AA24" i="8"/>
  <c r="AA25" s="1"/>
  <c r="AA62" s="1"/>
  <c r="AA23" i="4"/>
  <c r="AA24" i="26"/>
  <c r="AA25" s="1"/>
  <c r="AA57" s="1"/>
  <c r="AA59" s="1"/>
  <c r="AA24" i="13"/>
  <c r="AA25" s="1"/>
  <c r="AA57" s="1"/>
  <c r="AA59" s="1"/>
  <c r="AA77" i="4"/>
  <c r="AA66" i="22"/>
  <c r="AA76" s="1"/>
  <c r="X131" i="10"/>
  <c r="AE35" i="13"/>
  <c r="AE119" i="10" s="1"/>
  <c r="AE58" i="11" s="1"/>
  <c r="AE57" i="22"/>
  <c r="Z199" i="10"/>
  <c r="Z69" i="9"/>
  <c r="Z75" s="1"/>
  <c r="Z77" s="1"/>
  <c r="Z78" s="1"/>
  <c r="Z79" s="1"/>
  <c r="Z70"/>
  <c r="X76" i="11"/>
  <c r="X87" s="1"/>
  <c r="X170" i="10"/>
  <c r="X146"/>
  <c r="X160" s="1"/>
  <c r="AB22" i="9"/>
  <c r="AB71" s="1"/>
  <c r="AB23" i="29"/>
  <c r="AB65" s="1"/>
  <c r="AB21" s="1"/>
  <c r="AB23" i="8"/>
  <c r="AB72" s="1"/>
  <c r="AB21" s="1"/>
  <c r="AB23" i="35"/>
  <c r="AB23" i="26"/>
  <c r="AB65" s="1"/>
  <c r="AB21" s="1"/>
  <c r="AB23" i="13"/>
  <c r="AB65" s="1"/>
  <c r="AB21" s="1"/>
  <c r="AB87" i="10"/>
  <c r="AC85" s="1"/>
  <c r="AC86" s="1"/>
  <c r="AC88" s="1"/>
  <c r="AB22" i="4"/>
  <c r="AB59" s="1"/>
  <c r="AB61" s="1"/>
  <c r="AB64" s="1"/>
  <c r="AB65" s="1"/>
  <c r="AB66" s="1"/>
  <c r="AB67" s="1"/>
  <c r="AB71" s="1"/>
  <c r="AB74" s="1"/>
  <c r="AB75" s="1"/>
  <c r="AB76" s="1"/>
  <c r="AH55" i="9"/>
  <c r="AJ47"/>
  <c r="AI51"/>
  <c r="AI53" s="1"/>
  <c r="AF41" i="8"/>
  <c r="AF49"/>
  <c r="AF25" i="37" s="1"/>
  <c r="AF26" s="1"/>
  <c r="K83" i="36"/>
  <c r="K87"/>
  <c r="K91" s="1"/>
  <c r="K95" s="1"/>
  <c r="G121"/>
  <c r="G106"/>
  <c r="G107" s="1"/>
  <c r="G109" s="1"/>
  <c r="G110" s="1"/>
  <c r="G111" s="1"/>
  <c r="G112" s="1"/>
  <c r="AE55" i="22"/>
  <c r="AE51" i="8"/>
  <c r="AE117" i="10" s="1"/>
  <c r="AE56" i="11" s="1"/>
  <c r="Y134" i="10"/>
  <c r="Y81" i="9"/>
  <c r="Y82"/>
  <c r="Y80"/>
  <c r="AG53" i="13"/>
  <c r="AG55" s="1"/>
  <c r="AI58" i="8"/>
  <c r="AH28" i="35"/>
  <c r="AH30" s="1"/>
  <c r="AH60" i="29"/>
  <c r="AD61" i="22"/>
  <c r="AC194" i="10"/>
  <c r="AB37" i="29"/>
  <c r="AI53" i="26"/>
  <c r="AI55" s="1"/>
  <c r="AG38" i="35"/>
  <c r="Z62" i="9"/>
  <c r="Z122" i="10" s="1"/>
  <c r="Z61" i="11" s="1"/>
  <c r="AA57" i="9"/>
  <c r="AJ33" i="26"/>
  <c r="AJ40" s="1"/>
  <c r="AJ67"/>
  <c r="AK14"/>
  <c r="AK50" s="1"/>
  <c r="W159" i="10"/>
  <c r="AF35" i="35"/>
  <c r="AE43"/>
  <c r="X75" i="11"/>
  <c r="X86" s="1"/>
  <c r="X145" i="10"/>
  <c r="X169"/>
  <c r="AG41" i="35"/>
  <c r="AG46" i="13" l="1"/>
  <c r="AH37"/>
  <c r="AH44" s="1"/>
  <c r="AH49" i="37" s="1"/>
  <c r="AH50" s="1"/>
  <c r="AH18"/>
  <c r="AH31" i="29"/>
  <c r="AH54"/>
  <c r="AH69"/>
  <c r="AI14"/>
  <c r="AH73" i="35"/>
  <c r="Y71" i="13"/>
  <c r="Z73" i="22"/>
  <c r="Z83" s="1"/>
  <c r="X200" i="10"/>
  <c r="AF187"/>
  <c r="AE190"/>
  <c r="AE188"/>
  <c r="Y83" i="35"/>
  <c r="Y84"/>
  <c r="Y135" i="10"/>
  <c r="Y146" s="1"/>
  <c r="Y160" s="1"/>
  <c r="AJ14" i="35"/>
  <c r="AI32"/>
  <c r="AI64" s="1"/>
  <c r="AI80"/>
  <c r="M95" i="32"/>
  <c r="H93"/>
  <c r="H97"/>
  <c r="Q95"/>
  <c r="H92"/>
  <c r="G99"/>
  <c r="L95"/>
  <c r="H94"/>
  <c r="N95"/>
  <c r="O95"/>
  <c r="H95"/>
  <c r="P95"/>
  <c r="H96"/>
  <c r="AJ44" i="11"/>
  <c r="AJ66" s="1"/>
  <c r="Y5" i="30"/>
  <c r="AJ210" i="10"/>
  <c r="AJ42" i="22"/>
  <c r="AJ63" s="1"/>
  <c r="AJ172" i="10"/>
  <c r="AJ150"/>
  <c r="Y12" i="15"/>
  <c r="AJ184" i="10"/>
  <c r="AK77"/>
  <c r="AK110"/>
  <c r="AL80"/>
  <c r="AL126" s="1"/>
  <c r="AK78"/>
  <c r="AH32" i="4"/>
  <c r="X32" i="37"/>
  <c r="Y70" i="13"/>
  <c r="Z69"/>
  <c r="Z70" s="1"/>
  <c r="Z52" i="37"/>
  <c r="Y53"/>
  <c r="Y56" s="1"/>
  <c r="Y55"/>
  <c r="Y31"/>
  <c r="AL56" i="8"/>
  <c r="AK60"/>
  <c r="AJ48" i="13"/>
  <c r="AJ33"/>
  <c r="AJ40" s="1"/>
  <c r="AJ67"/>
  <c r="AK14"/>
  <c r="AJ14" i="4"/>
  <c r="AI26"/>
  <c r="AI53"/>
  <c r="AI69" s="1"/>
  <c r="AI121" s="1"/>
  <c r="AI30"/>
  <c r="AI31"/>
  <c r="AH48"/>
  <c r="AI34"/>
  <c r="Y75" i="8"/>
  <c r="Y76" s="1"/>
  <c r="Y78" s="1"/>
  <c r="W77"/>
  <c r="W129" i="10"/>
  <c r="W78" i="8"/>
  <c r="W79"/>
  <c r="U81" i="11"/>
  <c r="V140" i="10"/>
  <c r="V70" i="11"/>
  <c r="V164" i="10"/>
  <c r="X76" i="8"/>
  <c r="U154" i="10"/>
  <c r="W200"/>
  <c r="AK48" i="26"/>
  <c r="AH41" i="35"/>
  <c r="Z70" i="8"/>
  <c r="Z66"/>
  <c r="Z68" s="1"/>
  <c r="Z28" i="37" s="1"/>
  <c r="Z29" s="1"/>
  <c r="AI43" i="8"/>
  <c r="AB56" i="35"/>
  <c r="AB53" s="1"/>
  <c r="AB123" i="10" s="1"/>
  <c r="AB62" i="11" s="1"/>
  <c r="AC58" i="35"/>
  <c r="AB69"/>
  <c r="AB71" s="1"/>
  <c r="AA25"/>
  <c r="AA75" s="1"/>
  <c r="AA77" s="1"/>
  <c r="AA81" s="1"/>
  <c r="AA73" i="22" s="1"/>
  <c r="AA83" s="1"/>
  <c r="AA71" i="35"/>
  <c r="AA64" i="8"/>
  <c r="AG50" i="4"/>
  <c r="AG116" i="10" s="1"/>
  <c r="AG54" i="22"/>
  <c r="AH45" i="4"/>
  <c r="AG19" i="35"/>
  <c r="AG19" i="8"/>
  <c r="AG19" i="4"/>
  <c r="AG19" i="9"/>
  <c r="AG19" i="13"/>
  <c r="AG19" i="26"/>
  <c r="AG19" i="29"/>
  <c r="AI16" i="9"/>
  <c r="AI16" i="13"/>
  <c r="AI208" i="10"/>
  <c r="AI16" i="29"/>
  <c r="AI182" i="10"/>
  <c r="AI16" i="26"/>
  <c r="AI16" i="35"/>
  <c r="AI16" i="4"/>
  <c r="AI103" i="10"/>
  <c r="AI16" i="8"/>
  <c r="AI148" i="10"/>
  <c r="AI81"/>
  <c r="AI82" s="1"/>
  <c r="AI83" s="1"/>
  <c r="AJ79"/>
  <c r="AJ16" i="37" s="1"/>
  <c r="AH18" i="35"/>
  <c r="AH20" s="1"/>
  <c r="AH18" i="29"/>
  <c r="AH20" s="1"/>
  <c r="AH18" i="26"/>
  <c r="AH20" s="1"/>
  <c r="AH18" i="8"/>
  <c r="AH20" s="1"/>
  <c r="AH18" i="13"/>
  <c r="AH20" s="1"/>
  <c r="AH18" i="4"/>
  <c r="AH20" s="1"/>
  <c r="AH18" i="9"/>
  <c r="AH20" s="1"/>
  <c r="AJ33" i="8"/>
  <c r="AK14"/>
  <c r="AJ53"/>
  <c r="AJ74"/>
  <c r="AA128" i="10"/>
  <c r="AA78" i="4"/>
  <c r="AA79"/>
  <c r="AA80"/>
  <c r="Y202" i="10"/>
  <c r="AF57" i="22"/>
  <c r="AF35" i="13"/>
  <c r="AF119" i="10" s="1"/>
  <c r="AF58" i="11" s="1"/>
  <c r="AA199" i="10"/>
  <c r="AK61" i="9"/>
  <c r="AK74"/>
  <c r="AK39"/>
  <c r="AL14"/>
  <c r="Y80" i="11"/>
  <c r="Y94" s="1"/>
  <c r="Y90"/>
  <c r="AC23" i="29"/>
  <c r="AC65" s="1"/>
  <c r="AC23" i="26"/>
  <c r="AC65" s="1"/>
  <c r="AC23" i="8"/>
  <c r="AC72" s="1"/>
  <c r="AC22" i="4"/>
  <c r="AC59" s="1"/>
  <c r="AC22" i="9"/>
  <c r="AC71" s="1"/>
  <c r="AC23" i="35"/>
  <c r="AC87" i="10"/>
  <c r="AD85" s="1"/>
  <c r="AD86" s="1"/>
  <c r="AD88" s="1"/>
  <c r="AC23" i="13"/>
  <c r="AC65" s="1"/>
  <c r="AB24" i="29"/>
  <c r="AB25" s="1"/>
  <c r="AB62" s="1"/>
  <c r="AB64" s="1"/>
  <c r="AB24" i="35"/>
  <c r="AB24" i="13"/>
  <c r="AB25" s="1"/>
  <c r="AB57" s="1"/>
  <c r="AB59" s="1"/>
  <c r="AB24" i="8"/>
  <c r="AB25" s="1"/>
  <c r="AB62" s="1"/>
  <c r="AB23" i="4"/>
  <c r="AB23" i="9"/>
  <c r="AB67" s="1"/>
  <c r="AB68" s="1"/>
  <c r="AB24" i="26"/>
  <c r="AB25" s="1"/>
  <c r="AB57" s="1"/>
  <c r="AB59" s="1"/>
  <c r="AA61"/>
  <c r="AA69" i="9"/>
  <c r="AA75" s="1"/>
  <c r="AA77" s="1"/>
  <c r="AA78" s="1"/>
  <c r="AA79" s="1"/>
  <c r="AA70"/>
  <c r="AB77" i="4"/>
  <c r="AB66" i="22"/>
  <c r="AB76" s="1"/>
  <c r="X72" i="11"/>
  <c r="X83" s="1"/>
  <c r="X142" i="10"/>
  <c r="X156" s="1"/>
  <c r="X166"/>
  <c r="AA61" i="13"/>
  <c r="AA68" s="1"/>
  <c r="Z84" i="35"/>
  <c r="Z85"/>
  <c r="Z83"/>
  <c r="Z135" i="10"/>
  <c r="Y131"/>
  <c r="Z69" i="22"/>
  <c r="Z79" s="1"/>
  <c r="Z163" i="10"/>
  <c r="Z139"/>
  <c r="Z153" s="1"/>
  <c r="Z69" i="11"/>
  <c r="AH38" i="35"/>
  <c r="AI55" i="9"/>
  <c r="AJ51"/>
  <c r="AJ53" s="1"/>
  <c r="AK47"/>
  <c r="AG41" i="8"/>
  <c r="AG49"/>
  <c r="AG25" i="37" s="1"/>
  <c r="AG26" s="1"/>
  <c r="G122" i="36"/>
  <c r="G123" s="1"/>
  <c r="G125" s="1"/>
  <c r="G126" s="1"/>
  <c r="G127" s="1"/>
  <c r="G128" s="1"/>
  <c r="AF51" i="8"/>
  <c r="AF117" i="10" s="1"/>
  <c r="AF56" i="11" s="1"/>
  <c r="AF55" i="22"/>
  <c r="X159" i="10"/>
  <c r="AK67" i="26"/>
  <c r="AK33"/>
  <c r="AK40" s="1"/>
  <c r="AL14"/>
  <c r="AL50" s="1"/>
  <c r="AC37" i="29"/>
  <c r="AJ58" i="8"/>
  <c r="AF43" i="35"/>
  <c r="AG35"/>
  <c r="AE61" i="22"/>
  <c r="Z82" i="9"/>
  <c r="Z80"/>
  <c r="Z134" i="10"/>
  <c r="Z81" i="9"/>
  <c r="AI28" i="35"/>
  <c r="AI30" s="1"/>
  <c r="AI60" i="29"/>
  <c r="AD194" i="10"/>
  <c r="Y75" i="11"/>
  <c r="Y86" s="1"/>
  <c r="Y169" i="10"/>
  <c r="Y145"/>
  <c r="AA62" i="9"/>
  <c r="AA122" i="10" s="1"/>
  <c r="AA61" i="11" s="1"/>
  <c r="AB57" i="9"/>
  <c r="AJ53" i="26"/>
  <c r="AJ55" s="1"/>
  <c r="AH53" i="13"/>
  <c r="AH55" s="1"/>
  <c r="AG55" i="11" l="1"/>
  <c r="G49" i="32"/>
  <c r="AI18" i="37"/>
  <c r="AH46" i="13"/>
  <c r="AI37"/>
  <c r="AI44" s="1"/>
  <c r="AI49" i="37" s="1"/>
  <c r="AI50" s="1"/>
  <c r="AJ14" i="29"/>
  <c r="AI69"/>
  <c r="AI31"/>
  <c r="AI54"/>
  <c r="Z206" i="10"/>
  <c r="AF190"/>
  <c r="AG187"/>
  <c r="AF188"/>
  <c r="AB21" i="35"/>
  <c r="Y76" i="11"/>
  <c r="Y87" s="1"/>
  <c r="Y170" i="10"/>
  <c r="AI73" i="35"/>
  <c r="AB25"/>
  <c r="AB75" s="1"/>
  <c r="AB77" s="1"/>
  <c r="AB81" s="1"/>
  <c r="AB82" s="1"/>
  <c r="AJ80"/>
  <c r="AJ32"/>
  <c r="AJ64" s="1"/>
  <c r="AK14"/>
  <c r="R95" i="32"/>
  <c r="H98"/>
  <c r="AK210" i="10"/>
  <c r="AK172"/>
  <c r="Z12" i="15"/>
  <c r="AK150" i="10"/>
  <c r="Z5" i="30"/>
  <c r="AK42" i="22"/>
  <c r="AK63" s="1"/>
  <c r="AK44" i="11"/>
  <c r="AK66" s="1"/>
  <c r="AK184" i="10"/>
  <c r="AL77"/>
  <c r="AL78"/>
  <c r="AM80"/>
  <c r="AM126" s="1"/>
  <c r="AL110"/>
  <c r="Z71" i="13"/>
  <c r="Y32" i="37"/>
  <c r="Z72" i="13"/>
  <c r="AI32" i="4"/>
  <c r="AA69" i="13"/>
  <c r="AA71" s="1"/>
  <c r="AA52" i="37"/>
  <c r="Z53"/>
  <c r="Z56" s="1"/>
  <c r="Z55"/>
  <c r="Z31"/>
  <c r="AJ30" i="4"/>
  <c r="AK14"/>
  <c r="AJ53"/>
  <c r="AJ69" s="1"/>
  <c r="AJ121" s="1"/>
  <c r="AJ26"/>
  <c r="AJ31"/>
  <c r="AK48" i="13"/>
  <c r="AK33"/>
  <c r="AK40" s="1"/>
  <c r="AL14"/>
  <c r="AK67"/>
  <c r="AI48" i="4"/>
  <c r="AJ34"/>
  <c r="AM56" i="8"/>
  <c r="AN56" s="1"/>
  <c r="AO56" s="1"/>
  <c r="AP56" s="1"/>
  <c r="AQ56" s="1"/>
  <c r="AQ60" s="1"/>
  <c r="AL60"/>
  <c r="Y77"/>
  <c r="Y67" i="22"/>
  <c r="Y77" s="1"/>
  <c r="Z75" i="8"/>
  <c r="Z76" s="1"/>
  <c r="X77"/>
  <c r="X129" i="10"/>
  <c r="X79" i="8"/>
  <c r="X78"/>
  <c r="V81" i="11"/>
  <c r="Y79" i="8"/>
  <c r="Y129" i="10"/>
  <c r="V154"/>
  <c r="W70" i="11"/>
  <c r="W140" i="10"/>
  <c r="W164"/>
  <c r="AL48" i="26"/>
  <c r="AA70" i="8"/>
  <c r="AA66"/>
  <c r="AA68" s="1"/>
  <c r="AA28" i="37" s="1"/>
  <c r="AA29" s="1"/>
  <c r="AJ43" i="8"/>
  <c r="AA82" i="35"/>
  <c r="AA85" s="1"/>
  <c r="AI38"/>
  <c r="AC56"/>
  <c r="AC53" s="1"/>
  <c r="AD58"/>
  <c r="AC69"/>
  <c r="AC71" s="1"/>
  <c r="AH50" i="4"/>
  <c r="AH116" i="10" s="1"/>
  <c r="AH55" i="11" s="1"/>
  <c r="AH54" i="22"/>
  <c r="AI45" i="4"/>
  <c r="AB64" i="8"/>
  <c r="AH19"/>
  <c r="AH19" i="35"/>
  <c r="AH19" i="26"/>
  <c r="AH19" i="9"/>
  <c r="AH19" i="4"/>
  <c r="AH19" i="13"/>
  <c r="AH19" i="29"/>
  <c r="AI18" i="13"/>
  <c r="AI20" s="1"/>
  <c r="AI18" i="4"/>
  <c r="AI20" s="1"/>
  <c r="AI18" i="8"/>
  <c r="AI20" s="1"/>
  <c r="AI18" i="35"/>
  <c r="AI20" s="1"/>
  <c r="AI18" i="26"/>
  <c r="AI20" s="1"/>
  <c r="AI18" i="29"/>
  <c r="AI20" s="1"/>
  <c r="AI18" i="9"/>
  <c r="AI20" s="1"/>
  <c r="AJ16" i="29"/>
  <c r="AJ16" i="9"/>
  <c r="AJ16" i="13"/>
  <c r="AJ103" i="10"/>
  <c r="AJ16" i="35"/>
  <c r="AJ208" i="10"/>
  <c r="AJ16" i="26"/>
  <c r="AJ16" i="8"/>
  <c r="AJ182" i="10"/>
  <c r="AJ16" i="4"/>
  <c r="AJ148" i="10"/>
  <c r="AJ81"/>
  <c r="AJ82" s="1"/>
  <c r="AJ83" s="1"/>
  <c r="AK79"/>
  <c r="AK16" i="37" s="1"/>
  <c r="AK53" i="8"/>
  <c r="AK33"/>
  <c r="AL14"/>
  <c r="AK74"/>
  <c r="Z80" i="11"/>
  <c r="Z94" s="1"/>
  <c r="Z90"/>
  <c r="Z131" i="10"/>
  <c r="AC21" i="13"/>
  <c r="AC21" i="29"/>
  <c r="Y166" i="10"/>
  <c r="Y142"/>
  <c r="Y156" s="1"/>
  <c r="Y72" i="11"/>
  <c r="Y83" s="1"/>
  <c r="AC21" i="26"/>
  <c r="AA69" i="11"/>
  <c r="AA163" i="10"/>
  <c r="AA139"/>
  <c r="AA153" s="1"/>
  <c r="Z170"/>
  <c r="Z146"/>
  <c r="Z160" s="1"/>
  <c r="Z76" i="11"/>
  <c r="Z87" s="1"/>
  <c r="AA69" i="22"/>
  <c r="AA79" s="1"/>
  <c r="AB128" i="10"/>
  <c r="AB79" i="4"/>
  <c r="AB78"/>
  <c r="AB80"/>
  <c r="AB69" i="9"/>
  <c r="AB75" s="1"/>
  <c r="AB77" s="1"/>
  <c r="AB78" s="1"/>
  <c r="AB79" s="1"/>
  <c r="AB70"/>
  <c r="AD23" i="8"/>
  <c r="AD72" s="1"/>
  <c r="AD21" s="1"/>
  <c r="AD22" i="9"/>
  <c r="AD71" s="1"/>
  <c r="AD22" i="4"/>
  <c r="AD59" s="1"/>
  <c r="AD61" s="1"/>
  <c r="AD64" s="1"/>
  <c r="AD65" s="1"/>
  <c r="AD66" s="1"/>
  <c r="AD67" s="1"/>
  <c r="AD71" s="1"/>
  <c r="AD74" s="1"/>
  <c r="AD75" s="1"/>
  <c r="AD76" s="1"/>
  <c r="AD87" i="10"/>
  <c r="AE85" s="1"/>
  <c r="AE86" s="1"/>
  <c r="AE88" s="1"/>
  <c r="AD23" i="29"/>
  <c r="AD65" s="1"/>
  <c r="AD21" s="1"/>
  <c r="AD23" i="35"/>
  <c r="AD23" i="26"/>
  <c r="AD65" s="1"/>
  <c r="AD21" s="1"/>
  <c r="AD23" i="13"/>
  <c r="AD65" s="1"/>
  <c r="AD21" s="1"/>
  <c r="AC21" i="8"/>
  <c r="Z202" i="10"/>
  <c r="AB199"/>
  <c r="AB61" i="26"/>
  <c r="AB61" i="13"/>
  <c r="AB68" s="1"/>
  <c r="AC24" i="29"/>
  <c r="AC25" s="1"/>
  <c r="AC62" s="1"/>
  <c r="AC64" s="1"/>
  <c r="AC24" i="35"/>
  <c r="AC23" i="4"/>
  <c r="AC24" i="26"/>
  <c r="AC25" s="1"/>
  <c r="AC57" s="1"/>
  <c r="AC59" s="1"/>
  <c r="AC23" i="9"/>
  <c r="AC67" s="1"/>
  <c r="AC68" s="1"/>
  <c r="AC24" i="13"/>
  <c r="AC25" s="1"/>
  <c r="AC57" s="1"/>
  <c r="AC59" s="1"/>
  <c r="AC24" i="8"/>
  <c r="AC25" s="1"/>
  <c r="AC62" s="1"/>
  <c r="AC61" i="4"/>
  <c r="AC64" s="1"/>
  <c r="AC65" s="1"/>
  <c r="AC66" s="1"/>
  <c r="G97"/>
  <c r="G98" s="1"/>
  <c r="AL61" i="9"/>
  <c r="B8"/>
  <c r="AM14"/>
  <c r="AL74"/>
  <c r="AL39"/>
  <c r="AA206" i="10"/>
  <c r="AG57" i="22"/>
  <c r="AG35" i="13"/>
  <c r="AG119" i="10" s="1"/>
  <c r="AJ55" i="9"/>
  <c r="AL47"/>
  <c r="AK51"/>
  <c r="AK53" s="1"/>
  <c r="AI41" i="35"/>
  <c r="AH49" i="8"/>
  <c r="AH25" i="37" s="1"/>
  <c r="AH26" s="1"/>
  <c r="AH41" i="8"/>
  <c r="AG55" i="22"/>
  <c r="AG51" i="8"/>
  <c r="AG117" i="10" s="1"/>
  <c r="G50" i="32" s="1"/>
  <c r="AI53" i="13"/>
  <c r="AI55" s="1"/>
  <c r="AK53" i="26"/>
  <c r="AK55" s="1"/>
  <c r="AA80" i="9"/>
  <c r="AA81"/>
  <c r="AA82"/>
  <c r="AA134" i="10"/>
  <c r="AG43" i="35"/>
  <c r="AH35"/>
  <c r="AD37" i="29"/>
  <c r="AJ28" i="35"/>
  <c r="AJ30" s="1"/>
  <c r="AJ60" i="29"/>
  <c r="AB62" i="9"/>
  <c r="AB122" i="10" s="1"/>
  <c r="AB61" i="11" s="1"/>
  <c r="AC57" i="9"/>
  <c r="AM14" i="26"/>
  <c r="AM50" s="1"/>
  <c r="AL33"/>
  <c r="AL40" s="1"/>
  <c r="B8"/>
  <c r="AL67"/>
  <c r="Y159" i="10"/>
  <c r="Z75" i="11"/>
  <c r="Z86" s="1"/>
  <c r="Z145" i="10"/>
  <c r="Z169"/>
  <c r="AE194"/>
  <c r="AF61" i="22"/>
  <c r="AK58" i="8"/>
  <c r="AJ37" i="13" l="1"/>
  <c r="AJ44" s="1"/>
  <c r="AJ49" i="37" s="1"/>
  <c r="AJ50" s="1"/>
  <c r="AJ73" i="35"/>
  <c r="AG58" i="11"/>
  <c r="G52" i="32"/>
  <c r="AG56" i="11"/>
  <c r="AI46" i="13"/>
  <c r="AJ18" i="37"/>
  <c r="AJ54" i="29"/>
  <c r="AK14"/>
  <c r="AJ69"/>
  <c r="AJ31"/>
  <c r="AA70" i="13"/>
  <c r="AG188" i="10"/>
  <c r="AG190"/>
  <c r="AH187"/>
  <c r="AB73" i="22"/>
  <c r="AB83" s="1"/>
  <c r="AK80" i="35"/>
  <c r="AL14"/>
  <c r="AK32"/>
  <c r="AK64" s="1"/>
  <c r="AA12" i="15"/>
  <c r="AL42" i="22"/>
  <c r="AL63" s="1"/>
  <c r="AL184" i="10"/>
  <c r="AL150"/>
  <c r="AL44" i="11"/>
  <c r="AL66" s="1"/>
  <c r="AA5" i="30"/>
  <c r="AL172" i="10"/>
  <c r="AL210"/>
  <c r="AN80"/>
  <c r="AN126" s="1"/>
  <c r="AM77"/>
  <c r="AM78"/>
  <c r="AM110"/>
  <c r="AL48" i="13"/>
  <c r="Z32" i="37"/>
  <c r="AA72" i="13"/>
  <c r="AB69"/>
  <c r="AB72" s="1"/>
  <c r="AB52" i="37"/>
  <c r="AA53"/>
  <c r="AA56" s="1"/>
  <c r="AA55"/>
  <c r="AA31"/>
  <c r="AA83" i="35"/>
  <c r="AD69"/>
  <c r="AD21" s="1"/>
  <c r="Z67" i="22"/>
  <c r="AL33" i="13"/>
  <c r="AL40" s="1"/>
  <c r="AL67"/>
  <c r="AM14"/>
  <c r="B8"/>
  <c r="AK34" i="4"/>
  <c r="AJ48"/>
  <c r="AL14"/>
  <c r="AK53"/>
  <c r="AK69" s="1"/>
  <c r="AK121" s="1"/>
  <c r="AK30"/>
  <c r="AK31"/>
  <c r="AK26"/>
  <c r="AJ32"/>
  <c r="Y200" i="10"/>
  <c r="AJ46" i="13"/>
  <c r="AK37"/>
  <c r="AK44" s="1"/>
  <c r="AK49" i="37" s="1"/>
  <c r="AK50" s="1"/>
  <c r="Z129" i="10"/>
  <c r="Z79" i="8"/>
  <c r="Z78"/>
  <c r="Z77"/>
  <c r="AA75"/>
  <c r="AA76" s="1"/>
  <c r="W154" i="10"/>
  <c r="X70" i="11"/>
  <c r="X140" i="10"/>
  <c r="X164"/>
  <c r="W81" i="11"/>
  <c r="Y70"/>
  <c r="Y81" s="1"/>
  <c r="Y140" i="10"/>
  <c r="Y154" s="1"/>
  <c r="Y164"/>
  <c r="AM48" i="26"/>
  <c r="AA84" i="35"/>
  <c r="AA135" i="10"/>
  <c r="AA76" i="11" s="1"/>
  <c r="AA87" s="1"/>
  <c r="AB70" i="8"/>
  <c r="AB66"/>
  <c r="AB68" s="1"/>
  <c r="AB28" i="37" s="1"/>
  <c r="AB29" s="1"/>
  <c r="AK43" i="8"/>
  <c r="AJ41" i="35"/>
  <c r="AC123" i="10"/>
  <c r="AC62" i="11" s="1"/>
  <c r="AD56" i="35"/>
  <c r="AD53" s="1"/>
  <c r="AD123" i="10" s="1"/>
  <c r="AD62" i="11" s="1"/>
  <c r="AE58" i="35"/>
  <c r="AC25"/>
  <c r="AC75" s="1"/>
  <c r="AC77" s="1"/>
  <c r="AC81" s="1"/>
  <c r="AC82" s="1"/>
  <c r="AC21"/>
  <c r="AC64" i="8"/>
  <c r="AI50" i="4"/>
  <c r="AI116" i="10" s="1"/>
  <c r="AJ45" i="4"/>
  <c r="AI54" i="22"/>
  <c r="AJ18" i="8"/>
  <c r="AJ20" s="1"/>
  <c r="AJ18" i="35"/>
  <c r="AJ20" s="1"/>
  <c r="AJ18" i="4"/>
  <c r="AJ20" s="1"/>
  <c r="AJ18" i="13"/>
  <c r="AJ20" s="1"/>
  <c r="AJ18" i="29"/>
  <c r="AJ20" s="1"/>
  <c r="AJ18" i="9"/>
  <c r="AJ20" s="1"/>
  <c r="AJ18" i="26"/>
  <c r="AJ20" s="1"/>
  <c r="AK16"/>
  <c r="AK103" i="10"/>
  <c r="AK16" i="29"/>
  <c r="AK16" i="35"/>
  <c r="AK182" i="10"/>
  <c r="AK16" i="8"/>
  <c r="AK208" i="10"/>
  <c r="AK148"/>
  <c r="AK16" i="13"/>
  <c r="AK16" i="4"/>
  <c r="AK16" i="9"/>
  <c r="AK81" i="10"/>
  <c r="AK82" s="1"/>
  <c r="AK83" s="1"/>
  <c r="AL79"/>
  <c r="AL16" i="37" s="1"/>
  <c r="AI19" i="29"/>
  <c r="AI19" i="26"/>
  <c r="AI19" i="9"/>
  <c r="AI19" i="4"/>
  <c r="AI19" i="35"/>
  <c r="AI19" i="8"/>
  <c r="AI19" i="13"/>
  <c r="AM14" i="8"/>
  <c r="B8"/>
  <c r="AL74"/>
  <c r="AL53"/>
  <c r="AL33"/>
  <c r="AC61" i="13"/>
  <c r="AC68" s="1"/>
  <c r="AD23" i="4"/>
  <c r="AD24" i="29"/>
  <c r="AD25" s="1"/>
  <c r="AD62" s="1"/>
  <c r="AD64" s="1"/>
  <c r="AD24" i="26"/>
  <c r="AD25" s="1"/>
  <c r="AD57" s="1"/>
  <c r="AD59" s="1"/>
  <c r="AD24" i="35"/>
  <c r="AD23" i="9"/>
  <c r="AD67" s="1"/>
  <c r="AD68" s="1"/>
  <c r="AD24" i="13"/>
  <c r="AD25" s="1"/>
  <c r="AD57" s="1"/>
  <c r="AD59" s="1"/>
  <c r="AD24" i="8"/>
  <c r="AD25" s="1"/>
  <c r="AD62" s="1"/>
  <c r="AE23"/>
  <c r="AE72" s="1"/>
  <c r="AE21" s="1"/>
  <c r="AE22" i="4"/>
  <c r="AE59" s="1"/>
  <c r="AE61" s="1"/>
  <c r="AE64" s="1"/>
  <c r="AE65" s="1"/>
  <c r="AE66" s="1"/>
  <c r="AE67" s="1"/>
  <c r="AE71" s="1"/>
  <c r="AE74" s="1"/>
  <c r="AE75" s="1"/>
  <c r="AE76" s="1"/>
  <c r="AE23" i="13"/>
  <c r="AE65" s="1"/>
  <c r="AE21" s="1"/>
  <c r="AE87" i="10"/>
  <c r="AF85" s="1"/>
  <c r="AF86" s="1"/>
  <c r="AF88" s="1"/>
  <c r="AE23" i="26"/>
  <c r="AE65" s="1"/>
  <c r="AE21" s="1"/>
  <c r="AE23" i="35"/>
  <c r="AE22" i="9"/>
  <c r="AE71" s="1"/>
  <c r="AE23" i="29"/>
  <c r="AE65" s="1"/>
  <c r="AE21" s="1"/>
  <c r="AA202" i="10"/>
  <c r="Z72" i="11"/>
  <c r="Z83" s="1"/>
  <c r="Z142" i="10"/>
  <c r="Z156" s="1"/>
  <c r="Z166"/>
  <c r="AM61" i="9"/>
  <c r="AM39"/>
  <c r="AN14"/>
  <c r="AM74"/>
  <c r="AC67" i="4"/>
  <c r="AC71" s="1"/>
  <c r="AC74" s="1"/>
  <c r="AC75" s="1"/>
  <c r="J175"/>
  <c r="AC61" i="26"/>
  <c r="AB69" i="22"/>
  <c r="AB79" s="1"/>
  <c r="AA131" i="10"/>
  <c r="AH35" i="13"/>
  <c r="AH119" i="10" s="1"/>
  <c r="AH58" i="11" s="1"/>
  <c r="AH57" i="22"/>
  <c r="AC69" i="9"/>
  <c r="AC75" s="1"/>
  <c r="AC77" s="1"/>
  <c r="AC78" s="1"/>
  <c r="AC70"/>
  <c r="AD77" i="4"/>
  <c r="AD66" i="22"/>
  <c r="AD76" s="1"/>
  <c r="AB83" i="35"/>
  <c r="AB135" i="10"/>
  <c r="AB84" i="35"/>
  <c r="AB85"/>
  <c r="AB69" i="11"/>
  <c r="AB139" i="10"/>
  <c r="AB153" s="1"/>
  <c r="AB163"/>
  <c r="AA80" i="11"/>
  <c r="AA94" s="1"/>
  <c r="AA90"/>
  <c r="AL51" i="9"/>
  <c r="AL53" s="1"/>
  <c r="AM47"/>
  <c r="AK55"/>
  <c r="AH51" i="8"/>
  <c r="AH117" i="10" s="1"/>
  <c r="AH56" i="11" s="1"/>
  <c r="AH55" i="22"/>
  <c r="AI49" i="8"/>
  <c r="AI25" i="37" s="1"/>
  <c r="AI26" s="1"/>
  <c r="AI41" i="8"/>
  <c r="AB80" i="9"/>
  <c r="AB82"/>
  <c r="AB81"/>
  <c r="AB134" i="10"/>
  <c r="AL58" i="8"/>
  <c r="AF194" i="10"/>
  <c r="AE37" i="29"/>
  <c r="Z159" i="10"/>
  <c r="AC62" i="9"/>
  <c r="AD57"/>
  <c r="AG61" i="22"/>
  <c r="AL53" i="26"/>
  <c r="AL55" s="1"/>
  <c r="AJ53" i="13"/>
  <c r="AJ55" s="1"/>
  <c r="AJ38" i="35"/>
  <c r="AH43"/>
  <c r="AI35"/>
  <c r="AA169" i="10"/>
  <c r="AA145"/>
  <c r="AA75" i="11"/>
  <c r="AA86" s="1"/>
  <c r="AK28" i="35"/>
  <c r="AK30" s="1"/>
  <c r="AK60" i="29"/>
  <c r="AM67" i="26"/>
  <c r="AN14"/>
  <c r="AN50" s="1"/>
  <c r="AM33"/>
  <c r="AM40" s="1"/>
  <c r="AK18" i="37" l="1"/>
  <c r="AK73" i="35"/>
  <c r="AK69" i="29"/>
  <c r="AL14"/>
  <c r="AK54"/>
  <c r="AK31"/>
  <c r="AB206" i="10"/>
  <c r="AH188"/>
  <c r="Z200"/>
  <c r="Z77" i="22"/>
  <c r="AH190" i="10"/>
  <c r="AI187"/>
  <c r="AD71" i="35"/>
  <c r="AM14"/>
  <c r="AL80"/>
  <c r="B8"/>
  <c r="AL32"/>
  <c r="AL64" s="1"/>
  <c r="AM42" i="22"/>
  <c r="AM63" s="1"/>
  <c r="AB12" i="15"/>
  <c r="AM184" i="10"/>
  <c r="AM150"/>
  <c r="AM210"/>
  <c r="AB5" i="30"/>
  <c r="AM44" i="11"/>
  <c r="AM66" s="1"/>
  <c r="AM172" i="10"/>
  <c r="AN78"/>
  <c r="AO80"/>
  <c r="AO126" s="1"/>
  <c r="AN110"/>
  <c r="AN77"/>
  <c r="AB70" i="13"/>
  <c r="AD25" i="35"/>
  <c r="AD75" s="1"/>
  <c r="AD77" s="1"/>
  <c r="AD81" s="1"/>
  <c r="AD73" i="22" s="1"/>
  <c r="AD83" s="1"/>
  <c r="AB71" i="13"/>
  <c r="AA32" i="37"/>
  <c r="AA67" i="22"/>
  <c r="AC69" i="13"/>
  <c r="AC71" s="1"/>
  <c r="AC52" i="37"/>
  <c r="AB53"/>
  <c r="AB56" s="1"/>
  <c r="AB55"/>
  <c r="AB31"/>
  <c r="AA170" i="10"/>
  <c r="AA146"/>
  <c r="AA160" s="1"/>
  <c r="AK32" i="4"/>
  <c r="AL53"/>
  <c r="AL69" s="1"/>
  <c r="AM14"/>
  <c r="AL30"/>
  <c r="AL26"/>
  <c r="B8"/>
  <c r="AL31"/>
  <c r="AM48" i="13"/>
  <c r="AM67"/>
  <c r="AM33"/>
  <c r="AM40" s="1"/>
  <c r="AN14"/>
  <c r="AK48" i="4"/>
  <c r="AL34"/>
  <c r="AA79" i="8"/>
  <c r="AA78"/>
  <c r="AA77"/>
  <c r="AA129" i="10"/>
  <c r="AK46" i="13"/>
  <c r="AL37"/>
  <c r="AL44" s="1"/>
  <c r="AL49" i="37" s="1"/>
  <c r="AL50" s="1"/>
  <c r="AB75" i="8"/>
  <c r="X81" i="11"/>
  <c r="Z164" i="10"/>
  <c r="Z140"/>
  <c r="Z154" s="1"/>
  <c r="Z70" i="11"/>
  <c r="Z81" s="1"/>
  <c r="X154" i="10"/>
  <c r="AN48" i="26"/>
  <c r="AC70" i="8"/>
  <c r="AC66"/>
  <c r="AC68" s="1"/>
  <c r="AC28" i="37" s="1"/>
  <c r="AC29" s="1"/>
  <c r="AL43" i="8"/>
  <c r="AE69" i="35"/>
  <c r="AE71" s="1"/>
  <c r="AC73" i="22"/>
  <c r="AE56" i="35"/>
  <c r="AE53" s="1"/>
  <c r="AE123" i="10" s="1"/>
  <c r="AE62" i="11" s="1"/>
  <c r="AF58" i="35"/>
  <c r="AI55" i="11"/>
  <c r="K54" i="32"/>
  <c r="AJ50" i="4"/>
  <c r="AJ116" i="10" s="1"/>
  <c r="AJ55" i="11" s="1"/>
  <c r="AJ54" i="22"/>
  <c r="AK45" i="4"/>
  <c r="AD64" i="8"/>
  <c r="AL16" i="35"/>
  <c r="AL148" i="10"/>
  <c r="AL182"/>
  <c r="AL16" i="13"/>
  <c r="AL16" i="26"/>
  <c r="AL16" i="8"/>
  <c r="AL103" i="10"/>
  <c r="AL16" i="4"/>
  <c r="AL16" i="29"/>
  <c r="AL16" i="9"/>
  <c r="AL208" i="10"/>
  <c r="AL81"/>
  <c r="AL82" s="1"/>
  <c r="AL83" s="1"/>
  <c r="AM79"/>
  <c r="AM16" i="37" s="1"/>
  <c r="AJ19" i="8"/>
  <c r="AJ19" i="29"/>
  <c r="AJ19" i="26"/>
  <c r="AJ19" i="13"/>
  <c r="AJ19" i="35"/>
  <c r="AJ19" i="4"/>
  <c r="AJ19" i="9"/>
  <c r="AK18" i="4"/>
  <c r="AK20" s="1"/>
  <c r="AK18" i="35"/>
  <c r="AK20" s="1"/>
  <c r="AK18" i="29"/>
  <c r="AK20" s="1"/>
  <c r="AK18" i="26"/>
  <c r="AK20" s="1"/>
  <c r="AK18" i="9"/>
  <c r="AK20" s="1"/>
  <c r="AK18" i="13"/>
  <c r="AK20" s="1"/>
  <c r="AK18" i="8"/>
  <c r="AK20" s="1"/>
  <c r="AM33"/>
  <c r="AM53"/>
  <c r="AN14"/>
  <c r="AM74"/>
  <c r="AD199" i="10"/>
  <c r="AE24" i="29"/>
  <c r="AE25" s="1"/>
  <c r="AE62" s="1"/>
  <c r="AE64" s="1"/>
  <c r="AE23" i="4"/>
  <c r="AE24" i="35"/>
  <c r="AE24" i="26"/>
  <c r="AE25" s="1"/>
  <c r="AE57" s="1"/>
  <c r="AE59" s="1"/>
  <c r="AE23" i="9"/>
  <c r="AE67" s="1"/>
  <c r="AE68" s="1"/>
  <c r="AE24" i="13"/>
  <c r="AE25" s="1"/>
  <c r="AE57" s="1"/>
  <c r="AE59" s="1"/>
  <c r="AE24" i="8"/>
  <c r="AE25" s="1"/>
  <c r="AE62" s="1"/>
  <c r="AB80" i="11"/>
  <c r="AB94" s="1"/>
  <c r="AB90"/>
  <c r="AI35" i="13"/>
  <c r="AI119" i="10" s="1"/>
  <c r="AI57" i="22"/>
  <c r="AB202" i="10"/>
  <c r="G93" i="4"/>
  <c r="G94" s="1"/>
  <c r="AC76"/>
  <c r="AE66" i="22"/>
  <c r="AE76" s="1"/>
  <c r="AE77" i="4"/>
  <c r="AD69" i="9"/>
  <c r="AD75" s="1"/>
  <c r="AD77" s="1"/>
  <c r="AD78" s="1"/>
  <c r="AD79" s="1"/>
  <c r="AD70"/>
  <c r="AC83" i="35"/>
  <c r="AC135" i="10"/>
  <c r="AC85" i="35"/>
  <c r="AC84"/>
  <c r="AC69" i="22"/>
  <c r="AC79" s="1"/>
  <c r="AB146" i="10"/>
  <c r="AB160" s="1"/>
  <c r="AB76" i="11"/>
  <c r="AB87" s="1"/>
  <c r="AB170" i="10"/>
  <c r="AA142"/>
  <c r="AA156" s="1"/>
  <c r="AA72" i="11"/>
  <c r="AA83" s="1"/>
  <c r="AA166" i="10"/>
  <c r="AB131"/>
  <c r="J179" i="4"/>
  <c r="J182" s="1"/>
  <c r="K175"/>
  <c r="K179" s="1"/>
  <c r="K182" s="1"/>
  <c r="AD61" i="13"/>
  <c r="AD68" s="1"/>
  <c r="AD78" i="4"/>
  <c r="AD128" i="10"/>
  <c r="AD80" i="4"/>
  <c r="AD79"/>
  <c r="AN39" i="9"/>
  <c r="AN74"/>
  <c r="AO14"/>
  <c r="AN61"/>
  <c r="AF23" i="29"/>
  <c r="AF65" s="1"/>
  <c r="AF21" s="1"/>
  <c r="AF23" i="8"/>
  <c r="AF72" s="1"/>
  <c r="AF21" s="1"/>
  <c r="AF87" i="10"/>
  <c r="AG85" s="1"/>
  <c r="AG86" s="1"/>
  <c r="AG88" s="1"/>
  <c r="AF23" i="13"/>
  <c r="AF65" s="1"/>
  <c r="AF21" s="1"/>
  <c r="AF23" i="35"/>
  <c r="AF22" i="4"/>
  <c r="AF59" s="1"/>
  <c r="AF61" s="1"/>
  <c r="AF64" s="1"/>
  <c r="AF65" s="1"/>
  <c r="AF66" s="1"/>
  <c r="AF67" s="1"/>
  <c r="AF71" s="1"/>
  <c r="AF74" s="1"/>
  <c r="AF75" s="1"/>
  <c r="AF76" s="1"/>
  <c r="AF22" i="9"/>
  <c r="AF71" s="1"/>
  <c r="AF23" i="26"/>
  <c r="AF65" s="1"/>
  <c r="AF21" s="1"/>
  <c r="AD61"/>
  <c r="AL55" i="9"/>
  <c r="AN47"/>
  <c r="AM51"/>
  <c r="AM53" s="1"/>
  <c r="AJ41" i="8"/>
  <c r="AJ49"/>
  <c r="AJ25" i="37" s="1"/>
  <c r="AJ26" s="1"/>
  <c r="AI51" i="8"/>
  <c r="AI117" i="10" s="1"/>
  <c r="AI55" i="22"/>
  <c r="AJ35" i="35"/>
  <c r="AI43"/>
  <c r="AG194" i="10"/>
  <c r="AB169"/>
  <c r="AB75" i="11"/>
  <c r="AB86" s="1"/>
  <c r="AB145" i="10"/>
  <c r="AN33" i="26"/>
  <c r="AN40" s="1"/>
  <c r="AO14"/>
  <c r="AO50" s="1"/>
  <c r="AN67"/>
  <c r="AC122" i="10"/>
  <c r="AC61" i="11" s="1"/>
  <c r="AM60" i="8"/>
  <c r="AM58" s="1"/>
  <c r="AK38" i="35"/>
  <c r="AA159" i="10"/>
  <c r="AL60" i="29"/>
  <c r="AL28" i="35"/>
  <c r="AL30" s="1"/>
  <c r="AE57" i="9"/>
  <c r="AD62"/>
  <c r="AD122" i="10" s="1"/>
  <c r="AD61" i="11" s="1"/>
  <c r="AF37" i="29"/>
  <c r="AK41" i="35"/>
  <c r="AH61" i="22"/>
  <c r="AK53" i="13"/>
  <c r="AK55" s="1"/>
  <c r="AM53" i="26"/>
  <c r="AM55" s="1"/>
  <c r="AC79" i="9"/>
  <c r="AL73" i="35" l="1"/>
  <c r="AL18" i="37"/>
  <c r="AL54" i="29"/>
  <c r="AL69"/>
  <c r="B8"/>
  <c r="AL31"/>
  <c r="AM14"/>
  <c r="AC72" i="13"/>
  <c r="AI190" i="10"/>
  <c r="AJ187"/>
  <c r="AA200"/>
  <c r="AA77" i="22"/>
  <c r="AI188" i="10"/>
  <c r="AC206"/>
  <c r="AC83" i="22"/>
  <c r="AD82" i="35"/>
  <c r="AD83" s="1"/>
  <c r="AM32"/>
  <c r="AM64" s="1"/>
  <c r="AN14"/>
  <c r="AM80"/>
  <c r="AP80" i="10"/>
  <c r="AP126" s="1"/>
  <c r="AO110"/>
  <c r="AO78"/>
  <c r="AO77"/>
  <c r="AN184"/>
  <c r="AC5" i="30"/>
  <c r="AN44" i="11"/>
  <c r="AN66" s="1"/>
  <c r="AN42" i="22"/>
  <c r="AN63" s="1"/>
  <c r="AN150" i="10"/>
  <c r="AN172"/>
  <c r="AC12" i="15"/>
  <c r="AN210" i="10"/>
  <c r="AB32" i="37"/>
  <c r="AC70" i="13"/>
  <c r="AC31" i="37"/>
  <c r="AD69" i="13"/>
  <c r="AD71" s="1"/>
  <c r="AD52" i="37"/>
  <c r="AC53"/>
  <c r="AC56" s="1"/>
  <c r="AC55"/>
  <c r="AL32" i="4"/>
  <c r="AN48" i="13"/>
  <c r="AN33"/>
  <c r="AN40" s="1"/>
  <c r="AO14"/>
  <c r="AN67"/>
  <c r="AN14" i="4"/>
  <c r="AM53"/>
  <c r="AM69" s="1"/>
  <c r="AM30"/>
  <c r="AM26"/>
  <c r="AM31"/>
  <c r="AL48"/>
  <c r="AM34"/>
  <c r="AL46" i="13"/>
  <c r="AA140" i="10"/>
  <c r="AA154" s="1"/>
  <c r="AA164"/>
  <c r="AA70" i="11"/>
  <c r="AA81" s="1"/>
  <c r="AM37" i="13"/>
  <c r="AM44" s="1"/>
  <c r="AM49" i="37" s="1"/>
  <c r="AM50" s="1"/>
  <c r="AC75" i="8"/>
  <c r="AC67" i="22" s="1"/>
  <c r="AB67"/>
  <c r="AB77" s="1"/>
  <c r="AB76" i="8"/>
  <c r="AO48" i="26"/>
  <c r="AD70" i="8"/>
  <c r="AD66"/>
  <c r="AD68" s="1"/>
  <c r="AD28" i="37" s="1"/>
  <c r="AD29" s="1"/>
  <c r="AM43" i="8"/>
  <c r="AE21" i="35"/>
  <c r="AE25"/>
  <c r="AE75" s="1"/>
  <c r="AE77" s="1"/>
  <c r="AE81" s="1"/>
  <c r="AE82" s="1"/>
  <c r="AF69"/>
  <c r="AF21" s="1"/>
  <c r="AF56"/>
  <c r="AF53" s="1"/>
  <c r="AF123" i="10" s="1"/>
  <c r="AF62" i="11" s="1"/>
  <c r="AG58" i="35"/>
  <c r="AK54" i="22"/>
  <c r="AK50" i="4"/>
  <c r="AK116" i="10" s="1"/>
  <c r="AK55" i="11" s="1"/>
  <c r="AL45" i="4"/>
  <c r="AE64" i="8"/>
  <c r="AK19" i="35"/>
  <c r="AK19" i="26"/>
  <c r="AK19" i="4"/>
  <c r="AK19" i="9"/>
  <c r="AK19" i="13"/>
  <c r="AK19" i="29"/>
  <c r="AK19" i="8"/>
  <c r="AM16" i="9"/>
  <c r="AM148" i="10"/>
  <c r="AM16" i="26"/>
  <c r="AM16" i="29"/>
  <c r="AM182" i="10"/>
  <c r="AM16" i="4"/>
  <c r="AM16" i="35"/>
  <c r="AM103" i="10"/>
  <c r="AM16" i="8"/>
  <c r="AM16" i="13"/>
  <c r="AM208" i="10"/>
  <c r="AM81"/>
  <c r="AM82" s="1"/>
  <c r="AM83" s="1"/>
  <c r="AN79"/>
  <c r="AN16" i="37" s="1"/>
  <c r="AL18" i="26"/>
  <c r="AL20" s="1"/>
  <c r="AL18" i="8"/>
  <c r="AL20" s="1"/>
  <c r="AL18" i="4"/>
  <c r="AL20" s="1"/>
  <c r="AL18" i="29"/>
  <c r="AL20" s="1"/>
  <c r="AL18" i="35"/>
  <c r="AL20" s="1"/>
  <c r="AL18" i="13"/>
  <c r="AL20" s="1"/>
  <c r="AL18" i="9"/>
  <c r="AL20" s="1"/>
  <c r="AN74" i="8"/>
  <c r="AO14"/>
  <c r="AN33"/>
  <c r="AN53"/>
  <c r="AG23" i="26"/>
  <c r="AG65" s="1"/>
  <c r="AG21" s="1"/>
  <c r="AG22" i="4"/>
  <c r="AG59" s="1"/>
  <c r="AG61" s="1"/>
  <c r="AG64" s="1"/>
  <c r="AG65" s="1"/>
  <c r="AG66" s="1"/>
  <c r="AG67" s="1"/>
  <c r="AG71" s="1"/>
  <c r="AG74" s="1"/>
  <c r="AG75" s="1"/>
  <c r="AG76" s="1"/>
  <c r="AG22" i="9"/>
  <c r="AG71" s="1"/>
  <c r="AG23" i="29"/>
  <c r="AG65" s="1"/>
  <c r="AG21" s="1"/>
  <c r="AG23" i="8"/>
  <c r="AG72" s="1"/>
  <c r="AG21" s="1"/>
  <c r="AG23" i="35"/>
  <c r="AG23" i="13"/>
  <c r="AG65" s="1"/>
  <c r="AG21" s="1"/>
  <c r="AG87" i="10"/>
  <c r="AH85" s="1"/>
  <c r="AH86" s="1"/>
  <c r="AH88" s="1"/>
  <c r="AD69" i="11"/>
  <c r="AD163" i="10"/>
  <c r="AD139"/>
  <c r="AD153" s="1"/>
  <c r="AD69" i="22"/>
  <c r="AD79" s="1"/>
  <c r="K184" i="4"/>
  <c r="D255" i="32"/>
  <c r="E255" s="1"/>
  <c r="K190" i="4"/>
  <c r="AE78"/>
  <c r="AE128" i="10"/>
  <c r="AE80" i="4"/>
  <c r="AE79"/>
  <c r="AC77"/>
  <c r="AC66" i="22"/>
  <c r="AC76" s="1"/>
  <c r="O232" i="4"/>
  <c r="O239" s="1"/>
  <c r="AO74" i="9"/>
  <c r="AO39"/>
  <c r="AP14"/>
  <c r="AO61"/>
  <c r="AI58" i="11"/>
  <c r="AE61" i="26"/>
  <c r="AF24"/>
  <c r="AF25" s="1"/>
  <c r="AF57" s="1"/>
  <c r="AF59" s="1"/>
  <c r="AF23" i="4"/>
  <c r="AF24" i="13"/>
  <c r="AF25" s="1"/>
  <c r="AF57" s="1"/>
  <c r="AF59" s="1"/>
  <c r="AF24" i="35"/>
  <c r="AF23" i="9"/>
  <c r="AF67" s="1"/>
  <c r="AF68" s="1"/>
  <c r="AF24" i="29"/>
  <c r="AF25" s="1"/>
  <c r="AF62" s="1"/>
  <c r="AF64" s="1"/>
  <c r="AF24" i="8"/>
  <c r="AF25" s="1"/>
  <c r="AF62" s="1"/>
  <c r="AB72" i="11"/>
  <c r="AB83" s="1"/>
  <c r="AB142" i="10"/>
  <c r="AB156" s="1"/>
  <c r="AB166"/>
  <c r="AC202"/>
  <c r="AC146"/>
  <c r="AC170"/>
  <c r="AC76" i="11"/>
  <c r="AC87" s="1"/>
  <c r="AE69" i="9"/>
  <c r="AE75" s="1"/>
  <c r="AE77" s="1"/>
  <c r="AE78" s="1"/>
  <c r="AE79" s="1"/>
  <c r="AE70"/>
  <c r="AF77" i="4"/>
  <c r="AF66" i="22"/>
  <c r="AF76" s="1"/>
  <c r="D254" i="32"/>
  <c r="E254" s="1"/>
  <c r="J184" i="4"/>
  <c r="J190"/>
  <c r="AC131" i="10"/>
  <c r="AE199"/>
  <c r="G105" i="4"/>
  <c r="G108"/>
  <c r="G110" s="1"/>
  <c r="AJ35" i="13"/>
  <c r="AJ119" i="10" s="1"/>
  <c r="AJ58" i="11" s="1"/>
  <c r="AJ57" i="22"/>
  <c r="AD206" i="10"/>
  <c r="AE61" i="13"/>
  <c r="AE68" s="1"/>
  <c r="AN51" i="9"/>
  <c r="AN53" s="1"/>
  <c r="AO47"/>
  <c r="AM55"/>
  <c r="AK49" i="8"/>
  <c r="AK25" i="37" s="1"/>
  <c r="AK26" s="1"/>
  <c r="AK41" i="8"/>
  <c r="AJ55" i="22"/>
  <c r="AJ51" i="8"/>
  <c r="AJ117" i="10" s="1"/>
  <c r="AJ56" i="11" s="1"/>
  <c r="AI56"/>
  <c r="AL53" i="13"/>
  <c r="AL55" s="1"/>
  <c r="AD82" i="9"/>
  <c r="AD134" i="10"/>
  <c r="AD80" i="9"/>
  <c r="AD81"/>
  <c r="AB159" i="10"/>
  <c r="AL41" i="35"/>
  <c r="AG37" i="29"/>
  <c r="AE62" i="9"/>
  <c r="AE122" i="10" s="1"/>
  <c r="AE61" i="11" s="1"/>
  <c r="AF57" i="9"/>
  <c r="AN60" i="8"/>
  <c r="AN58" s="1"/>
  <c r="AJ43" i="35"/>
  <c r="AK35"/>
  <c r="AM28"/>
  <c r="AM30" s="1"/>
  <c r="AM60" i="29"/>
  <c r="AH194" i="10"/>
  <c r="AP14" i="26"/>
  <c r="AP50" s="1"/>
  <c r="AO67"/>
  <c r="AO33"/>
  <c r="AO40" s="1"/>
  <c r="AI61" i="22"/>
  <c r="AL38" i="35"/>
  <c r="AN53" i="26"/>
  <c r="AN55" s="1"/>
  <c r="AC80" i="9"/>
  <c r="AC134" i="10"/>
  <c r="AC81" i="9"/>
  <c r="AC82"/>
  <c r="AD135" i="10" l="1"/>
  <c r="AD146" s="1"/>
  <c r="AD160" s="1"/>
  <c r="AM18" i="37"/>
  <c r="AM73" i="35"/>
  <c r="AD70" i="13"/>
  <c r="AM31" i="29"/>
  <c r="AM54"/>
  <c r="AN14"/>
  <c r="AM69"/>
  <c r="AD85" i="35"/>
  <c r="AD84"/>
  <c r="AK187" i="10"/>
  <c r="AJ188"/>
  <c r="AJ190"/>
  <c r="AC200"/>
  <c r="AC77" i="22"/>
  <c r="AN80" i="35"/>
  <c r="AO14"/>
  <c r="AN32"/>
  <c r="AN64" s="1"/>
  <c r="AP110" i="10"/>
  <c r="AQ80"/>
  <c r="AQ126" s="1"/>
  <c r="AP78"/>
  <c r="AP77"/>
  <c r="AD12" i="15"/>
  <c r="AO184" i="10"/>
  <c r="AO210"/>
  <c r="AO172"/>
  <c r="AO44" i="11"/>
  <c r="AO66" s="1"/>
  <c r="AO150" i="10"/>
  <c r="AD5" i="30"/>
  <c r="AO42" i="22"/>
  <c r="AO63" s="1"/>
  <c r="AC32" i="37"/>
  <c r="AC76" i="8"/>
  <c r="AC77" s="1"/>
  <c r="AD72" i="13"/>
  <c r="AD53" i="37"/>
  <c r="AD56" s="1"/>
  <c r="AD55"/>
  <c r="AE69" i="13"/>
  <c r="AE71" s="1"/>
  <c r="AE52" i="37"/>
  <c r="AD31"/>
  <c r="AM48" i="4"/>
  <c r="AN34"/>
  <c r="AM32"/>
  <c r="AO48" i="13"/>
  <c r="AO33"/>
  <c r="AO40" s="1"/>
  <c r="AO67"/>
  <c r="AP14"/>
  <c r="AN31" i="4"/>
  <c r="AO14"/>
  <c r="AN26"/>
  <c r="AN53"/>
  <c r="AN69" s="1"/>
  <c r="AN30"/>
  <c r="AM46" i="13"/>
  <c r="AF71" i="35"/>
  <c r="AN37" i="13"/>
  <c r="AN44" s="1"/>
  <c r="AN49" i="37" s="1"/>
  <c r="AN50" s="1"/>
  <c r="AD75" i="8"/>
  <c r="AB200" i="10"/>
  <c r="AB78" i="8"/>
  <c r="AB129" i="10"/>
  <c r="AB77" i="8"/>
  <c r="AB79"/>
  <c r="AP48" i="26"/>
  <c r="AE73" i="22"/>
  <c r="AE83" s="1"/>
  <c r="AE70" i="8"/>
  <c r="AE66"/>
  <c r="AE68" s="1"/>
  <c r="AE28" i="37" s="1"/>
  <c r="AE29" s="1"/>
  <c r="AN43" i="8"/>
  <c r="AF25" i="35"/>
  <c r="AF75" s="1"/>
  <c r="AF77" s="1"/>
  <c r="AF81" s="1"/>
  <c r="AG69"/>
  <c r="AG71" s="1"/>
  <c r="AG56"/>
  <c r="AG53" s="1"/>
  <c r="AG123" i="10" s="1"/>
  <c r="AH58" i="35"/>
  <c r="AF64" i="8"/>
  <c r="AL54" i="22"/>
  <c r="AL50" i="4"/>
  <c r="AL116" i="10" s="1"/>
  <c r="AL55" i="11" s="1"/>
  <c r="AM45" i="4"/>
  <c r="AL19" i="29"/>
  <c r="AL19" i="35"/>
  <c r="AL19" i="4"/>
  <c r="AL19" i="9"/>
  <c r="AL19" i="26"/>
  <c r="AL19" i="13"/>
  <c r="AL19" i="8"/>
  <c r="AM18" i="4"/>
  <c r="AM20" s="1"/>
  <c r="AM18" i="29"/>
  <c r="AM20" s="1"/>
  <c r="AM18" i="13"/>
  <c r="AM20" s="1"/>
  <c r="AM18" i="8"/>
  <c r="AM20" s="1"/>
  <c r="AM18" i="26"/>
  <c r="AM20" s="1"/>
  <c r="AM18" i="9"/>
  <c r="AM20" s="1"/>
  <c r="AM18" i="35"/>
  <c r="AM20" s="1"/>
  <c r="AN103" i="10"/>
  <c r="AN208"/>
  <c r="AN16" i="8"/>
  <c r="AN16" i="13"/>
  <c r="AN16" i="9"/>
  <c r="AN148" i="10"/>
  <c r="AN16" i="29"/>
  <c r="AN182" i="10"/>
  <c r="AN16" i="35"/>
  <c r="AN16" i="4"/>
  <c r="AN16" i="26"/>
  <c r="AN81" i="10"/>
  <c r="AN82" s="1"/>
  <c r="AN83" s="1"/>
  <c r="AO79"/>
  <c r="AO16" i="37" s="1"/>
  <c r="AO74" i="8"/>
  <c r="AO53"/>
  <c r="AP14"/>
  <c r="AO33"/>
  <c r="AK35" i="13"/>
  <c r="AK119" i="10" s="1"/>
  <c r="AK58" i="11" s="1"/>
  <c r="AK57" i="22"/>
  <c r="D257" i="32"/>
  <c r="E257" s="1"/>
  <c r="K192" i="4"/>
  <c r="AD202" i="10"/>
  <c r="AH23" i="35"/>
  <c r="AH22" i="4"/>
  <c r="AH59" s="1"/>
  <c r="AH61" s="1"/>
  <c r="AH64" s="1"/>
  <c r="AH65" s="1"/>
  <c r="AH66" s="1"/>
  <c r="AH67" s="1"/>
  <c r="AH71" s="1"/>
  <c r="AH74" s="1"/>
  <c r="AH75" s="1"/>
  <c r="AH76" s="1"/>
  <c r="AH22" i="9"/>
  <c r="AH71" s="1"/>
  <c r="AH23" i="8"/>
  <c r="AH72" s="1"/>
  <c r="AH21" s="1"/>
  <c r="AH23" i="29"/>
  <c r="AH65" s="1"/>
  <c r="AH21" s="1"/>
  <c r="AH87" i="10"/>
  <c r="AI85" s="1"/>
  <c r="AI86" s="1"/>
  <c r="AI88" s="1"/>
  <c r="AH23" i="13"/>
  <c r="AH65" s="1"/>
  <c r="AH21" s="1"/>
  <c r="AH23" i="26"/>
  <c r="AH65" s="1"/>
  <c r="AH21" s="1"/>
  <c r="AG24"/>
  <c r="AG25" s="1"/>
  <c r="AG57" s="1"/>
  <c r="AG59" s="1"/>
  <c r="AG24" i="29"/>
  <c r="AG25" s="1"/>
  <c r="AG62" s="1"/>
  <c r="AG64" s="1"/>
  <c r="AG24" i="35"/>
  <c r="AG24" i="8"/>
  <c r="AG25" s="1"/>
  <c r="AG62" s="1"/>
  <c r="AG23" i="4"/>
  <c r="AG23" i="9"/>
  <c r="AG67" s="1"/>
  <c r="AG68" s="1"/>
  <c r="AG24" i="13"/>
  <c r="AG25" s="1"/>
  <c r="AG57" s="1"/>
  <c r="AG59" s="1"/>
  <c r="AE69" i="22"/>
  <c r="AE79" s="1"/>
  <c r="AF70" i="9"/>
  <c r="AF69"/>
  <c r="AF75" s="1"/>
  <c r="AF77" s="1"/>
  <c r="AF78" s="1"/>
  <c r="AF79" s="1"/>
  <c r="AF61" i="26"/>
  <c r="AC78" i="4"/>
  <c r="AC80"/>
  <c r="AC79"/>
  <c r="G102"/>
  <c r="AC128" i="10"/>
  <c r="AD131"/>
  <c r="AD90" i="11"/>
  <c r="AD80"/>
  <c r="AD94" s="1"/>
  <c r="AC72"/>
  <c r="AC83" s="1"/>
  <c r="AC142" i="10"/>
  <c r="AC166"/>
  <c r="J192" i="4"/>
  <c r="D256" i="32"/>
  <c r="E256" s="1"/>
  <c r="AF80" i="4"/>
  <c r="AF128" i="10"/>
  <c r="AF79" i="4"/>
  <c r="AF78"/>
  <c r="N54" i="32"/>
  <c r="H52"/>
  <c r="N55" s="1"/>
  <c r="AP61" i="9"/>
  <c r="AP39"/>
  <c r="AP74"/>
  <c r="AQ14"/>
  <c r="AE83" i="35"/>
  <c r="AE135" i="10"/>
  <c r="AE85" i="35"/>
  <c r="AE84"/>
  <c r="AC199" i="10"/>
  <c r="AE139"/>
  <c r="AE153" s="1"/>
  <c r="AE69" i="11"/>
  <c r="AE163" i="10"/>
  <c r="AG66" i="22"/>
  <c r="AG76" s="1"/>
  <c r="AG77" i="4"/>
  <c r="G111"/>
  <c r="G241" i="10"/>
  <c r="AF199"/>
  <c r="AC160"/>
  <c r="AF61" i="13"/>
  <c r="AF68" s="1"/>
  <c r="AM38" i="35"/>
  <c r="AO51" i="9"/>
  <c r="AO53" s="1"/>
  <c r="AP47"/>
  <c r="AN55"/>
  <c r="AK51" i="8"/>
  <c r="AK117" i="10" s="1"/>
  <c r="AK56" i="11" s="1"/>
  <c r="AK55" i="22"/>
  <c r="H50" i="32"/>
  <c r="L55" s="1"/>
  <c r="L54"/>
  <c r="AL49" i="8"/>
  <c r="AL25" i="37" s="1"/>
  <c r="AL26" s="1"/>
  <c r="AL41" i="8"/>
  <c r="AQ14" i="26"/>
  <c r="AQ50" s="1"/>
  <c r="AP67"/>
  <c r="AP33"/>
  <c r="AF62" i="9"/>
  <c r="AF122" i="10" s="1"/>
  <c r="AF61" i="11" s="1"/>
  <c r="AG57" i="9"/>
  <c r="AC169" i="10"/>
  <c r="AC145"/>
  <c r="AC75" i="11"/>
  <c r="AC86" s="1"/>
  <c r="AJ61" i="22"/>
  <c r="AO60" i="8"/>
  <c r="AO58" s="1"/>
  <c r="AE81" i="9"/>
  <c r="AE134" i="10"/>
  <c r="AE82" i="9"/>
  <c r="AE80"/>
  <c r="AH37" i="29"/>
  <c r="AD145" i="10"/>
  <c r="AD169"/>
  <c r="AD75" i="11"/>
  <c r="AD86" s="1"/>
  <c r="AM53" i="13"/>
  <c r="AM55" s="1"/>
  <c r="AO53" i="26"/>
  <c r="AO55" s="1"/>
  <c r="AI194" i="10"/>
  <c r="AL35" i="35"/>
  <c r="AK43"/>
  <c r="AM41"/>
  <c r="AN28"/>
  <c r="AN30" s="1"/>
  <c r="AN60" i="29"/>
  <c r="AG62" i="11" l="1"/>
  <c r="G56" i="32"/>
  <c r="AD76" i="11"/>
  <c r="AD87" s="1"/>
  <c r="AD170" i="10"/>
  <c r="AN18" i="37"/>
  <c r="AN73" i="35"/>
  <c r="AC78" i="8"/>
  <c r="AP40" i="26"/>
  <c r="AO14" i="29"/>
  <c r="AN54"/>
  <c r="AN69"/>
  <c r="AN31"/>
  <c r="AL187" i="10"/>
  <c r="AK190"/>
  <c r="AK188"/>
  <c r="AP14" i="35"/>
  <c r="AO80"/>
  <c r="AO32"/>
  <c r="AO64" s="1"/>
  <c r="AE12" i="15"/>
  <c r="AE5" i="30"/>
  <c r="AP150" i="10"/>
  <c r="AP44" i="11"/>
  <c r="AP66" s="1"/>
  <c r="AP184" i="10"/>
  <c r="AP210"/>
  <c r="AP172"/>
  <c r="AP42" i="22"/>
  <c r="AP63" s="1"/>
  <c r="AQ110" i="10"/>
  <c r="AQ78"/>
  <c r="AQ77"/>
  <c r="AF82" i="35"/>
  <c r="AF85" s="1"/>
  <c r="AD32" i="37"/>
  <c r="AC129" i="10"/>
  <c r="AC140" s="1"/>
  <c r="AC79" i="8"/>
  <c r="AE72" i="13"/>
  <c r="AE70"/>
  <c r="AE53" i="37"/>
  <c r="AE56" s="1"/>
  <c r="AE55"/>
  <c r="AF69" i="13"/>
  <c r="AF70" s="1"/>
  <c r="AF52" i="37"/>
  <c r="AE31"/>
  <c r="AP48" i="13"/>
  <c r="AP33"/>
  <c r="AP67"/>
  <c r="AQ14"/>
  <c r="AN32" i="4"/>
  <c r="AN48"/>
  <c r="AO34"/>
  <c r="AO53"/>
  <c r="AO69" s="1"/>
  <c r="AO30"/>
  <c r="AO31"/>
  <c r="AP14"/>
  <c r="AO26"/>
  <c r="AG21" i="35"/>
  <c r="AN46" i="13"/>
  <c r="AO37"/>
  <c r="AO44" s="1"/>
  <c r="AO49" i="37" s="1"/>
  <c r="AO50" s="1"/>
  <c r="AE75" i="8"/>
  <c r="AE67" i="22" s="1"/>
  <c r="AD67"/>
  <c r="AD77" s="1"/>
  <c r="AD76" i="8"/>
  <c r="AB140" i="10"/>
  <c r="AB164"/>
  <c r="AB70" i="11"/>
  <c r="AQ48" i="26"/>
  <c r="AQ53" s="1"/>
  <c r="AQ55" s="1"/>
  <c r="AE206" i="10"/>
  <c r="AF73" i="22"/>
  <c r="AG25" i="35"/>
  <c r="AG75" s="1"/>
  <c r="AG77" s="1"/>
  <c r="AG81" s="1"/>
  <c r="AG73" i="22" s="1"/>
  <c r="AG83" s="1"/>
  <c r="AH69" i="35"/>
  <c r="AH71" s="1"/>
  <c r="AF70" i="8"/>
  <c r="AF66"/>
  <c r="AF68" s="1"/>
  <c r="AF28" i="37" s="1"/>
  <c r="AF29" s="1"/>
  <c r="AO43" i="8"/>
  <c r="AH56" i="35"/>
  <c r="AH53" s="1"/>
  <c r="AH123" i="10" s="1"/>
  <c r="AH62" i="11" s="1"/>
  <c r="AI58" i="35"/>
  <c r="AG64" i="8"/>
  <c r="AM50" i="4"/>
  <c r="AM116" i="10" s="1"/>
  <c r="AM55" i="11" s="1"/>
  <c r="AM54" i="22"/>
  <c r="AN45" i="4"/>
  <c r="AN18" i="13"/>
  <c r="AN20" s="1"/>
  <c r="AN18" i="29"/>
  <c r="AN20" s="1"/>
  <c r="AN18" i="8"/>
  <c r="AN20" s="1"/>
  <c r="AN18" i="9"/>
  <c r="AN20" s="1"/>
  <c r="AN18" i="35"/>
  <c r="AN20" s="1"/>
  <c r="AN18" i="26"/>
  <c r="AN20" s="1"/>
  <c r="AN18" i="4"/>
  <c r="AN20" s="1"/>
  <c r="AO16" i="26"/>
  <c r="AO182" i="10"/>
  <c r="AO16" i="9"/>
  <c r="AO103" i="10"/>
  <c r="AO208"/>
  <c r="AO16" i="8"/>
  <c r="AO16" i="29"/>
  <c r="AO148" i="10"/>
  <c r="AO16" i="35"/>
  <c r="AO16" i="4"/>
  <c r="AO16" i="13"/>
  <c r="AO81" i="10"/>
  <c r="AO82" s="1"/>
  <c r="AO83" s="1"/>
  <c r="AP79"/>
  <c r="AP16" i="37" s="1"/>
  <c r="AM19" i="26"/>
  <c r="AM19" i="4"/>
  <c r="AM19" i="9"/>
  <c r="AM19" i="35"/>
  <c r="AM19" i="8"/>
  <c r="AM19" i="29"/>
  <c r="AM19" i="13"/>
  <c r="AP53" i="8"/>
  <c r="AQ14"/>
  <c r="AP33"/>
  <c r="AP74"/>
  <c r="AG79" i="4"/>
  <c r="AG128" i="10"/>
  <c r="K56" i="32" s="1"/>
  <c r="AG80" i="4"/>
  <c r="AG78"/>
  <c r="AE76" i="11"/>
  <c r="AE87" s="1"/>
  <c r="AE146" i="10"/>
  <c r="AE160" s="1"/>
  <c r="AE170"/>
  <c r="AE131"/>
  <c r="AG61" i="26"/>
  <c r="AH77" i="4"/>
  <c r="AH66" i="22"/>
  <c r="AH76" s="1"/>
  <c r="N96" i="32"/>
  <c r="AC156" i="10"/>
  <c r="G113" i="4"/>
  <c r="E247" i="32"/>
  <c r="G103" i="4"/>
  <c r="AE202" i="10"/>
  <c r="AG69" i="9"/>
  <c r="AG75" s="1"/>
  <c r="AG77" s="1"/>
  <c r="AG78" s="1"/>
  <c r="AG79" s="1"/>
  <c r="AG70"/>
  <c r="AI23" i="13"/>
  <c r="AI65" s="1"/>
  <c r="AI21" s="1"/>
  <c r="AI23" i="8"/>
  <c r="AI72" s="1"/>
  <c r="AI21" s="1"/>
  <c r="AI22" i="4"/>
  <c r="AI59" s="1"/>
  <c r="AI61" s="1"/>
  <c r="AI64" s="1"/>
  <c r="AI65" s="1"/>
  <c r="AI66" s="1"/>
  <c r="AI67" s="1"/>
  <c r="AI71" s="1"/>
  <c r="AI74" s="1"/>
  <c r="AI75" s="1"/>
  <c r="AI76" s="1"/>
  <c r="AI23" i="26"/>
  <c r="AI65" s="1"/>
  <c r="AI21" s="1"/>
  <c r="AI23" i="29"/>
  <c r="AI65" s="1"/>
  <c r="AI21" s="1"/>
  <c r="AI87" i="10"/>
  <c r="AJ85" s="1"/>
  <c r="AJ86" s="1"/>
  <c r="AJ88" s="1"/>
  <c r="AI22" i="9"/>
  <c r="AI71" s="1"/>
  <c r="AI23" i="35"/>
  <c r="AF69" i="22"/>
  <c r="AF79" s="1"/>
  <c r="AQ39" i="9"/>
  <c r="AQ61"/>
  <c r="AQ74"/>
  <c r="AF139" i="10"/>
  <c r="AF153" s="1"/>
  <c r="AF69" i="11"/>
  <c r="AF163" i="10"/>
  <c r="AD72" i="11"/>
  <c r="AD83" s="1"/>
  <c r="AD142" i="10"/>
  <c r="AD156" s="1"/>
  <c r="AD166"/>
  <c r="AC163"/>
  <c r="AC69" i="11"/>
  <c r="AC139" i="10"/>
  <c r="AG61" i="13"/>
  <c r="AG68" s="1"/>
  <c r="AG199" i="10"/>
  <c r="AE80" i="11"/>
  <c r="AE94" s="1"/>
  <c r="AE90"/>
  <c r="AH24" i="35"/>
  <c r="AH23" i="9"/>
  <c r="AH67" s="1"/>
  <c r="AH68" s="1"/>
  <c r="AH24" i="29"/>
  <c r="AH25" s="1"/>
  <c r="AH62" s="1"/>
  <c r="AH64" s="1"/>
  <c r="AH24" i="13"/>
  <c r="AH25" s="1"/>
  <c r="AH57" s="1"/>
  <c r="AH59" s="1"/>
  <c r="AH24" i="8"/>
  <c r="AH25" s="1"/>
  <c r="AH62" s="1"/>
  <c r="AH23" i="4"/>
  <c r="AH24" i="26"/>
  <c r="AH25" s="1"/>
  <c r="AH57" s="1"/>
  <c r="AH59" s="1"/>
  <c r="AL57" i="22"/>
  <c r="AL35" i="13"/>
  <c r="AL119" i="10" s="1"/>
  <c r="AL58" i="11" s="1"/>
  <c r="AQ47" i="9"/>
  <c r="AQ51" s="1"/>
  <c r="AP51"/>
  <c r="AP53" s="1"/>
  <c r="AO55"/>
  <c r="AN38" i="35"/>
  <c r="AM49" i="8"/>
  <c r="AM25" i="37" s="1"/>
  <c r="AM26" s="1"/>
  <c r="AM41" i="8"/>
  <c r="AL51"/>
  <c r="AL117" i="10" s="1"/>
  <c r="AL56" i="11" s="1"/>
  <c r="AL55" i="22"/>
  <c r="AP53" i="26"/>
  <c r="AP55" s="1"/>
  <c r="AI37" i="29"/>
  <c r="AF82" i="9"/>
  <c r="AF81"/>
  <c r="AF80"/>
  <c r="AF134" i="10"/>
  <c r="AM35" i="35"/>
  <c r="AL43"/>
  <c r="AP60" i="8"/>
  <c r="AP58" s="1"/>
  <c r="AJ194" i="10"/>
  <c r="AH57" i="9"/>
  <c r="AG62"/>
  <c r="AG122" i="10" s="1"/>
  <c r="AN41" i="35"/>
  <c r="AO28"/>
  <c r="AO30" s="1"/>
  <c r="AO60" i="29"/>
  <c r="AE169" i="10"/>
  <c r="AE145"/>
  <c r="AE75" i="11"/>
  <c r="AE86" s="1"/>
  <c r="AK61" i="22"/>
  <c r="AN53" i="13"/>
  <c r="AN55" s="1"/>
  <c r="AD159" i="10"/>
  <c r="AC159"/>
  <c r="AQ67" i="26"/>
  <c r="AQ33"/>
  <c r="AQ40" s="1"/>
  <c r="AG61" i="11" l="1"/>
  <c r="G55" i="32"/>
  <c r="AO18" i="37"/>
  <c r="G93" i="9"/>
  <c r="F108" i="10"/>
  <c r="AP40" i="13"/>
  <c r="G82"/>
  <c r="AP14" i="29"/>
  <c r="AO31"/>
  <c r="AO54"/>
  <c r="AO69"/>
  <c r="AO73" i="35"/>
  <c r="AQ53" i="9"/>
  <c r="AF84" i="35"/>
  <c r="AL188" i="10"/>
  <c r="AE200"/>
  <c r="AE77" i="22"/>
  <c r="AM187" i="10"/>
  <c r="AL190"/>
  <c r="AF206"/>
  <c r="AF83" i="22"/>
  <c r="AP32" i="35"/>
  <c r="AP80"/>
  <c r="AQ14"/>
  <c r="AQ42" i="22"/>
  <c r="AQ63" s="1"/>
  <c r="AF5" i="30"/>
  <c r="AQ184" i="10"/>
  <c r="AQ150"/>
  <c r="AQ44" i="11"/>
  <c r="AQ66" s="1"/>
  <c r="AQ172" i="10"/>
  <c r="AQ210"/>
  <c r="AF135"/>
  <c r="AF76" i="11" s="1"/>
  <c r="AF87" s="1"/>
  <c r="AF83" i="35"/>
  <c r="AE32" i="37"/>
  <c r="AC164" i="10"/>
  <c r="F102" s="1"/>
  <c r="AH21" i="35"/>
  <c r="AC70" i="11"/>
  <c r="AC81" s="1"/>
  <c r="AF72" i="13"/>
  <c r="AF71"/>
  <c r="AF53" i="37"/>
  <c r="AF56" s="1"/>
  <c r="AF55"/>
  <c r="AG69" i="13"/>
  <c r="AG70" s="1"/>
  <c r="AG52" i="37"/>
  <c r="AF31"/>
  <c r="AQ48" i="13"/>
  <c r="AQ33"/>
  <c r="AQ40" s="1"/>
  <c r="AQ67"/>
  <c r="AP31" i="4"/>
  <c r="AP53"/>
  <c r="AP69" s="1"/>
  <c r="AP30"/>
  <c r="AP26"/>
  <c r="AQ14"/>
  <c r="AO48"/>
  <c r="AP34"/>
  <c r="AO32"/>
  <c r="AE76" i="8"/>
  <c r="AE77" s="1"/>
  <c r="AO46" i="13"/>
  <c r="AP37"/>
  <c r="AP44" s="1"/>
  <c r="AP49" i="37" s="1"/>
  <c r="AP50" s="1"/>
  <c r="AF75" i="8"/>
  <c r="AD200" i="10"/>
  <c r="AD77" i="8"/>
  <c r="AD129" i="10"/>
  <c r="AD78" i="8"/>
  <c r="AD79"/>
  <c r="AB81" i="11"/>
  <c r="AB154" i="10"/>
  <c r="AG82" i="35"/>
  <c r="AG135" i="10" s="1"/>
  <c r="R56" i="32" s="1"/>
  <c r="AH25" i="35"/>
  <c r="AH75" s="1"/>
  <c r="AH77" s="1"/>
  <c r="AH81" s="1"/>
  <c r="AH82" s="1"/>
  <c r="AG70" i="8"/>
  <c r="AG66"/>
  <c r="AG68" s="1"/>
  <c r="AG28" i="37" s="1"/>
  <c r="AG29" s="1"/>
  <c r="AP43" i="8"/>
  <c r="AC154" i="10"/>
  <c r="G103" s="1"/>
  <c r="AI69" i="35"/>
  <c r="AI21" s="1"/>
  <c r="AJ58"/>
  <c r="AI56"/>
  <c r="AI53" s="1"/>
  <c r="AI123" i="10" s="1"/>
  <c r="AN54" i="22"/>
  <c r="AO45" i="4"/>
  <c r="AN50"/>
  <c r="AN116" i="10" s="1"/>
  <c r="AN55" i="11" s="1"/>
  <c r="AH64" i="8"/>
  <c r="AP16" i="9"/>
  <c r="AP103" i="10"/>
  <c r="F247" s="1"/>
  <c r="AP16" i="4"/>
  <c r="AP16" i="35"/>
  <c r="AP16" i="13"/>
  <c r="AP182" i="10"/>
  <c r="AP16" i="26"/>
  <c r="G82" s="1"/>
  <c r="G89" s="1"/>
  <c r="G90" s="1"/>
  <c r="AP16" i="29"/>
  <c r="AP208" i="10"/>
  <c r="AP148"/>
  <c r="F109" s="1"/>
  <c r="AP16" i="8"/>
  <c r="G89" s="1"/>
  <c r="AP81" i="10"/>
  <c r="AP82" s="1"/>
  <c r="AP83" s="1"/>
  <c r="AQ79"/>
  <c r="AQ16" i="37" s="1"/>
  <c r="AN19" i="4"/>
  <c r="AN19" i="8"/>
  <c r="AN19" i="9"/>
  <c r="AN19" i="13"/>
  <c r="AN19" i="35"/>
  <c r="AN19" i="26"/>
  <c r="AN19" i="29"/>
  <c r="AO18" i="4"/>
  <c r="AO20" s="1"/>
  <c r="AO18" i="8"/>
  <c r="AO20" s="1"/>
  <c r="AO18" i="29"/>
  <c r="AO20" s="1"/>
  <c r="AO18" i="13"/>
  <c r="AO20" s="1"/>
  <c r="AO18" i="35"/>
  <c r="AO20" s="1"/>
  <c r="AO18" i="9"/>
  <c r="AO20" s="1"/>
  <c r="AO18" i="26"/>
  <c r="AO20" s="1"/>
  <c r="AQ74" i="8"/>
  <c r="AQ33"/>
  <c r="AQ53"/>
  <c r="AM35" i="13"/>
  <c r="AM119" i="10" s="1"/>
  <c r="AM58" i="11" s="1"/>
  <c r="AM57" i="22"/>
  <c r="AH61" i="13"/>
  <c r="AH68" s="1"/>
  <c r="AJ23"/>
  <c r="AJ65" s="1"/>
  <c r="AJ21" s="1"/>
  <c r="AJ23" i="29"/>
  <c r="AJ65" s="1"/>
  <c r="AJ21" s="1"/>
  <c r="AJ22" i="4"/>
  <c r="AJ59" s="1"/>
  <c r="AJ61" s="1"/>
  <c r="AJ64" s="1"/>
  <c r="AJ65" s="1"/>
  <c r="AJ66" s="1"/>
  <c r="AJ67" s="1"/>
  <c r="AJ71" s="1"/>
  <c r="AJ74" s="1"/>
  <c r="AJ75" s="1"/>
  <c r="AJ76" s="1"/>
  <c r="AJ23" i="26"/>
  <c r="AJ65" s="1"/>
  <c r="AJ21" s="1"/>
  <c r="AJ23" i="8"/>
  <c r="AJ72" s="1"/>
  <c r="AJ21" s="1"/>
  <c r="AJ22" i="9"/>
  <c r="AJ71" s="1"/>
  <c r="AJ23" i="35"/>
  <c r="AJ87" i="10"/>
  <c r="AK85" s="1"/>
  <c r="AK86" s="1"/>
  <c r="AK88" s="1"/>
  <c r="AI66" i="22"/>
  <c r="AI76" s="1"/>
  <c r="AI77" i="4"/>
  <c r="AH199" i="10"/>
  <c r="AE166"/>
  <c r="AE142"/>
  <c r="AE156" s="1"/>
  <c r="AE72" i="11"/>
  <c r="AE83" s="1"/>
  <c r="AG206" i="10"/>
  <c r="AC80" i="11"/>
  <c r="AC94" s="1"/>
  <c r="AC90"/>
  <c r="AF202" i="10"/>
  <c r="G115" i="4"/>
  <c r="E246" i="32" s="1"/>
  <c r="G116" i="4"/>
  <c r="E245" i="32" s="1"/>
  <c r="AH70" i="9"/>
  <c r="AH69"/>
  <c r="AH75" s="1"/>
  <c r="AH77" s="1"/>
  <c r="AH78" s="1"/>
  <c r="AH79" s="1"/>
  <c r="AG69" i="22"/>
  <c r="AG79" s="1"/>
  <c r="AC153" i="10"/>
  <c r="G102" s="1"/>
  <c r="AF131"/>
  <c r="AH61" i="26"/>
  <c r="AF90" i="11"/>
  <c r="AF80"/>
  <c r="AF94" s="1"/>
  <c r="AI24" i="35"/>
  <c r="AI23" i="4"/>
  <c r="AI24" i="29"/>
  <c r="AI25" s="1"/>
  <c r="AI62" s="1"/>
  <c r="AI64" s="1"/>
  <c r="AI24" i="8"/>
  <c r="AI25" s="1"/>
  <c r="AI62" s="1"/>
  <c r="AI24" i="13"/>
  <c r="AI25" s="1"/>
  <c r="AI57" s="1"/>
  <c r="AI59" s="1"/>
  <c r="AI23" i="9"/>
  <c r="AI67" s="1"/>
  <c r="AI68" s="1"/>
  <c r="AI24" i="26"/>
  <c r="AI25" s="1"/>
  <c r="AI57" s="1"/>
  <c r="AI59" s="1"/>
  <c r="AH80" i="4"/>
  <c r="AH78"/>
  <c r="AH79"/>
  <c r="AH128" i="10"/>
  <c r="AG69" i="11"/>
  <c r="AG163" i="10"/>
  <c r="AG139"/>
  <c r="AG153" s="1"/>
  <c r="AQ55" i="9"/>
  <c r="AP55"/>
  <c r="AO38" i="35"/>
  <c r="AO41"/>
  <c r="AN41" i="8"/>
  <c r="AN49"/>
  <c r="AN25" i="37" s="1"/>
  <c r="AN26" s="1"/>
  <c r="L96" i="32"/>
  <c r="AM55" i="22"/>
  <c r="AM51" i="8"/>
  <c r="AM117" i="10" s="1"/>
  <c r="AM56" i="11" s="1"/>
  <c r="AE159" i="10"/>
  <c r="AH62" i="9"/>
  <c r="AH122" i="10" s="1"/>
  <c r="AH61" i="11" s="1"/>
  <c r="AI57" i="9"/>
  <c r="AL61" i="22"/>
  <c r="AP28" i="35"/>
  <c r="AP30" s="1"/>
  <c r="AP60" i="29"/>
  <c r="AJ37"/>
  <c r="AK194" i="10"/>
  <c r="AG134"/>
  <c r="Q56" i="32" s="1"/>
  <c r="AG82" i="9"/>
  <c r="AG81"/>
  <c r="AG80"/>
  <c r="AO53" i="13"/>
  <c r="AO55" s="1"/>
  <c r="AQ58" i="8"/>
  <c r="AM43" i="35"/>
  <c r="AN35"/>
  <c r="AF145" i="10"/>
  <c r="AF169"/>
  <c r="AF75" i="11"/>
  <c r="AF86" s="1"/>
  <c r="AQ28" i="35"/>
  <c r="AQ30" s="1"/>
  <c r="AQ60" i="29"/>
  <c r="AP73" i="35" l="1"/>
  <c r="AP18" i="37"/>
  <c r="G91" i="8"/>
  <c r="G100"/>
  <c r="G96"/>
  <c r="G97" s="1"/>
  <c r="G92"/>
  <c r="G101"/>
  <c r="G84" i="13"/>
  <c r="G93"/>
  <c r="G89"/>
  <c r="G90" s="1"/>
  <c r="G85"/>
  <c r="G94"/>
  <c r="G108" i="10"/>
  <c r="G109"/>
  <c r="G100" i="9"/>
  <c r="G101" s="1"/>
  <c r="G95"/>
  <c r="G104"/>
  <c r="G96"/>
  <c r="G105"/>
  <c r="G105" i="10"/>
  <c r="F241"/>
  <c r="F248"/>
  <c r="AP64" i="35"/>
  <c r="G96"/>
  <c r="F105" i="10"/>
  <c r="AP31" i="29"/>
  <c r="G85" s="1"/>
  <c r="G92" s="1"/>
  <c r="G93" s="1"/>
  <c r="AQ14"/>
  <c r="AP54"/>
  <c r="AP69"/>
  <c r="AG71" i="13"/>
  <c r="AM188" i="10"/>
  <c r="AM190"/>
  <c r="AN187"/>
  <c r="AQ80" i="35"/>
  <c r="AQ32"/>
  <c r="AQ64" s="1"/>
  <c r="AF170" i="10"/>
  <c r="AF146"/>
  <c r="AF160" s="1"/>
  <c r="AF32" i="37"/>
  <c r="AI71" i="35"/>
  <c r="AG72" i="13"/>
  <c r="AH73" i="22"/>
  <c r="AH83" s="1"/>
  <c r="AG53" i="37"/>
  <c r="AG56" s="1"/>
  <c r="AG55"/>
  <c r="AH69" i="13"/>
  <c r="AH72" s="1"/>
  <c r="AH52" i="37"/>
  <c r="AG31"/>
  <c r="AP32" i="4"/>
  <c r="AQ31"/>
  <c r="AQ30"/>
  <c r="AQ26"/>
  <c r="AQ53"/>
  <c r="AQ69" s="1"/>
  <c r="AP48"/>
  <c r="AQ34"/>
  <c r="AQ48" s="1"/>
  <c r="AE79" i="8"/>
  <c r="AE78"/>
  <c r="AE129" i="10"/>
  <c r="AP46" i="13"/>
  <c r="AQ37"/>
  <c r="AQ44" s="1"/>
  <c r="AQ49" i="37" s="1"/>
  <c r="AQ50" s="1"/>
  <c r="AG75" i="8"/>
  <c r="AG67" i="22" s="1"/>
  <c r="AF76" i="8"/>
  <c r="AF67" i="22"/>
  <c r="AF77" s="1"/>
  <c r="AD164" i="10"/>
  <c r="AD140"/>
  <c r="AD70" i="11"/>
  <c r="AG85" i="35"/>
  <c r="AG83"/>
  <c r="AG84"/>
  <c r="AH70" i="8"/>
  <c r="AH66"/>
  <c r="AH68" s="1"/>
  <c r="AH28" i="37" s="1"/>
  <c r="AH29" s="1"/>
  <c r="AQ43" i="8"/>
  <c r="AI25" i="35"/>
  <c r="AI75" s="1"/>
  <c r="AI77" s="1"/>
  <c r="AI81" s="1"/>
  <c r="AI73" i="22" s="1"/>
  <c r="AI83" s="1"/>
  <c r="AJ69" i="35"/>
  <c r="AJ71" s="1"/>
  <c r="AJ56"/>
  <c r="AJ53" s="1"/>
  <c r="AJ123" i="10" s="1"/>
  <c r="AJ62" i="11" s="1"/>
  <c r="AK58" i="35"/>
  <c r="AI62" i="11"/>
  <c r="AI64" i="8"/>
  <c r="AP45" i="4"/>
  <c r="AO54" i="22"/>
  <c r="AO50" i="4"/>
  <c r="AO116" i="10" s="1"/>
  <c r="AO55" i="11" s="1"/>
  <c r="AQ16" i="13"/>
  <c r="AQ16" i="35"/>
  <c r="AQ16" i="4"/>
  <c r="AQ16" i="9"/>
  <c r="AQ182" i="10"/>
  <c r="AQ16" i="26"/>
  <c r="AQ16" i="29"/>
  <c r="AQ208" i="10"/>
  <c r="AQ16" i="8"/>
  <c r="AQ148" i="10"/>
  <c r="AQ103"/>
  <c r="AQ81"/>
  <c r="AQ82" s="1"/>
  <c r="AQ83" s="1"/>
  <c r="AO19" i="8"/>
  <c r="AO19" i="4"/>
  <c r="AO19" i="9"/>
  <c r="AO19" i="13"/>
  <c r="AO19" i="35"/>
  <c r="AO19" i="29"/>
  <c r="AO19" i="26"/>
  <c r="AP18"/>
  <c r="AP20" s="1"/>
  <c r="AP18" i="35"/>
  <c r="AP20" s="1"/>
  <c r="AP18" i="29"/>
  <c r="AP20" s="1"/>
  <c r="AP18" i="9"/>
  <c r="AP20" s="1"/>
  <c r="AP18" i="8"/>
  <c r="AP20" s="1"/>
  <c r="AP18" i="4"/>
  <c r="AP20" s="1"/>
  <c r="AP18" i="13"/>
  <c r="AP20" s="1"/>
  <c r="AG80" i="11"/>
  <c r="AG94" s="1"/>
  <c r="AG90"/>
  <c r="AF72"/>
  <c r="AF83" s="1"/>
  <c r="AF142" i="10"/>
  <c r="AF156" s="1"/>
  <c r="AF166"/>
  <c r="AJ77" i="4"/>
  <c r="AJ66" i="22"/>
  <c r="AJ76" s="1"/>
  <c r="AH69"/>
  <c r="AH79" s="1"/>
  <c r="AI61" i="13"/>
  <c r="AI68" s="1"/>
  <c r="AK23" i="8"/>
  <c r="AK72" s="1"/>
  <c r="AK21" s="1"/>
  <c r="AK22" i="9"/>
  <c r="AK71" s="1"/>
  <c r="AK23" i="26"/>
  <c r="AK65" s="1"/>
  <c r="AK21" s="1"/>
  <c r="AK87" i="10"/>
  <c r="AL85" s="1"/>
  <c r="AL86" s="1"/>
  <c r="AL88" s="1"/>
  <c r="AK22" i="4"/>
  <c r="AK59" s="1"/>
  <c r="AK61" s="1"/>
  <c r="AK64" s="1"/>
  <c r="AK65" s="1"/>
  <c r="AK66" s="1"/>
  <c r="AK67" s="1"/>
  <c r="AK71" s="1"/>
  <c r="AK74" s="1"/>
  <c r="AK75" s="1"/>
  <c r="AK76" s="1"/>
  <c r="AK23" i="29"/>
  <c r="AK65" s="1"/>
  <c r="AK21" s="1"/>
  <c r="AK23" i="35"/>
  <c r="AK23" i="13"/>
  <c r="AK65" s="1"/>
  <c r="AK21" s="1"/>
  <c r="AJ24" i="8"/>
  <c r="AJ25" s="1"/>
  <c r="AJ62" s="1"/>
  <c r="AJ23" i="9"/>
  <c r="AJ67" s="1"/>
  <c r="AJ68" s="1"/>
  <c r="AJ24" i="35"/>
  <c r="AJ24" i="29"/>
  <c r="AJ25" s="1"/>
  <c r="AJ62" s="1"/>
  <c r="AJ64" s="1"/>
  <c r="AJ24" i="13"/>
  <c r="AJ25" s="1"/>
  <c r="AJ57" s="1"/>
  <c r="AJ59" s="1"/>
  <c r="AJ24" i="26"/>
  <c r="AJ25" s="1"/>
  <c r="AJ57" s="1"/>
  <c r="AJ59" s="1"/>
  <c r="AJ23" i="4"/>
  <c r="AN57" i="22"/>
  <c r="AN35" i="13"/>
  <c r="AN119" i="10" s="1"/>
  <c r="AN58" i="11" s="1"/>
  <c r="AI69" i="9"/>
  <c r="AI75" s="1"/>
  <c r="AI77" s="1"/>
  <c r="AI78" s="1"/>
  <c r="AI79" s="1"/>
  <c r="AI70"/>
  <c r="AG202" i="10"/>
  <c r="AI199"/>
  <c r="AH139"/>
  <c r="AH153" s="1"/>
  <c r="AH69" i="11"/>
  <c r="AH163" i="10"/>
  <c r="AI61" i="26"/>
  <c r="AG131" i="10"/>
  <c r="N56" i="32" s="1"/>
  <c r="AH85" i="35"/>
  <c r="AH84"/>
  <c r="AH135" i="10"/>
  <c r="AH83" i="35"/>
  <c r="AI79" i="4"/>
  <c r="AI128" i="10"/>
  <c r="AI80" i="4"/>
  <c r="AI78"/>
  <c r="AG76" i="11"/>
  <c r="AG87" s="1"/>
  <c r="AG170" i="10"/>
  <c r="AG146"/>
  <c r="AG160" s="1"/>
  <c r="AN55" i="22"/>
  <c r="AN51" i="8"/>
  <c r="AN117" i="10" s="1"/>
  <c r="AN56" i="11" s="1"/>
  <c r="AO41" i="8"/>
  <c r="AO49"/>
  <c r="AO25" i="37" s="1"/>
  <c r="AO26" s="1"/>
  <c r="AF159" i="10"/>
  <c r="AQ53" i="13"/>
  <c r="AQ55" s="1"/>
  <c r="AP53"/>
  <c r="AP55" s="1"/>
  <c r="AG75" i="11"/>
  <c r="AG86" s="1"/>
  <c r="AG169" i="10"/>
  <c r="AG145"/>
  <c r="AJ57" i="9"/>
  <c r="AI62"/>
  <c r="AI122" i="10" s="1"/>
  <c r="AN43" i="35"/>
  <c r="AO35"/>
  <c r="AH81" i="9"/>
  <c r="AH82"/>
  <c r="AH80"/>
  <c r="AH134" i="10"/>
  <c r="AP41" i="35"/>
  <c r="AQ41" s="1"/>
  <c r="AK37" i="29"/>
  <c r="AL194" i="10"/>
  <c r="AM61" i="22"/>
  <c r="AP38" i="35"/>
  <c r="AQ38" s="1"/>
  <c r="G86" i="13" l="1"/>
  <c r="G100" s="1"/>
  <c r="G102" s="1"/>
  <c r="G102" i="8"/>
  <c r="G106" i="9"/>
  <c r="AQ18" i="37"/>
  <c r="G95" i="13"/>
  <c r="G98" i="35"/>
  <c r="G102"/>
  <c r="G103"/>
  <c r="G107"/>
  <c r="G99"/>
  <c r="G100" s="1"/>
  <c r="G108"/>
  <c r="G97" i="9"/>
  <c r="G111" s="1"/>
  <c r="G113" s="1"/>
  <c r="G93" i="8"/>
  <c r="AQ69" i="29"/>
  <c r="AQ31"/>
  <c r="AQ54"/>
  <c r="AH206" i="10"/>
  <c r="AN190"/>
  <c r="AN188"/>
  <c r="AO187"/>
  <c r="AG200"/>
  <c r="AG77" i="22"/>
  <c r="AQ73" i="35"/>
  <c r="AG32" i="37"/>
  <c r="AH71" i="13"/>
  <c r="AH70"/>
  <c r="AH31" i="37"/>
  <c r="AH53"/>
  <c r="AH56" s="1"/>
  <c r="AH55"/>
  <c r="AI69" i="13"/>
  <c r="AI71" s="1"/>
  <c r="AI52" i="37"/>
  <c r="AQ32" i="4"/>
  <c r="AE140" i="10"/>
  <c r="AE154" s="1"/>
  <c r="AE70" i="11"/>
  <c r="AE81" s="1"/>
  <c r="AE164" i="10"/>
  <c r="AG76" i="8"/>
  <c r="AG129" i="10" s="1"/>
  <c r="L56" i="32" s="1"/>
  <c r="AQ46" i="13"/>
  <c r="AH75" i="8"/>
  <c r="AH67" i="22" s="1"/>
  <c r="AH77" s="1"/>
  <c r="AD154" i="10"/>
  <c r="AF77" i="8"/>
  <c r="AF129" i="10"/>
  <c r="AF79" i="8"/>
  <c r="AF78"/>
  <c r="AD81" i="11"/>
  <c r="AF200" i="10"/>
  <c r="AK69" i="35"/>
  <c r="AK71" s="1"/>
  <c r="AI82"/>
  <c r="AI84" s="1"/>
  <c r="AI70" i="8"/>
  <c r="AI66"/>
  <c r="AI68" s="1"/>
  <c r="AI28" i="37" s="1"/>
  <c r="AI29" s="1"/>
  <c r="AJ21" i="35"/>
  <c r="AJ25"/>
  <c r="AJ75" s="1"/>
  <c r="AJ77" s="1"/>
  <c r="AJ81" s="1"/>
  <c r="AJ82" s="1"/>
  <c r="R54" i="32"/>
  <c r="H56"/>
  <c r="R55" s="1"/>
  <c r="AL58" i="35"/>
  <c r="AK56"/>
  <c r="AK53" s="1"/>
  <c r="AK123" i="10" s="1"/>
  <c r="AK62" i="11" s="1"/>
  <c r="AP50" i="4"/>
  <c r="AP116" i="10" s="1"/>
  <c r="AP55" i="11" s="1"/>
  <c r="AP54" i="22"/>
  <c r="AQ45" i="4"/>
  <c r="AJ64" i="8"/>
  <c r="AP19" i="9"/>
  <c r="AP19" i="8"/>
  <c r="AP19" i="13"/>
  <c r="AP19" i="29"/>
  <c r="AP19" i="26"/>
  <c r="AP19" i="35"/>
  <c r="AP19" i="4"/>
  <c r="AQ18" i="8"/>
  <c r="AQ20" s="1"/>
  <c r="AQ18" i="13"/>
  <c r="AQ20" s="1"/>
  <c r="AQ18" i="4"/>
  <c r="AQ20" s="1"/>
  <c r="AQ18" i="35"/>
  <c r="AQ20" s="1"/>
  <c r="AQ18" i="9"/>
  <c r="AQ20" s="1"/>
  <c r="AQ18" i="26"/>
  <c r="AQ20" s="1"/>
  <c r="AQ18" i="29"/>
  <c r="AQ20" s="1"/>
  <c r="AH131" i="10"/>
  <c r="AG166"/>
  <c r="AG142"/>
  <c r="AG156" s="1"/>
  <c r="AG72" i="11"/>
  <c r="AG83" s="1"/>
  <c r="AH90"/>
  <c r="AH80"/>
  <c r="AH94" s="1"/>
  <c r="AL23" i="35"/>
  <c r="AL87" i="10"/>
  <c r="AM85" s="1"/>
  <c r="AM86" s="1"/>
  <c r="AM88" s="1"/>
  <c r="AL23" i="26"/>
  <c r="AL65" s="1"/>
  <c r="AL21" s="1"/>
  <c r="AL23" i="13"/>
  <c r="AL65" s="1"/>
  <c r="AL21" s="1"/>
  <c r="AL23" i="8"/>
  <c r="AL72" s="1"/>
  <c r="AL21" s="1"/>
  <c r="AL23" i="29"/>
  <c r="AL65" s="1"/>
  <c r="AL21" s="1"/>
  <c r="AL22" i="9"/>
  <c r="AL71" s="1"/>
  <c r="AL22" i="4"/>
  <c r="AL59" s="1"/>
  <c r="AL61" s="1"/>
  <c r="AL64" s="1"/>
  <c r="AL65" s="1"/>
  <c r="AL66" s="1"/>
  <c r="AL67" s="1"/>
  <c r="AL71" s="1"/>
  <c r="AL74" s="1"/>
  <c r="AL75" s="1"/>
  <c r="AL76" s="1"/>
  <c r="AI206" i="10"/>
  <c r="AH202"/>
  <c r="AI139"/>
  <c r="AI153" s="1"/>
  <c r="AI163"/>
  <c r="AI69" i="11"/>
  <c r="AO57" i="22"/>
  <c r="AO35" i="13"/>
  <c r="AO119" i="10" s="1"/>
  <c r="AO58" i="11" s="1"/>
  <c r="AJ61" i="13"/>
  <c r="AJ68" s="1"/>
  <c r="AK77" i="4"/>
  <c r="AK66" i="22"/>
  <c r="AK76" s="1"/>
  <c r="AK23" i="4"/>
  <c r="AK24" i="35"/>
  <c r="AK24" i="13"/>
  <c r="AK25" s="1"/>
  <c r="AK57" s="1"/>
  <c r="AK59" s="1"/>
  <c r="AK23" i="9"/>
  <c r="AK67" s="1"/>
  <c r="AK68" s="1"/>
  <c r="AK24" i="29"/>
  <c r="AK25" s="1"/>
  <c r="AK62" s="1"/>
  <c r="AK64" s="1"/>
  <c r="AK24" i="8"/>
  <c r="AK25" s="1"/>
  <c r="AK62" s="1"/>
  <c r="AK24" i="26"/>
  <c r="AK25" s="1"/>
  <c r="AK57" s="1"/>
  <c r="AK59" s="1"/>
  <c r="AI69" i="22"/>
  <c r="AI79" s="1"/>
  <c r="AJ78" i="4"/>
  <c r="AJ79"/>
  <c r="AJ128" i="10"/>
  <c r="AJ80" i="4"/>
  <c r="AH170" i="10"/>
  <c r="AH146"/>
  <c r="AH160" s="1"/>
  <c r="AH76" i="11"/>
  <c r="AH87" s="1"/>
  <c r="AJ61" i="26"/>
  <c r="AJ69" i="9"/>
  <c r="AJ75" s="1"/>
  <c r="AJ77" s="1"/>
  <c r="AJ78" s="1"/>
  <c r="AJ79" s="1"/>
  <c r="AJ70"/>
  <c r="AJ199" i="10"/>
  <c r="AO55" i="22"/>
  <c r="AO51" i="8"/>
  <c r="AO117" i="10" s="1"/>
  <c r="AO56" i="11" s="1"/>
  <c r="AP49" i="8"/>
  <c r="AP25" i="37" s="1"/>
  <c r="AP26" s="1"/>
  <c r="AP41" i="8"/>
  <c r="AM194" i="10"/>
  <c r="AJ62" i="9"/>
  <c r="AJ122" i="10" s="1"/>
  <c r="AJ61" i="11" s="1"/>
  <c r="AK57" i="9"/>
  <c r="AL37" i="29"/>
  <c r="AI81" i="9"/>
  <c r="AI134" i="10"/>
  <c r="AI80" i="9"/>
  <c r="AI82"/>
  <c r="AO43" i="35"/>
  <c r="AP35"/>
  <c r="AH169" i="10"/>
  <c r="AH75" i="11"/>
  <c r="AH86" s="1"/>
  <c r="AH145" i="10"/>
  <c r="AN61" i="22"/>
  <c r="AI61" i="11"/>
  <c r="AG159" i="10"/>
  <c r="G103" i="13" l="1"/>
  <c r="G244" i="10"/>
  <c r="G97" i="13"/>
  <c r="G108" i="9"/>
  <c r="G104" i="35"/>
  <c r="G111" s="1"/>
  <c r="G104" i="8"/>
  <c r="G107"/>
  <c r="G109" s="1"/>
  <c r="G114" i="9"/>
  <c r="G247" i="10"/>
  <c r="H247" s="1"/>
  <c r="G109" i="35"/>
  <c r="AI70" i="13"/>
  <c r="AO188" i="10"/>
  <c r="AO190"/>
  <c r="AP187"/>
  <c r="AH32" i="37"/>
  <c r="AI72" i="13"/>
  <c r="AJ69"/>
  <c r="AJ70" s="1"/>
  <c r="AJ52" i="37"/>
  <c r="AI53"/>
  <c r="AI56" s="1"/>
  <c r="AI55"/>
  <c r="AI31"/>
  <c r="AG164" i="10"/>
  <c r="AG140"/>
  <c r="AG154" s="1"/>
  <c r="AG70" i="11"/>
  <c r="AG81" s="1"/>
  <c r="AG79" i="8"/>
  <c r="AG78"/>
  <c r="AG77"/>
  <c r="AH200" i="10"/>
  <c r="AI75" i="8"/>
  <c r="AK21" i="35"/>
  <c r="AH76" i="8"/>
  <c r="AF164" i="10"/>
  <c r="AF140"/>
  <c r="AF70" i="11"/>
  <c r="AK25" i="35"/>
  <c r="AK75" s="1"/>
  <c r="AK77" s="1"/>
  <c r="AK81" s="1"/>
  <c r="AK82" s="1"/>
  <c r="AI85"/>
  <c r="AI83"/>
  <c r="AI135" i="10"/>
  <c r="AI76" i="11" s="1"/>
  <c r="AI87" s="1"/>
  <c r="AJ70" i="8"/>
  <c r="AJ66"/>
  <c r="AJ68" s="1"/>
  <c r="AJ28" i="37" s="1"/>
  <c r="AJ29" s="1"/>
  <c r="AL69" i="35"/>
  <c r="AL21" s="1"/>
  <c r="AJ73" i="22"/>
  <c r="AJ83" s="1"/>
  <c r="Q96" i="32"/>
  <c r="AL56" i="35"/>
  <c r="AL53" s="1"/>
  <c r="AL123" i="10" s="1"/>
  <c r="AL62" i="11" s="1"/>
  <c r="AM58" i="35"/>
  <c r="AK64" i="8"/>
  <c r="AQ50" i="4"/>
  <c r="AQ116" i="10" s="1"/>
  <c r="AQ55" i="11" s="1"/>
  <c r="AQ54" i="22"/>
  <c r="AQ19" i="4"/>
  <c r="AQ19" i="8"/>
  <c r="AQ19" i="13"/>
  <c r="AQ19" i="35"/>
  <c r="AQ19" i="9"/>
  <c r="AQ19" i="29"/>
  <c r="AQ19" i="26"/>
  <c r="AI131" i="10"/>
  <c r="AK61" i="26"/>
  <c r="AK61" i="13"/>
  <c r="AK68" s="1"/>
  <c r="AK80" i="4"/>
  <c r="AK79"/>
  <c r="AK78"/>
  <c r="AK128" i="10"/>
  <c r="AJ69" i="22"/>
  <c r="AJ79" s="1"/>
  <c r="AI80" i="11"/>
  <c r="AI94" s="1"/>
  <c r="AI90"/>
  <c r="AL24" i="8"/>
  <c r="AL25" s="1"/>
  <c r="AL62" s="1"/>
  <c r="AL24" i="29"/>
  <c r="AL25" s="1"/>
  <c r="AL62" s="1"/>
  <c r="AL64" s="1"/>
  <c r="AL24" i="26"/>
  <c r="AL25" s="1"/>
  <c r="AL57" s="1"/>
  <c r="AL59" s="1"/>
  <c r="AL23" i="9"/>
  <c r="AL67" s="1"/>
  <c r="AL68" s="1"/>
  <c r="AL24" i="35"/>
  <c r="AL24" i="13"/>
  <c r="AL25" s="1"/>
  <c r="AL57" s="1"/>
  <c r="AL59" s="1"/>
  <c r="AL23" i="4"/>
  <c r="AK69" i="9"/>
  <c r="AK75" s="1"/>
  <c r="AK77" s="1"/>
  <c r="AK78" s="1"/>
  <c r="AK79" s="1"/>
  <c r="AK70"/>
  <c r="AK199" i="10"/>
  <c r="AP35" i="13"/>
  <c r="AP119" i="10" s="1"/>
  <c r="AP58" i="11" s="1"/>
  <c r="AP57" i="22"/>
  <c r="AM22" i="4"/>
  <c r="AM59" s="1"/>
  <c r="AM61" s="1"/>
  <c r="AM64" s="1"/>
  <c r="AM65" s="1"/>
  <c r="AM66" s="1"/>
  <c r="AM67" s="1"/>
  <c r="AM71" s="1"/>
  <c r="AM74" s="1"/>
  <c r="AM75" s="1"/>
  <c r="AM76" s="1"/>
  <c r="AM22" i="9"/>
  <c r="AM71" s="1"/>
  <c r="AM23" i="35"/>
  <c r="AM23" i="13"/>
  <c r="AM65" s="1"/>
  <c r="AM21" s="1"/>
  <c r="AM23" i="29"/>
  <c r="AM65" s="1"/>
  <c r="AM21" s="1"/>
  <c r="AM23" i="8"/>
  <c r="AM72" s="1"/>
  <c r="AM21" s="1"/>
  <c r="AM23" i="26"/>
  <c r="AM65" s="1"/>
  <c r="AM21" s="1"/>
  <c r="AM87" i="10"/>
  <c r="AN85" s="1"/>
  <c r="AN86" s="1"/>
  <c r="AN88" s="1"/>
  <c r="AH72" i="11"/>
  <c r="AH83" s="1"/>
  <c r="AH142" i="10"/>
  <c r="AH156" s="1"/>
  <c r="AH166"/>
  <c r="AJ83" i="35"/>
  <c r="AJ84"/>
  <c r="AJ135" i="10"/>
  <c r="AJ85" i="35"/>
  <c r="AJ69" i="11"/>
  <c r="AJ139" i="10"/>
  <c r="AJ153" s="1"/>
  <c r="AJ163"/>
  <c r="AI202"/>
  <c r="K59" i="32"/>
  <c r="K97"/>
  <c r="K100" s="1"/>
  <c r="AL77" i="4"/>
  <c r="AL66" i="22"/>
  <c r="AL76" s="1"/>
  <c r="AQ49" i="8"/>
  <c r="AQ25" i="37" s="1"/>
  <c r="AQ26" s="1"/>
  <c r="AQ41" i="8"/>
  <c r="AP55" i="22"/>
  <c r="AP51" i="8"/>
  <c r="AP117" i="10" s="1"/>
  <c r="AP56" i="11" s="1"/>
  <c r="AI145" i="10"/>
  <c r="AI75" i="11"/>
  <c r="AI86" s="1"/>
  <c r="AI169" i="10"/>
  <c r="AP43" i="35"/>
  <c r="AQ35"/>
  <c r="AQ43" s="1"/>
  <c r="AJ134" i="10"/>
  <c r="AJ82" i="9"/>
  <c r="AJ81"/>
  <c r="AJ80"/>
  <c r="AH159" i="10"/>
  <c r="AM37" i="29"/>
  <c r="AK62" i="9"/>
  <c r="AK122" i="10" s="1"/>
  <c r="AK61" i="11" s="1"/>
  <c r="AL57" i="9"/>
  <c r="H55" i="32"/>
  <c r="Q55" s="1"/>
  <c r="Q54"/>
  <c r="AN194" i="10"/>
  <c r="AO61" i="22"/>
  <c r="G114" i="35" l="1"/>
  <c r="G116" s="1"/>
  <c r="G117" s="1"/>
  <c r="G242" i="10"/>
  <c r="G110" i="8"/>
  <c r="AP190" i="10"/>
  <c r="AP188"/>
  <c r="AQ187"/>
  <c r="AL71" i="35"/>
  <c r="AI32" i="37"/>
  <c r="AK73" i="22"/>
  <c r="AK83" s="1"/>
  <c r="AJ72" i="13"/>
  <c r="AJ71"/>
  <c r="AJ31" i="37"/>
  <c r="AK69" i="13"/>
  <c r="AK72" s="1"/>
  <c r="AK52" i="37"/>
  <c r="AJ55"/>
  <c r="AJ53"/>
  <c r="AJ56" s="1"/>
  <c r="AJ75" i="8"/>
  <c r="AJ67" i="22" s="1"/>
  <c r="AJ77" s="1"/>
  <c r="AF154" i="10"/>
  <c r="AF81" i="11"/>
  <c r="AI67" i="22"/>
  <c r="AI77" s="1"/>
  <c r="AI76" i="8"/>
  <c r="AH78"/>
  <c r="AH77"/>
  <c r="AH129" i="10"/>
  <c r="AH79" i="8"/>
  <c r="AI146" i="10"/>
  <c r="AI160" s="1"/>
  <c r="AI170"/>
  <c r="Q97" i="32"/>
  <c r="Q100" s="1"/>
  <c r="AJ206" i="10"/>
  <c r="AK70" i="8"/>
  <c r="AK66"/>
  <c r="AK68" s="1"/>
  <c r="AK28" i="37" s="1"/>
  <c r="AK29" s="1"/>
  <c r="AL25" i="35"/>
  <c r="AL75" s="1"/>
  <c r="AL77" s="1"/>
  <c r="AL81" s="1"/>
  <c r="AL73" i="22" s="1"/>
  <c r="AL83" s="1"/>
  <c r="AM69" i="35"/>
  <c r="AM71" s="1"/>
  <c r="AN58"/>
  <c r="AM56"/>
  <c r="AM53" s="1"/>
  <c r="AM123" i="10" s="1"/>
  <c r="AM62" i="11" s="1"/>
  <c r="AL64" i="8"/>
  <c r="AK84" i="35"/>
  <c r="AK85"/>
  <c r="AK83"/>
  <c r="AK135" i="10"/>
  <c r="AJ90" i="11"/>
  <c r="AJ80"/>
  <c r="AJ94" s="1"/>
  <c r="AJ170" i="10"/>
  <c r="AJ76" i="11"/>
  <c r="AJ87" s="1"/>
  <c r="AJ146" i="10"/>
  <c r="AJ160" s="1"/>
  <c r="AQ35" i="13"/>
  <c r="AQ119" i="10" s="1"/>
  <c r="AQ58" i="11" s="1"/>
  <c r="AQ57" i="22"/>
  <c r="AJ131" i="10"/>
  <c r="AM24" i="29"/>
  <c r="AM25" s="1"/>
  <c r="AM62" s="1"/>
  <c r="AM64" s="1"/>
  <c r="AM24" i="8"/>
  <c r="AM25" s="1"/>
  <c r="AM62" s="1"/>
  <c r="AM24" i="13"/>
  <c r="AM25" s="1"/>
  <c r="AM57" s="1"/>
  <c r="AM59" s="1"/>
  <c r="AM23" i="4"/>
  <c r="AM24" i="26"/>
  <c r="AM25" s="1"/>
  <c r="AM57" s="1"/>
  <c r="AM59" s="1"/>
  <c r="AM23" i="9"/>
  <c r="AM67" s="1"/>
  <c r="AM68" s="1"/>
  <c r="AM24" i="35"/>
  <c r="AL61" i="13"/>
  <c r="AL68" s="1"/>
  <c r="AJ202" i="10"/>
  <c r="AI72" i="11"/>
  <c r="AI83" s="1"/>
  <c r="AI166" i="10"/>
  <c r="AI142"/>
  <c r="AI156" s="1"/>
  <c r="AL79" i="4"/>
  <c r="AL128" i="10"/>
  <c r="AL80" i="4"/>
  <c r="AL78"/>
  <c r="AN23" i="13"/>
  <c r="AN65" s="1"/>
  <c r="AN21" s="1"/>
  <c r="AN22" i="9"/>
  <c r="AN71" s="1"/>
  <c r="AN23" i="29"/>
  <c r="AN65" s="1"/>
  <c r="AN21" s="1"/>
  <c r="AN23" i="8"/>
  <c r="AN72" s="1"/>
  <c r="AN21" s="1"/>
  <c r="AN23" i="35"/>
  <c r="AN23" i="26"/>
  <c r="AN65" s="1"/>
  <c r="AN21" s="1"/>
  <c r="AN87" i="10"/>
  <c r="AO85" s="1"/>
  <c r="AO86" s="1"/>
  <c r="AO88" s="1"/>
  <c r="AN22" i="4"/>
  <c r="AN59" s="1"/>
  <c r="AN61" s="1"/>
  <c r="AN64" s="1"/>
  <c r="AN65" s="1"/>
  <c r="AN66" s="1"/>
  <c r="AN67" s="1"/>
  <c r="AN71" s="1"/>
  <c r="AN74" s="1"/>
  <c r="AN75" s="1"/>
  <c r="AN76" s="1"/>
  <c r="AM77"/>
  <c r="AM66" i="22"/>
  <c r="AM76" s="1"/>
  <c r="AL61" i="26"/>
  <c r="AK69" i="22"/>
  <c r="AK79" s="1"/>
  <c r="AL199" i="10"/>
  <c r="AL70" i="9"/>
  <c r="AL69"/>
  <c r="AL75" s="1"/>
  <c r="AL77" s="1"/>
  <c r="AL78" s="1"/>
  <c r="AL79" s="1"/>
  <c r="AK139" i="10"/>
  <c r="AK153" s="1"/>
  <c r="AK69" i="11"/>
  <c r="AK163" i="10"/>
  <c r="AQ51" i="8"/>
  <c r="AQ117" i="10" s="1"/>
  <c r="AQ56" i="11" s="1"/>
  <c r="AQ55" i="22"/>
  <c r="AK134" i="10"/>
  <c r="AK81" i="9"/>
  <c r="AK80"/>
  <c r="AK82"/>
  <c r="AJ75" i="11"/>
  <c r="AJ86" s="1"/>
  <c r="AJ145" i="10"/>
  <c r="AJ169"/>
  <c r="AQ61" i="22"/>
  <c r="P59" i="32"/>
  <c r="P96"/>
  <c r="AL62" i="9"/>
  <c r="AL122" i="10" s="1"/>
  <c r="AL61" i="11" s="1"/>
  <c r="AM57" i="9"/>
  <c r="P97" i="32"/>
  <c r="P100" s="1"/>
  <c r="AO194" i="10"/>
  <c r="AN37" i="29"/>
  <c r="AP61" i="22"/>
  <c r="AI159" i="10"/>
  <c r="G248" l="1"/>
  <c r="H248" s="1"/>
  <c r="AQ188"/>
  <c r="AQ190"/>
  <c r="AK206"/>
  <c r="AK71" i="13"/>
  <c r="Q59" i="32"/>
  <c r="AJ32" i="37"/>
  <c r="AK70" i="13"/>
  <c r="AJ200" i="10"/>
  <c r="AJ76" i="8"/>
  <c r="AJ79" s="1"/>
  <c r="AK53" i="37"/>
  <c r="AK56" s="1"/>
  <c r="AK55"/>
  <c r="AL69" i="13"/>
  <c r="AL71" s="1"/>
  <c r="AL52" i="37"/>
  <c r="AK31"/>
  <c r="AK75" i="8"/>
  <c r="AI129" i="10"/>
  <c r="AI79" i="8"/>
  <c r="AI77"/>
  <c r="AI78"/>
  <c r="AH70" i="11"/>
  <c r="K98" i="32"/>
  <c r="AH140" i="10"/>
  <c r="AH164"/>
  <c r="AI200"/>
  <c r="AM25" i="35"/>
  <c r="AM75" s="1"/>
  <c r="AM77" s="1"/>
  <c r="AM81" s="1"/>
  <c r="AM73" i="22" s="1"/>
  <c r="AM83" s="1"/>
  <c r="AL82" i="35"/>
  <c r="AL83" s="1"/>
  <c r="AN69"/>
  <c r="AN71" s="1"/>
  <c r="AM21"/>
  <c r="AL70" i="8"/>
  <c r="AL66"/>
  <c r="AL68" s="1"/>
  <c r="AL28" i="37" s="1"/>
  <c r="AL29" s="1"/>
  <c r="AN56" i="35"/>
  <c r="AN53" s="1"/>
  <c r="AN123" i="10" s="1"/>
  <c r="AN62" i="11" s="1"/>
  <c r="AO58" i="35"/>
  <c r="AM64" i="8"/>
  <c r="AN77" i="4"/>
  <c r="AN66" i="22"/>
  <c r="AN76" s="1"/>
  <c r="N59" i="32"/>
  <c r="N97"/>
  <c r="N100" s="1"/>
  <c r="AM70" i="9"/>
  <c r="AM69"/>
  <c r="AM75" s="1"/>
  <c r="AM77" s="1"/>
  <c r="AM78" s="1"/>
  <c r="AM79" s="1"/>
  <c r="AJ166" i="10"/>
  <c r="AJ72" i="11"/>
  <c r="AJ83" s="1"/>
  <c r="AJ142" i="10"/>
  <c r="AJ156" s="1"/>
  <c r="AK80" i="11"/>
  <c r="AK94" s="1"/>
  <c r="AK90"/>
  <c r="AK131" i="10"/>
  <c r="AM80" i="4"/>
  <c r="AM78"/>
  <c r="AM128" i="10"/>
  <c r="AM79" i="4"/>
  <c r="AL69" i="22"/>
  <c r="AL79" s="1"/>
  <c r="AM61" i="13"/>
  <c r="AM68" s="1"/>
  <c r="AL206" i="10"/>
  <c r="AK202"/>
  <c r="AM199"/>
  <c r="AN24" i="26"/>
  <c r="AN25" s="1"/>
  <c r="AN57" s="1"/>
  <c r="AN59" s="1"/>
  <c r="AN23" i="4"/>
  <c r="AN24" i="35"/>
  <c r="AN23" i="9"/>
  <c r="AN67" s="1"/>
  <c r="AN68" s="1"/>
  <c r="AN24" i="13"/>
  <c r="AN25" s="1"/>
  <c r="AN57" s="1"/>
  <c r="AN59" s="1"/>
  <c r="AN24" i="29"/>
  <c r="AN25" s="1"/>
  <c r="AN62" s="1"/>
  <c r="AN64" s="1"/>
  <c r="AN24" i="8"/>
  <c r="AN25" s="1"/>
  <c r="AN62" s="1"/>
  <c r="AO23" i="26"/>
  <c r="AO65" s="1"/>
  <c r="AO21" s="1"/>
  <c r="AO22" i="9"/>
  <c r="AO71" s="1"/>
  <c r="AO23" i="35"/>
  <c r="AO87" i="10"/>
  <c r="AP85" s="1"/>
  <c r="AP86" s="1"/>
  <c r="AP88" s="1"/>
  <c r="AO23" i="13"/>
  <c r="AO65" s="1"/>
  <c r="AO21" s="1"/>
  <c r="AO22" i="4"/>
  <c r="AO59" s="1"/>
  <c r="AO61" s="1"/>
  <c r="AO64" s="1"/>
  <c r="AO65" s="1"/>
  <c r="AO66" s="1"/>
  <c r="AO67" s="1"/>
  <c r="AO71" s="1"/>
  <c r="AO74" s="1"/>
  <c r="AO75" s="1"/>
  <c r="AO76" s="1"/>
  <c r="AO23" i="29"/>
  <c r="AO65" s="1"/>
  <c r="AO21" s="1"/>
  <c r="AO23" i="8"/>
  <c r="AO72" s="1"/>
  <c r="AO21" s="1"/>
  <c r="AL69" i="11"/>
  <c r="AL163" i="10"/>
  <c r="AL139"/>
  <c r="AL153" s="1"/>
  <c r="AM61" i="26"/>
  <c r="AK146" i="10"/>
  <c r="AK160" s="1"/>
  <c r="AK76" i="11"/>
  <c r="AK87" s="1"/>
  <c r="AK170" i="10"/>
  <c r="AK75" i="11"/>
  <c r="AK86" s="1"/>
  <c r="AK145" i="10"/>
  <c r="AK169"/>
  <c r="AM62" i="9"/>
  <c r="AM122" i="10" s="1"/>
  <c r="AM61" i="11" s="1"/>
  <c r="AN57" i="9"/>
  <c r="AJ159" i="10"/>
  <c r="AQ194"/>
  <c r="AP194"/>
  <c r="AO37" i="29"/>
  <c r="AL134" i="10"/>
  <c r="AL80" i="9"/>
  <c r="AL81"/>
  <c r="AL82"/>
  <c r="AM82" i="35" l="1"/>
  <c r="AM83" s="1"/>
  <c r="AK32" i="37"/>
  <c r="AL70" i="13"/>
  <c r="AJ78" i="8"/>
  <c r="AJ77"/>
  <c r="AJ129" i="10"/>
  <c r="AL72" i="13"/>
  <c r="AL31" i="37"/>
  <c r="AL53"/>
  <c r="AL56" s="1"/>
  <c r="AL55"/>
  <c r="AM69" i="13"/>
  <c r="AM70" s="1"/>
  <c r="AM52" i="37"/>
  <c r="AL75" i="8"/>
  <c r="AL76" s="1"/>
  <c r="AL79" s="1"/>
  <c r="AK76"/>
  <c r="AK67" i="22"/>
  <c r="AK77" s="1"/>
  <c r="AH154" i="10"/>
  <c r="AI140"/>
  <c r="AI70" i="11"/>
  <c r="AI164" i="10"/>
  <c r="AH81" i="11"/>
  <c r="AL135" i="10"/>
  <c r="AL76" i="11" s="1"/>
  <c r="AL87" s="1"/>
  <c r="AL84" i="35"/>
  <c r="AL85"/>
  <c r="AN25"/>
  <c r="AN75" s="1"/>
  <c r="AN77" s="1"/>
  <c r="AN81" s="1"/>
  <c r="AN82" s="1"/>
  <c r="AN21"/>
  <c r="AM70" i="8"/>
  <c r="AM66"/>
  <c r="AM68" s="1"/>
  <c r="AM28" i="37" s="1"/>
  <c r="AM29" s="1"/>
  <c r="AO69" i="35"/>
  <c r="AO21" s="1"/>
  <c r="AO56"/>
  <c r="AO53" s="1"/>
  <c r="AO123" i="10" s="1"/>
  <c r="AO62" i="11" s="1"/>
  <c r="AP58" i="35"/>
  <c r="AN64" i="8"/>
  <c r="AN69" i="9"/>
  <c r="AN75" s="1"/>
  <c r="AN77" s="1"/>
  <c r="AN78" s="1"/>
  <c r="AN79" s="1"/>
  <c r="AN70"/>
  <c r="AM139" i="10"/>
  <c r="AM153" s="1"/>
  <c r="AM163"/>
  <c r="AM69" i="11"/>
  <c r="AN79" i="4"/>
  <c r="AN78"/>
  <c r="AN80"/>
  <c r="AN128" i="10"/>
  <c r="AP23" i="26"/>
  <c r="AP65" s="1"/>
  <c r="AP21" s="1"/>
  <c r="AP22" i="4"/>
  <c r="AP59" s="1"/>
  <c r="AP61" s="1"/>
  <c r="AP64" s="1"/>
  <c r="AP65" s="1"/>
  <c r="AP66" s="1"/>
  <c r="AP67" s="1"/>
  <c r="AP71" s="1"/>
  <c r="AP74" s="1"/>
  <c r="AP75" s="1"/>
  <c r="AP76" s="1"/>
  <c r="AP23" i="13"/>
  <c r="AP65" s="1"/>
  <c r="AP21" s="1"/>
  <c r="AP23" i="8"/>
  <c r="AP72" s="1"/>
  <c r="AP21" s="1"/>
  <c r="AP87" i="10"/>
  <c r="AQ85" s="1"/>
  <c r="AQ86" s="1"/>
  <c r="AQ88" s="1"/>
  <c r="AP22" i="9"/>
  <c r="AP71" s="1"/>
  <c r="AP23" i="29"/>
  <c r="AP65" s="1"/>
  <c r="AP21" s="1"/>
  <c r="AP23" i="35"/>
  <c r="AN61" i="13"/>
  <c r="AN68" s="1"/>
  <c r="AN61" i="26"/>
  <c r="AM206" i="10"/>
  <c r="AK166"/>
  <c r="AK142"/>
  <c r="AK156" s="1"/>
  <c r="AK72" i="11"/>
  <c r="AK83" s="1"/>
  <c r="AN199" i="10"/>
  <c r="AL90" i="11"/>
  <c r="AL80"/>
  <c r="AL94" s="1"/>
  <c r="AO24" i="13"/>
  <c r="AO25" s="1"/>
  <c r="AO57" s="1"/>
  <c r="AO59" s="1"/>
  <c r="AO24" i="29"/>
  <c r="AO25" s="1"/>
  <c r="AO62" s="1"/>
  <c r="AO64" s="1"/>
  <c r="AO23" i="4"/>
  <c r="AO24" i="8"/>
  <c r="AO25" s="1"/>
  <c r="AO62" s="1"/>
  <c r="AO24" i="26"/>
  <c r="AO25" s="1"/>
  <c r="AO57" s="1"/>
  <c r="AO59" s="1"/>
  <c r="AO23" i="9"/>
  <c r="AO67" s="1"/>
  <c r="AO68" s="1"/>
  <c r="AO24" i="35"/>
  <c r="AL202" i="10"/>
  <c r="AO66" i="22"/>
  <c r="AO76" s="1"/>
  <c r="AO77" i="4"/>
  <c r="AM69" i="22"/>
  <c r="AM79" s="1"/>
  <c r="AL131" i="10"/>
  <c r="AM134"/>
  <c r="AM81" i="9"/>
  <c r="AM82"/>
  <c r="AM80"/>
  <c r="AP37" i="29"/>
  <c r="AN62" i="9"/>
  <c r="AN122" i="10" s="1"/>
  <c r="AN61" i="11" s="1"/>
  <c r="AO57" i="9"/>
  <c r="AL75" i="11"/>
  <c r="AL86" s="1"/>
  <c r="AL169" i="10"/>
  <c r="AL145"/>
  <c r="AK159"/>
  <c r="AL67" i="22" l="1"/>
  <c r="AL77" s="1"/>
  <c r="AM84" i="35"/>
  <c r="AM135" i="10"/>
  <c r="AM170" s="1"/>
  <c r="AM85" i="35"/>
  <c r="AL32" i="37"/>
  <c r="AP69" i="35"/>
  <c r="AP21" s="1"/>
  <c r="AJ140" i="10"/>
  <c r="AJ154" s="1"/>
  <c r="AJ164"/>
  <c r="AJ70" i="11"/>
  <c r="AJ81" s="1"/>
  <c r="AM71" i="13"/>
  <c r="AM72"/>
  <c r="AM31" i="37"/>
  <c r="AM53"/>
  <c r="AM56" s="1"/>
  <c r="AM55"/>
  <c r="AN69" i="13"/>
  <c r="AN71" s="1"/>
  <c r="AN52" i="37"/>
  <c r="AL129" i="10"/>
  <c r="AL164" s="1"/>
  <c r="AL78" i="8"/>
  <c r="AL77"/>
  <c r="AM75"/>
  <c r="AM67" i="22" s="1"/>
  <c r="AI81" i="11"/>
  <c r="AK200" i="10"/>
  <c r="L97" i="32"/>
  <c r="L59"/>
  <c r="AL200" i="10"/>
  <c r="AI154"/>
  <c r="AK77" i="8"/>
  <c r="AK78"/>
  <c r="AK129" i="10"/>
  <c r="AK79" i="8"/>
  <c r="AL146" i="10"/>
  <c r="AL160" s="1"/>
  <c r="AL170"/>
  <c r="AN73" i="22"/>
  <c r="AN70" i="8"/>
  <c r="AN66"/>
  <c r="AN68" s="1"/>
  <c r="AN28" i="37" s="1"/>
  <c r="AN29" s="1"/>
  <c r="AO71" i="35"/>
  <c r="AO25"/>
  <c r="AO75" s="1"/>
  <c r="AO77" s="1"/>
  <c r="AO81" s="1"/>
  <c r="AO73" i="22" s="1"/>
  <c r="AO83" s="1"/>
  <c r="AQ58" i="35"/>
  <c r="AQ56" s="1"/>
  <c r="AQ53" s="1"/>
  <c r="AQ123" i="10" s="1"/>
  <c r="AQ62" i="11" s="1"/>
  <c r="AP56" i="35"/>
  <c r="AP53" s="1"/>
  <c r="AP123" i="10" s="1"/>
  <c r="AP62" i="11" s="1"/>
  <c r="AO64" i="8"/>
  <c r="AN69" i="22"/>
  <c r="AN79" s="1"/>
  <c r="AN135" i="10"/>
  <c r="AN84" i="35"/>
  <c r="AN85"/>
  <c r="AN83"/>
  <c r="AN69" i="11"/>
  <c r="AN163" i="10"/>
  <c r="AN139"/>
  <c r="AN153" s="1"/>
  <c r="AM80" i="11"/>
  <c r="AM94" s="1"/>
  <c r="AM90"/>
  <c r="AM202" i="10"/>
  <c r="AO199"/>
  <c r="AO61" i="26"/>
  <c r="AO61" i="13"/>
  <c r="AO68" s="1"/>
  <c r="AQ22" i="9"/>
  <c r="AQ71" s="1"/>
  <c r="AQ23" i="13"/>
  <c r="AQ65" s="1"/>
  <c r="AQ21" s="1"/>
  <c r="AQ22" i="4"/>
  <c r="AQ59" s="1"/>
  <c r="AQ61" s="1"/>
  <c r="AQ64" s="1"/>
  <c r="AQ65" s="1"/>
  <c r="AQ66" s="1"/>
  <c r="AQ67" s="1"/>
  <c r="AQ71" s="1"/>
  <c r="AQ74" s="1"/>
  <c r="AQ75" s="1"/>
  <c r="AQ76" s="1"/>
  <c r="AQ87" i="10"/>
  <c r="AQ23" i="26"/>
  <c r="AQ65" s="1"/>
  <c r="AQ21" s="1"/>
  <c r="AQ23" i="8"/>
  <c r="AQ72" s="1"/>
  <c r="AQ21" s="1"/>
  <c r="AQ23" i="29"/>
  <c r="AQ65" s="1"/>
  <c r="AQ21" s="1"/>
  <c r="AQ23" i="35"/>
  <c r="AL166" i="10"/>
  <c r="AL72" i="11"/>
  <c r="AL83" s="1"/>
  <c r="AL142" i="10"/>
  <c r="AL156" s="1"/>
  <c r="AM131"/>
  <c r="AO78" i="4"/>
  <c r="AO80"/>
  <c r="AO128" i="10"/>
  <c r="AO79" i="4"/>
  <c r="AO69" i="9"/>
  <c r="AO75" s="1"/>
  <c r="AO77" s="1"/>
  <c r="AO78" s="1"/>
  <c r="AO79" s="1"/>
  <c r="AO70"/>
  <c r="AP24" i="29"/>
  <c r="AP25" s="1"/>
  <c r="AP62" s="1"/>
  <c r="AP64" s="1"/>
  <c r="AP24" i="13"/>
  <c r="AP25" s="1"/>
  <c r="AP57" s="1"/>
  <c r="AP59" s="1"/>
  <c r="AP24" i="26"/>
  <c r="AP25" s="1"/>
  <c r="AP57" s="1"/>
  <c r="AP59" s="1"/>
  <c r="AP23" i="4"/>
  <c r="AP24" i="35"/>
  <c r="AP24" i="8"/>
  <c r="AP25" s="1"/>
  <c r="AP62" s="1"/>
  <c r="AP23" i="9"/>
  <c r="AP67" s="1"/>
  <c r="AP68" s="1"/>
  <c r="AP77" i="4"/>
  <c r="AP66" i="22"/>
  <c r="AP76" s="1"/>
  <c r="AN82" i="9"/>
  <c r="AN134" i="10"/>
  <c r="AN81" i="9"/>
  <c r="AN80"/>
  <c r="AQ37" i="29"/>
  <c r="AM169" i="10"/>
  <c r="AM145"/>
  <c r="AM75" i="11"/>
  <c r="AM86" s="1"/>
  <c r="AL159" i="10"/>
  <c r="AP57" i="9"/>
  <c r="AO62"/>
  <c r="AO122" i="10" s="1"/>
  <c r="AO61" i="11" s="1"/>
  <c r="AM146" i="10" l="1"/>
  <c r="AM160" s="1"/>
  <c r="AM76" i="11"/>
  <c r="AM87" s="1"/>
  <c r="AP25" i="35"/>
  <c r="AP75" s="1"/>
  <c r="AP77" s="1"/>
  <c r="AP81" s="1"/>
  <c r="AP71"/>
  <c r="AM200" i="10"/>
  <c r="AM77" i="22"/>
  <c r="AN206" i="10"/>
  <c r="AN83" i="22"/>
  <c r="AM32" i="37"/>
  <c r="AN70" i="13"/>
  <c r="AN72"/>
  <c r="AN31" i="37"/>
  <c r="AN53"/>
  <c r="AN56" s="1"/>
  <c r="AN55"/>
  <c r="AO69" i="13"/>
  <c r="AO72" s="1"/>
  <c r="AO52" i="37"/>
  <c r="AL140" i="10"/>
  <c r="AL154" s="1"/>
  <c r="AL70" i="11"/>
  <c r="AL81" s="1"/>
  <c r="AM76" i="8"/>
  <c r="AM78" s="1"/>
  <c r="AN75"/>
  <c r="AN67" i="22" s="1"/>
  <c r="AK140" i="10"/>
  <c r="AK164"/>
  <c r="AK70" i="11"/>
  <c r="L100" i="32"/>
  <c r="AQ69" i="35"/>
  <c r="AQ21" s="1"/>
  <c r="AO70" i="8"/>
  <c r="AO66"/>
  <c r="AO68" s="1"/>
  <c r="AO28" i="37" s="1"/>
  <c r="AO29" s="1"/>
  <c r="AO82" i="35"/>
  <c r="AO135" i="10" s="1"/>
  <c r="AP64" i="8"/>
  <c r="AP80" i="4"/>
  <c r="AP128" i="10"/>
  <c r="AP78" i="4"/>
  <c r="AP79"/>
  <c r="AM72" i="11"/>
  <c r="AM83" s="1"/>
  <c r="AM166" i="10"/>
  <c r="AM142"/>
  <c r="AM156" s="1"/>
  <c r="AN131"/>
  <c r="AP199"/>
  <c r="AP73" i="22"/>
  <c r="AP83" s="1"/>
  <c r="AQ24" i="29"/>
  <c r="AQ25" s="1"/>
  <c r="AQ62" s="1"/>
  <c r="AQ64" s="1"/>
  <c r="AQ23" i="9"/>
  <c r="AQ67" s="1"/>
  <c r="AQ68" s="1"/>
  <c r="AQ24" i="26"/>
  <c r="AQ25" s="1"/>
  <c r="AQ57" s="1"/>
  <c r="AQ59" s="1"/>
  <c r="AQ24" i="35"/>
  <c r="AQ24" i="8"/>
  <c r="AQ25" s="1"/>
  <c r="AQ62" s="1"/>
  <c r="AQ24" i="13"/>
  <c r="AQ25" s="1"/>
  <c r="AQ57" s="1"/>
  <c r="AQ59" s="1"/>
  <c r="AQ23" i="4"/>
  <c r="AN202" i="10"/>
  <c r="AP61" i="13"/>
  <c r="AP68" s="1"/>
  <c r="AQ66" i="22"/>
  <c r="AQ76" s="1"/>
  <c r="AQ77" i="4"/>
  <c r="AN80" i="11"/>
  <c r="AN94" s="1"/>
  <c r="AN90"/>
  <c r="AN170" i="10"/>
  <c r="AN146"/>
  <c r="AN160" s="1"/>
  <c r="AN76" i="11"/>
  <c r="AN87" s="1"/>
  <c r="AP70" i="9"/>
  <c r="AP69"/>
  <c r="AP75" s="1"/>
  <c r="AP77" s="1"/>
  <c r="AP78" s="1"/>
  <c r="AP79" s="1"/>
  <c r="AP61" i="26"/>
  <c r="AO69" i="11"/>
  <c r="AO139" i="10"/>
  <c r="AO153" s="1"/>
  <c r="AO163"/>
  <c r="AO69" i="22"/>
  <c r="AO79" s="1"/>
  <c r="AO206" i="10"/>
  <c r="AO82" i="9"/>
  <c r="AO81"/>
  <c r="AO80"/>
  <c r="AO134" i="10"/>
  <c r="AN75" i="11"/>
  <c r="AN86" s="1"/>
  <c r="AN169" i="10"/>
  <c r="AN145"/>
  <c r="AP62" i="9"/>
  <c r="AP122" i="10" s="1"/>
  <c r="AP61" i="11" s="1"/>
  <c r="AQ57" i="9"/>
  <c r="AM159" i="10"/>
  <c r="AP82" i="35" l="1"/>
  <c r="AP84" s="1"/>
  <c r="AN200" i="10"/>
  <c r="AN77" i="22"/>
  <c r="AQ71" i="35"/>
  <c r="AN32" i="37"/>
  <c r="AO70" i="13"/>
  <c r="AO71"/>
  <c r="AO53" i="37"/>
  <c r="AO56" s="1"/>
  <c r="AO55"/>
  <c r="AP69" i="13"/>
  <c r="AP71" s="1"/>
  <c r="AP52" i="37"/>
  <c r="AO31"/>
  <c r="AN76" i="8"/>
  <c r="AN79" s="1"/>
  <c r="AM77"/>
  <c r="AM129" i="10"/>
  <c r="AM164" s="1"/>
  <c r="AM79" i="8"/>
  <c r="AK81" i="11"/>
  <c r="AO75" i="8"/>
  <c r="AK154" i="10"/>
  <c r="AQ25" i="35"/>
  <c r="AQ75" s="1"/>
  <c r="AQ77" s="1"/>
  <c r="AQ81" s="1"/>
  <c r="AO84"/>
  <c r="AP70" i="8"/>
  <c r="AP66"/>
  <c r="AP68" s="1"/>
  <c r="AP28" i="37" s="1"/>
  <c r="AP29" s="1"/>
  <c r="AO83" i="35"/>
  <c r="AO85"/>
  <c r="AQ64" i="8"/>
  <c r="AO90" i="11"/>
  <c r="AO80"/>
  <c r="AO94" s="1"/>
  <c r="AO76"/>
  <c r="AO87" s="1"/>
  <c r="AO170" i="10"/>
  <c r="AO146"/>
  <c r="AO160" s="1"/>
  <c r="AQ61" i="26"/>
  <c r="AP206" i="10"/>
  <c r="AO202"/>
  <c r="AP69" i="22"/>
  <c r="AP79" s="1"/>
  <c r="AP69" i="11"/>
  <c r="AP163" i="10"/>
  <c r="AP139"/>
  <c r="AP153" s="1"/>
  <c r="AO131"/>
  <c r="AQ199"/>
  <c r="AN166"/>
  <c r="AN72" i="11"/>
  <c r="AN83" s="1"/>
  <c r="AN142" i="10"/>
  <c r="AN156" s="1"/>
  <c r="AQ80" i="4"/>
  <c r="AQ128" i="10"/>
  <c r="AQ78" i="4"/>
  <c r="AQ79"/>
  <c r="AQ61" i="13"/>
  <c r="AQ68" s="1"/>
  <c r="AQ70" i="9"/>
  <c r="AQ69"/>
  <c r="AQ75" s="1"/>
  <c r="AQ77" s="1"/>
  <c r="AQ78" s="1"/>
  <c r="AQ79" s="1"/>
  <c r="AP134" i="10"/>
  <c r="AP81" i="9"/>
  <c r="AP82"/>
  <c r="AP80"/>
  <c r="AO145" i="10"/>
  <c r="AO75" i="11"/>
  <c r="AO86" s="1"/>
  <c r="AO169" i="10"/>
  <c r="AQ62" i="9"/>
  <c r="AQ122" i="10" s="1"/>
  <c r="AQ61" i="11" s="1"/>
  <c r="AN159" i="10"/>
  <c r="AP85" i="35" l="1"/>
  <c r="AP83"/>
  <c r="AP135" i="10"/>
  <c r="AP76" i="11" s="1"/>
  <c r="AP87" s="1"/>
  <c r="AQ82" i="35"/>
  <c r="AQ85" s="1"/>
  <c r="AM140" i="10"/>
  <c r="AM154" s="1"/>
  <c r="AO32" i="37"/>
  <c r="AP70" i="13"/>
  <c r="AP72"/>
  <c r="AM70" i="11"/>
  <c r="AM81" s="1"/>
  <c r="AQ69" i="13"/>
  <c r="AQ71" s="1"/>
  <c r="AQ52" i="37"/>
  <c r="AP31"/>
  <c r="AP53"/>
  <c r="AP56" s="1"/>
  <c r="AP55"/>
  <c r="AN129" i="10"/>
  <c r="AN77" i="8"/>
  <c r="AN78"/>
  <c r="AP75"/>
  <c r="AP67" i="22" s="1"/>
  <c r="AP77" s="1"/>
  <c r="AO67"/>
  <c r="AO77" s="1"/>
  <c r="AO76" i="8"/>
  <c r="AQ73" i="22"/>
  <c r="AQ70" i="8"/>
  <c r="AQ66"/>
  <c r="AQ68" s="1"/>
  <c r="AQ69" i="22"/>
  <c r="AQ79" s="1"/>
  <c r="AP90" i="11"/>
  <c r="AP80"/>
  <c r="AP94" s="1"/>
  <c r="AP202" i="10"/>
  <c r="AP131"/>
  <c r="AQ163"/>
  <c r="AQ139"/>
  <c r="AQ153" s="1"/>
  <c r="AQ69" i="11"/>
  <c r="AO72"/>
  <c r="AO83" s="1"/>
  <c r="AO166" i="10"/>
  <c r="AO142"/>
  <c r="AO156" s="1"/>
  <c r="AP146"/>
  <c r="AP160" s="1"/>
  <c r="AQ80" i="9"/>
  <c r="AQ81"/>
  <c r="AQ134" i="10"/>
  <c r="AQ82" i="9"/>
  <c r="AO159" i="10"/>
  <c r="AP169"/>
  <c r="AP145"/>
  <c r="AP75" i="11"/>
  <c r="AP86" s="1"/>
  <c r="AP170" i="10" l="1"/>
  <c r="AQ83" i="35"/>
  <c r="AQ135" i="10"/>
  <c r="AQ76" i="11" s="1"/>
  <c r="AQ87" s="1"/>
  <c r="AQ84" i="35"/>
  <c r="AQ206" i="10"/>
  <c r="AQ83" i="22"/>
  <c r="AP32" i="37"/>
  <c r="AQ70" i="13"/>
  <c r="AQ72"/>
  <c r="AQ75" i="8"/>
  <c r="AQ76" s="1"/>
  <c r="AQ129" i="10" s="1"/>
  <c r="AQ164" s="1"/>
  <c r="AQ28" i="37"/>
  <c r="AQ29" s="1"/>
  <c r="AQ53"/>
  <c r="AQ56" s="1"/>
  <c r="AQ55"/>
  <c r="AP200" i="10"/>
  <c r="AN164"/>
  <c r="AN70" i="11"/>
  <c r="AN81" s="1"/>
  <c r="AN140" i="10"/>
  <c r="AN154" s="1"/>
  <c r="AO78" i="8"/>
  <c r="AO79"/>
  <c r="AO77"/>
  <c r="AO129" i="10"/>
  <c r="AP76" i="8"/>
  <c r="AO200" i="10"/>
  <c r="AQ202"/>
  <c r="AQ131"/>
  <c r="AQ90" i="11"/>
  <c r="AQ80"/>
  <c r="AQ94" s="1"/>
  <c r="AP166" i="10"/>
  <c r="AP72" i="11"/>
  <c r="AP83" s="1"/>
  <c r="AP142" i="10"/>
  <c r="AP156" s="1"/>
  <c r="AQ170"/>
  <c r="AQ75" i="11"/>
  <c r="AQ86" s="1"/>
  <c r="AQ169" i="10"/>
  <c r="AQ145"/>
  <c r="AP159"/>
  <c r="AQ146" l="1"/>
  <c r="AQ160" s="1"/>
  <c r="AQ140"/>
  <c r="AQ154" s="1"/>
  <c r="AQ67" i="22"/>
  <c r="AQ70" i="11"/>
  <c r="AQ81" s="1"/>
  <c r="AQ79" i="8"/>
  <c r="AQ78"/>
  <c r="AQ77"/>
  <c r="AQ31" i="37"/>
  <c r="AP78" i="8"/>
  <c r="AP79"/>
  <c r="AP77"/>
  <c r="AP129" i="10"/>
  <c r="AO140"/>
  <c r="AO164"/>
  <c r="AO70" i="11"/>
  <c r="AQ142" i="10"/>
  <c r="AQ156" s="1"/>
  <c r="AQ72" i="11"/>
  <c r="AQ83" s="1"/>
  <c r="AQ166" i="10"/>
  <c r="AQ159"/>
  <c r="AQ200" l="1"/>
  <c r="AQ77" i="22"/>
  <c r="AQ32" i="37"/>
  <c r="AO154" i="10"/>
  <c r="AO81" i="11"/>
  <c r="AP70"/>
  <c r="AP164" i="10"/>
  <c r="AP140"/>
  <c r="AP154" l="1"/>
  <c r="AP81" i="11"/>
  <c r="S37" i="26" l="1"/>
  <c r="S118" i="10"/>
  <c r="F51" i="32" s="1"/>
  <c r="M53" l="1"/>
  <c r="S57" i="11"/>
  <c r="E9" i="32"/>
  <c r="T37" i="26"/>
  <c r="T44" s="1"/>
  <c r="S44"/>
  <c r="S130" i="10"/>
  <c r="S71" i="11" s="1"/>
  <c r="S56" i="22"/>
  <c r="M94" i="32" l="1"/>
  <c r="S46" i="26"/>
  <c r="S37" i="37"/>
  <c r="T46" i="26"/>
  <c r="T37" i="37"/>
  <c r="T38" s="1"/>
  <c r="T68" i="26"/>
  <c r="T69" s="1"/>
  <c r="T56" i="22"/>
  <c r="T35" i="26"/>
  <c r="T118" i="10" s="1"/>
  <c r="T57" i="11" s="1"/>
  <c r="U37" i="26"/>
  <c r="U44" s="1"/>
  <c r="U37" i="37" s="1"/>
  <c r="U38" s="1"/>
  <c r="S189" i="10"/>
  <c r="S68" i="22"/>
  <c r="S73" i="37" l="1"/>
  <c r="S38"/>
  <c r="S74" s="1"/>
  <c r="S58" i="22" s="1"/>
  <c r="S191" i="10" s="1"/>
  <c r="T61" i="37"/>
  <c r="U61" s="1"/>
  <c r="U73" s="1"/>
  <c r="T68" i="22"/>
  <c r="T78" s="1"/>
  <c r="T40" i="37"/>
  <c r="T41" s="1"/>
  <c r="S40"/>
  <c r="V37" i="26"/>
  <c r="V44" s="1"/>
  <c r="V37" i="37" s="1"/>
  <c r="V38" s="1"/>
  <c r="U56" i="22"/>
  <c r="U35" i="26"/>
  <c r="U118" i="10" s="1"/>
  <c r="T189"/>
  <c r="T71" i="26"/>
  <c r="T70"/>
  <c r="U68"/>
  <c r="U46"/>
  <c r="S201" i="10"/>
  <c r="T72" i="26"/>
  <c r="T130" i="10"/>
  <c r="S77" i="37" l="1"/>
  <c r="S41"/>
  <c r="U189" i="10"/>
  <c r="S75" i="37"/>
  <c r="S120" i="10" s="1"/>
  <c r="S40" i="29"/>
  <c r="S42" s="1"/>
  <c r="S44" s="1"/>
  <c r="T73" i="37"/>
  <c r="V61"/>
  <c r="V73" s="1"/>
  <c r="U62"/>
  <c r="U74" s="1"/>
  <c r="U58" i="22" s="1"/>
  <c r="U191" i="10" s="1"/>
  <c r="T64" i="37"/>
  <c r="T77" s="1"/>
  <c r="T62"/>
  <c r="T74" s="1"/>
  <c r="T58" i="22" s="1"/>
  <c r="T191" i="10" s="1"/>
  <c r="V35" i="26"/>
  <c r="V118" i="10" s="1"/>
  <c r="V56" i="22"/>
  <c r="W37" i="26"/>
  <c r="W44" s="1"/>
  <c r="W37" i="37" s="1"/>
  <c r="W38" s="1"/>
  <c r="T201" i="10"/>
  <c r="S43" i="37"/>
  <c r="S81" s="1"/>
  <c r="T43"/>
  <c r="U68" i="22"/>
  <c r="U78" s="1"/>
  <c r="U40" i="37"/>
  <c r="U41" s="1"/>
  <c r="U57" i="11"/>
  <c r="U69" i="26"/>
  <c r="U71" s="1"/>
  <c r="V68"/>
  <c r="V46"/>
  <c r="T71" i="11"/>
  <c r="T165" i="10"/>
  <c r="T141"/>
  <c r="S59" i="11" l="1"/>
  <c r="F53" i="32"/>
  <c r="E11"/>
  <c r="S132" i="10"/>
  <c r="S73" i="11" s="1"/>
  <c r="U201" i="10"/>
  <c r="U75" i="37"/>
  <c r="U120" i="10" s="1"/>
  <c r="U59" i="11" s="1"/>
  <c r="U40" i="29"/>
  <c r="U42" s="1"/>
  <c r="U44" s="1"/>
  <c r="S48"/>
  <c r="S59" i="22" s="1"/>
  <c r="S46" i="29"/>
  <c r="T75" i="37"/>
  <c r="T120" i="10" s="1"/>
  <c r="T59" i="11" s="1"/>
  <c r="T40" i="29"/>
  <c r="T42" s="1"/>
  <c r="T44" s="1"/>
  <c r="S44" i="37"/>
  <c r="S82" s="1"/>
  <c r="S78"/>
  <c r="U64"/>
  <c r="U67" s="1"/>
  <c r="T44"/>
  <c r="W61"/>
  <c r="W73" s="1"/>
  <c r="V62"/>
  <c r="V74" s="1"/>
  <c r="V58" i="22" s="1"/>
  <c r="V191" i="10" s="1"/>
  <c r="T65" i="37"/>
  <c r="T68" s="1"/>
  <c r="T67"/>
  <c r="T81" s="1"/>
  <c r="V57" i="11"/>
  <c r="V189" i="10"/>
  <c r="W56" i="22"/>
  <c r="W189" i="10" s="1"/>
  <c r="W35" i="26"/>
  <c r="W118" i="10" s="1"/>
  <c r="W57" i="11" s="1"/>
  <c r="X37" i="26"/>
  <c r="X44" s="1"/>
  <c r="X37" i="37" s="1"/>
  <c r="X38" s="1"/>
  <c r="V69" i="26"/>
  <c r="V70" s="1"/>
  <c r="V40" i="37"/>
  <c r="V41" s="1"/>
  <c r="U43"/>
  <c r="U130" i="10"/>
  <c r="U71" i="11" s="1"/>
  <c r="U70" i="26"/>
  <c r="V68" i="22"/>
  <c r="V78" s="1"/>
  <c r="U72" i="26"/>
  <c r="W68"/>
  <c r="W46"/>
  <c r="T155" i="10"/>
  <c r="T82" i="11"/>
  <c r="O53" i="32" l="1"/>
  <c r="V71" i="26"/>
  <c r="S79" i="37"/>
  <c r="S83" s="1"/>
  <c r="S70" i="22"/>
  <c r="S203" i="10" s="1"/>
  <c r="S121"/>
  <c r="F54" i="32" s="1"/>
  <c r="P53" s="1"/>
  <c r="O94" s="1"/>
  <c r="R94" s="1"/>
  <c r="S50" i="29"/>
  <c r="V75" i="37"/>
  <c r="V120" i="10" s="1"/>
  <c r="V59" i="11" s="1"/>
  <c r="V40" i="29"/>
  <c r="V42" s="1"/>
  <c r="V44" s="1"/>
  <c r="U46"/>
  <c r="U121" i="10" s="1"/>
  <c r="U48" i="29"/>
  <c r="T46"/>
  <c r="T121" i="10" s="1"/>
  <c r="T48" i="29"/>
  <c r="S192" i="10"/>
  <c r="S186" s="1"/>
  <c r="S71" i="22"/>
  <c r="S53"/>
  <c r="S44" s="1"/>
  <c r="V130" i="10"/>
  <c r="V71" i="11" s="1"/>
  <c r="U77" i="37"/>
  <c r="U65"/>
  <c r="U68" s="1"/>
  <c r="U81"/>
  <c r="U44"/>
  <c r="T82"/>
  <c r="V64"/>
  <c r="V77" s="1"/>
  <c r="T78"/>
  <c r="X61"/>
  <c r="X73" s="1"/>
  <c r="W62"/>
  <c r="W74" s="1"/>
  <c r="W58" i="22" s="1"/>
  <c r="W191" i="10" s="1"/>
  <c r="V72" i="26"/>
  <c r="Y37"/>
  <c r="Z37" s="1"/>
  <c r="X56" i="22"/>
  <c r="X35" i="26"/>
  <c r="X118" i="10" s="1"/>
  <c r="X57" i="11" s="1"/>
  <c r="V201" i="10"/>
  <c r="U165"/>
  <c r="U141"/>
  <c r="W68" i="22"/>
  <c r="W78" s="1"/>
  <c r="W40" i="37"/>
  <c r="W41" s="1"/>
  <c r="V43"/>
  <c r="W69" i="26"/>
  <c r="W130" i="10" s="1"/>
  <c r="X68" i="26"/>
  <c r="X40" i="37" s="1"/>
  <c r="X41" s="1"/>
  <c r="X46" i="26"/>
  <c r="U82" i="11"/>
  <c r="S53" i="32" l="1"/>
  <c r="F57"/>
  <c r="X189" i="10"/>
  <c r="T79" i="37"/>
  <c r="T70" i="22"/>
  <c r="V165" i="10"/>
  <c r="U78" i="37"/>
  <c r="Y35" i="26"/>
  <c r="Y118" i="10" s="1"/>
  <c r="Y57" i="11" s="1"/>
  <c r="W72" i="26"/>
  <c r="V141" i="10"/>
  <c r="V155" s="1"/>
  <c r="V67" i="37"/>
  <c r="V81" s="1"/>
  <c r="W75"/>
  <c r="W120" i="10" s="1"/>
  <c r="W59" i="11" s="1"/>
  <c r="W40" i="29"/>
  <c r="W42" s="1"/>
  <c r="W44" s="1"/>
  <c r="V46"/>
  <c r="V121" i="10" s="1"/>
  <c r="V48" i="29"/>
  <c r="E12" i="32"/>
  <c r="S60" i="11"/>
  <c r="S133" i="10"/>
  <c r="S115"/>
  <c r="S100" s="1"/>
  <c r="S101" s="1"/>
  <c r="S204"/>
  <c r="S198" s="1"/>
  <c r="S65" i="22"/>
  <c r="S46" s="1"/>
  <c r="U60" i="11"/>
  <c r="U115" i="10"/>
  <c r="T60" i="11"/>
  <c r="T115" i="10"/>
  <c r="U59" i="22"/>
  <c r="U71" i="29"/>
  <c r="T59" i="22"/>
  <c r="T71" i="29"/>
  <c r="Y44" i="26"/>
  <c r="Y37" i="37" s="1"/>
  <c r="Y38" s="1"/>
  <c r="U82"/>
  <c r="V44"/>
  <c r="W64"/>
  <c r="W77" s="1"/>
  <c r="V65"/>
  <c r="V68" s="1"/>
  <c r="X64"/>
  <c r="X77" s="1"/>
  <c r="X62"/>
  <c r="X74" s="1"/>
  <c r="X58" i="22" s="1"/>
  <c r="X191" i="10" s="1"/>
  <c r="Y56" i="22"/>
  <c r="U155" i="10"/>
  <c r="X69" i="26"/>
  <c r="X70" s="1"/>
  <c r="X68" i="22"/>
  <c r="X78" s="1"/>
  <c r="W201" i="10"/>
  <c r="X43" i="37"/>
  <c r="W43"/>
  <c r="W71" i="26"/>
  <c r="W70"/>
  <c r="AA37"/>
  <c r="Z44"/>
  <c r="Z37" i="37" s="1"/>
  <c r="Z38" s="1"/>
  <c r="Z56" i="22"/>
  <c r="Z35" i="26"/>
  <c r="Z118" i="10" s="1"/>
  <c r="V82" i="11"/>
  <c r="W71"/>
  <c r="W165" i="10"/>
  <c r="W141"/>
  <c r="T83" i="37" l="1"/>
  <c r="T86"/>
  <c r="T80" i="22"/>
  <c r="T203" i="10"/>
  <c r="T132"/>
  <c r="Y189"/>
  <c r="U79" i="37"/>
  <c r="U70" i="22"/>
  <c r="Y68" i="26"/>
  <c r="Y68" i="22" s="1"/>
  <c r="Y78" s="1"/>
  <c r="Y61" i="37"/>
  <c r="Y73" s="1"/>
  <c r="H121" i="10"/>
  <c r="G120"/>
  <c r="C19" i="31" s="1"/>
  <c r="H120" i="10"/>
  <c r="X130"/>
  <c r="X71" i="11" s="1"/>
  <c r="X201" i="10"/>
  <c r="G121"/>
  <c r="C20" i="31" s="1"/>
  <c r="X72" i="26"/>
  <c r="T192" i="10"/>
  <c r="T186" s="1"/>
  <c r="T53" i="22"/>
  <c r="T44" s="1"/>
  <c r="U45" i="11"/>
  <c r="U124" i="10"/>
  <c r="U54" i="11"/>
  <c r="E15" i="32"/>
  <c r="F11" s="1"/>
  <c r="X75" i="37"/>
  <c r="X120" i="10" s="1"/>
  <c r="X59" i="11" s="1"/>
  <c r="X40" i="29"/>
  <c r="X42" s="1"/>
  <c r="X44" s="1"/>
  <c r="T72"/>
  <c r="T71" i="22"/>
  <c r="T81" s="1"/>
  <c r="T124" i="10"/>
  <c r="T54" i="11"/>
  <c r="T45"/>
  <c r="W46" i="29"/>
  <c r="W121" i="10" s="1"/>
  <c r="W48" i="29"/>
  <c r="Y46" i="26"/>
  <c r="U192" i="10"/>
  <c r="U186" s="1"/>
  <c r="U53" i="22"/>
  <c r="U44" s="1"/>
  <c r="S74" i="11"/>
  <c r="S91" s="1"/>
  <c r="S127" i="10"/>
  <c r="V60" i="11"/>
  <c r="V115" i="10"/>
  <c r="U71" i="22"/>
  <c r="U81" s="1"/>
  <c r="U72" i="29"/>
  <c r="H118" i="10"/>
  <c r="S45" i="11"/>
  <c r="H122" i="10"/>
  <c r="S124"/>
  <c r="H116"/>
  <c r="H119"/>
  <c r="H123"/>
  <c r="G122"/>
  <c r="C21" i="31" s="1"/>
  <c r="S54" i="11"/>
  <c r="S64" s="1"/>
  <c r="H117" i="10"/>
  <c r="G117"/>
  <c r="C16" i="31" s="1"/>
  <c r="G118" i="10"/>
  <c r="C17" i="31" s="1"/>
  <c r="G116" i="10"/>
  <c r="C15" i="31" s="1"/>
  <c r="G119" i="10"/>
  <c r="C18" i="31" s="1"/>
  <c r="G123" i="10"/>
  <c r="C22" i="31" s="1"/>
  <c r="V59" i="22"/>
  <c r="V71" i="29"/>
  <c r="W65" i="37"/>
  <c r="W68" s="1"/>
  <c r="W67"/>
  <c r="W81" s="1"/>
  <c r="W44"/>
  <c r="V82"/>
  <c r="X44"/>
  <c r="V78"/>
  <c r="X67"/>
  <c r="X81" s="1"/>
  <c r="X65"/>
  <c r="X68" s="1"/>
  <c r="X71" i="26"/>
  <c r="Z68"/>
  <c r="Z40" i="37" s="1"/>
  <c r="Z41" s="1"/>
  <c r="Z46" i="26"/>
  <c r="AB37"/>
  <c r="AA44"/>
  <c r="AA37" i="37" s="1"/>
  <c r="AA38" s="1"/>
  <c r="AA56" i="22"/>
  <c r="AA35" i="26"/>
  <c r="AA118" i="10" s="1"/>
  <c r="W155"/>
  <c r="Z189"/>
  <c r="W82" i="11"/>
  <c r="Z57"/>
  <c r="X165" i="10" l="1"/>
  <c r="T167"/>
  <c r="T73" i="11"/>
  <c r="T84" s="1"/>
  <c r="Y69" i="26"/>
  <c r="Y71" s="1"/>
  <c r="U83" i="37"/>
  <c r="U86"/>
  <c r="Z61"/>
  <c r="Z73" s="1"/>
  <c r="U80" i="22"/>
  <c r="U75" s="1"/>
  <c r="U203" i="10"/>
  <c r="T143"/>
  <c r="T157" s="1"/>
  <c r="X141"/>
  <c r="X155" s="1"/>
  <c r="Y62" i="37"/>
  <c r="Y74" s="1"/>
  <c r="Y58" i="22" s="1"/>
  <c r="Y191" i="10" s="1"/>
  <c r="Y40" i="37"/>
  <c r="Y41" s="1"/>
  <c r="U132" i="10"/>
  <c r="V79" i="37"/>
  <c r="V70" i="22"/>
  <c r="V192" i="10"/>
  <c r="V186" s="1"/>
  <c r="V53" i="22"/>
  <c r="V44" s="1"/>
  <c r="U73" i="29"/>
  <c r="U75"/>
  <c r="U74"/>
  <c r="U133" i="10"/>
  <c r="W60" i="11"/>
  <c r="W115" i="10"/>
  <c r="T204"/>
  <c r="T198" s="1"/>
  <c r="T65" i="22"/>
  <c r="T46" s="1"/>
  <c r="V71"/>
  <c r="V81" s="1"/>
  <c r="V72" i="29"/>
  <c r="V45" i="11"/>
  <c r="V54"/>
  <c r="V124" i="10"/>
  <c r="W59" i="22"/>
  <c r="W71" i="29"/>
  <c r="T75" i="22"/>
  <c r="X48" i="29"/>
  <c r="X46"/>
  <c r="X121" i="10" s="1"/>
  <c r="F9" i="32"/>
  <c r="F10"/>
  <c r="F8"/>
  <c r="F14"/>
  <c r="F7"/>
  <c r="F13"/>
  <c r="U204" i="10"/>
  <c r="U65" i="22"/>
  <c r="U46" s="1"/>
  <c r="S49" i="11"/>
  <c r="S47"/>
  <c r="S136" i="10"/>
  <c r="S162"/>
  <c r="B95" s="1"/>
  <c r="S68" i="11"/>
  <c r="T74" i="29"/>
  <c r="T133" i="10"/>
  <c r="T75" i="29"/>
  <c r="T73"/>
  <c r="F12" i="32"/>
  <c r="W82" i="37"/>
  <c r="W78"/>
  <c r="X82"/>
  <c r="X78"/>
  <c r="Z68" i="22"/>
  <c r="Z78" s="1"/>
  <c r="Z69" i="26"/>
  <c r="Z70" s="1"/>
  <c r="Z43" i="37"/>
  <c r="Y201" i="10"/>
  <c r="AA68" i="26"/>
  <c r="AA46"/>
  <c r="AA189" i="10"/>
  <c r="X82" i="11"/>
  <c r="AA57"/>
  <c r="AB44" i="26"/>
  <c r="AB37" i="37" s="1"/>
  <c r="AB38" s="1"/>
  <c r="AB56" i="22"/>
  <c r="AB35" i="26"/>
  <c r="AB118" i="10" s="1"/>
  <c r="AC37" i="26"/>
  <c r="Y130" i="10" l="1"/>
  <c r="Y165" s="1"/>
  <c r="Y70" i="26"/>
  <c r="Y72"/>
  <c r="Y64" i="37"/>
  <c r="Y65" s="1"/>
  <c r="Y68" s="1"/>
  <c r="U198" i="10"/>
  <c r="AA61" i="37"/>
  <c r="AA73" s="1"/>
  <c r="Z64"/>
  <c r="Z77" s="1"/>
  <c r="U212" i="10"/>
  <c r="J7" i="30" s="1"/>
  <c r="U167" i="10"/>
  <c r="U73" i="11"/>
  <c r="U84" s="1"/>
  <c r="Y40" i="29"/>
  <c r="Y42" s="1"/>
  <c r="Y44" s="1"/>
  <c r="Y48" s="1"/>
  <c r="Y43" i="37"/>
  <c r="V83"/>
  <c r="V86"/>
  <c r="T212" i="10"/>
  <c r="T218" s="1"/>
  <c r="T220" s="1"/>
  <c r="Z62" i="37"/>
  <c r="Z74" s="1"/>
  <c r="Z58" i="22" s="1"/>
  <c r="Z191" i="10" s="1"/>
  <c r="V80" i="22"/>
  <c r="V75" s="1"/>
  <c r="V203" i="10"/>
  <c r="Y75" i="37"/>
  <c r="Y120" i="10" s="1"/>
  <c r="Y59" i="11" s="1"/>
  <c r="V132" i="10"/>
  <c r="X79" i="37"/>
  <c r="X70" i="22"/>
  <c r="W79" i="37"/>
  <c r="W70" i="22"/>
  <c r="U143" i="10"/>
  <c r="U157" s="1"/>
  <c r="Y71" i="11"/>
  <c r="Y82" s="1"/>
  <c r="Y141" i="10"/>
  <c r="Y155" s="1"/>
  <c r="Z71" i="26"/>
  <c r="Z130" i="10"/>
  <c r="Z141" s="1"/>
  <c r="Z72" i="26"/>
  <c r="T74" i="11"/>
  <c r="T144" i="10"/>
  <c r="T168"/>
  <c r="T127"/>
  <c r="W192"/>
  <c r="W186" s="1"/>
  <c r="W53" i="22"/>
  <c r="W44" s="1"/>
  <c r="V74" i="29"/>
  <c r="V75"/>
  <c r="V212" i="10" s="1"/>
  <c r="V133"/>
  <c r="V73" i="29"/>
  <c r="F15" i="32"/>
  <c r="W71" i="22"/>
  <c r="W81" s="1"/>
  <c r="W72" i="29"/>
  <c r="U74" i="11"/>
  <c r="U168" i="10"/>
  <c r="U144"/>
  <c r="U127"/>
  <c r="X71" i="29"/>
  <c r="X59" i="22"/>
  <c r="X60" i="11"/>
  <c r="X115" i="10"/>
  <c r="V204"/>
  <c r="V65" i="22"/>
  <c r="V46" s="1"/>
  <c r="W124" i="10"/>
  <c r="W54" i="11"/>
  <c r="W45"/>
  <c r="Y44" i="37"/>
  <c r="Z44"/>
  <c r="Z201" i="10"/>
  <c r="AA69" i="26"/>
  <c r="AA71" s="1"/>
  <c r="AA40" i="37"/>
  <c r="AA41" s="1"/>
  <c r="AA68" i="22"/>
  <c r="AA78" s="1"/>
  <c r="AB68" i="26"/>
  <c r="AB69" s="1"/>
  <c r="AB46"/>
  <c r="AB189" i="10"/>
  <c r="AC35" i="26"/>
  <c r="AD37"/>
  <c r="AC44"/>
  <c r="AC56" i="22"/>
  <c r="H105" i="36"/>
  <c r="AB57" i="11"/>
  <c r="AB61" i="37" l="1"/>
  <c r="AB73" s="1"/>
  <c r="Y78"/>
  <c r="Y70" i="22" s="1"/>
  <c r="Y67" i="37"/>
  <c r="Y81" s="1"/>
  <c r="Y77"/>
  <c r="Y82"/>
  <c r="AA62"/>
  <c r="AA74" s="1"/>
  <c r="AA58" i="22" s="1"/>
  <c r="AA191" i="10" s="1"/>
  <c r="Y46" i="29"/>
  <c r="Y121" i="10" s="1"/>
  <c r="Y115" s="1"/>
  <c r="Z65" i="37"/>
  <c r="Z68" s="1"/>
  <c r="Z82" s="1"/>
  <c r="Z67"/>
  <c r="Z81" s="1"/>
  <c r="J13" i="15"/>
  <c r="J18" s="1"/>
  <c r="U218" i="10"/>
  <c r="U227"/>
  <c r="U231" s="1"/>
  <c r="J9" i="30" s="1"/>
  <c r="Z75" i="37"/>
  <c r="Z120" i="10" s="1"/>
  <c r="Z59" i="11" s="1"/>
  <c r="V167" i="10"/>
  <c r="V73" i="11"/>
  <c r="V84" s="1"/>
  <c r="I7" i="30"/>
  <c r="I13" i="15"/>
  <c r="I27" s="1"/>
  <c r="T227" i="10"/>
  <c r="T231" s="1"/>
  <c r="I9" i="30" s="1"/>
  <c r="X83" i="37"/>
  <c r="X86"/>
  <c r="W83"/>
  <c r="W86"/>
  <c r="T214" i="10"/>
  <c r="U214" s="1"/>
  <c r="V214" s="1"/>
  <c r="V198"/>
  <c r="Z40" i="29"/>
  <c r="Z42" s="1"/>
  <c r="Z44" s="1"/>
  <c r="Z46" s="1"/>
  <c r="Z121" i="10" s="1"/>
  <c r="W80" i="22"/>
  <c r="W75" s="1"/>
  <c r="W203" i="10"/>
  <c r="X80" i="22"/>
  <c r="X203" i="10"/>
  <c r="W132"/>
  <c r="Z165"/>
  <c r="Z71" i="11"/>
  <c r="Z82" s="1"/>
  <c r="X132" i="10"/>
  <c r="V143"/>
  <c r="V157" s="1"/>
  <c r="AA72" i="26"/>
  <c r="U158" i="10"/>
  <c r="U138"/>
  <c r="W204"/>
  <c r="W65" i="22"/>
  <c r="W46" s="1"/>
  <c r="V74" i="11"/>
  <c r="V144" i="10"/>
  <c r="V168"/>
  <c r="V127"/>
  <c r="T91" i="11"/>
  <c r="T85"/>
  <c r="T95" s="1"/>
  <c r="X72" i="29"/>
  <c r="X71" i="22"/>
  <c r="X81" s="1"/>
  <c r="U162" i="10"/>
  <c r="U68" i="11"/>
  <c r="U79" s="1"/>
  <c r="U136" i="10"/>
  <c r="U47" i="11"/>
  <c r="W75" i="29"/>
  <c r="W133" i="10"/>
  <c r="W73" i="29"/>
  <c r="W74"/>
  <c r="T158" i="10"/>
  <c r="T138"/>
  <c r="T177" s="1"/>
  <c r="X192"/>
  <c r="X186" s="1"/>
  <c r="X53" i="22"/>
  <c r="X44" s="1"/>
  <c r="U91" i="11"/>
  <c r="U85"/>
  <c r="U95" s="1"/>
  <c r="Y59" i="22"/>
  <c r="Y71" i="29"/>
  <c r="X54" i="11"/>
  <c r="X124" i="10"/>
  <c r="X45" i="11"/>
  <c r="V227" i="10"/>
  <c r="V218"/>
  <c r="K13" i="15"/>
  <c r="K7" i="30"/>
  <c r="T68" i="11"/>
  <c r="T79" s="1"/>
  <c r="T47"/>
  <c r="T136" i="10"/>
  <c r="T162"/>
  <c r="U220"/>
  <c r="AA64" i="37"/>
  <c r="AA77" s="1"/>
  <c r="AA70" i="26"/>
  <c r="AA130" i="10"/>
  <c r="AA165" s="1"/>
  <c r="AC46" i="26"/>
  <c r="AC37" i="37"/>
  <c r="AC38" s="1"/>
  <c r="AB68" i="22"/>
  <c r="AB40" i="37"/>
  <c r="AB41" s="1"/>
  <c r="AA201" i="10"/>
  <c r="AA43" i="37"/>
  <c r="AB71" i="26"/>
  <c r="AB70"/>
  <c r="AE37"/>
  <c r="AD44"/>
  <c r="AD37" i="37" s="1"/>
  <c r="AD38" s="1"/>
  <c r="AD56" i="22"/>
  <c r="AD35" i="26"/>
  <c r="AD118" i="10" s="1"/>
  <c r="G84" i="26"/>
  <c r="AC68"/>
  <c r="AC40" i="37" s="1"/>
  <c r="AC41" s="1"/>
  <c r="Z155" i="10"/>
  <c r="AC189"/>
  <c r="AB72" i="26"/>
  <c r="AB130" i="10"/>
  <c r="H106" i="36"/>
  <c r="H107" s="1"/>
  <c r="H121"/>
  <c r="G93" i="26"/>
  <c r="AC118" i="10"/>
  <c r="U229" l="1"/>
  <c r="U233" s="1"/>
  <c r="AB62" i="37"/>
  <c r="AB74" s="1"/>
  <c r="AB58" i="22" s="1"/>
  <c r="AB191" i="10" s="1"/>
  <c r="AA75" i="37"/>
  <c r="AA120" i="10" s="1"/>
  <c r="AA59" i="11" s="1"/>
  <c r="Y79" i="37"/>
  <c r="Y83" s="1"/>
  <c r="AA40" i="29"/>
  <c r="AA42" s="1"/>
  <c r="AA44" s="1"/>
  <c r="AA46" s="1"/>
  <c r="AA121" i="10" s="1"/>
  <c r="Y60" i="11"/>
  <c r="Z78" i="37"/>
  <c r="Z70" i="22" s="1"/>
  <c r="I18" i="15"/>
  <c r="I40" s="1"/>
  <c r="I16"/>
  <c r="J16" s="1"/>
  <c r="K16" s="1"/>
  <c r="W212" i="10"/>
  <c r="W214" s="1"/>
  <c r="T229"/>
  <c r="T233" s="1"/>
  <c r="W143"/>
  <c r="W157" s="1"/>
  <c r="W73" i="11"/>
  <c r="W84" s="1"/>
  <c r="X167" i="10"/>
  <c r="X73" i="11"/>
  <c r="X84" s="1"/>
  <c r="T222" i="10"/>
  <c r="U222"/>
  <c r="W198"/>
  <c r="Z48" i="29"/>
  <c r="Z71" s="1"/>
  <c r="Y80" i="22"/>
  <c r="Y203" i="10"/>
  <c r="W167"/>
  <c r="X143"/>
  <c r="X157" s="1"/>
  <c r="AB201"/>
  <c r="AB78" i="22"/>
  <c r="U178" i="10"/>
  <c r="U177"/>
  <c r="K18" i="15"/>
  <c r="Y192" i="10"/>
  <c r="Y186" s="1"/>
  <c r="Y53" i="22"/>
  <c r="Y44" s="1"/>
  <c r="T175" i="10"/>
  <c r="T173"/>
  <c r="T179"/>
  <c r="T176"/>
  <c r="T152"/>
  <c r="T174"/>
  <c r="T180"/>
  <c r="W74" i="11"/>
  <c r="W168" i="10"/>
  <c r="W144"/>
  <c r="W127"/>
  <c r="V162"/>
  <c r="V68" i="11"/>
  <c r="V79" s="1"/>
  <c r="V47"/>
  <c r="V136" i="10"/>
  <c r="V231"/>
  <c r="K9" i="30" s="1"/>
  <c r="V229" i="10"/>
  <c r="V233" s="1"/>
  <c r="Y124"/>
  <c r="Y54" i="11"/>
  <c r="Y45"/>
  <c r="Y72" i="29"/>
  <c r="Y71" i="22"/>
  <c r="I28" i="15"/>
  <c r="J27"/>
  <c r="Q27"/>
  <c r="P27"/>
  <c r="M27"/>
  <c r="O27"/>
  <c r="R27"/>
  <c r="S27"/>
  <c r="L27"/>
  <c r="K27"/>
  <c r="N27"/>
  <c r="I44"/>
  <c r="X73" i="29"/>
  <c r="X74"/>
  <c r="X75"/>
  <c r="X212" i="10" s="1"/>
  <c r="X133"/>
  <c r="V91" i="11"/>
  <c r="V85"/>
  <c r="V95" s="1"/>
  <c r="U174" i="10"/>
  <c r="U180"/>
  <c r="U173"/>
  <c r="U179"/>
  <c r="U175"/>
  <c r="U152"/>
  <c r="U176"/>
  <c r="T178"/>
  <c r="J40" i="15"/>
  <c r="X75" i="22"/>
  <c r="X204" i="10"/>
  <c r="X198" s="1"/>
  <c r="X65" i="22"/>
  <c r="X46" s="1"/>
  <c r="V158" i="10"/>
  <c r="V138"/>
  <c r="Z60" i="11"/>
  <c r="Z115" i="10"/>
  <c r="V220"/>
  <c r="AA65" i="37"/>
  <c r="AA68" s="1"/>
  <c r="AA67"/>
  <c r="AA81" s="1"/>
  <c r="AA44"/>
  <c r="AB64"/>
  <c r="AB77" s="1"/>
  <c r="AC61"/>
  <c r="AC73" s="1"/>
  <c r="AC43"/>
  <c r="AA71" i="11"/>
  <c r="AA82" s="1"/>
  <c r="AA141" i="10"/>
  <c r="AA155" s="1"/>
  <c r="AB43" i="37"/>
  <c r="AD68" i="26"/>
  <c r="AD46"/>
  <c r="H109" i="36"/>
  <c r="AD57" i="11"/>
  <c r="H122" i="36"/>
  <c r="H123" s="1"/>
  <c r="AB71" i="11"/>
  <c r="AB165" i="10"/>
  <c r="AB141"/>
  <c r="AF37" i="26"/>
  <c r="AE44"/>
  <c r="AE37" i="37" s="1"/>
  <c r="AE38" s="1"/>
  <c r="AE56" i="22"/>
  <c r="AE35" i="26"/>
  <c r="AE118" i="10" s="1"/>
  <c r="AC57" i="11"/>
  <c r="AC68" i="22"/>
  <c r="AC78" s="1"/>
  <c r="AC69" i="26"/>
  <c r="G85"/>
  <c r="G86" s="1"/>
  <c r="AD189" i="10"/>
  <c r="AA48" i="29" l="1"/>
  <c r="AA59" i="22" s="1"/>
  <c r="AB75" i="37"/>
  <c r="AB120" i="10" s="1"/>
  <c r="AB59" i="11" s="1"/>
  <c r="AB40" i="29"/>
  <c r="AB42" s="1"/>
  <c r="AB44" s="1"/>
  <c r="AB48" s="1"/>
  <c r="Y132" i="10"/>
  <c r="Y143" s="1"/>
  <c r="Y157" s="1"/>
  <c r="Y86" i="37"/>
  <c r="I30" i="15"/>
  <c r="I36" s="1"/>
  <c r="I47" s="1"/>
  <c r="Z59" i="22"/>
  <c r="Z53" s="1"/>
  <c r="Z44" s="1"/>
  <c r="Z79" i="37"/>
  <c r="Z83" s="1"/>
  <c r="I20" i="15"/>
  <c r="J20" s="1"/>
  <c r="J41" s="1"/>
  <c r="W218" i="10"/>
  <c r="W220" s="1"/>
  <c r="I45" i="15"/>
  <c r="W227" i="10"/>
  <c r="W229" s="1"/>
  <c r="W233" s="1"/>
  <c r="L7" i="30"/>
  <c r="L13" i="15"/>
  <c r="L18" s="1"/>
  <c r="L30" s="1"/>
  <c r="Z80" i="22"/>
  <c r="Z203" i="10"/>
  <c r="Y81" i="22"/>
  <c r="Y75" s="1"/>
  <c r="V178" i="10"/>
  <c r="V177"/>
  <c r="AA78" i="37"/>
  <c r="V175" i="10"/>
  <c r="V173"/>
  <c r="V179"/>
  <c r="V152"/>
  <c r="V174"/>
  <c r="V176"/>
  <c r="V180"/>
  <c r="Z71" i="22"/>
  <c r="Z72" i="29"/>
  <c r="J28" i="15"/>
  <c r="J45" s="1"/>
  <c r="J44"/>
  <c r="J30"/>
  <c r="W158" i="10"/>
  <c r="W138"/>
  <c r="AB67" i="37"/>
  <c r="AB81" s="1"/>
  <c r="K44" i="15"/>
  <c r="Z54" i="11"/>
  <c r="Z124" i="10"/>
  <c r="Z45" i="11"/>
  <c r="X227" i="10"/>
  <c r="X218"/>
  <c r="M7" i="30"/>
  <c r="M13" i="15"/>
  <c r="Y74" i="29"/>
  <c r="Y133" i="10"/>
  <c r="Y73" i="29"/>
  <c r="Y75"/>
  <c r="W68" i="11"/>
  <c r="W79" s="1"/>
  <c r="W47"/>
  <c r="W136" i="10"/>
  <c r="W162"/>
  <c r="K30" i="15"/>
  <c r="K40"/>
  <c r="V222" i="10"/>
  <c r="X144"/>
  <c r="X74" i="11"/>
  <c r="X168" i="10"/>
  <c r="X127"/>
  <c r="Y204"/>
  <c r="Y198" s="1"/>
  <c r="Y65" i="22"/>
  <c r="Y46" s="1"/>
  <c r="W91" i="11"/>
  <c r="W85"/>
  <c r="W95" s="1"/>
  <c r="AA60"/>
  <c r="AA115" i="10"/>
  <c r="X214"/>
  <c r="AA82" i="37"/>
  <c r="AB65"/>
  <c r="AB68" s="1"/>
  <c r="AB44"/>
  <c r="AC44"/>
  <c r="AC64"/>
  <c r="AC77" s="1"/>
  <c r="AD61"/>
  <c r="AD73" s="1"/>
  <c r="AC62"/>
  <c r="AC74" s="1"/>
  <c r="AC58" i="22" s="1"/>
  <c r="AC191" i="10" s="1"/>
  <c r="AD69" i="26"/>
  <c r="AD71" s="1"/>
  <c r="AD40" i="37"/>
  <c r="AD41" s="1"/>
  <c r="AE68" i="26"/>
  <c r="AE69" s="1"/>
  <c r="AE46"/>
  <c r="AC71"/>
  <c r="AC70"/>
  <c r="AD68" i="22"/>
  <c r="AD78" s="1"/>
  <c r="AC201" i="10"/>
  <c r="AE57" i="11"/>
  <c r="AB82"/>
  <c r="AF44" i="26"/>
  <c r="AF37" i="37" s="1"/>
  <c r="AF38" s="1"/>
  <c r="AF56" i="22"/>
  <c r="AF35" i="26"/>
  <c r="AF118" i="10" s="1"/>
  <c r="AG37" i="26"/>
  <c r="H110" i="36"/>
  <c r="G100" i="26"/>
  <c r="G102" s="1"/>
  <c r="G97"/>
  <c r="AB155" i="10"/>
  <c r="H125" i="36"/>
  <c r="G94" i="26"/>
  <c r="G95" s="1"/>
  <c r="AC72"/>
  <c r="AC130" i="10"/>
  <c r="AE189"/>
  <c r="AA71" i="29" l="1"/>
  <c r="AA72" s="1"/>
  <c r="AB46"/>
  <c r="AB121" i="10" s="1"/>
  <c r="AB115" s="1"/>
  <c r="I33" i="15"/>
  <c r="I37" s="1"/>
  <c r="Y73" i="11"/>
  <c r="Y84" s="1"/>
  <c r="Y167" i="10"/>
  <c r="Y212"/>
  <c r="Y214" s="1"/>
  <c r="I41" i="15"/>
  <c r="Z192" i="10"/>
  <c r="Z186" s="1"/>
  <c r="L16" i="15"/>
  <c r="M16" s="1"/>
  <c r="Z86" i="37"/>
  <c r="W231" i="10"/>
  <c r="L9" i="30" s="1"/>
  <c r="Z132" i="10"/>
  <c r="Z167" s="1"/>
  <c r="L44" i="15"/>
  <c r="AA79" i="37"/>
  <c r="AA70" i="22"/>
  <c r="Z81"/>
  <c r="Z75" s="1"/>
  <c r="AB78" i="37"/>
  <c r="K20" i="15"/>
  <c r="K41" s="1"/>
  <c r="W178" i="10"/>
  <c r="W177"/>
  <c r="K28" i="15"/>
  <c r="K45" s="1"/>
  <c r="X68" i="11"/>
  <c r="X79" s="1"/>
  <c r="X47"/>
  <c r="X136" i="10"/>
  <c r="X162"/>
  <c r="X158"/>
  <c r="X138"/>
  <c r="AA192"/>
  <c r="AA186" s="1"/>
  <c r="AA53" i="22"/>
  <c r="AA44" s="1"/>
  <c r="Y74" i="11"/>
  <c r="Y144" i="10"/>
  <c r="Y168"/>
  <c r="Y127"/>
  <c r="M18" i="15"/>
  <c r="M30" s="1"/>
  <c r="AB59" i="22"/>
  <c r="AB71" i="29"/>
  <c r="J36" i="15"/>
  <c r="J47" s="1"/>
  <c r="Z204" i="10"/>
  <c r="Z198" s="1"/>
  <c r="Z65" i="22"/>
  <c r="Z46" s="1"/>
  <c r="W222" i="10"/>
  <c r="X220"/>
  <c r="X222" s="1"/>
  <c r="L36" i="15"/>
  <c r="AA124" i="10"/>
  <c r="AA54" i="11"/>
  <c r="AA45"/>
  <c r="X91"/>
  <c r="X85"/>
  <c r="X95" s="1"/>
  <c r="K36" i="15"/>
  <c r="K47" s="1"/>
  <c r="X231" i="10"/>
  <c r="M9" i="30" s="1"/>
  <c r="X229" i="10"/>
  <c r="X233" s="1"/>
  <c r="L40" i="15"/>
  <c r="Z75" i="29"/>
  <c r="Z133" i="10"/>
  <c r="Z74" i="29"/>
  <c r="Z73"/>
  <c r="AB82" i="37"/>
  <c r="AC75"/>
  <c r="AC120" i="10" s="1"/>
  <c r="AC59" i="11" s="1"/>
  <c r="AC40" i="29"/>
  <c r="W175" i="10"/>
  <c r="W174"/>
  <c r="W180"/>
  <c r="W173"/>
  <c r="W179"/>
  <c r="W176"/>
  <c r="W152"/>
  <c r="M44" i="15"/>
  <c r="AC65" i="37"/>
  <c r="AC67"/>
  <c r="AC81" s="1"/>
  <c r="AD64"/>
  <c r="AD77" s="1"/>
  <c r="AE61"/>
  <c r="AE73" s="1"/>
  <c r="AD62"/>
  <c r="AD74" s="1"/>
  <c r="AD58" i="22" s="1"/>
  <c r="AD191" i="10" s="1"/>
  <c r="AD72" i="26"/>
  <c r="AD130" i="10"/>
  <c r="AD165" s="1"/>
  <c r="AD70" i="26"/>
  <c r="AD43" i="37"/>
  <c r="AE68" i="22"/>
  <c r="AE78" s="1"/>
  <c r="AE40" i="37"/>
  <c r="AE41" s="1"/>
  <c r="AD201" i="10"/>
  <c r="AE71" i="26"/>
  <c r="AE70"/>
  <c r="AF68"/>
  <c r="AF40" i="37" s="1"/>
  <c r="AF41" s="1"/>
  <c r="AF46" i="26"/>
  <c r="G103"/>
  <c r="G243" i="10"/>
  <c r="AG35" i="26"/>
  <c r="AG118" i="10" s="1"/>
  <c r="G51" i="32" s="1"/>
  <c r="AH37" i="26"/>
  <c r="AG44"/>
  <c r="AG37" i="37" s="1"/>
  <c r="AG38" s="1"/>
  <c r="AG56" i="22"/>
  <c r="H111" i="36"/>
  <c r="AE72" i="26"/>
  <c r="AE130" i="10"/>
  <c r="AF189"/>
  <c r="H126" i="36"/>
  <c r="AC71" i="11"/>
  <c r="AC141" i="10"/>
  <c r="AC165"/>
  <c r="AF57" i="11"/>
  <c r="AB60" l="1"/>
  <c r="AA71" i="22"/>
  <c r="AA81" s="1"/>
  <c r="N7" i="30"/>
  <c r="I48" i="15"/>
  <c r="J33"/>
  <c r="J37" s="1"/>
  <c r="J48" s="1"/>
  <c r="Z212" i="10"/>
  <c r="Z218" s="1"/>
  <c r="Y227"/>
  <c r="Y231" s="1"/>
  <c r="N9" i="30" s="1"/>
  <c r="Y218" i="10"/>
  <c r="Y220" s="1"/>
  <c r="Y222" s="1"/>
  <c r="N13" i="15"/>
  <c r="N44" s="1"/>
  <c r="Z73" i="11"/>
  <c r="Z84" s="1"/>
  <c r="Z143" i="10"/>
  <c r="Z157" s="1"/>
  <c r="AA83" i="37"/>
  <c r="AA86"/>
  <c r="AA80" i="22"/>
  <c r="AA75" s="1"/>
  <c r="AA203" i="10"/>
  <c r="AD141"/>
  <c r="AD155" s="1"/>
  <c r="AA132"/>
  <c r="AA167" s="1"/>
  <c r="AB79" i="37"/>
  <c r="AB70" i="22"/>
  <c r="L20" i="15"/>
  <c r="L41" s="1"/>
  <c r="X178" i="10"/>
  <c r="X177"/>
  <c r="F103"/>
  <c r="F104"/>
  <c r="AD71" i="11"/>
  <c r="AD82" s="1"/>
  <c r="L28" i="15"/>
  <c r="L45" s="1"/>
  <c r="AF68" i="22"/>
  <c r="AF78" s="1"/>
  <c r="AF69" i="26"/>
  <c r="AF72" s="1"/>
  <c r="F242" i="10"/>
  <c r="L47" i="15"/>
  <c r="Y158" i="10"/>
  <c r="Y138"/>
  <c r="M36" i="15"/>
  <c r="AA75" i="29"/>
  <c r="AA133" i="10"/>
  <c r="AA73" i="29"/>
  <c r="AA74"/>
  <c r="AD75" i="37"/>
  <c r="AD120" i="10" s="1"/>
  <c r="AD59" i="11" s="1"/>
  <c r="AD40" i="29"/>
  <c r="AD42" s="1"/>
  <c r="AD44" s="1"/>
  <c r="AB192" i="10"/>
  <c r="AB186" s="1"/>
  <c r="AB53" i="22"/>
  <c r="AB44" s="1"/>
  <c r="Y136" i="10"/>
  <c r="Y68" i="11"/>
  <c r="Y79" s="1"/>
  <c r="Y162" i="10"/>
  <c r="Y47" i="11"/>
  <c r="AC42" i="29"/>
  <c r="Z74" i="11"/>
  <c r="Z168" i="10"/>
  <c r="Z144"/>
  <c r="Z127"/>
  <c r="AB45" i="11"/>
  <c r="AB124" i="10"/>
  <c r="AB54" i="11"/>
  <c r="AB72" i="29"/>
  <c r="AB71" i="22"/>
  <c r="AB81" s="1"/>
  <c r="M40" i="15"/>
  <c r="Y91" i="11"/>
  <c r="Y85"/>
  <c r="Y95" s="1"/>
  <c r="X176" i="10"/>
  <c r="X152"/>
  <c r="X175"/>
  <c r="X174"/>
  <c r="X180"/>
  <c r="X173"/>
  <c r="X179"/>
  <c r="AD44" i="37"/>
  <c r="AC68"/>
  <c r="AC82" s="1"/>
  <c r="AC78"/>
  <c r="AD67"/>
  <c r="AD81" s="1"/>
  <c r="AD65"/>
  <c r="AD68" s="1"/>
  <c r="AE64"/>
  <c r="AE77" s="1"/>
  <c r="AF61"/>
  <c r="AF73" s="1"/>
  <c r="AE62"/>
  <c r="AE74" s="1"/>
  <c r="AE58" i="22" s="1"/>
  <c r="AE191" i="10" s="1"/>
  <c r="AE201"/>
  <c r="AF43" i="37"/>
  <c r="AE43"/>
  <c r="AG68" i="26"/>
  <c r="AG68" i="22" s="1"/>
  <c r="AG78" s="1"/>
  <c r="AG46" i="26"/>
  <c r="AC82" i="11"/>
  <c r="AG189" i="10"/>
  <c r="AC155"/>
  <c r="G104" s="1"/>
  <c r="AG57" i="11"/>
  <c r="H127" i="36"/>
  <c r="AE71" i="11"/>
  <c r="AE165" i="10"/>
  <c r="AE141"/>
  <c r="H112" i="36"/>
  <c r="AI37" i="26"/>
  <c r="AH44"/>
  <c r="AH37" i="37" s="1"/>
  <c r="AH38" s="1"/>
  <c r="AH56" i="22"/>
  <c r="AH35" i="26"/>
  <c r="AH118" i="10" s="1"/>
  <c r="AA204" l="1"/>
  <c r="AA198" s="1"/>
  <c r="AA65" i="22"/>
  <c r="AA46" s="1"/>
  <c r="Y229" i="10"/>
  <c r="Y233" s="1"/>
  <c r="N18" i="15"/>
  <c r="N40" s="1"/>
  <c r="K33"/>
  <c r="L33" s="1"/>
  <c r="O13"/>
  <c r="O44" s="1"/>
  <c r="N16"/>
  <c r="Z227" i="10"/>
  <c r="Z229" s="1"/>
  <c r="Z233" s="1"/>
  <c r="Z214"/>
  <c r="O7" i="30"/>
  <c r="AA143" i="10"/>
  <c r="AA157" s="1"/>
  <c r="AA73" i="11"/>
  <c r="AA84" s="1"/>
  <c r="AA212" i="10"/>
  <c r="AA214" s="1"/>
  <c r="AB83" i="37"/>
  <c r="AB86"/>
  <c r="AB80" i="22"/>
  <c r="AB75" s="1"/>
  <c r="AB203" i="10"/>
  <c r="M20" i="15"/>
  <c r="M41" s="1"/>
  <c r="AB132" i="10"/>
  <c r="AC79" i="37"/>
  <c r="AC83" s="1"/>
  <c r="AC70" i="22"/>
  <c r="H242" i="10"/>
  <c r="AF70" i="26"/>
  <c r="AF130" i="10"/>
  <c r="AF141" s="1"/>
  <c r="AF71" i="26"/>
  <c r="Y178" i="10"/>
  <c r="Y177"/>
  <c r="AF201"/>
  <c r="M28" i="15"/>
  <c r="N28" s="1"/>
  <c r="AB74" i="29"/>
  <c r="AB133" i="10"/>
  <c r="AB75" i="29"/>
  <c r="AB73"/>
  <c r="Z68" i="11"/>
  <c r="Z79" s="1"/>
  <c r="Z47"/>
  <c r="Z136" i="10"/>
  <c r="Z162"/>
  <c r="AD48" i="29"/>
  <c r="AD46"/>
  <c r="AD121" i="10" s="1"/>
  <c r="AA168"/>
  <c r="AA144"/>
  <c r="AA74" i="11"/>
  <c r="AA127" i="10"/>
  <c r="Z220"/>
  <c r="K37" i="15"/>
  <c r="K48" s="1"/>
  <c r="AB204" i="10"/>
  <c r="AB65" i="22"/>
  <c r="AB46" s="1"/>
  <c r="Z91" i="11"/>
  <c r="Z85"/>
  <c r="Z95" s="1"/>
  <c r="M47" i="15"/>
  <c r="AE75" i="37"/>
  <c r="AE120" i="10" s="1"/>
  <c r="AE59" i="11" s="1"/>
  <c r="AE40" i="29"/>
  <c r="AE42" s="1"/>
  <c r="AE44" s="1"/>
  <c r="Z158" i="10"/>
  <c r="Z138"/>
  <c r="AC44" i="29"/>
  <c r="Y175" i="10"/>
  <c r="Y152"/>
  <c r="Y176"/>
  <c r="Y174"/>
  <c r="Y180"/>
  <c r="Y179"/>
  <c r="Y173"/>
  <c r="AD82" i="37"/>
  <c r="AF44"/>
  <c r="AE44"/>
  <c r="AD78"/>
  <c r="AE67"/>
  <c r="AE81" s="1"/>
  <c r="AE65"/>
  <c r="AE68" s="1"/>
  <c r="AF64"/>
  <c r="AF77" s="1"/>
  <c r="AG61"/>
  <c r="AG73" s="1"/>
  <c r="AF62"/>
  <c r="AF74" s="1"/>
  <c r="AF58" i="22" s="1"/>
  <c r="AF191" i="10" s="1"/>
  <c r="AG69" i="26"/>
  <c r="AG71" s="1"/>
  <c r="AG40" i="37"/>
  <c r="AG41" s="1"/>
  <c r="AH68" i="26"/>
  <c r="AH69" s="1"/>
  <c r="AH46"/>
  <c r="AH57" i="11"/>
  <c r="AJ37" i="26"/>
  <c r="AI44"/>
  <c r="AI37" i="37" s="1"/>
  <c r="AI38" s="1"/>
  <c r="AI56" i="22"/>
  <c r="AI35" i="26"/>
  <c r="AI118" i="10" s="1"/>
  <c r="AE155"/>
  <c r="AG201"/>
  <c r="H128" i="36"/>
  <c r="AH189" i="10"/>
  <c r="AE82" i="11"/>
  <c r="Z222" i="10" l="1"/>
  <c r="P7" i="30"/>
  <c r="N30" i="15"/>
  <c r="N36" s="1"/>
  <c r="N47" s="1"/>
  <c r="AA218" i="10"/>
  <c r="AA220" s="1"/>
  <c r="AA222" s="1"/>
  <c r="O18" i="15"/>
  <c r="O30" s="1"/>
  <c r="O36" s="1"/>
  <c r="O16"/>
  <c r="Z231" i="10"/>
  <c r="O9" i="30" s="1"/>
  <c r="M45" i="15"/>
  <c r="AB198" i="10"/>
  <c r="AB167"/>
  <c r="AB73" i="11"/>
  <c r="AB84" s="1"/>
  <c r="AB143" i="10"/>
  <c r="AB157" s="1"/>
  <c r="P13" i="15"/>
  <c r="P18" s="1"/>
  <c r="AA227" i="10"/>
  <c r="AA229" s="1"/>
  <c r="AA233" s="1"/>
  <c r="AC132"/>
  <c r="AC86" i="37"/>
  <c r="AB212" i="10"/>
  <c r="AB214" s="1"/>
  <c r="AC80" i="22"/>
  <c r="AC203" i="10"/>
  <c r="N20" i="15"/>
  <c r="N41" s="1"/>
  <c r="AF165" i="10"/>
  <c r="AD79" i="37"/>
  <c r="AD83" s="1"/>
  <c r="AD70" i="22"/>
  <c r="AF71" i="11"/>
  <c r="AF82" s="1"/>
  <c r="Z178" i="10"/>
  <c r="Z177"/>
  <c r="L37" i="15"/>
  <c r="L48" s="1"/>
  <c r="M33"/>
  <c r="M37" s="1"/>
  <c r="AC48" i="29"/>
  <c r="G87" s="1"/>
  <c r="AC46"/>
  <c r="AE48"/>
  <c r="AE46"/>
  <c r="AE121" i="10" s="1"/>
  <c r="O28" i="15"/>
  <c r="N45"/>
  <c r="AA158" i="10"/>
  <c r="AA138"/>
  <c r="AA177" s="1"/>
  <c r="AB144"/>
  <c r="AB74" i="11"/>
  <c r="AB168" i="10"/>
  <c r="AB127"/>
  <c r="AA91" i="11"/>
  <c r="AA85"/>
  <c r="AA95" s="1"/>
  <c r="AD71" i="29"/>
  <c r="AD59" i="22"/>
  <c r="AF75" i="37"/>
  <c r="AF120" i="10" s="1"/>
  <c r="AF59" i="11" s="1"/>
  <c r="AF40" i="29"/>
  <c r="AF42" s="1"/>
  <c r="AF44" s="1"/>
  <c r="Z175" i="10"/>
  <c r="Z180"/>
  <c r="Z176"/>
  <c r="Z152"/>
  <c r="Z174"/>
  <c r="Z179"/>
  <c r="Z173"/>
  <c r="AA162"/>
  <c r="AA47" i="11"/>
  <c r="AA136" i="10"/>
  <c r="AA68" i="11"/>
  <c r="AA79" s="1"/>
  <c r="AD60"/>
  <c r="AD115" i="10"/>
  <c r="AE78" i="37"/>
  <c r="AE82"/>
  <c r="AF67"/>
  <c r="AF81" s="1"/>
  <c r="AF65"/>
  <c r="AG64"/>
  <c r="AG77" s="1"/>
  <c r="AH61"/>
  <c r="AH73" s="1"/>
  <c r="AG62"/>
  <c r="AG74" s="1"/>
  <c r="AG58" i="22" s="1"/>
  <c r="AG191" i="10" s="1"/>
  <c r="AG72" i="26"/>
  <c r="AG130" i="10"/>
  <c r="AG70" i="26"/>
  <c r="AG43" i="37"/>
  <c r="AH68" i="22"/>
  <c r="AH78" s="1"/>
  <c r="AH40" i="37"/>
  <c r="AH41" s="1"/>
  <c r="AI68" i="26"/>
  <c r="AI46"/>
  <c r="AH71"/>
  <c r="AH70"/>
  <c r="AJ44"/>
  <c r="AJ37" i="37" s="1"/>
  <c r="AJ38" s="1"/>
  <c r="AJ56" i="22"/>
  <c r="AJ35" i="26"/>
  <c r="AJ118" i="10" s="1"/>
  <c r="AK37" i="26"/>
  <c r="AF155" i="10"/>
  <c r="AI189"/>
  <c r="AH72" i="26"/>
  <c r="AH130" i="10"/>
  <c r="AI57" i="11"/>
  <c r="AG141" i="10" l="1"/>
  <c r="M56" i="32"/>
  <c r="P44" i="15"/>
  <c r="O40"/>
  <c r="O47" s="1"/>
  <c r="Q7" i="30"/>
  <c r="P16" i="15"/>
  <c r="M48"/>
  <c r="AB218" i="10"/>
  <c r="AB220" s="1"/>
  <c r="AB222" s="1"/>
  <c r="AA231"/>
  <c r="P9" i="30" s="1"/>
  <c r="Q13" i="15"/>
  <c r="Q44" s="1"/>
  <c r="AB227" i="10"/>
  <c r="AB229" s="1"/>
  <c r="AB233" s="1"/>
  <c r="AC143"/>
  <c r="F245" s="1"/>
  <c r="AC73" i="11"/>
  <c r="AC84" s="1"/>
  <c r="AC167" i="10"/>
  <c r="F106" s="1"/>
  <c r="AD132"/>
  <c r="AD167" s="1"/>
  <c r="AD86" i="37"/>
  <c r="AD80" i="22"/>
  <c r="AD203" i="10"/>
  <c r="O20" i="15"/>
  <c r="O41" s="1"/>
  <c r="AE79" i="37"/>
  <c r="AE70" i="22"/>
  <c r="AC121" i="10"/>
  <c r="AC115" s="1"/>
  <c r="G96" i="29"/>
  <c r="AB47" i="11"/>
  <c r="AB136" i="10"/>
  <c r="AB162"/>
  <c r="AB68" i="11"/>
  <c r="AB79" s="1"/>
  <c r="AA176" i="10"/>
  <c r="AA152"/>
  <c r="AA173"/>
  <c r="AA174"/>
  <c r="AA180"/>
  <c r="AA179"/>
  <c r="AA175"/>
  <c r="P28" i="15"/>
  <c r="O45"/>
  <c r="AC59" i="22"/>
  <c r="J105" i="36"/>
  <c r="AC71" i="29"/>
  <c r="AD54" i="11"/>
  <c r="AD124" i="10"/>
  <c r="AD45" i="11"/>
  <c r="P30" i="15"/>
  <c r="P40"/>
  <c r="AB158" i="10"/>
  <c r="AB138"/>
  <c r="AG75" i="37"/>
  <c r="AG120" i="10" s="1"/>
  <c r="G53" i="32" s="1"/>
  <c r="AG40" i="29"/>
  <c r="AG42" s="1"/>
  <c r="AG44" s="1"/>
  <c r="AF48"/>
  <c r="AF46"/>
  <c r="AF121" i="10" s="1"/>
  <c r="AD72" i="29"/>
  <c r="AD71" i="22"/>
  <c r="AD81" s="1"/>
  <c r="AB91" i="11"/>
  <c r="AB85"/>
  <c r="AB95" s="1"/>
  <c r="AE71" i="29"/>
  <c r="AE59" i="22"/>
  <c r="AD192" i="10"/>
  <c r="AD186" s="1"/>
  <c r="AD53" i="22"/>
  <c r="AD44" s="1"/>
  <c r="AE60" i="11"/>
  <c r="AE115" i="10"/>
  <c r="AA178"/>
  <c r="N33" i="15"/>
  <c r="AF68" i="37"/>
  <c r="AF82" s="1"/>
  <c r="AF78"/>
  <c r="AG44"/>
  <c r="AG65"/>
  <c r="AG68" s="1"/>
  <c r="AG67"/>
  <c r="AG81" s="1"/>
  <c r="AH64"/>
  <c r="AH77" s="1"/>
  <c r="AI61"/>
  <c r="AI73" s="1"/>
  <c r="AH62"/>
  <c r="AH74" s="1"/>
  <c r="AH58" i="22" s="1"/>
  <c r="AH191" i="10" s="1"/>
  <c r="AH201"/>
  <c r="AG165"/>
  <c r="AG71" i="11"/>
  <c r="AG82" s="1"/>
  <c r="AH43" i="37"/>
  <c r="AI68" i="22"/>
  <c r="AI78" s="1"/>
  <c r="AI40" i="37"/>
  <c r="AI41" s="1"/>
  <c r="AI69" i="26"/>
  <c r="AI72" s="1"/>
  <c r="AJ68"/>
  <c r="AJ69" s="1"/>
  <c r="AJ46"/>
  <c r="AG155" i="10"/>
  <c r="AJ189"/>
  <c r="H51" i="32"/>
  <c r="M55" s="1"/>
  <c r="M54"/>
  <c r="AJ57" i="11"/>
  <c r="AK35" i="26"/>
  <c r="AK118" i="10" s="1"/>
  <c r="AL37" i="26"/>
  <c r="AK44"/>
  <c r="AK37" i="37" s="1"/>
  <c r="AK38" s="1"/>
  <c r="AK56" i="22"/>
  <c r="AH71" i="11"/>
  <c r="AH165" i="10"/>
  <c r="AH141"/>
  <c r="H53" i="32" l="1"/>
  <c r="O55" s="1"/>
  <c r="O54"/>
  <c r="AG59" i="11"/>
  <c r="Q16" i="15"/>
  <c r="Q18"/>
  <c r="Q30" s="1"/>
  <c r="Q36" s="1"/>
  <c r="AB231" i="10"/>
  <c r="Q9" i="30" s="1"/>
  <c r="AD143" i="10"/>
  <c r="AD73" i="11"/>
  <c r="AD84" s="1"/>
  <c r="AC157" i="10"/>
  <c r="AE83" i="37"/>
  <c r="AE86"/>
  <c r="AE80" i="22"/>
  <c r="AE203" i="10"/>
  <c r="P20" i="15"/>
  <c r="P41" s="1"/>
  <c r="AC60" i="11"/>
  <c r="AE132" i="10"/>
  <c r="AF79" i="37"/>
  <c r="AF70" i="22"/>
  <c r="AD157" i="10"/>
  <c r="AB178"/>
  <c r="AB177"/>
  <c r="AH75" i="37"/>
  <c r="AH120" i="10" s="1"/>
  <c r="AH59" i="11" s="1"/>
  <c r="AH40" i="29"/>
  <c r="AH42" s="1"/>
  <c r="AH44" s="1"/>
  <c r="AE45" i="11"/>
  <c r="AE124" i="10"/>
  <c r="AE54" i="11"/>
  <c r="AE192" i="10"/>
  <c r="AE186" s="1"/>
  <c r="AE53" i="22"/>
  <c r="AE44" s="1"/>
  <c r="AD75"/>
  <c r="AD204" i="10"/>
  <c r="AD198" s="1"/>
  <c r="AD65" i="22"/>
  <c r="AD46" s="1"/>
  <c r="AG48" i="29"/>
  <c r="AG46"/>
  <c r="AG121" i="10" s="1"/>
  <c r="J106" i="36"/>
  <c r="J107" s="1"/>
  <c r="J121"/>
  <c r="J122" s="1"/>
  <c r="J123" s="1"/>
  <c r="AF71" i="29"/>
  <c r="AF59" i="22"/>
  <c r="AC72" i="29"/>
  <c r="AC71" i="22"/>
  <c r="G88" i="29"/>
  <c r="G89" s="1"/>
  <c r="P45" i="15"/>
  <c r="Q28"/>
  <c r="N37"/>
  <c r="N48" s="1"/>
  <c r="O33"/>
  <c r="O37" s="1"/>
  <c r="O48" s="1"/>
  <c r="AF60" i="11"/>
  <c r="AF115" i="10"/>
  <c r="AC124"/>
  <c r="AC54" i="11"/>
  <c r="AC45"/>
  <c r="AE72" i="29"/>
  <c r="AE71" i="22"/>
  <c r="AD74" i="29"/>
  <c r="AD73"/>
  <c r="AD133" i="10"/>
  <c r="AD75" i="29"/>
  <c r="AD212" i="10" s="1"/>
  <c r="AB175"/>
  <c r="AB176"/>
  <c r="AB173"/>
  <c r="AB179"/>
  <c r="AB152"/>
  <c r="AB174"/>
  <c r="AB180"/>
  <c r="P36" i="15"/>
  <c r="P47" s="1"/>
  <c r="AC192" i="10"/>
  <c r="AC186" s="1"/>
  <c r="AC53" i="22"/>
  <c r="AC44" s="1"/>
  <c r="AG82" i="37"/>
  <c r="AH44"/>
  <c r="AG78"/>
  <c r="AH67"/>
  <c r="AH81" s="1"/>
  <c r="AH65"/>
  <c r="AH68" s="1"/>
  <c r="AI64"/>
  <c r="AI77" s="1"/>
  <c r="AJ61"/>
  <c r="AJ73" s="1"/>
  <c r="AI62"/>
  <c r="AI74" s="1"/>
  <c r="AI58" i="22" s="1"/>
  <c r="AI191" i="10" s="1"/>
  <c r="AI201"/>
  <c r="AI43" i="37"/>
  <c r="AJ68" i="22"/>
  <c r="AJ78" s="1"/>
  <c r="AJ40" i="37"/>
  <c r="AJ41" s="1"/>
  <c r="AK68" i="26"/>
  <c r="AK46"/>
  <c r="AI71"/>
  <c r="AI70"/>
  <c r="AJ71"/>
  <c r="AJ70"/>
  <c r="AI130" i="10"/>
  <c r="AI71" i="11" s="1"/>
  <c r="AJ72" i="26"/>
  <c r="AJ130" i="10"/>
  <c r="AK189"/>
  <c r="AH155"/>
  <c r="AK57" i="11"/>
  <c r="AH82"/>
  <c r="AM37" i="26"/>
  <c r="AL44"/>
  <c r="AL37" i="37" s="1"/>
  <c r="AL38" s="1"/>
  <c r="AL56" i="22"/>
  <c r="AL35" i="26"/>
  <c r="AL118" i="10" s="1"/>
  <c r="K39" i="36" l="1"/>
  <c r="G54" i="32"/>
  <c r="Q20" i="15"/>
  <c r="Q41" s="1"/>
  <c r="Q40"/>
  <c r="Q47" s="1"/>
  <c r="AE167" i="10"/>
  <c r="AE73" i="11"/>
  <c r="AE84" s="1"/>
  <c r="AF83" i="37"/>
  <c r="AF86"/>
  <c r="AF80" i="22"/>
  <c r="AF203" i="10"/>
  <c r="AE143"/>
  <c r="AE157" s="1"/>
  <c r="AG79" i="37"/>
  <c r="AG70" i="22"/>
  <c r="AF132" i="10"/>
  <c r="AE81" i="22"/>
  <c r="AE75" s="1"/>
  <c r="AC81"/>
  <c r="AC75" s="1"/>
  <c r="P33" i="15"/>
  <c r="P37" s="1"/>
  <c r="P48" s="1"/>
  <c r="AI75" i="37"/>
  <c r="AI120" i="10" s="1"/>
  <c r="AI59" i="11" s="1"/>
  <c r="AI40" i="29"/>
  <c r="AI42" s="1"/>
  <c r="AI44" s="1"/>
  <c r="AF192" i="10"/>
  <c r="AF186" s="1"/>
  <c r="AF53" i="22"/>
  <c r="AF44" s="1"/>
  <c r="J109" i="36"/>
  <c r="K107"/>
  <c r="AH48" i="29"/>
  <c r="AH46"/>
  <c r="AH121" i="10" s="1"/>
  <c r="R28" i="15"/>
  <c r="Q45"/>
  <c r="AC73" i="29"/>
  <c r="AC74"/>
  <c r="G97"/>
  <c r="G98" s="1"/>
  <c r="AC75"/>
  <c r="AC212" i="10" s="1"/>
  <c r="AC133"/>
  <c r="J125" i="36"/>
  <c r="K123"/>
  <c r="AD168" i="10"/>
  <c r="AD74" i="11"/>
  <c r="AD144" i="10"/>
  <c r="AD127"/>
  <c r="AE133"/>
  <c r="AE75" i="29"/>
  <c r="AE212" i="10" s="1"/>
  <c r="AE74" i="29"/>
  <c r="AE73"/>
  <c r="AF124" i="10"/>
  <c r="AF54" i="11"/>
  <c r="AF45"/>
  <c r="AC204" i="10"/>
  <c r="AC198" s="1"/>
  <c r="AC65" i="22"/>
  <c r="AC46" s="1"/>
  <c r="AG71" i="29"/>
  <c r="AG59" i="22"/>
  <c r="S7" i="30"/>
  <c r="AD227" i="10"/>
  <c r="AD218"/>
  <c r="S13" i="15"/>
  <c r="AE204" i="10"/>
  <c r="AE198" s="1"/>
  <c r="AE65" i="22"/>
  <c r="AE46" s="1"/>
  <c r="G100" i="29"/>
  <c r="G103"/>
  <c r="G105" s="1"/>
  <c r="AF72"/>
  <c r="AF71" i="22"/>
  <c r="AF81" s="1"/>
  <c r="AG60" i="11"/>
  <c r="AG115" i="10"/>
  <c r="K35" i="36" s="1"/>
  <c r="AI44" i="37"/>
  <c r="AH82"/>
  <c r="AH78"/>
  <c r="AI67"/>
  <c r="AI81" s="1"/>
  <c r="AI65"/>
  <c r="AI68" s="1"/>
  <c r="AJ64"/>
  <c r="AJ77" s="1"/>
  <c r="AK61"/>
  <c r="AK73" s="1"/>
  <c r="AJ62"/>
  <c r="AJ74" s="1"/>
  <c r="AJ58" i="22" s="1"/>
  <c r="AJ191" i="10" s="1"/>
  <c r="AI165"/>
  <c r="AJ201"/>
  <c r="AK69" i="26"/>
  <c r="AK71" s="1"/>
  <c r="AK40" i="37"/>
  <c r="AK41" s="1"/>
  <c r="AJ43"/>
  <c r="AI141" i="10"/>
  <c r="AI155" s="1"/>
  <c r="M59" i="32"/>
  <c r="AK68" i="22"/>
  <c r="AK78" s="1"/>
  <c r="AL68" i="26"/>
  <c r="AL68" i="22" s="1"/>
  <c r="AL78" s="1"/>
  <c r="AL46" i="26"/>
  <c r="AL57" i="11"/>
  <c r="AJ71"/>
  <c r="AJ165" i="10"/>
  <c r="AJ141"/>
  <c r="AL189"/>
  <c r="AI82" i="11"/>
  <c r="M96" i="32"/>
  <c r="AN37" i="26"/>
  <c r="AM44"/>
  <c r="AM37" i="37" s="1"/>
  <c r="AM38" s="1"/>
  <c r="AM56" i="22"/>
  <c r="AM35" i="26"/>
  <c r="AM118" i="10" s="1"/>
  <c r="W93" l="1"/>
  <c r="W94"/>
  <c r="U94"/>
  <c r="U93"/>
  <c r="AF167"/>
  <c r="AF73" i="11"/>
  <c r="AF84" s="1"/>
  <c r="AG132" i="10"/>
  <c r="O56" i="32" s="1"/>
  <c r="AG86" i="37"/>
  <c r="AG80" i="22"/>
  <c r="AG203" i="10"/>
  <c r="AF143"/>
  <c r="AF157" s="1"/>
  <c r="AG83" i="37"/>
  <c r="AH79"/>
  <c r="AH70" i="22"/>
  <c r="AK201" i="10"/>
  <c r="Q33" i="15"/>
  <c r="Q37" s="1"/>
  <c r="Q48" s="1"/>
  <c r="AG192" i="10"/>
  <c r="AG186" s="1"/>
  <c r="AG53" i="22"/>
  <c r="AG44" s="1"/>
  <c r="AD158" i="10"/>
  <c r="AD138"/>
  <c r="AD177" s="1"/>
  <c r="R7" i="30"/>
  <c r="AC227" i="10"/>
  <c r="AC218"/>
  <c r="AC220" s="1"/>
  <c r="AD220" s="1"/>
  <c r="R13" i="15"/>
  <c r="AC214" i="10"/>
  <c r="J110" i="36"/>
  <c r="K109"/>
  <c r="AG124" i="10"/>
  <c r="AG54" i="11"/>
  <c r="AG45"/>
  <c r="G246" i="10"/>
  <c r="G106" i="29"/>
  <c r="S44" i="15"/>
  <c r="S18"/>
  <c r="AD68" i="11"/>
  <c r="AD79" s="1"/>
  <c r="AD47"/>
  <c r="AD136" i="10"/>
  <c r="AD162"/>
  <c r="AC168"/>
  <c r="F107" s="1"/>
  <c r="AC144"/>
  <c r="AC74" i="11"/>
  <c r="AC127" i="10"/>
  <c r="I93" s="1"/>
  <c r="AI48" i="29"/>
  <c r="AI46"/>
  <c r="AI121" i="10" s="1"/>
  <c r="AJ75" i="37"/>
  <c r="AJ120" i="10" s="1"/>
  <c r="AJ59" i="11" s="1"/>
  <c r="AJ40" i="29"/>
  <c r="AJ42" s="1"/>
  <c r="AJ44" s="1"/>
  <c r="AF73"/>
  <c r="AF75"/>
  <c r="AF212" i="10" s="1"/>
  <c r="AF74" i="29"/>
  <c r="AF133" i="10"/>
  <c r="AC49" i="22"/>
  <c r="AC48"/>
  <c r="AE74" i="11"/>
  <c r="AE168" i="10"/>
  <c r="AE144"/>
  <c r="AE127"/>
  <c r="J126" i="36"/>
  <c r="K125"/>
  <c r="AH71" i="29"/>
  <c r="AH59" i="22"/>
  <c r="AF75"/>
  <c r="AF204" i="10"/>
  <c r="AF198" s="1"/>
  <c r="AF65" i="22"/>
  <c r="AF46" s="1"/>
  <c r="AD229" i="10"/>
  <c r="AD233" s="1"/>
  <c r="AD231"/>
  <c r="S9" i="30" s="1"/>
  <c r="AG71" i="22"/>
  <c r="AG72" i="29"/>
  <c r="AE218" i="10"/>
  <c r="AE227"/>
  <c r="T7" i="30"/>
  <c r="T13" i="15"/>
  <c r="AD91" i="11"/>
  <c r="AD85"/>
  <c r="AD95" s="1"/>
  <c r="S28" i="15"/>
  <c r="AH60" i="11"/>
  <c r="AH115" i="10"/>
  <c r="K43" i="36"/>
  <c r="AJ44" i="37"/>
  <c r="AI82"/>
  <c r="AI78"/>
  <c r="AJ67"/>
  <c r="AJ81" s="1"/>
  <c r="AJ65"/>
  <c r="AJ68" s="1"/>
  <c r="AK62"/>
  <c r="AK74" s="1"/>
  <c r="AK58" i="22" s="1"/>
  <c r="AK191" i="10" s="1"/>
  <c r="AK64" i="37"/>
  <c r="AK77" s="1"/>
  <c r="AL61"/>
  <c r="AL73" s="1"/>
  <c r="AK130" i="10"/>
  <c r="AK71" i="11" s="1"/>
  <c r="AK72" i="26"/>
  <c r="AK70"/>
  <c r="AL69"/>
  <c r="AL71" s="1"/>
  <c r="AL40" i="37"/>
  <c r="AL41" s="1"/>
  <c r="AK43"/>
  <c r="M97" i="32"/>
  <c r="M100" s="1"/>
  <c r="AM68" i="26"/>
  <c r="AM69" s="1"/>
  <c r="AM46"/>
  <c r="AM57" i="11"/>
  <c r="AJ155" i="10"/>
  <c r="AL201"/>
  <c r="AN44" i="26"/>
  <c r="AN37" i="37" s="1"/>
  <c r="AN38" s="1"/>
  <c r="AN56" i="22"/>
  <c r="AN35" i="26"/>
  <c r="AN118" i="10" s="1"/>
  <c r="AO37" i="26"/>
  <c r="AJ82" i="11"/>
  <c r="AM189" i="10"/>
  <c r="AG167" l="1"/>
  <c r="AG73" i="11"/>
  <c r="AG84" s="1"/>
  <c r="AH132" i="10"/>
  <c r="AH86" i="37"/>
  <c r="AG143" i="10"/>
  <c r="AG157" s="1"/>
  <c r="AH80" i="22"/>
  <c r="AH203" i="10"/>
  <c r="AK141"/>
  <c r="AH83" i="37"/>
  <c r="AI79"/>
  <c r="AI70" i="22"/>
  <c r="AG81"/>
  <c r="AG75" s="1"/>
  <c r="F244" i="10"/>
  <c r="H244" s="1"/>
  <c r="F246"/>
  <c r="H246" s="1"/>
  <c r="AH167"/>
  <c r="AE220"/>
  <c r="AH192"/>
  <c r="AH186" s="1"/>
  <c r="AH53" i="22"/>
  <c r="AH44" s="1"/>
  <c r="AE162" i="10"/>
  <c r="AE68" i="11"/>
  <c r="AE79" s="1"/>
  <c r="AE47"/>
  <c r="AE136" i="10"/>
  <c r="AF218"/>
  <c r="U13" i="15"/>
  <c r="AF227" i="10"/>
  <c r="U7" i="30"/>
  <c r="AI59" i="22"/>
  <c r="AI71" i="29"/>
  <c r="AD173" i="10"/>
  <c r="AD179"/>
  <c r="AD175"/>
  <c r="AD176"/>
  <c r="AD152"/>
  <c r="AD174"/>
  <c r="AD180"/>
  <c r="AK75" i="37"/>
  <c r="AK120" i="10" s="1"/>
  <c r="AK59" i="11" s="1"/>
  <c r="AK40" i="29"/>
  <c r="AK42" s="1"/>
  <c r="AK44" s="1"/>
  <c r="AH124" i="10"/>
  <c r="K37" i="36"/>
  <c r="AH45" i="11"/>
  <c r="AH54"/>
  <c r="AE229" i="10"/>
  <c r="AE233" s="1"/>
  <c r="AE231"/>
  <c r="T9" i="30" s="1"/>
  <c r="J127" i="36"/>
  <c r="K126"/>
  <c r="AE91" i="11"/>
  <c r="AE85"/>
  <c r="AE95" s="1"/>
  <c r="AI60"/>
  <c r="AI115" i="10"/>
  <c r="AC158"/>
  <c r="F243"/>
  <c r="AC138"/>
  <c r="R44" i="15"/>
  <c r="R16"/>
  <c r="R18"/>
  <c r="AD178" i="10"/>
  <c r="T28" i="15"/>
  <c r="AG204" i="10"/>
  <c r="AG198" s="1"/>
  <c r="AG65" i="22"/>
  <c r="AG46" s="1"/>
  <c r="AF144" i="10"/>
  <c r="AF74" i="11"/>
  <c r="AF168" i="10"/>
  <c r="AF127"/>
  <c r="AJ48" i="29"/>
  <c r="AJ46"/>
  <c r="AJ121" i="10" s="1"/>
  <c r="AC91" i="11"/>
  <c r="AC85"/>
  <c r="AC95" s="1"/>
  <c r="S40" i="15"/>
  <c r="AC222" i="10"/>
  <c r="AD214"/>
  <c r="T44" i="15"/>
  <c r="T18"/>
  <c r="AG133" i="10"/>
  <c r="P56" i="32" s="1"/>
  <c r="AG73" i="29"/>
  <c r="AG75"/>
  <c r="AG212" i="10" s="1"/>
  <c r="AG74" i="29"/>
  <c r="AH71" i="22"/>
  <c r="AH81" s="1"/>
  <c r="AH72" i="29"/>
  <c r="AE158" i="10"/>
  <c r="AE138"/>
  <c r="AC47" i="11"/>
  <c r="AC162" i="10"/>
  <c r="AC68" i="11"/>
  <c r="AC79" s="1"/>
  <c r="AC136" i="10"/>
  <c r="J111" i="36"/>
  <c r="K110"/>
  <c r="AC231" i="10"/>
  <c r="R9" i="30" s="1"/>
  <c r="AC229" i="10"/>
  <c r="AC233" s="1"/>
  <c r="S30" i="15"/>
  <c r="AJ82" i="37"/>
  <c r="AJ78"/>
  <c r="AK44"/>
  <c r="AL64"/>
  <c r="AL77" s="1"/>
  <c r="AM61"/>
  <c r="AM73" s="1"/>
  <c r="AL62"/>
  <c r="AL74" s="1"/>
  <c r="AL58" i="22" s="1"/>
  <c r="AL191" i="10" s="1"/>
  <c r="AK65" i="37"/>
  <c r="AK68" s="1"/>
  <c r="AK67"/>
  <c r="AK81" s="1"/>
  <c r="AL72" i="26"/>
  <c r="AK165" i="10"/>
  <c r="AL130"/>
  <c r="AL165" s="1"/>
  <c r="AL70" i="26"/>
  <c r="AL43" i="37"/>
  <c r="AM68" i="22"/>
  <c r="AM40" i="37"/>
  <c r="AM41" s="1"/>
  <c r="AN68" i="26"/>
  <c r="AN69" s="1"/>
  <c r="AN46"/>
  <c r="AM71"/>
  <c r="AM70"/>
  <c r="AK82" i="11"/>
  <c r="AN189" i="10"/>
  <c r="AK155"/>
  <c r="AN57" i="11"/>
  <c r="AM72" i="26"/>
  <c r="AM130" i="10"/>
  <c r="AO35" i="26"/>
  <c r="AO118" i="10" s="1"/>
  <c r="AP37" i="26"/>
  <c r="AO44"/>
  <c r="AO37" i="37" s="1"/>
  <c r="AO38" s="1"/>
  <c r="AO56" i="22"/>
  <c r="V93" i="10" l="1"/>
  <c r="T93"/>
  <c r="T94"/>
  <c r="V94"/>
  <c r="AH64" i="11"/>
  <c r="T64" s="1"/>
  <c r="U64" s="1"/>
  <c r="V64" s="1"/>
  <c r="W64" s="1"/>
  <c r="X64" s="1"/>
  <c r="Y64" s="1"/>
  <c r="Z64" s="1"/>
  <c r="AA64" s="1"/>
  <c r="AB64" s="1"/>
  <c r="AC64" s="1"/>
  <c r="AD64" s="1"/>
  <c r="AE64" s="1"/>
  <c r="AF64" s="1"/>
  <c r="AG64" s="1"/>
  <c r="G245" i="10"/>
  <c r="H245" s="1"/>
  <c r="AH143"/>
  <c r="AH157" s="1"/>
  <c r="AH73" i="11"/>
  <c r="AH84" s="1"/>
  <c r="AI83" i="37"/>
  <c r="AI86"/>
  <c r="AI80" i="22"/>
  <c r="AI203" i="10"/>
  <c r="AI132"/>
  <c r="AM201"/>
  <c r="AM78" i="22"/>
  <c r="AJ79" i="37"/>
  <c r="AJ70" i="22"/>
  <c r="H243" i="10"/>
  <c r="F249"/>
  <c r="G93"/>
  <c r="F110"/>
  <c r="AC177"/>
  <c r="I94"/>
  <c r="AE178"/>
  <c r="AE177"/>
  <c r="G106"/>
  <c r="G107"/>
  <c r="AL141"/>
  <c r="AL155" s="1"/>
  <c r="AF220"/>
  <c r="AL75" i="37"/>
  <c r="AL120" i="10" s="1"/>
  <c r="AL59" i="11" s="1"/>
  <c r="AL40" i="29"/>
  <c r="AL42" s="1"/>
  <c r="AL44" s="1"/>
  <c r="S36" i="15"/>
  <c r="S47" s="1"/>
  <c r="AH204" i="10"/>
  <c r="AH198" s="1"/>
  <c r="AH65" i="22"/>
  <c r="AH46" s="1"/>
  <c r="AG144" i="10"/>
  <c r="AG168"/>
  <c r="AG74" i="11"/>
  <c r="AG127" i="10"/>
  <c r="AJ60" i="11"/>
  <c r="AJ115" i="10"/>
  <c r="AF91" i="11"/>
  <c r="AF85"/>
  <c r="AF95" s="1"/>
  <c r="U28" i="15"/>
  <c r="R30"/>
  <c r="R40"/>
  <c r="R20"/>
  <c r="AC175" i="10"/>
  <c r="AC174"/>
  <c r="AC180"/>
  <c r="H109" s="1"/>
  <c r="AC173"/>
  <c r="AC179"/>
  <c r="H108" s="1"/>
  <c r="AC152"/>
  <c r="G110" s="1"/>
  <c r="AC176"/>
  <c r="P54" i="32"/>
  <c r="H54"/>
  <c r="G57"/>
  <c r="AK48" i="29"/>
  <c r="AK46"/>
  <c r="AK121" i="10" s="1"/>
  <c r="AI192"/>
  <c r="AI186" s="1"/>
  <c r="AI53" i="22"/>
  <c r="AI44" s="1"/>
  <c r="J112" i="36"/>
  <c r="K112" s="1"/>
  <c r="L105" s="1"/>
  <c r="K111"/>
  <c r="AH73" i="29"/>
  <c r="AH133" i="10"/>
  <c r="AH74" i="29"/>
  <c r="AH75"/>
  <c r="AH212" i="10" s="1"/>
  <c r="AI54" i="11"/>
  <c r="AI45"/>
  <c r="AI124" i="10"/>
  <c r="AI71" i="22"/>
  <c r="AI81" s="1"/>
  <c r="AI72" i="29"/>
  <c r="U44" i="15"/>
  <c r="U18"/>
  <c r="AC178" i="10"/>
  <c r="AG218"/>
  <c r="V7" i="30"/>
  <c r="AG227" i="10"/>
  <c r="V13" i="15"/>
  <c r="T30"/>
  <c r="T40"/>
  <c r="AD222" i="10"/>
  <c r="AE214"/>
  <c r="AF136"/>
  <c r="AF162"/>
  <c r="AF68" i="11"/>
  <c r="AF79" s="1"/>
  <c r="AF47"/>
  <c r="AF229" i="10"/>
  <c r="AF233" s="1"/>
  <c r="AF231"/>
  <c r="U9" i="30" s="1"/>
  <c r="AH75" i="22"/>
  <c r="AE175" i="10"/>
  <c r="AE173"/>
  <c r="AE179"/>
  <c r="AE176"/>
  <c r="AE152"/>
  <c r="AE174"/>
  <c r="AE180"/>
  <c r="AJ59" i="22"/>
  <c r="AJ71" i="29"/>
  <c r="AF158" i="10"/>
  <c r="AF138"/>
  <c r="AF177" s="1"/>
  <c r="S16" i="15"/>
  <c r="R45"/>
  <c r="J128" i="36"/>
  <c r="K128" s="1"/>
  <c r="K127"/>
  <c r="AK82" i="37"/>
  <c r="AK78"/>
  <c r="AL44"/>
  <c r="AL67"/>
  <c r="AL81" s="1"/>
  <c r="AL65"/>
  <c r="AL68" s="1"/>
  <c r="AM64"/>
  <c r="AM77" s="1"/>
  <c r="AN61"/>
  <c r="AN73" s="1"/>
  <c r="AM62"/>
  <c r="AM74" s="1"/>
  <c r="AM58" i="22" s="1"/>
  <c r="AM191" i="10" s="1"/>
  <c r="AL71" i="11"/>
  <c r="AL82" s="1"/>
  <c r="AM43" i="37"/>
  <c r="AN68" i="22"/>
  <c r="AN78" s="1"/>
  <c r="AN40" i="37"/>
  <c r="AN41" s="1"/>
  <c r="AN71" i="26"/>
  <c r="AN70"/>
  <c r="AO68"/>
  <c r="AO46"/>
  <c r="AO189" i="10"/>
  <c r="AM71" i="11"/>
  <c r="AM165" i="10"/>
  <c r="AM141"/>
  <c r="AN72" i="26"/>
  <c r="AN130" i="10"/>
  <c r="AO57" i="11"/>
  <c r="AQ37" i="26"/>
  <c r="AP44"/>
  <c r="AP37" i="37" s="1"/>
  <c r="AP38" s="1"/>
  <c r="AP56" i="22"/>
  <c r="AP35" i="26"/>
  <c r="AP118" i="10" s="1"/>
  <c r="H57" i="32" l="1"/>
  <c r="P55"/>
  <c r="AI143" i="10"/>
  <c r="AI157" s="1"/>
  <c r="AI73" i="11"/>
  <c r="AI84" s="1"/>
  <c r="AJ132" i="10"/>
  <c r="AJ86" i="37"/>
  <c r="AJ80" i="22"/>
  <c r="AJ203" i="10"/>
  <c r="AI167"/>
  <c r="AJ83" i="37"/>
  <c r="AK79"/>
  <c r="AK70" i="22"/>
  <c r="AG220" i="10"/>
  <c r="H104"/>
  <c r="H107"/>
  <c r="L117" i="36"/>
  <c r="AJ167" i="10"/>
  <c r="H102"/>
  <c r="H105"/>
  <c r="F250"/>
  <c r="H250"/>
  <c r="H103"/>
  <c r="H106"/>
  <c r="S45" i="15"/>
  <c r="T16"/>
  <c r="AJ71" i="22"/>
  <c r="AJ81" s="1"/>
  <c r="AJ72" i="29"/>
  <c r="AE222" i="10"/>
  <c r="AF214"/>
  <c r="T36" i="15"/>
  <c r="T47" s="1"/>
  <c r="AK60" i="11"/>
  <c r="AK115" i="10"/>
  <c r="S54" i="32"/>
  <c r="V28" i="15"/>
  <c r="AJ124" i="10"/>
  <c r="AJ54" i="11"/>
  <c r="AJ45"/>
  <c r="U40" i="15"/>
  <c r="AI75" i="22"/>
  <c r="AI204" i="10"/>
  <c r="AI198" s="1"/>
  <c r="AI65" i="22"/>
  <c r="AI46" s="1"/>
  <c r="W7" i="30"/>
  <c r="AH227" i="10"/>
  <c r="AH218"/>
  <c r="W13" i="15"/>
  <c r="H241" i="10"/>
  <c r="H249" s="1"/>
  <c r="R33" i="15"/>
  <c r="R36"/>
  <c r="R47" s="1"/>
  <c r="AG91" i="11"/>
  <c r="AG85"/>
  <c r="AG95" s="1"/>
  <c r="AM75" i="37"/>
  <c r="AM120" i="10" s="1"/>
  <c r="AM59" i="11" s="1"/>
  <c r="AM40" i="29"/>
  <c r="AM42" s="1"/>
  <c r="AM44" s="1"/>
  <c r="AF173" i="10"/>
  <c r="AF179"/>
  <c r="AF175"/>
  <c r="AF176"/>
  <c r="AF152"/>
  <c r="AF174"/>
  <c r="AF180"/>
  <c r="AG231"/>
  <c r="V9" i="30" s="1"/>
  <c r="AG229" i="10"/>
  <c r="AG233" s="1"/>
  <c r="AI73" i="29"/>
  <c r="AI74"/>
  <c r="AI133" i="10"/>
  <c r="AI75" i="29"/>
  <c r="AI212" i="10" s="1"/>
  <c r="G94"/>
  <c r="AG68" i="11"/>
  <c r="AG79" s="1"/>
  <c r="AG47"/>
  <c r="AG162" i="10"/>
  <c r="AG136"/>
  <c r="AL48" i="29"/>
  <c r="AL46"/>
  <c r="AL121" i="10" s="1"/>
  <c r="U30" i="15"/>
  <c r="AJ192" i="10"/>
  <c r="AJ186" s="1"/>
  <c r="AJ53" i="22"/>
  <c r="AJ44" s="1"/>
  <c r="V18" i="15"/>
  <c r="V44"/>
  <c r="AH144" i="10"/>
  <c r="AH74" i="11"/>
  <c r="AH168" i="10"/>
  <c r="AH127"/>
  <c r="H93" s="1"/>
  <c r="AK59" i="22"/>
  <c r="AK71" i="29"/>
  <c r="R41" i="15"/>
  <c r="S20"/>
  <c r="AG158" i="10"/>
  <c r="AG138"/>
  <c r="AG177" s="1"/>
  <c r="AF178"/>
  <c r="AM44" i="37"/>
  <c r="AL82"/>
  <c r="AL78"/>
  <c r="AM65"/>
  <c r="AM68" s="1"/>
  <c r="AM67"/>
  <c r="AM81" s="1"/>
  <c r="AN64"/>
  <c r="AN77" s="1"/>
  <c r="AO61"/>
  <c r="AO73" s="1"/>
  <c r="AN62"/>
  <c r="AN74" s="1"/>
  <c r="AN58" i="22" s="1"/>
  <c r="AN191" i="10" s="1"/>
  <c r="AN201"/>
  <c r="AN43" i="37"/>
  <c r="AO68" i="22"/>
  <c r="AO40" i="37"/>
  <c r="AO41" s="1"/>
  <c r="AO69" i="26"/>
  <c r="AO71" s="1"/>
  <c r="AP68"/>
  <c r="AP40" i="37" s="1"/>
  <c r="AP41" s="1"/>
  <c r="AP46" i="26"/>
  <c r="AM155" i="10"/>
  <c r="AP57" i="11"/>
  <c r="AM82"/>
  <c r="AQ44" i="26"/>
  <c r="AQ37" i="37" s="1"/>
  <c r="AQ38" s="1"/>
  <c r="AQ56" i="22"/>
  <c r="AQ35" i="26"/>
  <c r="AQ118" i="10" s="1"/>
  <c r="AP189"/>
  <c r="AN71" i="11"/>
  <c r="AN165" i="10"/>
  <c r="AN141"/>
  <c r="AJ143" l="1"/>
  <c r="AJ157" s="1"/>
  <c r="AJ73" i="11"/>
  <c r="AJ84" s="1"/>
  <c r="AK83" i="37"/>
  <c r="AK86"/>
  <c r="AK80" i="22"/>
  <c r="AK203" i="10"/>
  <c r="AK132"/>
  <c r="AK167" s="1"/>
  <c r="AO201"/>
  <c r="AO78" i="22"/>
  <c r="AL79" i="37"/>
  <c r="AL70" i="22"/>
  <c r="AH220" i="10"/>
  <c r="H110"/>
  <c r="G250"/>
  <c r="G249"/>
  <c r="N245" s="1"/>
  <c r="AP69" i="26"/>
  <c r="AP71" s="1"/>
  <c r="AG173" i="10"/>
  <c r="AG179"/>
  <c r="AG152"/>
  <c r="AG176"/>
  <c r="AG175"/>
  <c r="AG174"/>
  <c r="AG180"/>
  <c r="AK71" i="22"/>
  <c r="AK72" i="29"/>
  <c r="AH91" i="11"/>
  <c r="AH85"/>
  <c r="AH95" s="1"/>
  <c r="V40" i="15"/>
  <c r="U36"/>
  <c r="U47" s="1"/>
  <c r="R37"/>
  <c r="R48" s="1"/>
  <c r="S33"/>
  <c r="AJ133" i="10"/>
  <c r="AJ74" i="29"/>
  <c r="AJ73"/>
  <c r="AJ75"/>
  <c r="AJ212" i="10" s="1"/>
  <c r="AL71" i="29"/>
  <c r="AL59" i="22"/>
  <c r="AI168" i="10"/>
  <c r="AI144"/>
  <c r="AI74" i="11"/>
  <c r="AI127" i="10"/>
  <c r="AM48" i="29"/>
  <c r="AM46"/>
  <c r="AM121" i="10" s="1"/>
  <c r="W44" i="15"/>
  <c r="W18"/>
  <c r="AG178" i="10"/>
  <c r="S41" i="15"/>
  <c r="T20"/>
  <c r="AH68" i="11"/>
  <c r="AH79" s="1"/>
  <c r="AH47"/>
  <c r="AH136" i="10"/>
  <c r="AH162"/>
  <c r="F93" s="1"/>
  <c r="AL60" i="11"/>
  <c r="AL115" i="10"/>
  <c r="X13" i="15"/>
  <c r="AI227" i="10"/>
  <c r="AI218"/>
  <c r="X7" i="30"/>
  <c r="AK124" i="10"/>
  <c r="AK54" i="11"/>
  <c r="AK45"/>
  <c r="AG214" i="10"/>
  <c r="AF222"/>
  <c r="T45" i="15"/>
  <c r="U16"/>
  <c r="V30"/>
  <c r="AN75" i="37"/>
  <c r="AN120" i="10" s="1"/>
  <c r="AN59" i="11" s="1"/>
  <c r="AN40" i="29"/>
  <c r="AN42" s="1"/>
  <c r="AN44" s="1"/>
  <c r="AK192" i="10"/>
  <c r="AK186" s="1"/>
  <c r="AK53" i="22"/>
  <c r="AK44" s="1"/>
  <c r="AH158" i="10"/>
  <c r="AH138"/>
  <c r="H94" s="1"/>
  <c r="AH231"/>
  <c r="W9" i="30" s="1"/>
  <c r="AH229" i="10"/>
  <c r="AH233" s="1"/>
  <c r="W28" i="15"/>
  <c r="O96" i="32"/>
  <c r="R96" s="1"/>
  <c r="S55"/>
  <c r="AJ75" i="22"/>
  <c r="AJ204" i="10"/>
  <c r="AJ198" s="1"/>
  <c r="AJ65" i="22"/>
  <c r="AJ46" s="1"/>
  <c r="AM82" i="37"/>
  <c r="AM78"/>
  <c r="AN44"/>
  <c r="AN67"/>
  <c r="AN81" s="1"/>
  <c r="AN65"/>
  <c r="AN68" s="1"/>
  <c r="AO64"/>
  <c r="AO77" s="1"/>
  <c r="AO62"/>
  <c r="AO74" s="1"/>
  <c r="AO58" i="22" s="1"/>
  <c r="AO191" i="10" s="1"/>
  <c r="AP61" i="37"/>
  <c r="AP73" s="1"/>
  <c r="AP68" i="22"/>
  <c r="AP78" s="1"/>
  <c r="AO130" i="10"/>
  <c r="AO141" s="1"/>
  <c r="AP43" i="37"/>
  <c r="AO43"/>
  <c r="AO70" i="26"/>
  <c r="AO72"/>
  <c r="AQ68"/>
  <c r="AQ46"/>
  <c r="AN155" i="10"/>
  <c r="AQ189"/>
  <c r="AN82" i="11"/>
  <c r="AQ57"/>
  <c r="AK143" i="10" l="1"/>
  <c r="AK157" s="1"/>
  <c r="AK73" i="11"/>
  <c r="AK84" s="1"/>
  <c r="B252" i="10"/>
  <c r="AL83" i="37"/>
  <c r="AL86"/>
  <c r="AL80" i="22"/>
  <c r="AL203" i="10"/>
  <c r="AI220"/>
  <c r="AP72" i="26"/>
  <c r="AP70"/>
  <c r="AL132" i="10"/>
  <c r="AM79" i="37"/>
  <c r="AM70" i="22"/>
  <c r="AK81"/>
  <c r="AK75" s="1"/>
  <c r="AP130" i="10"/>
  <c r="AP141" s="1"/>
  <c r="AH178"/>
  <c r="AH177"/>
  <c r="AN48" i="29"/>
  <c r="AN46"/>
  <c r="AN121" i="10" s="1"/>
  <c r="AH214"/>
  <c r="AG222"/>
  <c r="AI231"/>
  <c r="X9" i="30" s="1"/>
  <c r="AI229" i="10"/>
  <c r="AI233" s="1"/>
  <c r="AM60" i="11"/>
  <c r="AM115" i="10"/>
  <c r="O97" i="32"/>
  <c r="S56"/>
  <c r="O59"/>
  <c r="R59" s="1"/>
  <c r="K60" s="1"/>
  <c r="K61" s="1"/>
  <c r="AL71" i="22"/>
  <c r="AL81" s="1"/>
  <c r="AL72" i="29"/>
  <c r="AJ144" i="10"/>
  <c r="AJ74" i="11"/>
  <c r="AJ168" i="10"/>
  <c r="AJ127"/>
  <c r="AK204"/>
  <c r="AK198" s="1"/>
  <c r="AK65" i="22"/>
  <c r="AK46" s="1"/>
  <c r="X28" i="15"/>
  <c r="AH175" i="10"/>
  <c r="AH152"/>
  <c r="F94" s="1"/>
  <c r="AH174"/>
  <c r="AH180"/>
  <c r="AH173"/>
  <c r="AH179"/>
  <c r="AH176"/>
  <c r="AI91" i="11"/>
  <c r="AI85"/>
  <c r="AI95" s="1"/>
  <c r="AL192" i="10"/>
  <c r="AL186" s="1"/>
  <c r="AL53" i="22"/>
  <c r="AL44" s="1"/>
  <c r="S37" i="15"/>
  <c r="S48" s="1"/>
  <c r="T33"/>
  <c r="AK75" i="29"/>
  <c r="AK212" i="10" s="1"/>
  <c r="AK74" i="29"/>
  <c r="AK133" i="10"/>
  <c r="AK73" i="29"/>
  <c r="AP201" i="10"/>
  <c r="AO75" i="37"/>
  <c r="AO120" i="10" s="1"/>
  <c r="AO59" i="11" s="1"/>
  <c r="AO40" i="29"/>
  <c r="AO42" s="1"/>
  <c r="AO44" s="1"/>
  <c r="V36" i="15"/>
  <c r="V47" s="1"/>
  <c r="AL124" i="10"/>
  <c r="AL45" i="11"/>
  <c r="AL54"/>
  <c r="W30" i="15"/>
  <c r="W40"/>
  <c r="AI68" i="11"/>
  <c r="AI79" s="1"/>
  <c r="AI162" i="10"/>
  <c r="AI47" i="11"/>
  <c r="AI136" i="10"/>
  <c r="V16" i="15"/>
  <c r="U45"/>
  <c r="X18"/>
  <c r="X44"/>
  <c r="T41"/>
  <c r="U20"/>
  <c r="AM59" i="22"/>
  <c r="AM71" i="29"/>
  <c r="AI158" i="10"/>
  <c r="AI138"/>
  <c r="AI177" s="1"/>
  <c r="AJ227"/>
  <c r="Y7" i="30"/>
  <c r="AJ218" i="10"/>
  <c r="Y13" i="15"/>
  <c r="AN82" i="37"/>
  <c r="AP44"/>
  <c r="AO44"/>
  <c r="AN78"/>
  <c r="AP64"/>
  <c r="AP77" s="1"/>
  <c r="AQ61"/>
  <c r="AQ73" s="1"/>
  <c r="AP62"/>
  <c r="AP74" s="1"/>
  <c r="AP58" i="22" s="1"/>
  <c r="AP191" i="10" s="1"/>
  <c r="AO67" i="37"/>
  <c r="AO81" s="1"/>
  <c r="AO65"/>
  <c r="AO68" s="1"/>
  <c r="AO165" i="10"/>
  <c r="AO71" i="11"/>
  <c r="AO82" s="1"/>
  <c r="AQ68" i="22"/>
  <c r="AQ78" s="1"/>
  <c r="AQ40" i="37"/>
  <c r="AQ41" s="1"/>
  <c r="AQ69" i="26"/>
  <c r="AQ70" s="1"/>
  <c r="AO155" i="10"/>
  <c r="AL167" l="1"/>
  <c r="AL73" i="11"/>
  <c r="AL84" s="1"/>
  <c r="AM132" i="10"/>
  <c r="AM86" i="37"/>
  <c r="AJ220" i="10"/>
  <c r="AM80" i="22"/>
  <c r="AM203" i="10"/>
  <c r="AM83" i="37"/>
  <c r="AL143" i="10"/>
  <c r="AL157" s="1"/>
  <c r="AN79" i="37"/>
  <c r="AN70" i="22"/>
  <c r="AL75"/>
  <c r="AP165" i="10"/>
  <c r="AP71" i="11"/>
  <c r="AP82" s="1"/>
  <c r="AM167" i="10"/>
  <c r="AQ71" i="26"/>
  <c r="AI175" i="10"/>
  <c r="AI180"/>
  <c r="AI173"/>
  <c r="AI174"/>
  <c r="AI176"/>
  <c r="AI179"/>
  <c r="AI152"/>
  <c r="U41" i="15"/>
  <c r="V20"/>
  <c r="X30"/>
  <c r="X40"/>
  <c r="AK74" i="11"/>
  <c r="AK144" i="10"/>
  <c r="AK168"/>
  <c r="AK127"/>
  <c r="AJ91" i="11"/>
  <c r="AJ85"/>
  <c r="AJ95" s="1"/>
  <c r="AM54"/>
  <c r="AM45"/>
  <c r="AM124" i="10"/>
  <c r="Y18" i="15"/>
  <c r="Y30" s="1"/>
  <c r="Y44"/>
  <c r="AM192" i="10"/>
  <c r="AM186" s="1"/>
  <c r="AM53" i="22"/>
  <c r="AM44" s="1"/>
  <c r="W36" i="15"/>
  <c r="W47" s="1"/>
  <c r="T37"/>
  <c r="T48" s="1"/>
  <c r="U33"/>
  <c r="Y28"/>
  <c r="AL204" i="10"/>
  <c r="AL198" s="1"/>
  <c r="AL65" i="22"/>
  <c r="AL46" s="1"/>
  <c r="O100" i="32"/>
  <c r="R100" s="1"/>
  <c r="K101" s="1"/>
  <c r="K102" s="1"/>
  <c r="R97"/>
  <c r="AN59" i="22"/>
  <c r="AN71" i="29"/>
  <c r="AI178" i="10"/>
  <c r="AP75" i="37"/>
  <c r="AP120" i="10" s="1"/>
  <c r="AP59" i="11" s="1"/>
  <c r="AP40" i="29"/>
  <c r="AP42" s="1"/>
  <c r="AP44" s="1"/>
  <c r="AJ229" i="10"/>
  <c r="AJ233" s="1"/>
  <c r="AJ231"/>
  <c r="Y9" i="30" s="1"/>
  <c r="AM71" i="22"/>
  <c r="AM81" s="1"/>
  <c r="AM72" i="29"/>
  <c r="W16" i="15"/>
  <c r="V45"/>
  <c r="Z7" i="30"/>
  <c r="AK218" i="10"/>
  <c r="AK220" s="1"/>
  <c r="AK227"/>
  <c r="Z13" i="15"/>
  <c r="AJ68" i="11"/>
  <c r="AJ79" s="1"/>
  <c r="AJ136" i="10"/>
  <c r="AJ47" i="11"/>
  <c r="AJ162" i="10"/>
  <c r="AL73" i="29"/>
  <c r="AL75"/>
  <c r="AL212" i="10" s="1"/>
  <c r="AL74" i="29"/>
  <c r="AL133" i="10"/>
  <c r="AN60" i="11"/>
  <c r="AN115" i="10"/>
  <c r="AO48" i="29"/>
  <c r="AO46"/>
  <c r="AO121" i="10" s="1"/>
  <c r="AJ158"/>
  <c r="AJ138"/>
  <c r="AJ177" s="1"/>
  <c r="AH222"/>
  <c r="AI214"/>
  <c r="AO78" i="37"/>
  <c r="AO82"/>
  <c r="AP65"/>
  <c r="AP67"/>
  <c r="AP81" s="1"/>
  <c r="AQ64"/>
  <c r="AQ77" s="1"/>
  <c r="AQ62"/>
  <c r="AQ74" s="1"/>
  <c r="AQ58" i="22" s="1"/>
  <c r="AQ191" i="10" s="1"/>
  <c r="AQ72" i="26"/>
  <c r="AQ201" i="10"/>
  <c r="AQ43" i="37"/>
  <c r="AQ130" i="10"/>
  <c r="AQ165" s="1"/>
  <c r="AP155"/>
  <c r="AM143" l="1"/>
  <c r="AM157" s="1"/>
  <c r="AM73" i="11"/>
  <c r="AM84" s="1"/>
  <c r="AN83" i="37"/>
  <c r="AN86"/>
  <c r="AN80" i="22"/>
  <c r="AN203" i="10"/>
  <c r="AN132"/>
  <c r="AO79" i="37"/>
  <c r="AO70" i="22"/>
  <c r="AJ175" i="10"/>
  <c r="AJ173"/>
  <c r="AJ179"/>
  <c r="AJ174"/>
  <c r="AJ180"/>
  <c r="AJ176"/>
  <c r="AJ152"/>
  <c r="AN124"/>
  <c r="AN54" i="11"/>
  <c r="AN45"/>
  <c r="AL218" i="10"/>
  <c r="AL220" s="1"/>
  <c r="AA13" i="15"/>
  <c r="AA7" i="30"/>
  <c r="AL227" i="10"/>
  <c r="AM73" i="29"/>
  <c r="AM74"/>
  <c r="AM133" i="10"/>
  <c r="AM75" i="29"/>
  <c r="AM212" i="10" s="1"/>
  <c r="AP48" i="29"/>
  <c r="AP46"/>
  <c r="AP121" i="10" s="1"/>
  <c r="AN72" i="29"/>
  <c r="AN71" i="22"/>
  <c r="AN81" s="1"/>
  <c r="U37" i="15"/>
  <c r="U48" s="1"/>
  <c r="V33"/>
  <c r="AK47" i="11"/>
  <c r="AK162" i="10"/>
  <c r="AK136"/>
  <c r="AK68" i="11"/>
  <c r="AK79" s="1"/>
  <c r="AO59" i="22"/>
  <c r="AO71" i="29"/>
  <c r="AK231" i="10"/>
  <c r="Z9" i="30" s="1"/>
  <c r="AK229" i="10"/>
  <c r="AK233" s="1"/>
  <c r="W45" i="15"/>
  <c r="X16"/>
  <c r="Y36"/>
  <c r="AK91" i="11"/>
  <c r="AK85"/>
  <c r="AK95" s="1"/>
  <c r="V41" i="15"/>
  <c r="W20"/>
  <c r="AJ178" i="10"/>
  <c r="AO60" i="11"/>
  <c r="AO115" i="10"/>
  <c r="AL144"/>
  <c r="AL74" i="11"/>
  <c r="AL168" i="10"/>
  <c r="AL127"/>
  <c r="Z18" i="15"/>
  <c r="Z30" s="1"/>
  <c r="Z44"/>
  <c r="Z28"/>
  <c r="Y40"/>
  <c r="AK158" i="10"/>
  <c r="AK138"/>
  <c r="X36" i="15"/>
  <c r="X47" s="1"/>
  <c r="AQ75" i="37"/>
  <c r="AQ120" i="10" s="1"/>
  <c r="AQ59" i="11" s="1"/>
  <c r="AQ40" i="29"/>
  <c r="AQ42" s="1"/>
  <c r="AQ44" s="1"/>
  <c r="AJ214" i="10"/>
  <c r="AI222"/>
  <c r="AM204"/>
  <c r="AM198" s="1"/>
  <c r="AM65" i="22"/>
  <c r="AM46" s="1"/>
  <c r="AN192" i="10"/>
  <c r="AN186" s="1"/>
  <c r="AN53" i="22"/>
  <c r="AN44" s="1"/>
  <c r="AM75"/>
  <c r="AP68" i="37"/>
  <c r="AP82" s="1"/>
  <c r="AP78"/>
  <c r="AQ44"/>
  <c r="AQ67"/>
  <c r="AQ81" s="1"/>
  <c r="AQ65"/>
  <c r="AQ68" s="1"/>
  <c r="AQ141" i="10"/>
  <c r="AQ71" i="11"/>
  <c r="AN143" i="10" l="1"/>
  <c r="AN157" s="1"/>
  <c r="AN73" i="11"/>
  <c r="AN84" s="1"/>
  <c r="AO83" i="37"/>
  <c r="AO86"/>
  <c r="AO80" i="22"/>
  <c r="AO203" i="10"/>
  <c r="AO132"/>
  <c r="AN167"/>
  <c r="AP79" i="37"/>
  <c r="AP70" i="22"/>
  <c r="AK178" i="10"/>
  <c r="AK177"/>
  <c r="AK214"/>
  <c r="AJ222"/>
  <c r="AK175"/>
  <c r="AK176"/>
  <c r="AK174"/>
  <c r="AK180"/>
  <c r="AK152"/>
  <c r="AK173"/>
  <c r="AK179"/>
  <c r="AA28" i="15"/>
  <c r="AL91" i="11"/>
  <c r="AL85"/>
  <c r="AL95" s="1"/>
  <c r="AO192" i="10"/>
  <c r="AO186" s="1"/>
  <c r="AO53" i="22"/>
  <c r="AO44" s="1"/>
  <c r="AN133" i="10"/>
  <c r="AN74" i="29"/>
  <c r="AN75"/>
  <c r="AN212" i="10" s="1"/>
  <c r="AN73" i="29"/>
  <c r="AM74" i="11"/>
  <c r="AM168" i="10"/>
  <c r="AM144"/>
  <c r="AM127"/>
  <c r="Y16" i="15"/>
  <c r="X45"/>
  <c r="AO72" i="29"/>
  <c r="AO71" i="22"/>
  <c r="AN75"/>
  <c r="AN204" i="10"/>
  <c r="AN198" s="1"/>
  <c r="AN65" i="22"/>
  <c r="AN46" s="1"/>
  <c r="AM218" i="10"/>
  <c r="AM220" s="1"/>
  <c r="AB7" i="30"/>
  <c r="AB13" i="15"/>
  <c r="AM227" i="10"/>
  <c r="AL229"/>
  <c r="AL233" s="1"/>
  <c r="AL231"/>
  <c r="AA9" i="30" s="1"/>
  <c r="Z36" i="15"/>
  <c r="AL68" i="11"/>
  <c r="AL79" s="1"/>
  <c r="AL136" i="10"/>
  <c r="AL162"/>
  <c r="AL47" i="11"/>
  <c r="AO45"/>
  <c r="AO124" i="10"/>
  <c r="AO54" i="11"/>
  <c r="AP59" i="22"/>
  <c r="AP71" i="29"/>
  <c r="Y47" i="15"/>
  <c r="AQ48" i="29"/>
  <c r="AQ46"/>
  <c r="AQ121" i="10" s="1"/>
  <c r="Z40" i="15"/>
  <c r="AL158" i="10"/>
  <c r="AL138"/>
  <c r="W41" i="15"/>
  <c r="X20"/>
  <c r="V37"/>
  <c r="V48" s="1"/>
  <c r="W33"/>
  <c r="AP60" i="11"/>
  <c r="AP115" i="10"/>
  <c r="AA44" i="15"/>
  <c r="AA18"/>
  <c r="AQ82" i="37"/>
  <c r="AQ78"/>
  <c r="AQ82" i="11"/>
  <c r="AQ155" i="10"/>
  <c r="AO143" l="1"/>
  <c r="AO157" s="1"/>
  <c r="AO73" i="11"/>
  <c r="AO84" s="1"/>
  <c r="AP132" i="10"/>
  <c r="AP86" i="37"/>
  <c r="AP80" i="22"/>
  <c r="AP203" i="10"/>
  <c r="AO167"/>
  <c r="AP83" i="37"/>
  <c r="AQ79"/>
  <c r="AQ70" i="22"/>
  <c r="AO81"/>
  <c r="AO75" s="1"/>
  <c r="AL178" i="10"/>
  <c r="AL177"/>
  <c r="W37" i="15"/>
  <c r="W48" s="1"/>
  <c r="X33"/>
  <c r="AP72" i="29"/>
  <c r="AP71" i="22"/>
  <c r="AP81" s="1"/>
  <c r="Y45" i="15"/>
  <c r="Z16"/>
  <c r="AM91" i="11"/>
  <c r="AM85"/>
  <c r="AM95" s="1"/>
  <c r="AN74"/>
  <c r="AN168" i="10"/>
  <c r="AN144"/>
  <c r="AN127"/>
  <c r="AK222"/>
  <c r="AL214"/>
  <c r="AA30" i="15"/>
  <c r="AA40"/>
  <c r="AB44"/>
  <c r="AB18"/>
  <c r="AB30" s="1"/>
  <c r="AQ59" i="22"/>
  <c r="AQ71" i="29"/>
  <c r="AO133" i="10"/>
  <c r="AO73" i="29"/>
  <c r="AO74"/>
  <c r="AO75"/>
  <c r="AO212" i="10" s="1"/>
  <c r="AM158"/>
  <c r="AM138"/>
  <c r="AM177" s="1"/>
  <c r="AC13" i="15"/>
  <c r="AC7" i="30"/>
  <c r="AN227" i="10"/>
  <c r="AN218"/>
  <c r="AN220" s="1"/>
  <c r="AB28" i="15"/>
  <c r="AP124" i="10"/>
  <c r="AP45" i="11"/>
  <c r="AP54"/>
  <c r="X41" i="15"/>
  <c r="Y20"/>
  <c r="AM231" i="10"/>
  <c r="AB9" i="30" s="1"/>
  <c r="AM229" i="10"/>
  <c r="AM233" s="1"/>
  <c r="AL173"/>
  <c r="AL179"/>
  <c r="AL174"/>
  <c r="AL180"/>
  <c r="AL176"/>
  <c r="AL152"/>
  <c r="AL175"/>
  <c r="AQ60" i="11"/>
  <c r="AQ115" i="10"/>
  <c r="AP192"/>
  <c r="AP186" s="1"/>
  <c r="AP53" i="22"/>
  <c r="AP44" s="1"/>
  <c r="AO204" i="10"/>
  <c r="AO198" s="1"/>
  <c r="AO65" i="22"/>
  <c r="AO46" s="1"/>
  <c r="AM47" i="11"/>
  <c r="AM136" i="10"/>
  <c r="AM162"/>
  <c r="AM68" i="11"/>
  <c r="AM79" s="1"/>
  <c r="Z47" i="15"/>
  <c r="AP167" i="10" l="1"/>
  <c r="AP73" i="11"/>
  <c r="AP84" s="1"/>
  <c r="AQ83" i="37"/>
  <c r="AQ86"/>
  <c r="AP143" i="10"/>
  <c r="AP157" s="1"/>
  <c r="AQ80" i="22"/>
  <c r="AQ203" i="10"/>
  <c r="AQ132"/>
  <c r="AQ54" i="11"/>
  <c r="AQ45"/>
  <c r="AT112" i="10"/>
  <c r="AQ124"/>
  <c r="AC28" i="15"/>
  <c r="AO74" i="11"/>
  <c r="AO168" i="10"/>
  <c r="AO144"/>
  <c r="AO127"/>
  <c r="AB36" i="15"/>
  <c r="AN91" i="11"/>
  <c r="AN85"/>
  <c r="AN95" s="1"/>
  <c r="Y41" i="15"/>
  <c r="Z20"/>
  <c r="AN231" i="10"/>
  <c r="AC9" i="30" s="1"/>
  <c r="AN229" i="10"/>
  <c r="AN233" s="1"/>
  <c r="AM175"/>
  <c r="AM173"/>
  <c r="AM179"/>
  <c r="AM174"/>
  <c r="AM176"/>
  <c r="AM152"/>
  <c r="AM180"/>
  <c r="AM214"/>
  <c r="AL222"/>
  <c r="AA16" i="15"/>
  <c r="Z45"/>
  <c r="X37"/>
  <c r="X48" s="1"/>
  <c r="Y33"/>
  <c r="AQ192" i="10"/>
  <c r="AQ186" s="1"/>
  <c r="AQ53" i="22"/>
  <c r="AQ44" s="1"/>
  <c r="AA36" i="15"/>
  <c r="AA47" s="1"/>
  <c r="AN158" i="10"/>
  <c r="AN138"/>
  <c r="AP133"/>
  <c r="AP75" i="29"/>
  <c r="AP212" i="10" s="1"/>
  <c r="AP74" i="29"/>
  <c r="AP73"/>
  <c r="AM178" i="10"/>
  <c r="AC44" i="15"/>
  <c r="AC18"/>
  <c r="AO218" i="10"/>
  <c r="AO220" s="1"/>
  <c r="AD7" i="30"/>
  <c r="AD13" i="15"/>
  <c r="AO227" i="10"/>
  <c r="AQ71" i="22"/>
  <c r="AQ81" s="1"/>
  <c r="AQ72" i="29"/>
  <c r="AB40" i="15"/>
  <c r="AN68" i="11"/>
  <c r="AN79" s="1"/>
  <c r="AN47"/>
  <c r="AN136" i="10"/>
  <c r="AN162"/>
  <c r="AP75" i="22"/>
  <c r="AP204" i="10"/>
  <c r="AP198" s="1"/>
  <c r="AP65" i="22"/>
  <c r="AP46" s="1"/>
  <c r="AQ167" i="10" l="1"/>
  <c r="AQ73" i="11"/>
  <c r="AQ84" s="1"/>
  <c r="AQ143" i="10"/>
  <c r="AQ157" s="1"/>
  <c r="AN178"/>
  <c r="AN177"/>
  <c r="AQ75" i="22"/>
  <c r="AQ204" i="10"/>
  <c r="AQ198" s="1"/>
  <c r="AQ65" i="22"/>
  <c r="AQ46" s="1"/>
  <c r="AP74" i="11"/>
  <c r="AP168" i="10"/>
  <c r="AP144"/>
  <c r="AP127"/>
  <c r="AD44" i="15"/>
  <c r="AD18"/>
  <c r="AC30"/>
  <c r="AC40"/>
  <c r="AN175" i="10"/>
  <c r="AN176"/>
  <c r="AN174"/>
  <c r="AN152"/>
  <c r="AN180"/>
  <c r="AN173"/>
  <c r="AN179"/>
  <c r="AO158"/>
  <c r="AO138"/>
  <c r="AO177" s="1"/>
  <c r="AO231"/>
  <c r="AD9" i="30" s="1"/>
  <c r="AO229" i="10"/>
  <c r="AO233" s="1"/>
  <c r="AN214"/>
  <c r="AM222"/>
  <c r="AO47" i="11"/>
  <c r="AO68"/>
  <c r="AO79" s="1"/>
  <c r="AO136" i="10"/>
  <c r="AO162"/>
  <c r="AD28" i="15"/>
  <c r="Y37"/>
  <c r="Y48" s="1"/>
  <c r="Z33"/>
  <c r="AO91" i="11"/>
  <c r="AO85"/>
  <c r="AO95" s="1"/>
  <c r="AQ75" i="29"/>
  <c r="AQ212" i="10" s="1"/>
  <c r="AQ73" i="29"/>
  <c r="AQ74"/>
  <c r="AQ133" i="10"/>
  <c r="AE13" i="15"/>
  <c r="AE7" i="30"/>
  <c r="AP227" i="10"/>
  <c r="AP218"/>
  <c r="AP220" s="1"/>
  <c r="AA45" i="15"/>
  <c r="AB16"/>
  <c r="Z41"/>
  <c r="AA20"/>
  <c r="AB47"/>
  <c r="AD40" l="1"/>
  <c r="AQ168" i="10"/>
  <c r="AQ74" i="11"/>
  <c r="AQ144" i="10"/>
  <c r="AQ127"/>
  <c r="AE28" i="15"/>
  <c r="AP158" i="10"/>
  <c r="AP138"/>
  <c r="AP177" s="1"/>
  <c r="AA41" i="15"/>
  <c r="AB20"/>
  <c r="AE44"/>
  <c r="AE18"/>
  <c r="AD30"/>
  <c r="AP231" i="10"/>
  <c r="AE9" i="30" s="1"/>
  <c r="AP229" i="10"/>
  <c r="AP233" s="1"/>
  <c r="AQ218"/>
  <c r="AQ220" s="1"/>
  <c r="AF7" i="30"/>
  <c r="AQ227" i="10"/>
  <c r="AO214"/>
  <c r="AN222"/>
  <c r="AO173"/>
  <c r="AO179"/>
  <c r="AO175"/>
  <c r="AO152"/>
  <c r="AO176"/>
  <c r="AO180"/>
  <c r="AO174"/>
  <c r="AP162"/>
  <c r="AP68" i="11"/>
  <c r="AP79" s="1"/>
  <c r="AP47"/>
  <c r="AP136" i="10"/>
  <c r="AC16" i="15"/>
  <c r="AB45"/>
  <c r="Z37"/>
  <c r="Z48" s="1"/>
  <c r="AA33"/>
  <c r="AC36"/>
  <c r="AC47" s="1"/>
  <c r="AP91" i="11"/>
  <c r="AP85"/>
  <c r="AP95" s="1"/>
  <c r="AO178" i="10"/>
  <c r="AQ231" l="1"/>
  <c r="AF9" i="30" s="1"/>
  <c r="AQ229" i="10"/>
  <c r="AQ233" s="1"/>
  <c r="AB41" i="15"/>
  <c r="AC20"/>
  <c r="AQ158" i="10"/>
  <c r="AQ138"/>
  <c r="AA37" i="15"/>
  <c r="AA48" s="1"/>
  <c r="AB33"/>
  <c r="AO222" i="10"/>
  <c r="AP214"/>
  <c r="AP175"/>
  <c r="AP176"/>
  <c r="AP152"/>
  <c r="AP180"/>
  <c r="AP174"/>
  <c r="AP179"/>
  <c r="AP173"/>
  <c r="AQ162"/>
  <c r="AQ136"/>
  <c r="AQ68" i="11"/>
  <c r="AQ79" s="1"/>
  <c r="AQ47"/>
  <c r="AD16" i="15"/>
  <c r="AC45"/>
  <c r="AP178" i="10"/>
  <c r="AE30" i="15"/>
  <c r="AE40"/>
  <c r="AD36"/>
  <c r="AD47" s="1"/>
  <c r="AQ91" i="11"/>
  <c r="AQ85"/>
  <c r="AQ95" s="1"/>
  <c r="AQ178" i="10" l="1"/>
  <c r="AQ177"/>
  <c r="AB37" i="15"/>
  <c r="AB48" s="1"/>
  <c r="AC33"/>
  <c r="AE36"/>
  <c r="AE47" s="1"/>
  <c r="AE16"/>
  <c r="AE45" s="1"/>
  <c r="AD45"/>
  <c r="AP222" i="10"/>
  <c r="AQ214"/>
  <c r="AQ222" s="1"/>
  <c r="AQ175"/>
  <c r="AQ173"/>
  <c r="AQ179"/>
  <c r="AQ174"/>
  <c r="AQ176"/>
  <c r="AQ152"/>
  <c r="AQ180"/>
  <c r="AC41" i="15"/>
  <c r="AD20"/>
  <c r="AE20" l="1"/>
  <c r="AE41" s="1"/>
  <c r="AD41"/>
  <c r="AC37"/>
  <c r="AC48" s="1"/>
  <c r="AD33"/>
  <c r="AD37" l="1"/>
  <c r="AD48" s="1"/>
  <c r="AE33"/>
  <c r="AE37" s="1"/>
  <c r="AE48" s="1"/>
</calcChain>
</file>

<file path=xl/sharedStrings.xml><?xml version="1.0" encoding="utf-8"?>
<sst xmlns="http://schemas.openxmlformats.org/spreadsheetml/2006/main" count="1948" uniqueCount="1284">
  <si>
    <t>Emission rate (CO2 per gallon) w/o carbon tax</t>
  </si>
  <si>
    <t>Emission rate (CO2 per gallon) w/ carbon tax</t>
  </si>
  <si>
    <t>Emission rate (CO2 per btu) w/o carbon tax</t>
  </si>
  <si>
    <t>Emission rate (CO2 per btu) w/ carbon tax</t>
  </si>
  <si>
    <t>Product of two earlier ratios, above</t>
  </si>
  <si>
    <t>Ratio (due to carbon tax)</t>
  </si>
  <si>
    <r>
      <t xml:space="preserve">Line losses </t>
    </r>
    <r>
      <rPr>
        <sz val="8"/>
        <rFont val="Arial"/>
        <family val="2"/>
      </rPr>
      <t>(% of generation that doesn't reach user)</t>
    </r>
  </si>
  <si>
    <t>U.S. gasoline sales with carbon tax, million gallons</t>
  </si>
  <si>
    <t>U.S. Carbon Dioxide Emissions</t>
  </si>
  <si>
    <t>Aviation</t>
  </si>
  <si>
    <t>Additional Energy Constants</t>
  </si>
  <si>
    <t>http://www.eia.doe.gov/emeu/mer/append_a.html, Table A3.</t>
  </si>
  <si>
    <t>Million Btu per barrel, jet fuel</t>
  </si>
  <si>
    <t>lbs CO2 per gallon, jet fuel</t>
  </si>
  <si>
    <t xml:space="preserve">Assumed price-elasticity of demand for jet fuel (long-run) </t>
  </si>
  <si>
    <t>Graph_Oil</t>
  </si>
  <si>
    <t>Graph_CO2</t>
  </si>
  <si>
    <t>CO2 emissions</t>
  </si>
  <si>
    <t>Without a carbon tax or other carbon-pricing action</t>
  </si>
  <si>
    <t>Actual data</t>
  </si>
  <si>
    <t>All emissions are for USA, in millions of metric tons of carbon dioxide per year, from fossil-fuel combustion.</t>
  </si>
  <si>
    <t>Yes Tax ---------------------------------------------------&gt;</t>
  </si>
  <si>
    <t>ton/CO2 tax</t>
  </si>
  <si>
    <t>Inputs</t>
  </si>
  <si>
    <t>Calendar Year</t>
  </si>
  <si>
    <t>Tax Revenues</t>
  </si>
  <si>
    <r>
      <t xml:space="preserve">from </t>
    </r>
    <r>
      <rPr>
        <b/>
        <sz val="8"/>
        <rFont val="Arial"/>
        <family val="2"/>
      </rPr>
      <t xml:space="preserve">Summary </t>
    </r>
    <r>
      <rPr>
        <sz val="8"/>
        <rFont val="Arial"/>
        <family val="2"/>
      </rPr>
      <t>worksheet</t>
    </r>
  </si>
  <si>
    <t>As provided in the Larson bill, America's Energy Security Trust Fund Act of 2009, version of 4 March 2009.</t>
  </si>
  <si>
    <t>minimum of $10 billion or one-sixth of revenues (p. 15)</t>
  </si>
  <si>
    <t>Affected Industry Transition Fund</t>
  </si>
  <si>
    <t>Amount by which Transition Fund in each year is less than prior year's Level (expressed as fraction of original amount)</t>
  </si>
  <si>
    <t>First Year Percent of Revenues</t>
  </si>
  <si>
    <t>See p. 16.</t>
  </si>
  <si>
    <t>Remaining Revenue (of which 100% is dedicated to reducing payroll taxes)</t>
  </si>
  <si>
    <t>Payroll Tax Reduction Amount as % of Revenues</t>
  </si>
  <si>
    <t>In Each Year</t>
  </si>
  <si>
    <t>Cumulative from Inception through Year Shown</t>
  </si>
  <si>
    <t>Cumulative Revenues</t>
  </si>
  <si>
    <t>Cumulative Payroll Tax Shift Revenues</t>
  </si>
  <si>
    <t>Clean-Energy R&amp;D and Investment</t>
  </si>
  <si>
    <t>Clean-Energy R&amp;D and Investment as % of Revenues</t>
  </si>
  <si>
    <t>Affected Industry Transition Fund as % of Revenues</t>
  </si>
  <si>
    <t>Cumulative</t>
  </si>
  <si>
    <t>Affected Industry Transition Fund, Annual</t>
  </si>
  <si>
    <t>Coal</t>
  </si>
  <si>
    <t>Petroleum</t>
  </si>
  <si>
    <t>GHG's (Greenhouse Gases)</t>
  </si>
  <si>
    <t>Fossil Fuel Combustion</t>
  </si>
  <si>
    <t>Electricity Generation</t>
  </si>
  <si>
    <t>Transportation</t>
  </si>
  <si>
    <t>Industrial</t>
  </si>
  <si>
    <t>Residential</t>
  </si>
  <si>
    <t>Commercial</t>
  </si>
  <si>
    <t>U.S. Territories</t>
  </si>
  <si>
    <t>CO2 from other sources</t>
  </si>
  <si>
    <t>CH4</t>
  </si>
  <si>
    <t>N20</t>
  </si>
  <si>
    <t>HFCs</t>
  </si>
  <si>
    <t>PFCs</t>
  </si>
  <si>
    <t>SF6</t>
  </si>
  <si>
    <t>This worksheet compiles U.S. emissions of all greenhouse gases, as estimated by U.S. EPA in:</t>
  </si>
  <si>
    <t>&lt;--------------------------- No Tax</t>
  </si>
  <si>
    <t>CO2 Subtotal</t>
  </si>
  <si>
    <t>Non-CO2 Subtotal</t>
  </si>
  <si>
    <t># 15 is calc'd as sum of 10-14:</t>
  </si>
  <si>
    <t># 2, taken from source, is also sum of 3-8:</t>
  </si>
  <si>
    <t># 16 is sum of 1 + 10-14:</t>
  </si>
  <si>
    <t>Re # 9: Amount shown is 1 less 2. Also matches manually calc'd sum of all 20 remaining rows in cited table, from non-energy use of fuels, iron and steel production and cement production, to lead production and SiC production and consumption.</t>
  </si>
  <si>
    <t>Total of 3-7 (i.e., #2 but w/o U.S. Territories)</t>
  </si>
  <si>
    <t>Greenhouse Gas Emissions (GHGs)</t>
  </si>
  <si>
    <t>% of GHG</t>
  </si>
  <si>
    <t>% of CO2</t>
  </si>
  <si>
    <t>% of FF's</t>
  </si>
  <si>
    <t>FF %'s w/o Territories</t>
  </si>
  <si>
    <t>SEC. 703. REDUCTION TARGETS FOR SPECIFIED SOURCES, pp. 682-683:</t>
  </si>
  <si>
    <r>
      <t xml:space="preserve">The regulations issued under section 721 shall cap and reduce annually the greenhouse gas emissions of capped sources each calendar year beginning in 2012 such that ... </t>
    </r>
    <r>
      <rPr>
        <b/>
        <sz val="8"/>
        <rFont val="Arial"/>
        <family val="2"/>
      </rPr>
      <t>in 2020</t>
    </r>
    <r>
      <rPr>
        <sz val="8"/>
        <rFont val="Arial"/>
        <family val="2"/>
      </rPr>
      <t xml:space="preserve">, the quantity of greenhouse gas emissions from capped sources </t>
    </r>
    <r>
      <rPr>
        <b/>
        <sz val="8"/>
        <color indexed="10"/>
        <rFont val="Arial"/>
        <family val="2"/>
      </rPr>
      <t>does not exceed 83 percent</t>
    </r>
    <r>
      <rPr>
        <sz val="8"/>
        <rFont val="Arial"/>
        <family val="2"/>
      </rPr>
      <t xml:space="preserve"> of the quantity of greenhouse gas emissions  from such sources </t>
    </r>
    <r>
      <rPr>
        <b/>
        <sz val="8"/>
        <rFont val="Arial"/>
        <family val="2"/>
      </rPr>
      <t>in 2005</t>
    </r>
    <r>
      <rPr>
        <sz val="8"/>
        <rFont val="Arial"/>
        <family val="2"/>
      </rPr>
      <t>.</t>
    </r>
  </si>
  <si>
    <t>If 17% reduxn is shared equally</t>
  </si>
  <si>
    <t>Reduction</t>
  </si>
  <si>
    <t>Amount</t>
  </si>
  <si>
    <t>Figures in column apply either to 2007 or throughout.</t>
  </si>
  <si>
    <t>This and later years pivot off first tax year.</t>
  </si>
  <si>
    <t>CTC estimate, intended to reflect increased penetration of biofuels, hydrogen, etc. as conventional fuels grow more costly.</t>
  </si>
  <si>
    <t>Note: This section not included in Print Area.</t>
  </si>
  <si>
    <t>Unrounded</t>
  </si>
  <si>
    <t>Rounded</t>
  </si>
  <si>
    <t>U.S. Terr, allocated</t>
  </si>
  <si>
    <r>
      <t>"Since non-CO</t>
    </r>
    <r>
      <rPr>
        <vertAlign val="subscript"/>
        <sz val="8"/>
        <rFont val="Arial"/>
        <family val="2"/>
      </rPr>
      <t>2</t>
    </r>
    <r>
      <rPr>
        <sz val="8"/>
        <rFont val="Arial"/>
        <family val="2"/>
      </rPr>
      <t xml:space="preserve"> greenhouse gases can be relatively inexpensive to reduce compared to carbon dioxide (CO</t>
    </r>
    <r>
      <rPr>
        <vertAlign val="subscript"/>
        <sz val="8"/>
        <rFont val="Arial"/>
        <family val="2"/>
      </rPr>
      <t>2</t>
    </r>
    <r>
      <rPr>
        <sz val="8"/>
        <rFont val="Arial"/>
        <family val="2"/>
      </rPr>
      <t>), EPA has focused on incorporating international non-CO</t>
    </r>
    <r>
      <rPr>
        <vertAlign val="subscript"/>
        <sz val="8"/>
        <rFont val="Arial"/>
        <family val="2"/>
      </rPr>
      <t>2</t>
    </r>
    <r>
      <rPr>
        <sz val="8"/>
        <rFont val="Arial"/>
        <family val="2"/>
      </rPr>
      <t xml:space="preserve"> greenhouse gas mitigation into analysis and policy discussions. EPA prepared a global cost analysis of all non-CO</t>
    </r>
    <r>
      <rPr>
        <vertAlign val="subscript"/>
        <sz val="8"/>
        <rFont val="Arial"/>
        <family val="2"/>
      </rPr>
      <t>2</t>
    </r>
    <r>
      <rPr>
        <sz val="8"/>
        <rFont val="Arial"/>
        <family val="2"/>
      </rPr>
      <t xml:space="preserve"> greenhouse gases." (citation immed'ly below) While this statement is based on global emissions, it may also apply to U.S. emissions.</t>
    </r>
  </si>
  <si>
    <r>
      <t>Global Mitigation of Non-CO</t>
    </r>
    <r>
      <rPr>
        <vertAlign val="subscript"/>
        <sz val="9"/>
        <rFont val="Arial"/>
        <family val="2"/>
      </rPr>
      <t>2</t>
    </r>
    <r>
      <rPr>
        <sz val="9"/>
        <rFont val="Arial"/>
        <family val="2"/>
      </rPr>
      <t xml:space="preserve"> Greenhouse Gases (EPA Report 430-R-06-005), </t>
    </r>
    <r>
      <rPr>
        <sz val="8"/>
        <rFont val="Arial"/>
        <family val="2"/>
      </rPr>
      <t>http://www.epa.gov/climatechange/economics/international.html</t>
    </r>
  </si>
  <si>
    <t xml:space="preserve">If non-CO2 sectors reduce by 2 x 17% </t>
  </si>
  <si>
    <t>Summary</t>
  </si>
  <si>
    <t>CO2 emissions, w/o carbon tax, millions of metric tons</t>
  </si>
  <si>
    <t>Total</t>
  </si>
  <si>
    <t>Electricity</t>
  </si>
  <si>
    <t>Gasoline</t>
  </si>
  <si>
    <t>Pounds per metric ton</t>
  </si>
  <si>
    <t>Ratio, Generation to Sales</t>
  </si>
  <si>
    <t>CO2 emissions, millions of metric tons, w/o carbon tax</t>
  </si>
  <si>
    <t>CO2 emissions, millions of metric tons, with carbon tax</t>
  </si>
  <si>
    <t>Pounds of CO2 per pound of carbon</t>
  </si>
  <si>
    <t>Million Btu per barrel, gasoline</t>
  </si>
  <si>
    <t>Btu per gallon, gasoline</t>
  </si>
  <si>
    <t>lbs CO2 per gallon, gasoline</t>
  </si>
  <si>
    <t>Assumed price-elasticity (long-term)</t>
  </si>
  <si>
    <t>See discussion in http://www.carbontax.org/issues/energy-demand-how-sensitive-to-price/</t>
  </si>
  <si>
    <t>CO2 emissions, lb / gallon</t>
  </si>
  <si>
    <t>Analysis</t>
  </si>
  <si>
    <t>Year chosen for snapshot:</t>
  </si>
  <si>
    <t>Emission rate (CO2 per kWh) w/o carbon tax</t>
  </si>
  <si>
    <t>Emission rate (CO2 per kWh) w/ carbon tax</t>
  </si>
  <si>
    <t xml:space="preserve">Ratio of "demand" shrinkage factor to </t>
  </si>
  <si>
    <t>"emissions rate" shrinkage factor:</t>
  </si>
  <si>
    <t xml:space="preserve"> Share of total reduction attributable to demand</t>
  </si>
  <si>
    <t xml:space="preserve"> Share of total reduxn attributable to emission rate</t>
  </si>
  <si>
    <t xml:space="preserve">Assumed price-elasticity of demand for gasoline (long-run) </t>
  </si>
  <si>
    <t>Data from EPA</t>
  </si>
  <si>
    <t>Natural Gas</t>
  </si>
  <si>
    <r>
      <t>MSW</t>
    </r>
    <r>
      <rPr>
        <sz val="8"/>
        <rFont val="Arial"/>
        <family val="2"/>
      </rPr>
      <t xml:space="preserve"> (from Table 2-13)</t>
    </r>
  </si>
  <si>
    <t>Passenger Cars</t>
  </si>
  <si>
    <t>Light-Duty Trucks</t>
  </si>
  <si>
    <t>Medium- and Heavy-Duty Trucks</t>
  </si>
  <si>
    <t>Buses</t>
  </si>
  <si>
    <t>Motorcycles</t>
  </si>
  <si>
    <t>Commercial Aircraft</t>
  </si>
  <si>
    <t>Rail</t>
  </si>
  <si>
    <t>Recreational Boats</t>
  </si>
  <si>
    <t>Distillate Fuel Oil (Diesel)</t>
  </si>
  <si>
    <t>International Bunker Fuels</t>
  </si>
  <si>
    <t>Jet Fuel</t>
  </si>
  <si>
    <t>Military Aircraft</t>
  </si>
  <si>
    <t>General Aviation Aircraft</t>
  </si>
  <si>
    <t>Aviation Gasoline</t>
  </si>
  <si>
    <t>Residual Fuel Oil</t>
  </si>
  <si>
    <t>Ships and Other Boats</t>
  </si>
  <si>
    <r>
      <t>Total w/o Geothermal</t>
    </r>
    <r>
      <rPr>
        <sz val="8"/>
        <rFont val="Arial"/>
        <family val="2"/>
      </rPr>
      <t xml:space="preserve"> (Geoth. is CO2 equiv, not CO2)</t>
    </r>
  </si>
  <si>
    <t>Personal Ground Travel</t>
  </si>
  <si>
    <r>
      <t xml:space="preserve">All CO2 </t>
    </r>
    <r>
      <rPr>
        <sz val="8"/>
        <rFont val="Arial"/>
        <family val="2"/>
      </rPr>
      <t>(Table ES-2)</t>
    </r>
  </si>
  <si>
    <r>
      <t xml:space="preserve">CO2 Emissions from FF Combustion </t>
    </r>
    <r>
      <rPr>
        <sz val="8"/>
        <rFont val="Arial"/>
        <family val="2"/>
      </rPr>
      <t>(Table ES-2)</t>
    </r>
  </si>
  <si>
    <r>
      <t xml:space="preserve">Non-Energy Use of Fuels </t>
    </r>
    <r>
      <rPr>
        <sz val="8"/>
        <rFont val="Arial"/>
        <family val="2"/>
      </rPr>
      <t>(Table ES-2)</t>
    </r>
  </si>
  <si>
    <t>Other</t>
  </si>
  <si>
    <t>Freight</t>
  </si>
  <si>
    <t>These entries are shown as a check, to ensure that ratio here is product of two prior ones.</t>
  </si>
  <si>
    <t>Table ES-2: Recent Trends in U.S. Greenhouse Gas Emissions and Sinks (Tg CO2 Eq.), in report,</t>
  </si>
  <si>
    <t>CO2 emissions, lb / kWh (generated)</t>
  </si>
  <si>
    <t>Parameters</t>
  </si>
  <si>
    <r>
      <t xml:space="preserve">This page pertains only to </t>
    </r>
    <r>
      <rPr>
        <b/>
        <sz val="9"/>
        <rFont val="Arial"/>
        <family val="2"/>
      </rPr>
      <t>Electricity</t>
    </r>
    <r>
      <rPr>
        <sz val="9"/>
        <rFont val="Arial"/>
        <family val="2"/>
      </rPr>
      <t xml:space="preserve">. Succeeding pages show </t>
    </r>
    <r>
      <rPr>
        <b/>
        <sz val="9"/>
        <rFont val="Arial"/>
        <family val="2"/>
      </rPr>
      <t>Personal Ground Travel</t>
    </r>
    <r>
      <rPr>
        <sz val="9"/>
        <rFont val="Arial"/>
        <family val="2"/>
      </rPr>
      <t xml:space="preserve">, </t>
    </r>
    <r>
      <rPr>
        <b/>
        <sz val="9"/>
        <rFont val="Arial"/>
        <family val="2"/>
      </rPr>
      <t>Freight</t>
    </r>
    <r>
      <rPr>
        <sz val="9"/>
        <rFont val="Arial"/>
        <family val="2"/>
      </rPr>
      <t xml:space="preserve">, </t>
    </r>
    <r>
      <rPr>
        <b/>
        <sz val="9"/>
        <rFont val="Arial"/>
        <family val="2"/>
      </rPr>
      <t>Aviation</t>
    </r>
    <r>
      <rPr>
        <sz val="9"/>
        <rFont val="Arial"/>
        <family val="2"/>
      </rPr>
      <t xml:space="preserve">, and </t>
    </r>
    <r>
      <rPr>
        <b/>
        <sz val="9"/>
        <rFont val="Arial"/>
        <family val="2"/>
      </rPr>
      <t>Other</t>
    </r>
    <r>
      <rPr>
        <sz val="9"/>
        <rFont val="Arial"/>
        <family val="2"/>
      </rPr>
      <t xml:space="preserve"> Sectors.</t>
    </r>
  </si>
  <si>
    <r>
      <t xml:space="preserve">This page pertains only to </t>
    </r>
    <r>
      <rPr>
        <b/>
        <sz val="9"/>
        <rFont val="Arial"/>
        <family val="2"/>
      </rPr>
      <t>Personal Ground Travel</t>
    </r>
    <r>
      <rPr>
        <sz val="9"/>
        <rFont val="Arial"/>
        <family val="2"/>
      </rPr>
      <t xml:space="preserve">. Other pages show </t>
    </r>
    <r>
      <rPr>
        <b/>
        <sz val="9"/>
        <rFont val="Arial"/>
        <family val="2"/>
      </rPr>
      <t>Electricity</t>
    </r>
    <r>
      <rPr>
        <sz val="9"/>
        <rFont val="Arial"/>
        <family val="2"/>
      </rPr>
      <t xml:space="preserve">, </t>
    </r>
    <r>
      <rPr>
        <b/>
        <sz val="9"/>
        <rFont val="Arial"/>
        <family val="2"/>
      </rPr>
      <t>Freight</t>
    </r>
    <r>
      <rPr>
        <sz val="9"/>
        <rFont val="Arial"/>
        <family val="2"/>
      </rPr>
      <t xml:space="preserve">, </t>
    </r>
    <r>
      <rPr>
        <b/>
        <sz val="9"/>
        <rFont val="Arial"/>
        <family val="2"/>
      </rPr>
      <t>Aviation</t>
    </r>
    <r>
      <rPr>
        <sz val="9"/>
        <rFont val="Arial"/>
        <family val="2"/>
      </rPr>
      <t xml:space="preserve">, and </t>
    </r>
    <r>
      <rPr>
        <b/>
        <sz val="9"/>
        <rFont val="Arial"/>
        <family val="2"/>
      </rPr>
      <t>Other</t>
    </r>
    <r>
      <rPr>
        <sz val="9"/>
        <rFont val="Arial"/>
        <family val="2"/>
      </rPr>
      <t xml:space="preserve"> Sectors.</t>
    </r>
  </si>
  <si>
    <r>
      <t xml:space="preserve">This page pertains only to </t>
    </r>
    <r>
      <rPr>
        <b/>
        <sz val="9"/>
        <rFont val="Arial"/>
        <family val="2"/>
      </rPr>
      <t>Freight</t>
    </r>
    <r>
      <rPr>
        <sz val="9"/>
        <rFont val="Arial"/>
        <family val="2"/>
      </rPr>
      <t xml:space="preserve">. Other pages show </t>
    </r>
    <r>
      <rPr>
        <b/>
        <sz val="9"/>
        <rFont val="Arial"/>
        <family val="2"/>
      </rPr>
      <t>Electricity</t>
    </r>
    <r>
      <rPr>
        <sz val="9"/>
        <rFont val="Arial"/>
        <family val="2"/>
      </rPr>
      <t xml:space="preserve">, </t>
    </r>
    <r>
      <rPr>
        <b/>
        <sz val="9"/>
        <rFont val="Arial"/>
        <family val="2"/>
      </rPr>
      <t>Personal Ground Travel</t>
    </r>
    <r>
      <rPr>
        <sz val="9"/>
        <rFont val="Arial"/>
        <family val="2"/>
      </rPr>
      <t xml:space="preserve">, </t>
    </r>
    <r>
      <rPr>
        <b/>
        <sz val="9"/>
        <rFont val="Arial"/>
        <family val="2"/>
      </rPr>
      <t>Aviation</t>
    </r>
    <r>
      <rPr>
        <sz val="9"/>
        <rFont val="Arial"/>
        <family val="2"/>
      </rPr>
      <t xml:space="preserve">, and </t>
    </r>
    <r>
      <rPr>
        <b/>
        <sz val="9"/>
        <rFont val="Arial"/>
        <family val="2"/>
      </rPr>
      <t>Other</t>
    </r>
    <r>
      <rPr>
        <sz val="9"/>
        <rFont val="Arial"/>
        <family val="2"/>
      </rPr>
      <t xml:space="preserve"> Sectors.</t>
    </r>
  </si>
  <si>
    <r>
      <t xml:space="preserve">This page pertains only to </t>
    </r>
    <r>
      <rPr>
        <b/>
        <sz val="9"/>
        <rFont val="Arial"/>
        <family val="2"/>
      </rPr>
      <t>Aviation</t>
    </r>
    <r>
      <rPr>
        <sz val="9"/>
        <rFont val="Arial"/>
        <family val="2"/>
      </rPr>
      <t xml:space="preserve">. Other pages show </t>
    </r>
    <r>
      <rPr>
        <b/>
        <sz val="9"/>
        <rFont val="Arial"/>
        <family val="2"/>
      </rPr>
      <t>Electricity</t>
    </r>
    <r>
      <rPr>
        <sz val="9"/>
        <rFont val="Arial"/>
        <family val="2"/>
      </rPr>
      <t xml:space="preserve">, </t>
    </r>
    <r>
      <rPr>
        <b/>
        <sz val="9"/>
        <rFont val="Arial"/>
        <family val="2"/>
      </rPr>
      <t>Personal Ground Travel</t>
    </r>
    <r>
      <rPr>
        <sz val="9"/>
        <rFont val="Arial"/>
        <family val="2"/>
      </rPr>
      <t xml:space="preserve">, </t>
    </r>
    <r>
      <rPr>
        <b/>
        <sz val="9"/>
        <rFont val="Arial"/>
        <family val="2"/>
      </rPr>
      <t>Freight</t>
    </r>
    <r>
      <rPr>
        <sz val="9"/>
        <rFont val="Arial"/>
        <family val="2"/>
      </rPr>
      <t xml:space="preserve">, and </t>
    </r>
    <r>
      <rPr>
        <b/>
        <sz val="9"/>
        <rFont val="Arial"/>
        <family val="2"/>
      </rPr>
      <t>Other</t>
    </r>
    <r>
      <rPr>
        <sz val="9"/>
        <rFont val="Arial"/>
        <family val="2"/>
      </rPr>
      <t xml:space="preserve"> Sectors.</t>
    </r>
  </si>
  <si>
    <t>Pounds per short ton</t>
  </si>
  <si>
    <t>¢/kWh</t>
  </si>
  <si>
    <t>Gallons per barrel</t>
  </si>
  <si>
    <t>Motor Gasoline</t>
  </si>
  <si>
    <t>All Petrol Products</t>
  </si>
  <si>
    <t>Resid
Fuel</t>
  </si>
  <si>
    <t>Days in year (we ignore leap years)</t>
  </si>
  <si>
    <t>USEPA, "Emission Facts: Average Carbon Dioxide Emissions Resulting from Gasoline and Diesel Fuel," EPA420-F-05-001 February 2005, &lt;http://www.epa.gov/oms/climate/420f05001.htm#carbon&gt;</t>
  </si>
  <si>
    <t>Grams per pound</t>
  </si>
  <si>
    <t>Figures in column  correspond to actual data.</t>
  </si>
  <si>
    <t>Monthly Energy Review, Table A1. Approximate Heat Content of Petroleum Products (jet fuel, kerosene type)</t>
  </si>
  <si>
    <t>Btu per gallon, jet fuel</t>
  </si>
  <si>
    <t>Distillate Fuel</t>
  </si>
  <si>
    <t>U.S. diesel sales with carbon tax, million gallons</t>
  </si>
  <si>
    <t xml:space="preserve">Assumed price-elasticity of demand for diesel (long-run) </t>
  </si>
  <si>
    <t>lbs Carbon per gallon, diesel</t>
  </si>
  <si>
    <t>lbs CO2 per gallon, diesel</t>
  </si>
  <si>
    <r>
      <t>Which is equivalent to this many pounds of carbon (not CO2) per 10</t>
    </r>
    <r>
      <rPr>
        <vertAlign val="superscript"/>
        <sz val="9"/>
        <rFont val="Arial"/>
        <family val="2"/>
      </rPr>
      <t>6</t>
    </r>
    <r>
      <rPr>
        <sz val="9"/>
        <rFont val="Arial"/>
        <family val="2"/>
      </rPr>
      <t xml:space="preserve"> Btu:</t>
    </r>
  </si>
  <si>
    <t>lbs Carbon per gallon, jet fuel</t>
  </si>
  <si>
    <t>Jet Fuel: Carbon Dioxide (in kg) per gallon</t>
  </si>
  <si>
    <t>US EIA, "Voluntary Reporting of Greenhouse Gases Program, Fuel Emission Coefficients," &lt;http://205.254.135.24/oiaf/1605/coefficients.html&gt;</t>
  </si>
  <si>
    <t>Pipeline Natural Gas: Carbon Dioxide (in kg) per MMBtu (wghtd national avg)</t>
  </si>
  <si>
    <t>Total Fossil Fuel Consumption, Quads</t>
  </si>
  <si>
    <t>Natural Gas Consumption, Quads</t>
  </si>
  <si>
    <t>Coal Consumption, Quads</t>
  </si>
  <si>
    <t>Petroleum Consumption, Quads</t>
  </si>
  <si>
    <t>Fossil Fuels Consumed to Make Electricity, Quads</t>
  </si>
  <si>
    <t>Gasoline's carbon content per gallon, in grams</t>
  </si>
  <si>
    <t>Diesel fuel's carbon content per gallon, in grams:</t>
  </si>
  <si>
    <t>Jet fuel's carbon content per gallon, in grams:</t>
  </si>
  <si>
    <t>Fossil Fuels Consumed for Personal Ground Travel, Quads</t>
  </si>
  <si>
    <t>Fossil Fuels Consumed for Freight, Quads</t>
  </si>
  <si>
    <t>Fossil Fuels Consumed for Aviation, Quads</t>
  </si>
  <si>
    <t>Btu/unit</t>
  </si>
  <si>
    <t>pound</t>
  </si>
  <si>
    <t>barrel</t>
  </si>
  <si>
    <t>cf</t>
  </si>
  <si>
    <t>This version of the model was created on:</t>
  </si>
  <si>
    <t xml:space="preserve">     or             or             or             or             or             or             or             or             or</t>
  </si>
  <si>
    <t>Effective tax year, number</t>
  </si>
  <si>
    <t>Downloaded from http://www.bea.gov/bea/dn/gdplev.xls (accessed from http://www.bea.gov/index.htm)</t>
  </si>
  <si>
    <t>mer_dataT07.06</t>
  </si>
  <si>
    <t>mer_dataT09.09</t>
  </si>
  <si>
    <t>U.S. Statistical Abstract, Table 683. Average Annual Expenditures of All Consumer Units by Type of Expenditure</t>
  </si>
  <si>
    <t>Dollars</t>
  </si>
  <si>
    <t>Number of HH's</t>
  </si>
  <si>
    <t>U.S. Statistical Abstract, Table 683. Note that SA uses the expression "Consumer Unit" rather than HH.</t>
  </si>
  <si>
    <t>Household spending on electricity, billions</t>
  </si>
  <si>
    <t>GDP,  billions, 2009</t>
  </si>
  <si>
    <t>Electricity expenditures by U.S. end-users, billions, 2009</t>
  </si>
  <si>
    <t>Residential Retail Sales, GWh, 2009</t>
  </si>
  <si>
    <t>Residential share of Retail Sales, 2009</t>
  </si>
  <si>
    <t>Average residential retail price, per kWh, 2009</t>
  </si>
  <si>
    <t>Average annual expenditures per HH, 2008</t>
  </si>
  <si>
    <t>Average number persons per HH, 2008</t>
  </si>
  <si>
    <t xml:space="preserve">U.S. Statistical Abstract, Table 683. </t>
  </si>
  <si>
    <t>Per-HH expenditures on natural gas, 2008</t>
  </si>
  <si>
    <t>Per-HH expenditures on electricity, 2008</t>
  </si>
  <si>
    <t>Per-HH expenditures on fuel oil and other fuels, 2008</t>
  </si>
  <si>
    <t>Per-HH expenditures on gasoline and motor oil, 2008</t>
  </si>
  <si>
    <t>Per-HH expenditures on "transportation" (air travel?), 2008</t>
  </si>
  <si>
    <t>Household spending on natural gas, billions, 2008</t>
  </si>
  <si>
    <t>Household spending on electricity, billions, 2008</t>
  </si>
  <si>
    <t>Disposable Personal Income, billions, 2009</t>
  </si>
  <si>
    <t>U.S. Statistical Abstract, Table 677. Personal Income and Its Disposition. Note: 2008 = $10,806.</t>
  </si>
  <si>
    <t>U.S. Statistical Abstract, Table 677. Personal Income and Its Disposition. Note: 2008 = $10,130.</t>
  </si>
  <si>
    <t>Personal consumption expenditures, billions, 2009</t>
  </si>
  <si>
    <t>Household spending on fuel oil + other fuels, billions, 2008</t>
  </si>
  <si>
    <t>Household spending on gasoline + motor oil, billions, 2008</t>
  </si>
  <si>
    <t>Household spending on transportation (air travel?), billions, 2008</t>
  </si>
  <si>
    <t>Elasticities</t>
  </si>
  <si>
    <t>GDP in billions of chained 2005 dollars</t>
  </si>
  <si>
    <t>Avg Retail Price of Electricity, 2005 cents/kWh, including taxes</t>
  </si>
  <si>
    <t>Total Electricity End Use, GWh</t>
  </si>
  <si>
    <t>USEIA, Annual Energy Review, Table 8.9.</t>
  </si>
  <si>
    <t>USEIA, Annual Energy Review, Table 8.10. Uses GDP Deflator.</t>
  </si>
  <si>
    <t>GDP Growth</t>
  </si>
  <si>
    <t>Electricity Price Growth</t>
  </si>
  <si>
    <t>Electricity Use Growth</t>
  </si>
  <si>
    <t>SUMMARY OUTPUT</t>
  </si>
  <si>
    <t>Regression Statistics</t>
  </si>
  <si>
    <t>Multiple R</t>
  </si>
  <si>
    <t>R Square</t>
  </si>
  <si>
    <t>Adjusted R Square</t>
  </si>
  <si>
    <t>Standard Error</t>
  </si>
  <si>
    <t>Observations</t>
  </si>
  <si>
    <t>ANOVA</t>
  </si>
  <si>
    <t>Regression</t>
  </si>
  <si>
    <t>Residual</t>
  </si>
  <si>
    <t>Intercept</t>
  </si>
  <si>
    <t>df</t>
  </si>
  <si>
    <t>SS</t>
  </si>
  <si>
    <t>MS</t>
  </si>
  <si>
    <t>F</t>
  </si>
  <si>
    <t>Significance F</t>
  </si>
  <si>
    <t>Coefficients</t>
  </si>
  <si>
    <t>t Stat</t>
  </si>
  <si>
    <t>P-value</t>
  </si>
  <si>
    <t>Lower 95%</t>
  </si>
  <si>
    <t>Upper 95%</t>
  </si>
  <si>
    <t>Lower 95.0%</t>
  </si>
  <si>
    <t>Upper 95.0%</t>
  </si>
  <si>
    <t>RESIDUAL OUTPUT</t>
  </si>
  <si>
    <t>Observation</t>
  </si>
  <si>
    <t>Residuals</t>
  </si>
  <si>
    <t>1. Electricity</t>
  </si>
  <si>
    <t xml:space="preserve">Multiple regression of U.S. year-to-year electricity growth on GDP growth and electricity price growth indicated an income elasticity of 0.90 (with 95% confidence interval of 0.60 to 1.20). Price elasticity was not statistically significant, however. R Square for the regression was 0.584. Data series extended from 1970 (actually 1971, since year-on-year growth is the independent variable) through 2009. </t>
  </si>
  <si>
    <t>5-y Electricity Price Growth</t>
  </si>
  <si>
    <t>Multiple regression on the same 1971-2009 data series, but with a 5-year compound average increase in the real price, indicated an income elasticity of 0.89 (t statistic, 6.8). Price elasticity was negative 0.06 but was statistically insignificant, with a t-statistic of -0.54.</t>
  </si>
  <si>
    <t>Predicted 0.0295570521777269</t>
  </si>
  <si>
    <t>Multiple regression on 1990-2009 data, with real price growth taken as a 5-year compound average, indicated an income elasticity of 0.60 (t statistic, 2.82). Price elasticity was negative 0.23 but was not statistically significant, with a t-statistic of -1.02.</t>
  </si>
  <si>
    <t>All figures are in billions of dollars</t>
  </si>
  <si>
    <t xml:space="preserve">U.S. electricity end use (TWh), without carbon tax </t>
  </si>
  <si>
    <t>U.S. spending on gasoline, billions, 2008</t>
  </si>
  <si>
    <r>
      <t>Product of year's daily-average gasoline consumption (EIA/MER) and average retail price (</t>
    </r>
    <r>
      <rPr>
        <u/>
        <sz val="8"/>
        <rFont val="Arial"/>
        <family val="2"/>
      </rPr>
      <t>Ibid.</t>
    </r>
    <r>
      <rPr>
        <sz val="8"/>
        <rFont val="Arial"/>
        <family val="2"/>
      </rPr>
      <t>)</t>
    </r>
  </si>
  <si>
    <t>Household share of gasoline expenditures, 2009</t>
  </si>
  <si>
    <t>Gasoline (Personal Ground Travel)</t>
  </si>
  <si>
    <t>Diesel (Freight)</t>
  </si>
  <si>
    <t>Household share of diesel fuel expenditures, 2009</t>
  </si>
  <si>
    <t>Jet Fuel (Aviation)</t>
  </si>
  <si>
    <t>Revenue, U.S. Airline Industry, 2009, billions</t>
  </si>
  <si>
    <t>U.S. Statistical Abstract, Table 1072, U.S. Scheduled Airline Industry.</t>
  </si>
  <si>
    <t>Same, but for cargo only</t>
  </si>
  <si>
    <t>Passenger share</t>
  </si>
  <si>
    <t>Assumed % of the above that is household-based rather than business</t>
  </si>
  <si>
    <t>Household share of jet fuel expenditures</t>
  </si>
  <si>
    <t>Household share of 'other' fuel expenditures</t>
  </si>
  <si>
    <t>Actual</t>
  </si>
  <si>
    <t>Projected</t>
  </si>
  <si>
    <t>Tax Revenues, $ billions</t>
  </si>
  <si>
    <t xml:space="preserve">Multiple regression on same data series, but with 5-y compound avg incrs in real price, so that data extended from 1975 through 2009, indicated income elasticity of 0.85 (95% confidence interval of 0.59 to 1.11). Price elasticity was not statistically significant; coefficient was negative 0.055, but 95% confidence interval ranged from negative 0.27 to positive 0.16. R Square for regression was 0.589. </t>
  </si>
  <si>
    <t>[Note: This page will be relegated to back of file, or removed altogether. -- CK]</t>
  </si>
  <si>
    <t>Change in CO2 due to carbon tax, million metric tons, relative to moving trajectory</t>
  </si>
  <si>
    <t>J Handley wrote to CK, on 27-Sept-2011: Metcalf modeled an $18/T CO2 tax (rising 4% real).  He estimated 14% reductions after one year, comprised of 49% reductions in the non-CO2 GHGs and 8.4% CO2 reductions.  (But non-CO2 GHG's represent only ~20% of CO2-eq.)  See "Proposal for Carbon Tax Swap" p 12. 
&lt;http://www.brookings.edu/~/media/Files/rc/papers/2007/10carbontax_metcalf/10_carbontax_metcalf.pdf&gt;</t>
  </si>
  <si>
    <t>This worksheet has not been updated since 2009.</t>
  </si>
  <si>
    <t>Re-Spending</t>
  </si>
  <si>
    <t>[This worksheet, created Sept 2011, requires major reformatting + documentation.]</t>
  </si>
  <si>
    <t>Emissions</t>
  </si>
  <si>
    <t>GHG's</t>
  </si>
  <si>
    <t>Great. You should now be ready to go.</t>
  </si>
  <si>
    <t>Before you begin, please take these 7 quick steps to ensure that your
Excel program can handle the mathematical interactivity built into the model.</t>
  </si>
  <si>
    <t>Results</t>
  </si>
  <si>
    <t>User Selected Carbon Emissions Price</t>
  </si>
  <si>
    <t>If you're running Excel-2007 or later:</t>
  </si>
  <si>
    <t>If you're running Excel-2003 or earlier:</t>
  </si>
  <si>
    <r>
      <t>Click the</t>
    </r>
    <r>
      <rPr>
        <b/>
        <sz val="9"/>
        <rFont val="Arial"/>
        <family val="2"/>
      </rPr>
      <t xml:space="preserve"> </t>
    </r>
    <r>
      <rPr>
        <b/>
        <sz val="9"/>
        <color indexed="63"/>
        <rFont val="Arial"/>
        <family val="2"/>
      </rPr>
      <t xml:space="preserve">Microsoft Office Button </t>
    </r>
    <r>
      <rPr>
        <sz val="9"/>
        <color indexed="63"/>
        <rFont val="Arial"/>
        <family val="2"/>
      </rPr>
      <t>in the far upper left-hand corner of your screen.</t>
    </r>
  </si>
  <si>
    <r>
      <t xml:space="preserve">A new window will appear on your screen. At the very bottom of the window, click </t>
    </r>
    <r>
      <rPr>
        <b/>
        <sz val="9"/>
        <rFont val="Arial"/>
        <family val="2"/>
      </rPr>
      <t>Excel Options.</t>
    </r>
  </si>
  <si>
    <r>
      <t xml:space="preserve">In left-hand column, near the top, click </t>
    </r>
    <r>
      <rPr>
        <b/>
        <sz val="9"/>
        <rFont val="Arial"/>
        <family val="2"/>
      </rPr>
      <t>Formulas</t>
    </r>
    <r>
      <rPr>
        <sz val="9"/>
        <rFont val="Arial"/>
        <family val="2"/>
      </rPr>
      <t>.</t>
    </r>
  </si>
  <si>
    <r>
      <t xml:space="preserve">In </t>
    </r>
    <r>
      <rPr>
        <b/>
        <sz val="9"/>
        <color indexed="63"/>
        <rFont val="Arial"/>
        <family val="2"/>
      </rPr>
      <t>Calculation options</t>
    </r>
    <r>
      <rPr>
        <sz val="9"/>
        <color indexed="63"/>
        <rFont val="Arial"/>
        <family val="2"/>
      </rPr>
      <t xml:space="preserve"> section, select </t>
    </r>
    <r>
      <rPr>
        <b/>
        <sz val="9"/>
        <color indexed="63"/>
        <rFont val="Arial"/>
        <family val="2"/>
      </rPr>
      <t>Enable iterative calculation</t>
    </r>
    <r>
      <rPr>
        <sz val="9"/>
        <color indexed="63"/>
        <rFont val="Arial"/>
        <family val="2"/>
      </rPr>
      <t xml:space="preserve"> check box.</t>
    </r>
  </si>
  <si>
    <r>
      <t xml:space="preserve">Set </t>
    </r>
    <r>
      <rPr>
        <b/>
        <sz val="9"/>
        <rFont val="Arial"/>
        <family val="2"/>
      </rPr>
      <t>maximum number of iterations</t>
    </r>
    <r>
      <rPr>
        <sz val="9"/>
        <rFont val="Arial"/>
        <family val="2"/>
      </rPr>
      <t xml:space="preserve"> to 100.</t>
    </r>
  </si>
  <si>
    <r>
      <t xml:space="preserve">Set </t>
    </r>
    <r>
      <rPr>
        <b/>
        <sz val="9"/>
        <rFont val="Arial"/>
        <family val="2"/>
      </rPr>
      <t xml:space="preserve">maximum change </t>
    </r>
    <r>
      <rPr>
        <sz val="9"/>
        <rFont val="Arial"/>
        <family val="2"/>
      </rPr>
      <t>box to 0.001.</t>
    </r>
  </si>
  <si>
    <r>
      <t>Press OK</t>
    </r>
    <r>
      <rPr>
        <sz val="9"/>
        <rFont val="Arial"/>
        <family val="2"/>
      </rPr>
      <t xml:space="preserve"> at the bottom.</t>
    </r>
  </si>
  <si>
    <r>
      <t xml:space="preserve">Go to </t>
    </r>
    <r>
      <rPr>
        <sz val="9"/>
        <rFont val="Arial"/>
        <family val="2"/>
      </rPr>
      <t xml:space="preserve">Excel </t>
    </r>
    <r>
      <rPr>
        <b/>
        <sz val="9"/>
        <rFont val="Arial"/>
        <family val="2"/>
      </rPr>
      <t>Options</t>
    </r>
    <r>
      <rPr>
        <sz val="9"/>
        <rFont val="Arial"/>
        <family val="2"/>
      </rPr>
      <t xml:space="preserve">, which should be in your Excel toolbar under the </t>
    </r>
    <r>
      <rPr>
        <b/>
        <sz val="9"/>
        <rFont val="Arial"/>
        <family val="2"/>
      </rPr>
      <t>Tools</t>
    </r>
    <r>
      <rPr>
        <sz val="9"/>
        <rFont val="Arial"/>
        <family val="2"/>
      </rPr>
      <t xml:space="preserve"> menu choice.</t>
    </r>
    <r>
      <rPr>
        <sz val="9"/>
        <rFont val="Arial"/>
        <family val="2"/>
      </rPr>
      <t/>
    </r>
  </si>
  <si>
    <r>
      <t xml:space="preserve">Click on </t>
    </r>
    <r>
      <rPr>
        <b/>
        <sz val="9"/>
        <rFont val="Arial"/>
        <family val="2"/>
      </rPr>
      <t>Options</t>
    </r>
    <r>
      <rPr>
        <sz val="9"/>
        <rFont val="Arial"/>
        <family val="2"/>
      </rPr>
      <t xml:space="preserve">, and navigate to the tab called </t>
    </r>
    <r>
      <rPr>
        <b/>
        <sz val="9"/>
        <rFont val="Arial"/>
        <family val="2"/>
      </rPr>
      <t xml:space="preserve">Calculation. </t>
    </r>
  </si>
  <si>
    <r>
      <t xml:space="preserve">Under </t>
    </r>
    <r>
      <rPr>
        <b/>
        <sz val="9"/>
        <rFont val="Arial"/>
        <family val="2"/>
      </rPr>
      <t>Calculation options</t>
    </r>
    <r>
      <rPr>
        <sz val="9"/>
        <rFont val="Arial"/>
        <family val="2"/>
      </rPr>
      <t xml:space="preserve">, select </t>
    </r>
    <r>
      <rPr>
        <b/>
        <sz val="9"/>
        <rFont val="Arial"/>
        <family val="2"/>
      </rPr>
      <t>Iterations</t>
    </r>
    <r>
      <rPr>
        <sz val="9"/>
        <rFont val="Arial"/>
        <family val="2"/>
      </rPr>
      <t xml:space="preserve"> check box (may be called </t>
    </r>
    <r>
      <rPr>
        <b/>
        <sz val="9"/>
        <rFont val="Arial"/>
        <family val="2"/>
      </rPr>
      <t>Enable iterative calculation</t>
    </r>
    <r>
      <rPr>
        <sz val="9"/>
        <rFont val="Arial"/>
        <family val="2"/>
      </rPr>
      <t>).</t>
    </r>
  </si>
  <si>
    <r>
      <t xml:space="preserve">Set the </t>
    </r>
    <r>
      <rPr>
        <b/>
        <sz val="9"/>
        <rFont val="Arial"/>
        <family val="2"/>
      </rPr>
      <t>maximum number of iterations</t>
    </r>
    <r>
      <rPr>
        <sz val="9"/>
        <rFont val="Arial"/>
        <family val="2"/>
      </rPr>
      <t xml:space="preserve"> to 100.</t>
    </r>
  </si>
  <si>
    <r>
      <t xml:space="preserve">Set the </t>
    </r>
    <r>
      <rPr>
        <b/>
        <sz val="9"/>
        <rFont val="Arial"/>
        <family val="2"/>
      </rPr>
      <t xml:space="preserve">maximum change </t>
    </r>
    <r>
      <rPr>
        <sz val="9"/>
        <rFont val="Arial"/>
        <family val="2"/>
      </rPr>
      <t>box to 0.001.</t>
    </r>
  </si>
  <si>
    <r>
      <t>Press OK</t>
    </r>
    <r>
      <rPr>
        <sz val="9"/>
        <rFont val="Arial"/>
        <family val="2"/>
      </rPr>
      <t xml:space="preserve"> and begin.</t>
    </r>
    <r>
      <rPr>
        <b/>
        <sz val="10"/>
        <rFont val="Arial"/>
        <family val="2"/>
      </rPr>
      <t/>
    </r>
  </si>
  <si>
    <t>Petroleum Consumption, thousand bbl/day</t>
  </si>
  <si>
    <t>WITH CARBON TAX</t>
  </si>
  <si>
    <t>WITHOUT CARBON TAX</t>
  </si>
  <si>
    <t>Projected oil requirements w/ tax shown, vis-à-vis actual in 2005:</t>
  </si>
  <si>
    <r>
      <t xml:space="preserve">Elasticities </t>
    </r>
    <r>
      <rPr>
        <sz val="9"/>
        <rFont val="Arial"/>
        <family val="2"/>
      </rPr>
      <t>(documentation of this section, to come)</t>
    </r>
  </si>
  <si>
    <t>Carbon Tax Revenues, $ billions</t>
  </si>
  <si>
    <t>Cumulative Tax Revenues, $ billions</t>
  </si>
  <si>
    <t xml:space="preserve">Annual Carbon Tax Dividend per capita </t>
  </si>
  <si>
    <t>H.R. 2454 (Waxman-Markey), downloaded 3-July-2009 via http://frwebgate.access.gpo.gov/cgi-bin/getdoc.cgi?dbname=111_cong_bills&amp;docid=f:h2454eh.txt.pdf</t>
  </si>
  <si>
    <t>http://www.eia.gov/oiaf/1605/ggrpt/carbon.html</t>
  </si>
  <si>
    <t>http://www.eia.gov/todayinenergy/detail.cfm?id=7350</t>
  </si>
  <si>
    <t>[re: 1Q 2012 drop in CO2]</t>
  </si>
  <si>
    <t>http://www.eia.gov/environment/emissions/ghg_report/</t>
  </si>
  <si>
    <t>This March 2011 report is the final in the series, which has been discontinued.</t>
  </si>
  <si>
    <r>
      <t xml:space="preserve">International Bunker Fuels </t>
    </r>
    <r>
      <rPr>
        <sz val="8"/>
        <rFont val="Arial"/>
        <family val="2"/>
      </rPr>
      <t>(Table ES-2)</t>
    </r>
  </si>
  <si>
    <r>
      <t xml:space="preserve">from Electricity Generation </t>
    </r>
    <r>
      <rPr>
        <sz val="9"/>
        <rFont val="Arial"/>
        <family val="2"/>
      </rPr>
      <t>(Table ES-2; also 2-13)</t>
    </r>
  </si>
  <si>
    <t>Petroleum Liquids</t>
  </si>
  <si>
    <t>All 3 Fossil Fuels</t>
  </si>
  <si>
    <t>Pounds CO2 per kWh generated</t>
  </si>
  <si>
    <t>Use figures in above row, since include MSW</t>
  </si>
  <si>
    <t>Conversions</t>
  </si>
  <si>
    <r>
      <t xml:space="preserve">Net Electricity Generation, TWh </t>
    </r>
    <r>
      <rPr>
        <sz val="9"/>
        <rFont val="Arial"/>
        <family val="2"/>
      </rPr>
      <t>(MER, Table 7.2a)</t>
    </r>
  </si>
  <si>
    <t>Electricity Prices, Usage, Generation and Carbon Intensity, without carbon tax</t>
  </si>
  <si>
    <t>Assumed multiplier to that increase rate going forward, if no carbon price</t>
  </si>
  <si>
    <t>CO2 emissions, lb/kWh generated, w/o carbon tax</t>
  </si>
  <si>
    <t>Baseline annual factor ratio in CO2 emissions, lb/kWh, if zero price on carbon</t>
  </si>
  <si>
    <t>Falls over time as tax moves generators to reduce carbon-intensity of generation.</t>
  </si>
  <si>
    <t>Carbon Tax Revenues, $ billions (nominal dollars, i.e., not adjusted for inflation)</t>
  </si>
  <si>
    <t>Assumed price-elasticity of electricity demand (long-run)</t>
  </si>
  <si>
    <t>Equates to following per-yr reduxn in CO2/kWh:</t>
  </si>
  <si>
    <t>Annual Energy Outlook</t>
  </si>
  <si>
    <t>W Texas intermediate spot crude oil ($/bbl)</t>
  </si>
  <si>
    <t>Natural gas at Henry Hub ($/million Btu)</t>
  </si>
  <si>
    <t>Domestic coal at minemouth ($/ton)</t>
  </si>
  <si>
    <t>Brent spot crude oil ($/bbl)</t>
  </si>
  <si>
    <t>Real disposable personal income, billions (2005$)</t>
  </si>
  <si>
    <t>(Example: with compound growth rate of 10%, along with initial tax rate of $10, the second-year tax rate would be $11.00, third-year rate $12.10, next year $13.31, etc.)</t>
  </si>
  <si>
    <t>Average electricity price (¢/kWh)</t>
  </si>
  <si>
    <t>Ratio of Real Avg Retail Price per kWh to Prior Year's (w/o carbon tax)</t>
  </si>
  <si>
    <t xml:space="preserve">Ratio of Real General Price Index to Prior Year's </t>
  </si>
  <si>
    <t>By statute</t>
  </si>
  <si>
    <t>Tax charged in year shown, per ton of CO2 emitted.</t>
  </si>
  <si>
    <t>Is year equal to or greater than final tax year?</t>
  </si>
  <si>
    <t>Is year equal to or greater than tax-start year?</t>
  </si>
  <si>
    <t>http://www.eia.gov/forecasts/aeo/er/table1.cfm</t>
  </si>
  <si>
    <t>Why? Since the model is written dynamically and interactively, you must configure Excel to feed cell outputs back into other cells. Otherwise, the model may return "circular formulas" with blank or incorrect results.</t>
  </si>
  <si>
    <t>here</t>
  </si>
  <si>
    <t>Vis-à-vis actual 2005 requirements:</t>
  </si>
  <si>
    <t>Default is &lt;Nominal&gt;. Enter &lt;Real&gt; to instead index carbon tax to inflation.</t>
  </si>
  <si>
    <t>Change in CO2 due to tax, million metric tons, relative to moving trajectory</t>
  </si>
  <si>
    <t>Change in CO2 due to tax, million metric tons, relative to 2005 emissions</t>
  </si>
  <si>
    <t>1B. Petroleum Requirements</t>
  </si>
  <si>
    <t>From &lt;http://www.epa.gov/ttn/chief/eiip/techreport/volume08/viii01.pdf&gt;.</t>
  </si>
  <si>
    <t>Assumed reduxn in per-gallon CO2 emission rate per</t>
  </si>
  <si>
    <t>First-year tax per ton of CO2</t>
  </si>
  <si>
    <t xml:space="preserve">How tax will be incremented </t>
  </si>
  <si>
    <t>Annual rate of increment</t>
  </si>
  <si>
    <t>Are above rates nominal or real?</t>
  </si>
  <si>
    <t>Million Btu per barrel, diesel</t>
  </si>
  <si>
    <t>Btu per gallon, diesel</t>
  </si>
  <si>
    <t>Figures in column  correspond to est'd or actual data.</t>
  </si>
  <si>
    <t>CO2 emissions from diesel fuel use, millions metric tons, w/ tax</t>
  </si>
  <si>
    <t>Average combined federal, state and local taxes on jet fuel, per gallon</t>
  </si>
  <si>
    <t>Sources</t>
  </si>
  <si>
    <t>Source Total</t>
  </si>
  <si>
    <r>
      <t>Other</t>
    </r>
    <r>
      <rPr>
        <vertAlign val="superscript"/>
        <sz val="9"/>
        <rFont val="Arial"/>
        <family val="2"/>
      </rPr>
      <t>2</t>
    </r>
  </si>
  <si>
    <r>
      <t>Electricity</t>
    </r>
    <r>
      <rPr>
        <vertAlign val="superscript"/>
        <sz val="9"/>
        <rFont val="Arial"/>
        <family val="2"/>
      </rPr>
      <t>3</t>
    </r>
  </si>
  <si>
    <t>Sector Total</t>
  </si>
  <si>
    <t>http://www.eia.gov/tools/faqs/faq.cfm?id=75&amp;t=11</t>
  </si>
  <si>
    <r>
      <t>Total energy-related CO</t>
    </r>
    <r>
      <rPr>
        <b/>
        <vertAlign val="subscript"/>
        <sz val="9"/>
        <rFont val="Arial"/>
        <family val="2"/>
      </rPr>
      <t>2</t>
    </r>
    <r>
      <rPr>
        <b/>
        <sz val="9"/>
        <rFont val="Arial"/>
        <family val="2"/>
      </rPr>
      <t xml:space="preserve"> emissions equal 5,481 million metric tons.</t>
    </r>
  </si>
  <si>
    <t>What are the energy-related carbon dioxide (CO2) emissions by source and sector for the United States?</t>
  </si>
  <si>
    <t>(Million Metric Tons)</t>
  </si>
  <si>
    <t>Transport</t>
  </si>
  <si>
    <t>Elec. Power</t>
  </si>
  <si>
    <r>
      <t xml:space="preserve">International Bunker Fuels </t>
    </r>
    <r>
      <rPr>
        <b/>
        <sz val="9"/>
        <color indexed="60"/>
        <rFont val="Arial"/>
        <family val="2"/>
      </rPr>
      <t>(excluded fr official est's)</t>
    </r>
  </si>
  <si>
    <t>All emission figures in this tab are in million metric tons (tonnes) of carbon dioxide (CO2) unless noted.</t>
  </si>
  <si>
    <t>Estimated</t>
  </si>
  <si>
    <t>Energy Data</t>
  </si>
  <si>
    <r>
      <t>2</t>
    </r>
    <r>
      <rPr>
        <sz val="8"/>
        <rFont val="Arial"/>
        <family val="2"/>
      </rPr>
      <t>Miscellaneous wastes and from geothermal power generation.</t>
    </r>
  </si>
  <si>
    <r>
      <t>3</t>
    </r>
    <r>
      <rPr>
        <sz val="8"/>
        <rFont val="Arial"/>
        <family val="2"/>
      </rPr>
      <t>Electricity-related CO</t>
    </r>
    <r>
      <rPr>
        <vertAlign val="subscript"/>
        <sz val="8"/>
        <rFont val="Arial"/>
        <family val="2"/>
      </rPr>
      <t>2</t>
    </r>
    <r>
      <rPr>
        <sz val="8"/>
        <rFont val="Arial"/>
        <family val="2"/>
      </rPr>
      <t xml:space="preserve"> emissions based on electricity use for each sector and electric power emissions</t>
    </r>
  </si>
  <si>
    <r>
      <t>Geothermal</t>
    </r>
    <r>
      <rPr>
        <sz val="8"/>
        <rFont val="Arial"/>
        <family val="2"/>
      </rPr>
      <t xml:space="preserve"> (from Table 2-13; is CO2 equiv, not CO2)</t>
    </r>
  </si>
  <si>
    <t>Jet Fuel+Aviation Gas</t>
  </si>
  <si>
    <t xml:space="preserve">Aviation (non-military) </t>
  </si>
  <si>
    <t>Compound annual growth in CO2 emissions, lb/kWh generated (in year shown, vs. 2005)</t>
  </si>
  <si>
    <t>Fuel Consumed to Make Electricity</t>
  </si>
  <si>
    <t>Coal, Tons, 000</t>
  </si>
  <si>
    <t>Petroleum, Bbl, 000</t>
  </si>
  <si>
    <t>Natl Gas, Billion CF</t>
  </si>
  <si>
    <r>
      <t xml:space="preserve">Usage, tcf </t>
    </r>
    <r>
      <rPr>
        <b/>
        <sz val="8"/>
        <rFont val="Arial"/>
        <family val="2"/>
      </rPr>
      <t>(MER Table 4.3. Natural Gas Consumption by Sector)</t>
    </r>
  </si>
  <si>
    <t>Weighted Average, $/mcf</t>
  </si>
  <si>
    <t>Shares of same</t>
  </si>
  <si>
    <t>Inferred average delivery charge</t>
  </si>
  <si>
    <t>Inferred avg transmission + delivery charge</t>
  </si>
  <si>
    <t>Delivered price</t>
  </si>
  <si>
    <t>Of which natural gas price at wellhead is ($/million Btu)</t>
  </si>
  <si>
    <t>Delivered price (nominal $)</t>
  </si>
  <si>
    <t>CO2 from gasoline (personal ground travel), millions metric tons, w/ tax</t>
  </si>
  <si>
    <t>Change in CO2 due to carbon tax, million metric tons, relative to 2005 emissions</t>
  </si>
  <si>
    <r>
      <t xml:space="preserve">Avg retail jet fuel price / gallon, w/o taxes </t>
    </r>
    <r>
      <rPr>
        <sz val="8"/>
        <rFont val="Arial"/>
        <family val="2"/>
      </rPr>
      <t>(excludes fed, state, local &amp; carbon taxes)</t>
    </r>
  </si>
  <si>
    <t>Change in CO2 in that year, relative to actual CO2 emissions in 2005, expressed as a percent</t>
  </si>
  <si>
    <t>Energy</t>
  </si>
  <si>
    <t>AEO</t>
  </si>
  <si>
    <t>CO2 emissions, million metric tons, with carbon tax incremented at levels inputted above</t>
  </si>
  <si>
    <t>U.S. Population (millions, July 1 of each year)</t>
  </si>
  <si>
    <t>Year chosen for snapshot (10th year of tax):</t>
  </si>
  <si>
    <t>U.S. electricity end-usage with carbon tax, terawatt-hours</t>
  </si>
  <si>
    <t>U.S. net generation with carbon tax, terawatt-hours</t>
  </si>
  <si>
    <t>Change in U.S. electricity end-usage due to price impact of c-tax, terawatt-hours</t>
  </si>
  <si>
    <t>Parameters that user may vary in this worksheet are shown in magenta.</t>
  </si>
  <si>
    <r>
      <t xml:space="preserve">Parameters that pivot off assumptions in </t>
    </r>
    <r>
      <rPr>
        <b/>
        <sz val="9"/>
        <color indexed="48"/>
        <rFont val="Arial"/>
        <family val="2"/>
      </rPr>
      <t>Summary</t>
    </r>
    <r>
      <rPr>
        <sz val="9"/>
        <color indexed="48"/>
        <rFont val="Arial"/>
        <family val="2"/>
      </rPr>
      <t xml:space="preserve"> sheet are shown in blue.</t>
    </r>
  </si>
  <si>
    <t>Covers freight movements by trucks, planes, barges, boats and trains.</t>
  </si>
  <si>
    <r>
      <t xml:space="preserve">Covers passenger air travel.
(Air freight is included in </t>
    </r>
    <r>
      <rPr>
        <b/>
        <sz val="9"/>
        <rFont val="Arial"/>
        <family val="2"/>
      </rPr>
      <t>Freight</t>
    </r>
    <r>
      <rPr>
        <sz val="9"/>
        <rFont val="Arial"/>
        <family val="2"/>
      </rPr>
      <t xml:space="preserve"> page.) </t>
    </r>
  </si>
  <si>
    <r>
      <t xml:space="preserve">Total CO2 emissions w/o carbon tax </t>
    </r>
    <r>
      <rPr>
        <sz val="8"/>
        <rFont val="Arial"/>
        <family val="2"/>
      </rPr>
      <t>(million metric tons)</t>
    </r>
  </si>
  <si>
    <r>
      <t xml:space="preserve">Total CO2 emissions w/ carbon tax </t>
    </r>
    <r>
      <rPr>
        <sz val="8"/>
        <rFont val="Arial"/>
        <family val="2"/>
      </rPr>
      <t>(million metric tons)</t>
    </r>
  </si>
  <si>
    <r>
      <t xml:space="preserve">Electricity sales w/o carbon tax </t>
    </r>
    <r>
      <rPr>
        <sz val="8"/>
        <rFont val="Arial"/>
        <family val="2"/>
      </rPr>
      <t>(TWh)</t>
    </r>
  </si>
  <si>
    <r>
      <t xml:space="preserve">Electricity sales w carbon tax </t>
    </r>
    <r>
      <rPr>
        <sz val="8"/>
        <rFont val="Arial"/>
        <family val="2"/>
      </rPr>
      <t>(TWh)</t>
    </r>
  </si>
  <si>
    <r>
      <t xml:space="preserve">Gasoline sales w/o carbon tax </t>
    </r>
    <r>
      <rPr>
        <sz val="8"/>
        <rFont val="Arial"/>
        <family val="2"/>
      </rPr>
      <t>(million gallons)</t>
    </r>
  </si>
  <si>
    <r>
      <t xml:space="preserve">Gasoline sales w carbon tax </t>
    </r>
    <r>
      <rPr>
        <sz val="8"/>
        <rFont val="Arial"/>
        <family val="2"/>
      </rPr>
      <t>(million gallons)</t>
    </r>
  </si>
  <si>
    <r>
      <t xml:space="preserve">Diesel sales w/o carbon tax </t>
    </r>
    <r>
      <rPr>
        <sz val="8"/>
        <rFont val="Arial"/>
        <family val="2"/>
      </rPr>
      <t>(million gallons)</t>
    </r>
  </si>
  <si>
    <r>
      <t xml:space="preserve">Diesel sales w carbon tax </t>
    </r>
    <r>
      <rPr>
        <sz val="8"/>
        <rFont val="Arial"/>
        <family val="2"/>
      </rPr>
      <t>(million gallons)</t>
    </r>
  </si>
  <si>
    <r>
      <t xml:space="preserve">Total CO2 emissions w/o c-tax </t>
    </r>
    <r>
      <rPr>
        <sz val="8"/>
        <rFont val="Arial"/>
        <family val="2"/>
      </rPr>
      <t>(million metric tons)</t>
    </r>
  </si>
  <si>
    <r>
      <t xml:space="preserve">Total CO2 emissions w/ c-tax </t>
    </r>
    <r>
      <rPr>
        <sz val="8"/>
        <rFont val="Arial"/>
        <family val="2"/>
      </rPr>
      <t>(million metric tons)</t>
    </r>
  </si>
  <si>
    <r>
      <t xml:space="preserve">Jet fuel sales w/o carbon tax </t>
    </r>
    <r>
      <rPr>
        <sz val="8"/>
        <rFont val="Arial"/>
        <family val="2"/>
      </rPr>
      <t>(million gallons)</t>
    </r>
  </si>
  <si>
    <r>
      <t xml:space="preserve">Jet fuel sales w carbon tax </t>
    </r>
    <r>
      <rPr>
        <sz val="8"/>
        <rFont val="Arial"/>
        <family val="2"/>
      </rPr>
      <t>(million gallons)</t>
    </r>
  </si>
  <si>
    <r>
      <t>Other fuel sales w/o carbon tax</t>
    </r>
    <r>
      <rPr>
        <sz val="8"/>
        <rFont val="Arial"/>
        <family val="2"/>
      </rPr>
      <t xml:space="preserve"> (trillion Btu)</t>
    </r>
  </si>
  <si>
    <r>
      <t>Other fuel sales w/ carbon tax</t>
    </r>
    <r>
      <rPr>
        <sz val="8"/>
        <rFont val="Arial"/>
        <family val="2"/>
      </rPr>
      <t xml:space="preserve"> (trillion Btu)</t>
    </r>
  </si>
  <si>
    <t xml:space="preserve"> For graph of CO2 reductions over time, click: </t>
  </si>
  <si>
    <t>To view key results, Page Down twice, or click:</t>
  </si>
  <si>
    <t>How (The Model Works)</t>
  </si>
  <si>
    <r>
      <t xml:space="preserve">All things equal ("ceteris paribus"), the steeper the rise in national income, the steeper the "natural" increase in usage, as more affluent Americans occupy more and larger houses, more factories churn out more stuff, and more autos, trucks, boats, etc. are driven more miles. At the same time, and overlaying the "income" effect, costlier energy leads to less use of it per unit of economic activity, as more-expensive energy incentivizes households, factories, institutions and humans to find ways to economize on energy </t>
    </r>
    <r>
      <rPr>
        <sz val="9"/>
        <rFont val="Calibri"/>
        <family val="2"/>
      </rPr>
      <t>—</t>
    </r>
    <r>
      <rPr>
        <sz val="9"/>
        <rFont val="Arial"/>
        <family val="2"/>
      </rPr>
      <t xml:space="preserve"> as they do with any commodity or good or service that grows more expensive. Thus, income-elasticity and price-elasticity operate simultaneously and independently.</t>
    </r>
  </si>
  <si>
    <t>This page under construction as of:</t>
  </si>
  <si>
    <t>How</t>
  </si>
  <si>
    <t>http://www1.eere.energy.gov/analysis/transportationenergyfutures/</t>
  </si>
  <si>
    <t>EIA tranche of studies on complementary steps to reduce U.S. CO2 emissions from transport by 80% by 2050; scheduled for late March 2013 release: Covers LDV's, HDV's, fuels, transportation demand (built environment), etc.</t>
  </si>
  <si>
    <t>Introducing the carbon tax affects usage by elevating the price of the energy (electricity, gasoline, etc.) above what it would be without the tax and, thus, bending the curve of usage downward. The model has two price trajectories and thus two "usage" trajectories: a business-as-usual path without the carbon tax, and a second, lower path with the tax. The difference between the two trajectories translates into (or, more precisely, "is") the difference in units of consumption (electricity, gasoline, etc.) for each energy sector.</t>
  </si>
  <si>
    <t>U.S. Energy Summary</t>
  </si>
  <si>
    <t>mer_data, T01.03, Table 1.3. Primary Energy Consumption by Source</t>
  </si>
  <si>
    <t>Note: Throughout this tab, 2006 figures (which we did not record independently) are taken as mean of entries for 2005 and 2007.</t>
  </si>
  <si>
    <t>US oil consumption (thousands of barrels per day)</t>
  </si>
  <si>
    <t>Change in Projected CO2 emissions from 2005 baseline</t>
  </si>
  <si>
    <t>CO2 emissions, million metric tons, w/o c-tax</t>
  </si>
  <si>
    <t>Share of Electricity Generated from Fossil Fuels</t>
  </si>
  <si>
    <r>
      <t xml:space="preserve">Net Electricity Generation from Fossil Fuels, GWh </t>
    </r>
    <r>
      <rPr>
        <sz val="9"/>
        <rFont val="Arial"/>
        <family val="2"/>
      </rPr>
      <t>(MER, Table 7.2a)</t>
    </r>
  </si>
  <si>
    <t>Million Btu per barrel of gasoline</t>
  </si>
  <si>
    <t>Million Btu per barrel of petroleum burned for electricity generation</t>
  </si>
  <si>
    <t>http://www.eia.doe.gov/emeu/mer/append_a.html, Table A3 (approx value for 2008-2013).</t>
  </si>
  <si>
    <t>Tax level, by statute:</t>
  </si>
  <si>
    <t>Tax level, in nominal $$:</t>
  </si>
  <si>
    <t>assumes:</t>
  </si>
  <si>
    <t>Btu/kWh</t>
  </si>
  <si>
    <t>Relatively high figure, intended to reflect cycling and stand-by role for oil-fired plants</t>
  </si>
  <si>
    <t>Lubricants, Road Tar, and other non-combustible products</t>
  </si>
  <si>
    <t>Million Btu per barrel of petroleum used for feedstock/processes rather than combusted</t>
  </si>
  <si>
    <t>Coal, Quads</t>
  </si>
  <si>
    <t>Petroleum, Quads</t>
  </si>
  <si>
    <t>Natl Gas, Quads</t>
  </si>
  <si>
    <t>Non-elec. or transport</t>
  </si>
  <si>
    <t>"Other"_ Natural Gas</t>
  </si>
  <si>
    <t>Special Conversions for Natural Gas</t>
  </si>
  <si>
    <t>Weight of one mcf (thousand cubic feet) of methane, pounds</t>
  </si>
  <si>
    <t>Source: http://www.eia.doe.gov/oiaf/1605/gg98rpt/appendixf.html</t>
  </si>
  <si>
    <t>Pounds of carbon per pound of methane</t>
  </si>
  <si>
    <t>Pounds of carbon dioxide emitted per pound of methane combusted</t>
  </si>
  <si>
    <t>Calculated from respective atomic weights.</t>
  </si>
  <si>
    <t>Pounds of carbon dioxide emitted per mcf of methane combusted</t>
  </si>
  <si>
    <t>Pounds of carbon dioxide emitted per million btu of methane combusted</t>
  </si>
  <si>
    <t>Kilograms of carbon dioxide emitted per million btu of methane combusted</t>
  </si>
  <si>
    <t>"Other"_ Petrol</t>
  </si>
  <si>
    <t>CO2 emissions from Natural Gas in "Other" sector, million metric tons</t>
  </si>
  <si>
    <t>CO2 emission rate, expressed in kg / million Btu, w/ carbon tax</t>
  </si>
  <si>
    <t>Diesel Fuel</t>
  </si>
  <si>
    <t xml:space="preserve">Emission Rates for Petroleum Products </t>
  </si>
  <si>
    <t>MM Btu per barrel</t>
  </si>
  <si>
    <t>CO2 emissions from "Other" sector, million metric tons, baseline</t>
  </si>
  <si>
    <t>"Other" petrol fuel usage, million gallons, w/o carbon tax</t>
  </si>
  <si>
    <t>Natural gas usage for "other" sector, trillion Btu, w/o carbon tax</t>
  </si>
  <si>
    <t>CO2 emissions from petroleum prods for "other" sectors, millions tonnes, w/ tax</t>
  </si>
  <si>
    <t>Tax Year:</t>
  </si>
  <si>
    <t>U.S. Other Petrol fuel sales with carbon tax, million gallons</t>
  </si>
  <si>
    <t>Change in CO2 due to carbon tax, relative to moving trajectory, million metric tons</t>
  </si>
  <si>
    <t>This section examines "sources" of CO2 reductions, to determine relative amounts associated with demand side vs. supply side.</t>
  </si>
  <si>
    <t>Percent change in "other" natural gas use, relative to ongoing trend w/o c-tax</t>
  </si>
  <si>
    <t>Change in U.S. "other" natural gas use due to price impact of c-tax, trillion btu</t>
  </si>
  <si>
    <t>National "other" natural gas use with carbon tax, trillion btu</t>
  </si>
  <si>
    <t>CO2 Impacts of the Carbon Tax, million metric tons</t>
  </si>
  <si>
    <t>As percents</t>
  </si>
  <si>
    <t>As million tonnes CO2/y</t>
  </si>
  <si>
    <t>To change the pre-set carbon-tax rates, Page Down once, or click:</t>
  </si>
  <si>
    <t>As barrels/day (1,000)</t>
  </si>
  <si>
    <t>4. Annual Revenues</t>
  </si>
  <si>
    <r>
      <t>3. Annual Oil Requirements</t>
    </r>
    <r>
      <rPr>
        <sz val="10"/>
        <rFont val="Arial"/>
        <family val="2"/>
      </rPr>
      <t xml:space="preserve"> </t>
    </r>
    <r>
      <rPr>
        <sz val="9"/>
        <rFont val="Arial"/>
        <family val="2"/>
      </rPr>
      <t/>
    </r>
  </si>
  <si>
    <t xml:space="preserve"> For graph of reductions in petrol usage over time, click: </t>
  </si>
  <si>
    <t>Share of annual tax revenue applied to deficit or other purposes</t>
  </si>
  <si>
    <t>Tax Revenues applied to deficit or other purposes, $ billion</t>
  </si>
  <si>
    <t>Cumulative Tax Revs applied to deficit or other purposes, $ billions</t>
  </si>
  <si>
    <t>Cumulative Tax Revenues not applied to deficit or other, $ billions</t>
  </si>
  <si>
    <t>Annual Carbon Tax Dividend per household</t>
  </si>
  <si>
    <t>Maximum Annual Carbon Tax Dividend per household</t>
  </si>
  <si>
    <r>
      <t xml:space="preserve">Maximum Annual Carbon Tax Dividend per capita </t>
    </r>
    <r>
      <rPr>
        <sz val="9"/>
        <rFont val="Arial"/>
        <family val="2"/>
      </rPr>
      <t/>
    </r>
  </si>
  <si>
    <t>Persons per HH:</t>
  </si>
  <si>
    <t>U.S. Census 'Quick Facts': http://quickfacts.census.gov/qfd/states/00000.html</t>
  </si>
  <si>
    <t>Carbon Tax Revenues</t>
  </si>
  <si>
    <r>
      <t xml:space="preserve">Carbon Tax Dividend per household </t>
    </r>
    <r>
      <rPr>
        <sz val="9"/>
        <rFont val="Arial"/>
        <family val="2"/>
      </rPr>
      <t>(reflects any applicable deductions)</t>
    </r>
  </si>
  <si>
    <t>Graph_Revenue</t>
  </si>
  <si>
    <r>
      <t xml:space="preserve">Tax Revenues, $ billions </t>
    </r>
    <r>
      <rPr>
        <sz val="9"/>
        <rFont val="Arial"/>
        <family val="2"/>
      </rPr>
      <t>(100% of revenues, whether 'recycled' or not)</t>
    </r>
  </si>
  <si>
    <t xml:space="preserve"> For graph of carbon tax revenues, click: </t>
  </si>
  <si>
    <t>Index</t>
  </si>
  <si>
    <t>Linked tab or page</t>
  </si>
  <si>
    <t>Description</t>
  </si>
  <si>
    <t>Other_Petrol</t>
  </si>
  <si>
    <t>Other_Natural Gas</t>
  </si>
  <si>
    <t>(this page)</t>
  </si>
  <si>
    <t>Summarizes nature, purpose and structure of the spreadsheet.</t>
  </si>
  <si>
    <t>Graphs showing future CO2 emissions with and without carbon tax, and breakout of 10th-year differences by sector.</t>
  </si>
  <si>
    <t>Graph showing total revenue generation and per-household "dividend" shares of revenue from the carbon tax</t>
  </si>
  <si>
    <t>Unravels the model's key precepts and mechanics (still under construction, however).</t>
  </si>
  <si>
    <t>Compiles emissions of non-CO2 greenhouse gases (still under construction, however).</t>
  </si>
  <si>
    <t>Graphs showing future petroleum requirements with and without carbon tax, and breakout of 10th-year differences by sector.</t>
  </si>
  <si>
    <t>Initial carbon tax rate ($/ton of CO2):</t>
  </si>
  <si>
    <t>Inflation treatment:</t>
  </si>
  <si>
    <t>Graph results below correspond to following carbon tax inputs/assumptions</t>
  </si>
  <si>
    <t>Year that carbon tax starts</t>
  </si>
  <si>
    <t>Annual increment ($/ton or %):</t>
  </si>
  <si>
    <t>For possible future use</t>
  </si>
  <si>
    <t>Instructions to change an Excel "setting" to allow "iterative calculation" and thus eliminate circular references.</t>
  </si>
  <si>
    <t xml:space="preserve">For graph of CO2 reductions over time, click: </t>
  </si>
  <si>
    <t xml:space="preserve">For graph of reductions in petroleum usage over time, click: </t>
  </si>
  <si>
    <t xml:space="preserve">For graph of carbon tax revenues (total, and per household) click: </t>
  </si>
  <si>
    <t>If error message, "Cell reference is circular," appears when you load the file: you'll need to alter an Excel setting. To see how, click:</t>
  </si>
  <si>
    <t>All dollar figures in this section are in nominal (not constant) money.</t>
  </si>
  <si>
    <t>Demand Side</t>
  </si>
  <si>
    <t>Nominal</t>
  </si>
  <si>
    <t>Supply Side</t>
  </si>
  <si>
    <t>Oil</t>
  </si>
  <si>
    <t>Nuke</t>
  </si>
  <si>
    <t>Hydro</t>
  </si>
  <si>
    <t>Wind</t>
  </si>
  <si>
    <t>Solar</t>
  </si>
  <si>
    <t>Geoth</t>
  </si>
  <si>
    <t>CF of new wind turbines</t>
  </si>
  <si>
    <t>MW of new wind turbines</t>
  </si>
  <si>
    <t>GWh/y of new wind turbines</t>
  </si>
  <si>
    <t>This link</t>
  </si>
  <si>
    <t>Demand Side, Part 1: Dampening in Electricity Growth Rate due to Carbon Tax</t>
  </si>
  <si>
    <t>Demand Side, Part 2: The Boost in Electricity Prices that Will Cause the Dampening in Usage</t>
  </si>
  <si>
    <r>
      <t xml:space="preserve">Demand Side, Part 3: Increase in Average Electric </t>
    </r>
    <r>
      <rPr>
        <b/>
        <u/>
        <sz val="9"/>
        <rFont val="Arial"/>
        <family val="2"/>
      </rPr>
      <t>Bill</t>
    </r>
    <r>
      <rPr>
        <b/>
        <sz val="9"/>
        <rFont val="Arial"/>
        <family val="2"/>
      </rPr>
      <t xml:space="preserve"> with and without Carbon Tax</t>
    </r>
  </si>
  <si>
    <t>Diff. in annual growth in electric bills, between having and not having a carbon tax</t>
  </si>
  <si>
    <t>Cellulose</t>
  </si>
  <si>
    <t>Totals</t>
  </si>
  <si>
    <t>Figs. below are annual growth rates from 2012 chosen for wind and solar generation</t>
  </si>
  <si>
    <t>Methane</t>
  </si>
  <si>
    <t>(assumption)</t>
  </si>
  <si>
    <t>(calculation)</t>
  </si>
  <si>
    <t>SUPPLY SIDE SCENARIOS TO "MEET" THE ELECTRICITY GROWTH AND CO2 REDUCTION SCENARIOS PROJECTED IN THE MODEL</t>
  </si>
  <si>
    <t>Exploratory Calculations to "Realize" (Flesh Out) Forecasted
Reductions in CO2 from Electricity Sector</t>
  </si>
  <si>
    <t>Goods Movement</t>
  </si>
  <si>
    <t>Other Petroleum</t>
  </si>
  <si>
    <t>TOTAL</t>
  </si>
  <si>
    <t>Other Graphs</t>
  </si>
  <si>
    <t>2. Electricity Generation, Pie Charts</t>
  </si>
  <si>
    <t>3. Electricity Generation, Stacked Bars</t>
  </si>
  <si>
    <t>TWh</t>
  </si>
  <si>
    <t>2012¢/kWh</t>
  </si>
  <si>
    <t>2012$Bills</t>
  </si>
  <si>
    <t>No Tax</t>
  </si>
  <si>
    <t>Impact</t>
  </si>
  <si>
    <t>Bills</t>
  </si>
  <si>
    <t>Reduction attributable to conservation (reduced demand)</t>
  </si>
  <si>
    <t>Reduction attributable to decarbonization of supply</t>
  </si>
  <si>
    <t>Reductions from Conservation</t>
  </si>
  <si>
    <t>Reductions from Decarbonization</t>
  </si>
  <si>
    <t>CO2 Emissions from Carbon Tax</t>
  </si>
  <si>
    <t>Compound Annual Growth</t>
  </si>
  <si>
    <t>4. Electricity Sector Emissions, Stacked Bars</t>
  </si>
  <si>
    <t>Tax #1</t>
  </si>
  <si>
    <t>Tax #2</t>
  </si>
  <si>
    <t>sketching sector re-alignment in response to a robust carbon tax.</t>
  </si>
  <si>
    <t>This spreadsheet is Web-downloadable at</t>
  </si>
  <si>
    <t>Projections for Tenth Year of Carbon Tax</t>
  </si>
  <si>
    <t>T O T A L</t>
  </si>
  <si>
    <t>Other Sectors Combined</t>
  </si>
  <si>
    <t>Total, except Electricity</t>
  </si>
  <si>
    <t>Air Travel</t>
  </si>
  <si>
    <t>Other "Natural" Gas</t>
  </si>
  <si>
    <t>Larson Bill Revenue Treatment</t>
  </si>
  <si>
    <t>Larson Revenue</t>
  </si>
  <si>
    <r>
      <t xml:space="preserve">Administrative Costs </t>
    </r>
    <r>
      <rPr>
        <sz val="10"/>
        <rFont val="Arial"/>
        <family val="2"/>
      </rPr>
      <t>(of a possible "dividend" system for distributing carbon tax revenes)</t>
    </r>
  </si>
  <si>
    <t>From: Foy, Anne FIN:EX &lt;Anne.Foy@gov.bc.ca&gt;</t>
  </si>
  <si>
    <t>Date: Mon, Jul 15, 2013 at 6:28 PM</t>
  </si>
  <si>
    <t>Subject: RE: Request on Administrative Costs of the BC Carbon Tax</t>
  </si>
  <si>
    <t>To: Danny Richter &lt;daniel@citizensclimatelobby.org&gt;</t>
  </si>
  <si>
    <t>Danny Richter,</t>
  </si>
  <si>
    <t>Legislative Director</t>
  </si>
  <si>
    <t>Citizens Climate Lobby</t>
  </si>
  <si>
    <t>Mr. Richter,</t>
  </si>
  <si>
    <t>The costs to administer a carbon tax will vary significantly by jurisdiction.  Among the many factors that will impact the administrative costs are the design of the tax and how it fits with any existing administrative processes.</t>
  </si>
  <si>
    <t>British Columbia has imposed fuel taxes since the 1920s. The BC carbon tax was designed to be administered harmoniously with the existing fuel taxes, reducing both provincial administrative costs and the compliance costs for fuel sellers.</t>
  </si>
  <si>
    <t>As set out in the June Budget Update,  the estimated revenue from the carbon tax for the 2013/14 fiscal year is $1,187 million.</t>
  </si>
  <si>
    <t>The estimated annual additional cost of administrating the BC carbon tax is approximately $1.4 to $1.8 million.  This is based primarily on the cost of the additional staff hired to administer the tax.  </t>
  </si>
  <si>
    <t>The June Budget Update is available at http://www.bcbudget.gov.bc.ca/2013_June_Update/default.htm</t>
  </si>
  <si>
    <t>General information about BCs carbon tax is available at: http://www.fin.gov.bc.ca/tbs/tp/climate/carbon_tax.htm</t>
  </si>
  <si>
    <t>Technical information about BCs carbon tax is available at:  http://www2.gov.bc.ca/gov/topic.page?id=1A80D78D2FC440ECB036B9EDE1EA7771.</t>
  </si>
  <si>
    <t>Anne Foy</t>
  </si>
  <si>
    <t>Strategic Advisor</t>
  </si>
  <si>
    <t>Tax Policy Branch</t>
  </si>
  <si>
    <t>Ministry of Finance</t>
  </si>
  <si>
    <t>British Columbia</t>
  </si>
  <si>
    <t>Estimated revenue, FY 2013/14:</t>
  </si>
  <si>
    <t>million</t>
  </si>
  <si>
    <t xml:space="preserve">Estimated annual additional cost of administering tax </t>
  </si>
  <si>
    <t>High estimate</t>
  </si>
  <si>
    <t>Low estimate</t>
  </si>
  <si>
    <t>Source: E-mail from BC Ministry of Finance to Danny Richter, Citizens Climate Lobby, July 15, 2013.</t>
  </si>
  <si>
    <t>United States</t>
  </si>
  <si>
    <t>GAO, August 2002 report, "Advance Tax Refund Program Was a Major Accomplishment, but Not Problem Free" (GAO-02-827, available at http://www.gao.gov/assets/240/235289.pdf.</t>
  </si>
  <si>
    <t>The program, known as the Economic Growth and Tax Relief Reconciliation Act of 2001 (EGTRA), changed tax law to reduce taxes and provide one-shot relief to some Americans in the form of an Advance Refund based on their 2000 tax returns.</t>
  </si>
  <si>
    <t>IRS was to identify eligible taxpayers and the Dept of Treasury's Financial Management Service (FMS) was to issue che checks on behalf of IRS.</t>
  </si>
  <si>
    <t>Direct quote from p. 2: Between July and December 2001, IRS, through FMS, mailed about 86 million advance refund checks totaling about $36.4 billion. According to IRS and FMS officials, (1) IRS incurred costs of about $104 million during fiscal year 2001 to administer the advance tax refund program, including staffing costs for such activities as computer programming and responding to taxpayer inquiries as well as costs for contracts, postage, and printing, and (2) FMS incurred about $34 million in costs to issue the checks. IRS expected to incur at least $12 million in additional costs during fiscal year 2002.</t>
  </si>
  <si>
    <t>Actual $$</t>
  </si>
  <si>
    <t>Reference Date</t>
  </si>
  <si>
    <t>Midpoint</t>
  </si>
  <si>
    <t>2013 $$</t>
  </si>
  <si>
    <t>FMS Costs</t>
  </si>
  <si>
    <t>IRS Costs I</t>
  </si>
  <si>
    <t>IRS Costs II</t>
  </si>
  <si>
    <t>FY2001</t>
  </si>
  <si>
    <t>2H2001</t>
  </si>
  <si>
    <t>FY2002</t>
  </si>
  <si>
    <t>GDP Def 1-Jul-2013</t>
  </si>
  <si>
    <t>GDP Def @ midpoint</t>
  </si>
  <si>
    <t>GDP deflators from http://research.stlouisfed.org/fred2/data/GDPDEF.txt, downloaded Nov. 22, 2013.</t>
  </si>
  <si>
    <t>IRS/FMS Costs, in Millions</t>
  </si>
  <si>
    <t>EGTRA (2001)</t>
  </si>
  <si>
    <t>H.R. 5140 (2008): Economic Stimulus Act of 2008 ("as cleared by the Congress on Feb. 7, 2008)</t>
  </si>
  <si>
    <t>Provided one-time tax rebate to most (?) individual tax filers.</t>
  </si>
  <si>
    <t>Source: CBO "Cost Estimate," Feb. 11, 2008.</t>
  </si>
  <si>
    <t>Table gives "Administrative Costs" of $0.2 billion in FY2008 + $0.1 billion in FY2009.</t>
  </si>
  <si>
    <t>Similarly, p. 4 says: Administrative Costs. Section 101 would appropriate $0.3 billion for the Internal Revenue Service (IRS), Financial Management Service (FMS), and Social Security Administration (SSA) to implement the provisions of H.R. 5140. Based on information from IRS, FMS, SSA, and historical spending patterns for similar activities, CBO estimates that this provision would increase direct spending by $0.2 billion in 2008 and by $0.1 billion in 2009.</t>
  </si>
  <si>
    <t>No figures given for # of HH's targeted, # of checks issued, # of checks received, etc.</t>
  </si>
  <si>
    <t>This page was begun in late November, 2013, and is still under construction.</t>
  </si>
  <si>
    <t>mer_data, T07.4A</t>
  </si>
  <si>
    <t>Steep changes 2005-07 are from re-classifying vehicles</t>
  </si>
  <si>
    <r>
      <t xml:space="preserve">Int'l Bunker Fuels </t>
    </r>
    <r>
      <rPr>
        <sz val="8"/>
        <rFont val="Arial"/>
        <family val="2"/>
      </rPr>
      <t>(departing flights' aviation fuel; Tab. 3-50)</t>
    </r>
  </si>
  <si>
    <t>U.S. net electric generation w/o carbon tax, thousand GWh</t>
  </si>
  <si>
    <t>in 2011$, from AEO2013</t>
  </si>
  <si>
    <t>in 2012$, from AEO2014</t>
  </si>
  <si>
    <t>Prices</t>
  </si>
  <si>
    <t>Population (millions)</t>
  </si>
  <si>
    <r>
      <t xml:space="preserve">Implied AEO </t>
    </r>
    <r>
      <rPr>
        <b/>
        <sz val="9"/>
        <color rgb="FFFF0000"/>
        <rFont val="Arial"/>
        <family val="2"/>
      </rPr>
      <t>Annual</t>
    </r>
    <r>
      <rPr>
        <b/>
        <sz val="9"/>
        <rFont val="Arial"/>
        <family val="2"/>
      </rPr>
      <t xml:space="preserve"> Change Ratios</t>
    </r>
  </si>
  <si>
    <t>Beyond 2040</t>
  </si>
  <si>
    <t>Year-to-year change in pounds CO2/kWh</t>
  </si>
  <si>
    <t>Annualized change from 2005 in pounds CO2/kWh</t>
  </si>
  <si>
    <t>Personal Ground (+ Water) Travel</t>
  </si>
  <si>
    <t>Percent change in electricity usage, relative to ongoing trend w/o carbon tax</t>
  </si>
  <si>
    <t>lbs Carbon / gallon, gasoline</t>
  </si>
  <si>
    <t>Note: "Gasoline" in next array is shorthand for "personal ground transportation fuels"</t>
  </si>
  <si>
    <t>Compound average annual increase rate to CPI</t>
  </si>
  <si>
    <t>Compound average annual increase rate to real price, w/o taxes(shown as multiple rather than percent)</t>
  </si>
  <si>
    <t>Average federal, state and local taxes on diesel fuel, per gallon, nominal $</t>
  </si>
  <si>
    <t>Average retail diesel price per gallon, w/o carbon tax (excludes state and local taxes), nominal $</t>
  </si>
  <si>
    <t>Average retail diesel price per gallon, with fed, state and local taxes but w/o carbon tax, nominal $</t>
  </si>
  <si>
    <t>Note: "Diesel" in next array is shorthand for "freight transportation fuels"</t>
  </si>
  <si>
    <t>Average "retail" jet fuel price, per gallon, with all taxes except carbon tax, nominal $</t>
  </si>
  <si>
    <t>Natural Gas Share of "Other" Fossil Fuel BTU's Consumed</t>
  </si>
  <si>
    <r>
      <t>(1 Quad = 10</t>
    </r>
    <r>
      <rPr>
        <b/>
        <vertAlign val="superscript"/>
        <sz val="8"/>
        <rFont val="Arial"/>
        <family val="2"/>
      </rPr>
      <t>15</t>
    </r>
    <r>
      <rPr>
        <b/>
        <sz val="8"/>
        <rFont val="Arial"/>
        <family val="2"/>
      </rPr>
      <t xml:space="preserve"> Btu)</t>
    </r>
  </si>
  <si>
    <t>Fossil Fuels Consumed for "Other" (Quads)</t>
  </si>
  <si>
    <t>Natural Gas Consumed for "Other" (Quads)</t>
  </si>
  <si>
    <t>Average natural gas price at wellhead, $/mcf</t>
  </si>
  <si>
    <t>Average natural gas price at "City Gate", $/mcf</t>
  </si>
  <si>
    <t>per thousand cubic feet; from http://www.eia.gov/dnav/ng/ng_pri_sum_dcu_nus_a.htm</t>
  </si>
  <si>
    <t>Inferred delivery chrg ($/million Btu, encompasses transmxn + distribution)</t>
  </si>
  <si>
    <t>CTC estimate, intended to reflect increased penetration of biofuels, hydrogen, etc. as natural gas grows more costly.</t>
  </si>
  <si>
    <t>CTC est.</t>
  </si>
  <si>
    <r>
      <t xml:space="preserve">Natural gas sales w carbon tax </t>
    </r>
    <r>
      <rPr>
        <sz val="8"/>
        <rFont val="Arial"/>
        <family val="2"/>
      </rPr>
      <t>(million gallons)</t>
    </r>
  </si>
  <si>
    <r>
      <t xml:space="preserve">Natural gas sales w/o carbon tax </t>
    </r>
    <r>
      <rPr>
        <sz val="8"/>
        <rFont val="Arial"/>
        <family val="2"/>
      </rPr>
      <t>(10</t>
    </r>
    <r>
      <rPr>
        <vertAlign val="superscript"/>
        <sz val="8"/>
        <rFont val="Arial"/>
        <family val="2"/>
      </rPr>
      <t>12</t>
    </r>
    <r>
      <rPr>
        <sz val="8"/>
        <rFont val="Arial"/>
        <family val="2"/>
      </rPr>
      <t xml:space="preserve"> Btu)</t>
    </r>
  </si>
  <si>
    <t>Simple mean of three fuel types above</t>
  </si>
  <si>
    <t>End-user natural gas prices, $ per million Btu</t>
  </si>
  <si>
    <t>End-user average prices for "other petrol," $ per million Btu</t>
  </si>
  <si>
    <t>lbs CO2 per gallon, petroleum products used in "Other" sectors</t>
  </si>
  <si>
    <t>Adjusted lbs CO2/gal for "Other" fossil fuels</t>
  </si>
  <si>
    <t>Adj factor to reflect (modest) presence of coal in "Other" fossil fuels</t>
  </si>
  <si>
    <t>Assumed reduxn in per-Btu CO2 emission rate per</t>
  </si>
  <si>
    <t>Historical and Projected Data for freight transportation, w/o carbon tax</t>
  </si>
  <si>
    <t>Historical and Projected Data for "Other Petrol" fuel, w/o carbon tax</t>
  </si>
  <si>
    <t>All Fossil Fuels Consumed for Other, Quads</t>
  </si>
  <si>
    <t>Petroleum Products' Share of Other Fossil Fuel Btu's</t>
  </si>
  <si>
    <t>Avg "retail" fuel price/gal for petroleum products consumed in sector, w/o carbon tax, nominal $</t>
  </si>
  <si>
    <t>Value of 1, if entered, indicates that no adjustment has been made.</t>
  </si>
  <si>
    <t>Fossil Fuels Consumed for non-Energy, Quads</t>
  </si>
  <si>
    <t>Non-Energy Use of Fuels</t>
  </si>
  <si>
    <t>Fossil Fuels Consumed for "Non-Energy" (Quads)</t>
  </si>
  <si>
    <t>Miscellany</t>
  </si>
  <si>
    <t>Mobile Combustion: Other</t>
  </si>
  <si>
    <t>Stationary Comb. of Coal: Industrial + Comm.</t>
  </si>
  <si>
    <t>Coal Consumed outside of Electric Generation</t>
  </si>
  <si>
    <t>Commercial, Short Tons, 000</t>
  </si>
  <si>
    <t>Coke, Short Tons, 000</t>
  </si>
  <si>
    <r>
      <t xml:space="preserve">Btu per short ton for coal consumption </t>
    </r>
    <r>
      <rPr>
        <sz val="9"/>
        <rFont val="Arial"/>
        <family val="2"/>
      </rPr>
      <t>("other" industrial + commercial)</t>
    </r>
  </si>
  <si>
    <t>Approximated by CTC from Monthly Energy Review, Table A5. Approximate Heat Content of Coal and Coal Coke</t>
  </si>
  <si>
    <t>Stationary Combustion of Coal: Industrial + Commercial (Quads)</t>
  </si>
  <si>
    <t>Fossil Fuels Consumed in U.S. Territories, Quads</t>
  </si>
  <si>
    <t>This "category" (construction vehicles) appears to be subsumed in Diesel, above, and thus is not deployed further.</t>
  </si>
  <si>
    <t>Three Miscellaneous Categories, Combined</t>
  </si>
  <si>
    <t>Energy Parameters</t>
  </si>
  <si>
    <t>Emissions Parameters</t>
  </si>
  <si>
    <t>CO2 emissions from Industrial + Commercial Coal (million metric tons)</t>
  </si>
  <si>
    <t>CO2 emissions from FF's Used for Non-Energy (million metric tons)</t>
  </si>
  <si>
    <t>CO2 emissions from FF's Used in U.S. Territories (million metric tons)</t>
  </si>
  <si>
    <t>(Note that anomalously low appearance of above figures is because not all FF's are combusted.)</t>
  </si>
  <si>
    <t>Miscellaneous Fuels (excludes mobile combustion)</t>
  </si>
  <si>
    <r>
      <t xml:space="preserve">Energy Price Parameters </t>
    </r>
    <r>
      <rPr>
        <i/>
        <sz val="9"/>
        <rFont val="Arial"/>
        <family val="2"/>
      </rPr>
      <t>-- we use diesel fuel as proxy for the three usage categories making up "Miscellany"</t>
    </r>
  </si>
  <si>
    <t>Avg retail fuel price/gal for FF's consumed in sector, w/o carbon tax, nominal $</t>
  </si>
  <si>
    <t>Avg retail fuel price/gal for FF's consumed in sector, w/ carbon tax, nominal $</t>
  </si>
  <si>
    <t>% increase in avg retail price of FF's due to carbon tax (i.e., tax's price differential as % of price w/o tax)</t>
  </si>
  <si>
    <t>U.S. Miscellany FF sales with carbon tax, Quads</t>
  </si>
  <si>
    <t>CO2 emissions from miscellaneous FF's w/ tax, millions tonnes</t>
  </si>
  <si>
    <t>Fossil Fuels Consumed in Coal (non-electric), Quads</t>
  </si>
  <si>
    <t>Fossil Fuels Consumed for Other Petrol + Nat. Gas, Quads</t>
  </si>
  <si>
    <t>It supersedes all prior versions.</t>
  </si>
  <si>
    <t>Magenta-colored cells may be entered by you, the user. LEAVE OTHER CELLS ALONE, to avoid inadvertently altering the formulas that directly or indirectly determine their value.</t>
  </si>
  <si>
    <t>2. If you selected '2,' initial tax will be compounded annually at % rate chosen. Consider this a 'geometric' growth path.</t>
  </si>
  <si>
    <t>"Other" Natural Gas (industry, heat/hot water, etc.)</t>
  </si>
  <si>
    <t>Sectors' Shares of CO2</t>
  </si>
  <si>
    <t>Petrol's assumed share of non-energy FF's:</t>
  </si>
  <si>
    <t>Petrol's assumed share of coal:</t>
  </si>
  <si>
    <t>Petrol's assumed share of U.S. territories:</t>
  </si>
  <si>
    <t>Calculated total share (sum of x-products):</t>
  </si>
  <si>
    <t>Estimating petrol products' share of sector's energy, on last yr before c-tax</t>
  </si>
  <si>
    <t>Kilograms of CO2 per million btu, FF's used in Miscellany sector, w/ carbon tax</t>
  </si>
  <si>
    <t>Pounds of CO2 per "gallon" of FF's used in Miscellany sector, w/ carbon tax</t>
  </si>
  <si>
    <t>Miscellaneous uses of FF's</t>
  </si>
  <si>
    <t>(vis-à-vis moving trajectory)</t>
  </si>
  <si>
    <r>
      <t xml:space="preserve">Miscellany FF sales w/o carbon tax </t>
    </r>
    <r>
      <rPr>
        <sz val="8"/>
        <rFont val="Arial"/>
        <family val="2"/>
      </rPr>
      <t>(10</t>
    </r>
    <r>
      <rPr>
        <vertAlign val="superscript"/>
        <sz val="8"/>
        <rFont val="Arial"/>
        <family val="2"/>
      </rPr>
      <t>15</t>
    </r>
    <r>
      <rPr>
        <sz val="8"/>
        <rFont val="Arial"/>
        <family val="2"/>
      </rPr>
      <t xml:space="preserve"> Btu)</t>
    </r>
  </si>
  <si>
    <r>
      <t xml:space="preserve">Miscellany FF sales w/ carbon tax </t>
    </r>
    <r>
      <rPr>
        <sz val="8"/>
        <rFont val="Arial"/>
        <family val="2"/>
      </rPr>
      <t>(10</t>
    </r>
    <r>
      <rPr>
        <vertAlign val="superscript"/>
        <sz val="8"/>
        <rFont val="Arial"/>
        <family val="2"/>
      </rPr>
      <t>15</t>
    </r>
    <r>
      <rPr>
        <sz val="8"/>
        <rFont val="Arial"/>
        <family val="2"/>
      </rPr>
      <t xml:space="preserve"> Btu)</t>
    </r>
  </si>
  <si>
    <t>Pounds of CO2 per "gallon" of FF's used in Miscellany sector, w/o carbon tax</t>
  </si>
  <si>
    <r>
      <t xml:space="preserve">5. "Demand Side" vs. "Supply Side" </t>
    </r>
    <r>
      <rPr>
        <b/>
        <sz val="10"/>
        <rFont val="Calibri"/>
        <family val="2"/>
      </rPr>
      <t>—</t>
    </r>
    <r>
      <rPr>
        <b/>
        <sz val="10"/>
        <rFont val="Arial"/>
        <family val="2"/>
      </rPr>
      <t xml:space="preserve"> Estimating the Relative Contributions of "Conservation" (reduced and/or more-efficient usage) and of "Decarbonization" (changes in fuel mix)</t>
    </r>
  </si>
  <si>
    <t>This section is intended to shed quantitative light on the role of the "demand side" in reducing CO2 emissions.</t>
  </si>
  <si>
    <t>Prices: Natural Gas</t>
  </si>
  <si>
    <t>CTC assumption, premised on continuation of factors causing real price to rise over past several decades (largely increasing cost to exploit "frontier"/"extreme" oil resources).</t>
  </si>
  <si>
    <t>Note that this sector's baseline (non-c-taxed) future fuel prices are taken as mean of prices for diesel and aviation fuels, obviating need to explicitly specify price escalation.</t>
  </si>
  <si>
    <t>Rough multiplier to adjust diesel price to better reflect three categories in Miscellany:</t>
  </si>
  <si>
    <t>See http://www.carbontax.org/issues/energy-demand-how-sensitive-to-price/ for background; However, because we have not explicitly analyzed "Misc." fuels, figure here is an estimate.</t>
  </si>
  <si>
    <t>See http://www.carbontax.org/issues/energy-demand-how-sensitive-to-price/ for background; However, because we have not analyzed "Other" natural gas usage, figure here is an estimate.</t>
  </si>
  <si>
    <t>See http://www.carbontax.org/issues/energy-demand-how-sensitive-to-price/ for background; However, because we have not analyzed "Other" petrol fuels, figure here is an estimate.</t>
  </si>
  <si>
    <t>Sectors' Projected 10th-tax-yr Emissions, vis-à-vis Actual 2005 Emissions</t>
  </si>
  <si>
    <t>A. Select time period over which tax is to be applied</t>
  </si>
  <si>
    <r>
      <t xml:space="preserve">C. Next, choose between two different ways to </t>
    </r>
    <r>
      <rPr>
        <b/>
        <u/>
        <sz val="9"/>
        <rFont val="Arial"/>
        <family val="2"/>
      </rPr>
      <t>increment</t>
    </r>
    <r>
      <rPr>
        <b/>
        <sz val="9"/>
        <rFont val="Arial"/>
        <family val="2"/>
      </rPr>
      <t xml:space="preserve"> tax. Click on box directly to right, and input "1" or "2".</t>
    </r>
  </si>
  <si>
    <t>D. Specify whether changes in carbon tax level after initial year are expressed in "real" dollars (inflation-adjusted to a specified base year) or "nominal" dollars (unadjusted for inflation, so that impact of tax is attenuated by inflation). Nominal is default.</t>
  </si>
  <si>
    <r>
      <t xml:space="preserve">Electricity Sector CO2 emissions w/o carbon tax </t>
    </r>
    <r>
      <rPr>
        <sz val="8"/>
        <rFont val="Arial"/>
        <family val="2"/>
      </rPr>
      <t>(million metric tons)</t>
    </r>
  </si>
  <si>
    <r>
      <t xml:space="preserve">Electricity Sector CO2 emissions w/ carbon tax </t>
    </r>
    <r>
      <rPr>
        <sz val="8"/>
        <rFont val="Arial"/>
        <family val="2"/>
      </rPr>
      <t>(million metric tons)</t>
    </r>
  </si>
  <si>
    <t>The baroquely colored array below shows baseline (2013) U.S. electricity generation and CO2 emissions by fuel, and three scenarios for 2023.</t>
  </si>
  <si>
    <r>
      <t xml:space="preserve">Electricity sales in 10th year w/o carbon tax </t>
    </r>
    <r>
      <rPr>
        <sz val="8"/>
        <rFont val="Arial"/>
        <family val="2"/>
      </rPr>
      <t>(TWh)</t>
    </r>
  </si>
  <si>
    <r>
      <t xml:space="preserve">Electricity sales in 10th year w carbon tax </t>
    </r>
    <r>
      <rPr>
        <sz val="8"/>
        <rFont val="Arial"/>
        <family val="2"/>
      </rPr>
      <t>(TWh)</t>
    </r>
  </si>
  <si>
    <t>Difference in annual growth in electric price btwn having and not having carbon tax</t>
  </si>
  <si>
    <t>Actual 2013</t>
  </si>
  <si>
    <t>∆ vs. 2013</t>
  </si>
  <si>
    <t>Calculates costs of administering carbon tax "dividend" distribution (this worksheet is under construction)</t>
  </si>
  <si>
    <t>Admin Cost'!A1</t>
  </si>
  <si>
    <t>2024 No Tax</t>
  </si>
  <si>
    <t>2024 Tax, #1</t>
  </si>
  <si>
    <t>2024 Tax, #2</t>
  </si>
  <si>
    <t>2024NoTax</t>
  </si>
  <si>
    <t>2024Tax#1</t>
  </si>
  <si>
    <t>2024Tax#2</t>
  </si>
  <si>
    <t xml:space="preserve">Displays breakout of revenue distributions under Rep. John Larson's "AESTFA" carbon-tax bill from 2009 </t>
  </si>
  <si>
    <t>McDermott Tax</t>
  </si>
  <si>
    <t>For link to McDermott bill click here [link in June 2014]:</t>
  </si>
  <si>
    <t>Obama Target</t>
  </si>
  <si>
    <t xml:space="preserve">For our commentary on McDermott bill click here: </t>
  </si>
  <si>
    <t>2030 EPA</t>
  </si>
  <si>
    <t>2030 BAU</t>
  </si>
  <si>
    <t>2. Emissions Snapshots, Stacked Bars</t>
  </si>
  <si>
    <t>2030 McD
C-tax</t>
  </si>
  <si>
    <t>2030
EPA rule</t>
  </si>
  <si>
    <t>Savings, C-tax vs. 2030 no action</t>
  </si>
  <si>
    <t>Electricity's share of total savings, C-tax vs. 2030 no action</t>
  </si>
  <si>
    <t>All other sectors' share of total savings, C-tax vs. 2030 no action</t>
  </si>
  <si>
    <t xml:space="preserve">2024 With a Carbon Tax: A High-Wind, Low-Methane Scenario </t>
  </si>
  <si>
    <t>2003-13  Change/yr:</t>
  </si>
  <si>
    <t>GWh</t>
  </si>
  <si>
    <t>% all gwh</t>
  </si>
  <si>
    <t>CO2/kWh</t>
  </si>
  <si>
    <t>10^6 tonnes</t>
  </si>
  <si>
    <t>This space left blank</t>
  </si>
  <si>
    <t>GWh target</t>
  </si>
  <si>
    <t>CO2 target</t>
  </si>
  <si>
    <t xml:space="preserve">2024 With a Carbon Tax: A Lower-Wind, Higher-Solar Scenario </t>
  </si>
  <si>
    <t>2025 target</t>
  </si>
  <si>
    <t>2005 actual</t>
  </si>
  <si>
    <t>Freight (goods movement by road, rail, ship, air)</t>
  </si>
  <si>
    <t>Aviation (passenger only)</t>
  </si>
  <si>
    <t>Misc. (non-electric coal, non-energy FF's, U.S. territories)</t>
  </si>
  <si>
    <t>Sen. Whitehouse (D-RI) "AOFCA" carbon fee</t>
  </si>
  <si>
    <t>2030 w/
no action</t>
  </si>
  <si>
    <t>2030 w/
CO2 tax</t>
  </si>
  <si>
    <t>in 2013$, from AEO2015</t>
  </si>
  <si>
    <t>From Table A1, p. 51/154.</t>
  </si>
  <si>
    <t>Motor gasoline</t>
  </si>
  <si>
    <t>Jet fuel</t>
  </si>
  <si>
    <t>Natural gas</t>
  </si>
  <si>
    <t>Distillate fuel oil</t>
  </si>
  <si>
    <t>From Table A3, p. 56/154.</t>
  </si>
  <si>
    <t>Economic Indicators (2009 $)</t>
  </si>
  <si>
    <t>Real GDP, billions</t>
  </si>
  <si>
    <t>GDP chain-type price index (2009 = 1.000)</t>
  </si>
  <si>
    <t>Figures in shaded array are vestigial.</t>
  </si>
  <si>
    <t>Value of industrial shipments</t>
  </si>
  <si>
    <t>From Table A20, p. 88/154.</t>
  </si>
  <si>
    <r>
      <t xml:space="preserve">Coal </t>
    </r>
    <r>
      <rPr>
        <sz val="8"/>
        <rFont val="Arial"/>
        <family val="2"/>
      </rPr>
      <t>(from Table 2-11)</t>
    </r>
  </si>
  <si>
    <r>
      <t xml:space="preserve">Natural Gas </t>
    </r>
    <r>
      <rPr>
        <sz val="8"/>
        <rFont val="Arial"/>
        <family val="2"/>
      </rPr>
      <t>(from Table 2-11)</t>
    </r>
  </si>
  <si>
    <r>
      <t xml:space="preserve">Petroleum </t>
    </r>
    <r>
      <rPr>
        <sz val="8"/>
        <rFont val="Arial"/>
        <family val="2"/>
      </rPr>
      <t>(from Table 2-11)</t>
    </r>
  </si>
  <si>
    <t>Industrial excluding Coke, Short Tons, 000</t>
  </si>
  <si>
    <t xml:space="preserve">Average end-user price of natural gas, $/mcf </t>
  </si>
  <si>
    <t>(per thousand cubic feet; from mer.data T09.10)</t>
  </si>
  <si>
    <t>Prices of Major Petroleum Products: Refiner Prices to End Users (per Gallon Excluding Taxes)</t>
  </si>
  <si>
    <t>Kerosene-Type Jet Fuel</t>
  </si>
  <si>
    <t>No. 2 Diesel Fuel</t>
  </si>
  <si>
    <t>Motor Gasoline, Kero-type Jet Fuel, &amp; Diesel Fuel, unweighted avg</t>
  </si>
  <si>
    <t>2030 vs. 2020</t>
  </si>
  <si>
    <t>2040 vs. 2030</t>
  </si>
  <si>
    <t>(We continue 2030-40 ∆ rate)</t>
  </si>
  <si>
    <r>
      <t xml:space="preserve">This is the second of three pages estimating CO2 emissions from fuel burning other than for </t>
    </r>
    <r>
      <rPr>
        <b/>
        <sz val="8"/>
        <rFont val="Arial"/>
        <family val="2"/>
      </rPr>
      <t>Electricity Generation</t>
    </r>
    <r>
      <rPr>
        <sz val="8"/>
        <rFont val="Arial"/>
        <family val="2"/>
      </rPr>
      <t xml:space="preserve">, </t>
    </r>
    <r>
      <rPr>
        <b/>
        <sz val="8"/>
        <rFont val="Arial"/>
        <family val="2"/>
      </rPr>
      <t>Personal Ground Travel</t>
    </r>
    <r>
      <rPr>
        <sz val="8"/>
        <rFont val="Arial"/>
        <family val="2"/>
      </rPr>
      <t xml:space="preserve">, </t>
    </r>
    <r>
      <rPr>
        <b/>
        <sz val="8"/>
        <rFont val="Arial"/>
        <family val="2"/>
      </rPr>
      <t>Freight</t>
    </r>
    <r>
      <rPr>
        <sz val="8"/>
        <rFont val="Arial"/>
        <family val="2"/>
      </rPr>
      <t xml:space="preserve"> movement, and </t>
    </r>
    <r>
      <rPr>
        <b/>
        <sz val="8"/>
        <rFont val="Arial"/>
        <family val="2"/>
      </rPr>
      <t>Aviation</t>
    </r>
    <r>
      <rPr>
        <sz val="8"/>
        <rFont val="Arial"/>
        <family val="2"/>
      </rPr>
      <t xml:space="preserve">, which are treated in preceding sheets. This page covers combustion of natural gas for "other" purposes, which are dominated by </t>
    </r>
    <r>
      <rPr>
        <u/>
        <sz val="8"/>
        <rFont val="Arial"/>
        <family val="2"/>
      </rPr>
      <t xml:space="preserve">industry </t>
    </r>
    <r>
      <rPr>
        <sz val="8"/>
        <rFont val="Arial"/>
        <family val="2"/>
      </rPr>
      <t xml:space="preserve">(including provision of energy for oil and gas extraction) and </t>
    </r>
    <r>
      <rPr>
        <u/>
        <sz val="8"/>
        <rFont val="Arial"/>
        <family val="2"/>
      </rPr>
      <t>provision of heat and hot water</t>
    </r>
    <r>
      <rPr>
        <sz val="8"/>
        <rFont val="Arial"/>
        <family val="2"/>
      </rPr>
      <t>.</t>
    </r>
  </si>
  <si>
    <t>Combined CO2 from "Other" sectors (N Gas &amp; Petrol), million metric tons</t>
  </si>
  <si>
    <t>A collection of "other" graphs, some of which figure in CTC slide shows</t>
  </si>
  <si>
    <t>Year-on-year ratio of constant-dollar delivered price</t>
  </si>
  <si>
    <r>
      <t xml:space="preserve">Note: AEO (Annual Energy Outlook) price forecast for delivered natural gas, shown in 'AEO' tab, covers </t>
    </r>
    <r>
      <rPr>
        <i/>
        <sz val="9"/>
        <rFont val="Arial"/>
        <family val="2"/>
      </rPr>
      <t>all</t>
    </r>
    <r>
      <rPr>
        <sz val="9"/>
        <rFont val="Arial"/>
        <family val="2"/>
      </rPr>
      <t xml:space="preserve"> end-uses of natural gas, including electricity generation. This worksheet pertains to natural gas </t>
    </r>
    <r>
      <rPr>
        <i/>
        <sz val="9"/>
        <rFont val="Arial"/>
        <family val="2"/>
      </rPr>
      <t xml:space="preserve">other than </t>
    </r>
    <r>
      <rPr>
        <sz val="9"/>
        <rFont val="Arial"/>
        <family val="2"/>
      </rPr>
      <t>for generating electricity, so those AEO forecast figures don't apply. We had two options for projecting (and back-calculating) natural gas prices for non-electric uses: (i) net out prices for gas used to make electricity, using Monthly Energy Review price data; or (ii) perform a 'bottoms-up' calculation. We have chosen the latter route.</t>
    </r>
  </si>
  <si>
    <t>Reduxn in per-Btu CO2 emission rate per</t>
  </si>
  <si>
    <t xml:space="preserve">This is the third of three pages estimating CO2 emissions from fuel burning other than for Electricity Generation, Personal Ground Travel, Freight movement, and Aviation. It covers CO2 emissions from non-electricity-generation uses of coal; non-energy uses of fossil fuels such as natural gas used in chemical plants and LPG (liquid petroleum gas), lubricants and naphtha; and fuels used for energy in U.S. territories (which are not included in other tabs). </t>
  </si>
  <si>
    <t>Money figures in this tab are in nominal ("as-spent") dollars unless constant dollars are explicitly specified.</t>
  </si>
  <si>
    <t>kg of CO2 per million btu of FF's used in Miscellany sector, w/o carbon tax</t>
  </si>
  <si>
    <t>"Other" Fuels (petrol products and natural gas in non-elec, non-transpo)</t>
  </si>
  <si>
    <t>&lt;------------------------------------------- No Tax</t>
  </si>
  <si>
    <t>Sectors' Projected 10th-tax-yr Emissions, vis-à-vis "Otherwise" in Same Yr</t>
  </si>
  <si>
    <t>Personal Ground Travel (driving, boating, rec vehicles, etc.)</t>
  </si>
  <si>
    <t>Price-Elasticity</t>
  </si>
  <si>
    <t>Income-Elasticity in Current Model</t>
  </si>
  <si>
    <t>Income-Elasticity in   Model Versions prior to June 2015</t>
  </si>
  <si>
    <t>Projected oil requirements relative to requirements in same year if no carbon price:</t>
  </si>
  <si>
    <t>2014 actual</t>
  </si>
  <si>
    <t>Settings</t>
  </si>
  <si>
    <r>
      <t xml:space="preserve">B. Now select </t>
    </r>
    <r>
      <rPr>
        <b/>
        <u/>
        <sz val="9"/>
        <rFont val="Arial"/>
        <family val="2"/>
      </rPr>
      <t>initial carbon tax</t>
    </r>
    <r>
      <rPr>
        <b/>
        <sz val="9"/>
        <rFont val="Arial"/>
        <family val="2"/>
      </rPr>
      <t>, per short ton of CO2 emitted</t>
    </r>
  </si>
  <si>
    <t>Tax rates for calculating revenue</t>
  </si>
  <si>
    <t>"Felt" Tax, Nominal $:</t>
  </si>
  <si>
    <t>Tax rates for calculating responses by producers and consumers (these determine emissions)</t>
  </si>
  <si>
    <r>
      <t xml:space="preserve">Levied tax in year shown, in nominal $, per </t>
    </r>
    <r>
      <rPr>
        <u/>
        <sz val="9"/>
        <color indexed="12"/>
        <rFont val="Arial"/>
        <family val="2"/>
      </rPr>
      <t>metric</t>
    </r>
    <r>
      <rPr>
        <sz val="9"/>
        <color indexed="12"/>
        <rFont val="Arial"/>
        <family val="2"/>
      </rPr>
      <t xml:space="preserve"> ton of CO2 emitted (needed to calculate tax revenue)</t>
    </r>
  </si>
  <si>
    <t>Levied tax in nominal $, per gallon of gasoline (shown for reference)</t>
  </si>
  <si>
    <t>Felt tax equivalent in nominal $ per gallon of gasoline</t>
  </si>
  <si>
    <t>Average felt retail diesel price, per gallon, with all taxes including felt carbon tax, nominal $</t>
  </si>
  <si>
    <t>Carbon Tax Revenues from Gasoline, $ billions</t>
  </si>
  <si>
    <t>Carbon Tax Revenues from Diesel, $ billions</t>
  </si>
  <si>
    <t>Tax equivalent, in nominal $, per gallon of diesel fuel (shown for reference)</t>
  </si>
  <si>
    <r>
      <t xml:space="preserve">Tax in year shown, in nominal $, per </t>
    </r>
    <r>
      <rPr>
        <u/>
        <sz val="9"/>
        <color indexed="12"/>
        <rFont val="Arial"/>
        <family val="2"/>
      </rPr>
      <t>metric</t>
    </r>
    <r>
      <rPr>
        <sz val="9"/>
        <color indexed="12"/>
        <rFont val="Arial"/>
        <family val="2"/>
      </rPr>
      <t xml:space="preserve"> ton of CO2 emitted (needed to calculate tax revenue)</t>
    </r>
  </si>
  <si>
    <t>Felt tax equivalent in nominal $ per gallon of diesel fuel</t>
  </si>
  <si>
    <t>Felt tax equivalent in nominal $ per gallon of jet fuel</t>
  </si>
  <si>
    <t>ton of "felt" CO2 tax</t>
  </si>
  <si>
    <t>Average felt retail jet fuel price, per gallon, with all taxes including felt carbon tax, nominal $</t>
  </si>
  <si>
    <t>CO2 emissions from jet fuel use, millions metric tons, w/ tax</t>
  </si>
  <si>
    <t>Carbon Tax Revenues from Jet Fuel, $ billions</t>
  </si>
  <si>
    <t>Tax equivalent, in nominal $, per gallon of petroleum products used in "Other" sector (shown for reference)</t>
  </si>
  <si>
    <t>Felt tax equivalent in nominal $ per gallon of petroleum products used in "Other" sector</t>
  </si>
  <si>
    <t>Felt tax equivalent in nominal $ per "gallon" of FF's used in this (these) sector(s)</t>
  </si>
  <si>
    <t>Avg "retail" fuel price/gal for petroleum products consumed in sector, w/ "felt" carbon tax, nominal $</t>
  </si>
  <si>
    <t>% incrs in avg price of other petrol prods due to "felt" c tax (i.e., tax's price differential as % of un-taxed price)</t>
  </si>
  <si>
    <t>Felt carbon tax per million btu of natural gas (nominal $)</t>
  </si>
  <si>
    <t>Average user price of natural gas per million Btu, with felt carbon tax (nominal $)</t>
  </si>
  <si>
    <t>% increase in avg retail price of natural gas due to felt carbon tax (i.e., felt tax's price differential as % of price w/o tax)</t>
  </si>
  <si>
    <t>Felt carbon charge per kWh delivered, in nominal ¢/kWh</t>
  </si>
  <si>
    <t>Average Retail Price of Electricity (¢/kWh), in nominal terms</t>
  </si>
  <si>
    <t>Avg Retail Electricity Price (¢/kWh) w/o carbon tax, nominal</t>
  </si>
  <si>
    <t>Average Retail Price of Electricity (¢/kWh), with felt carbon tax, in nominal terms</t>
  </si>
  <si>
    <t>% change in avg felt retail price of electricity due to felt carbon tax (i.e., tax's price differential as % of price w/o tax)</t>
  </si>
  <si>
    <t>CO2 emissions, lb/kWh generated, w/ felt carbon tax</t>
  </si>
  <si>
    <t>per year</t>
  </si>
  <si>
    <t>CO2 emissions, million metric tons, w/o carbon tax, unadjusted for mpg gains</t>
  </si>
  <si>
    <t>Exogenous improvement in automobile fuel efficiency (mpg), after 2015</t>
  </si>
  <si>
    <t>Personal Ground Travel (PGT)</t>
  </si>
  <si>
    <t>Baseline/Base-case data for PGT (personal ground transportation; includes recreational boating), w/o carbon tax</t>
  </si>
  <si>
    <t>CO2 emissions, million metric tons, w/o carbon tax but w/ mpg gains</t>
  </si>
  <si>
    <t>Max tax ∆ to which econ responds fully in 1 yr</t>
  </si>
  <si>
    <t>% CO2 savings ascribed to changes on 'supply' side</t>
  </si>
  <si>
    <t>% CO2 savings ascribed to changes on 'demand' side</t>
  </si>
  <si>
    <t>Electricity sales in 2016 (Twh)</t>
  </si>
  <si>
    <t>Total growth in electricity sales to 10th year from 2016, w/o carbon tax</t>
  </si>
  <si>
    <t>Total growth in electricity sales to 10th year from 2016, w/ carbon tax</t>
  </si>
  <si>
    <t>Total percent growth in electricity price from 2016, w/o carbon tax</t>
  </si>
  <si>
    <t>Total percent growth in electricity price from 2016, w/ carbon tax</t>
  </si>
  <si>
    <t>Annual growth in electricity price from 2016, w/o carbon tax</t>
  </si>
  <si>
    <t>Annual growth in electricity price from 2016, w/ carbon tax</t>
  </si>
  <si>
    <t>Annual growth in average electricity bill from 2016, w/o carbon tax</t>
  </si>
  <si>
    <t>Annual growth in average electricity bill from 2016, w/ carbon tax</t>
  </si>
  <si>
    <t>Average retail electricity price, cents/kWh, 2016</t>
  </si>
  <si>
    <t>(this section, from May 2013, has not been updated)</t>
  </si>
  <si>
    <t>CTC estimate, intended to reflect increased penetration of wind, natural gas, nuclear and generation efficiencies as coal-burning grows more costly. Note that relative cost of a coal-fired kWh vis-a-vis natural gas rises by approx'ly 0.7¢ per $10/ton CO2 rise in carbon tax. Ideally, impact would be modeled with time lag and, perhaps, attenuation (diminishing returns).</t>
  </si>
  <si>
    <t>This parameter incorporates prospective fuel-economy gains arising from CAFÉ standards, beyond those that would be expected to arise due to increases in the real price of gasoline. We incorporate it in this tab to erase what would otherwise be a roughly 250 million MT disparity betw baseline emission projections for 2040 in this model vis-a-vis AEO's model.</t>
  </si>
  <si>
    <t>D O    N O T    T Y P E    I N    A N Y    O F    T H E    C E L L S    I N    T H E    M A G E N T A    A R R A Y    B E L O W .    T H E Y    A R E    C A L C U L A T E D    A U T O M A T I C A L L Y    F R O M     " R A T E "    A N D    " Y E A R "    I N P U T S    I N    C E L L S    A T    L E F T .</t>
  </si>
  <si>
    <t>Fuel usage for PGT, million gal, w/o c-tax but w/ adjustment for mpg gains</t>
  </si>
  <si>
    <t>Figures immediately above have been "hard-wired" from results given with Sen. Whitehouse's bill parameters: $45/ton of CO2 in first year, increasing at 2%/y in real terms.</t>
  </si>
  <si>
    <r>
      <t xml:space="preserve">Do </t>
    </r>
    <r>
      <rPr>
        <b/>
        <i/>
        <u/>
        <sz val="9"/>
        <rFont val="Arial"/>
        <family val="2"/>
      </rPr>
      <t>not</t>
    </r>
    <r>
      <rPr>
        <b/>
        <i/>
        <sz val="9"/>
        <rFont val="Arial"/>
        <family val="2"/>
      </rPr>
      <t xml:space="preserve"> use Google docs to view/run the model. Use Excel (PC or Mac) instead.</t>
    </r>
  </si>
  <si>
    <t>In 2030</t>
  </si>
  <si>
    <t>In Tax's 10th Year</t>
  </si>
  <si>
    <t>Projected, without carbon tax</t>
  </si>
  <si>
    <t>Actual Data</t>
  </si>
  <si>
    <t>Change in Total CO2 emissions from 2005 baseline</t>
  </si>
  <si>
    <t>Change in CO2 in any year, relative to same year's CO2 if no carbon tax, expressed as a percent.</t>
  </si>
  <si>
    <t>Go to 'Summary' tab, Rows 50-70, to see parameters of carbon tax underlying this graph.</t>
  </si>
  <si>
    <t>Contains forecasted energy prices and general-economy indicators from U.S. EIA's Annual Energy Outlook (2015).</t>
  </si>
  <si>
    <t>CO2 Reductions with Carbon Tax, million metric tons</t>
  </si>
  <si>
    <t>Data and Charts Below This Line Have Not Been Updated from 2014 Version of Model. DO NOT USE</t>
  </si>
  <si>
    <t>How to "model" (estimate / analyze) the decarbonization of electricity and other energy supply is something we've wrestled with. Clearly a higher carbon tax will accelerate the pace of decarbonization. But we haven't yet calculated an empirical relationship or otherwise devised an analytical means to estimate the strength of the linkage. This "analytical gap" forces us to make assumptions for each sector. [More to come, esp'ly on the supply-side elasticities.]</t>
  </si>
  <si>
    <t>Over time, this decarbonization process attenuates the price impact of the carbon tax, as the carbon content of each unit of fuel declines over time, causing the fuel to be charged less in dollars and cents for a given carbon tax level. This feedback loop is included in the model.</t>
  </si>
  <si>
    <r>
      <t xml:space="preserve">  </t>
    </r>
    <r>
      <rPr>
        <sz val="9"/>
        <rFont val="Arial"/>
        <family val="2"/>
      </rPr>
      <t>▪ income-elasticity of 0.47</t>
    </r>
  </si>
  <si>
    <t>The results were: +0.47, -0.12, and -0.21, indicating:</t>
  </si>
  <si>
    <t xml:space="preserve">  ▪ income-elasticity of 0.46</t>
  </si>
  <si>
    <t>Adjustment to mean to reflect coal not used for electricity</t>
  </si>
  <si>
    <t>Gasoline Income-Elasticity and Price-Elasticity -- by C. Komanoff</t>
  </si>
  <si>
    <t>There are numerous graphs in this spreadsheet. Here are thumbnails of two.</t>
  </si>
  <si>
    <t xml:space="preserve">To view graph in full size, click: </t>
  </si>
  <si>
    <t xml:space="preserve">To view graph of carbon tax's impact on petroleum usage, click: </t>
  </si>
  <si>
    <t>Scenarios</t>
  </si>
  <si>
    <t>Actual 2005 power-sector emissions (million metric tons)</t>
  </si>
  <si>
    <t>Projected emissions for 2030, all sectors, w/o carbon emissions price (million metric tons)</t>
  </si>
  <si>
    <t>Calculations to put a fine point on emission reductions (or other aspects) from certain policy options, e.g., Obama Clean Power Plan.</t>
  </si>
  <si>
    <t>To access Index, which links to all 23 "tabs" in spreadsheet, click:</t>
  </si>
  <si>
    <t>Reduction goal in 2030 power-sector emissions vis-à-vis actual 2005:</t>
  </si>
  <si>
    <t>The White House: Fact Sheet, President Obama to Announce Historic Carbon Pollution Standards for Power Plants, Aug. 3, 2015. "The final Clean Power Plan sets flexible and achievable standards to reduce carbon dioxide emissions [from power plants] by 32 percent from 2005 levels by 2030, 9 percent more ambitious than the proposal [issued in June 2014]." https://www.whitehouse.gov/the-press-office/2015/08/03/fact-sheet-president-obama-announce-historic-carbon-pollution-standards.</t>
  </si>
  <si>
    <t>Projected emissions for 2030, all sectors except electricity, w/o carbon emissions price (million metric tons)</t>
  </si>
  <si>
    <t>Targeted reduction in power-sector emissions for 2030 vs. 2005 (million metric tons)</t>
  </si>
  <si>
    <t>Target power-sector emissions for 2030 (million metric tons)</t>
  </si>
  <si>
    <t>Projected emissions for 2030 from all sectors with Clean Power Plan (million metric tons)</t>
  </si>
  <si>
    <t>Official 2015 forecast of 2025 gasoline price (2013$)</t>
  </si>
  <si>
    <t>Official 2012 forecast of 2025 gasoline price (2010$)</t>
  </si>
  <si>
    <t>Inflation adjustment from 2010$ to 2013$</t>
  </si>
  <si>
    <t>Ratio of 2013 CPI (233.0) to 2010 CPI (218.1)</t>
  </si>
  <si>
    <t>Official 2012 forecast of 2025 gasoline price (2013$)</t>
  </si>
  <si>
    <t>Ratio of 2015 forecast of 2025 gasoline price to 2012 forecast of 2025 gasoline price</t>
  </si>
  <si>
    <t>Price-elasticity of demand for gasoline</t>
  </si>
  <si>
    <t>Projected U.S. 2025 gasoline use (without a carbon tax), in millions of gallons</t>
  </si>
  <si>
    <t>Proj'd 2025 gasoline use (w/o carbon tax) if 2025 price were set at prior (2012) projection</t>
  </si>
  <si>
    <t>"Excess" U.S. 2025 gasoline use assoc'd w/ reduced forecast 2025 price, million gallons</t>
  </si>
  <si>
    <t>Projected CO2 emissions per gallon of gasoline in 2025 (in pounds)</t>
  </si>
  <si>
    <t>"Excess" U.S. 2025 CO2 emissions from gasoline assoc'd w/ reduced forecast 2025 price, millions of short tons</t>
  </si>
  <si>
    <t>"Excess" U.S. 2025 CO2 emissions from gasoline assoc'd w/ reduced forecast 2025 price, millions of metric tons</t>
  </si>
  <si>
    <t>CO2 emissions per kWh of coal-fired generation (in pounds)</t>
  </si>
  <si>
    <t>GWh of coal-fired generation that would result in CO2 emissions equivalent to excess U.S. 2025 CO2 emissions from gasoline just noted</t>
  </si>
  <si>
    <t>Assumed capacity factor of "active" U.S. coal-fired power stations</t>
  </si>
  <si>
    <t>Komanoff assumption for base-loaded facilities competing for load share with lower-running cost units such as nuclear and wind.</t>
  </si>
  <si>
    <t>Capacity of coal-fired power stations, in MW, whose normal operation will emit as much CO2 as will be emitted by the "excess" gasoline</t>
  </si>
  <si>
    <t>Komanoff assumption.</t>
  </si>
  <si>
    <t>Assumed capacity of typical "active" U.S. coal-fired generating units, in megawatts</t>
  </si>
  <si>
    <t>Other Petrol</t>
  </si>
  <si>
    <t>2015 f/c price for 2025, 2013$</t>
  </si>
  <si>
    <t>2012 f/c price for 2025, 2010$</t>
  </si>
  <si>
    <t>2012 f/c price for 2025, 2013$</t>
  </si>
  <si>
    <t>Ratio of 2015 f/c price to 2012 f/c price</t>
  </si>
  <si>
    <t>Price-elasticity of demand for this petroleum product</t>
  </si>
  <si>
    <t>Excess 2025 use</t>
  </si>
  <si>
    <t>Excess 2025 emissions, millions of short tons</t>
  </si>
  <si>
    <t>GWh of coal-fired generation equating to those excess emissions</t>
  </si>
  <si>
    <t>Projected 2025 usage if prior (higher) price (million gallons)</t>
  </si>
  <si>
    <t>CO2 emission factor (pound/gal)</t>
  </si>
  <si>
    <t>Calculated by dividing figure of $32.1 per million Btu given in AEO2012 Table A3, by the number of gallons in one million Btu.</t>
  </si>
  <si>
    <t>Calculated by dividing figure of $24.3 per million Btu given in AEO2015 Table A3, by the number of gallons in one million Btu. NB, AEO (Annual Energy Outlook) is the official U.S. gov't energy-forecasting document.</t>
  </si>
  <si>
    <t>Number of coal-fired generating units w/ equivalent emissions, in MW</t>
  </si>
  <si>
    <t>Capacity of coal-fired generating units w/ equivalent emissions, in MW</t>
  </si>
  <si>
    <t>Number of U.S. coal-fired generating units whose operation will emit as much CO2 as will be emitted by the "excess" gasoline</t>
  </si>
  <si>
    <t xml:space="preserve">Here we perform the above analysis involving gasoline, but for freight (primarily diesel fuel for trucks), aviation, and "other petroleum," a catch-all category that primarily includes residual oil for indutry, building heating and hot water, and liquid fuels used in refineries. </t>
  </si>
  <si>
    <t>The analysis is repeated for gasoline in order to enable parallel calculations for the other three petroleum fuel categories.</t>
  </si>
  <si>
    <r>
      <t xml:space="preserve">Projected 2025 usage (million gallons) </t>
    </r>
    <r>
      <rPr>
        <sz val="8"/>
        <rFont val="Arial"/>
        <family val="2"/>
      </rPr>
      <t>(figs are copied from respective tabs)</t>
    </r>
  </si>
  <si>
    <t>In this section, we break out some of the calculations that lead to the following conclusions:</t>
  </si>
  <si>
    <t>Factor by which projected 2025 gasoline use will be changed due to changed forecast price</t>
  </si>
  <si>
    <t>Analogous calculations for all petroleum products</t>
  </si>
  <si>
    <t>Analogous calculations for all petroleum products, but with gasoline's price-elasticity imputed to the other petrol-using sectors</t>
  </si>
  <si>
    <t>Factor by which projct'd 2025 usage changed due to changed f/c price</t>
  </si>
  <si>
    <t xml:space="preserve">In this array, to left, we have done exactly what we suggested in the final note directly above: estimated the impact on CO2 emissions if the (lower) gasoline price-elasticity is applied to the other petrol-using sectors. </t>
  </si>
  <si>
    <t>Distillate</t>
  </si>
  <si>
    <t>Resid + Petrochm Feedstocks + "Other Petroleum"</t>
  </si>
  <si>
    <t>Table A2</t>
  </si>
  <si>
    <t xml:space="preserve">Energy consumption projected for 2025 in 2012 AEO (Quads) </t>
  </si>
  <si>
    <t xml:space="preserve">Energy consumption projected for 2025 in 2015 AEO (Quads) </t>
  </si>
  <si>
    <t>2015 vs 2014</t>
  </si>
  <si>
    <t>bbl/day 000</t>
  </si>
  <si>
    <t>gal/day 10^6</t>
  </si>
  <si>
    <t>CO2/yr kg 10^6</t>
  </si>
  <si>
    <t>CO2/day lb 10^6</t>
  </si>
  <si>
    <t>GWh coal</t>
  </si>
  <si>
    <t>2014, 9 mos.</t>
  </si>
  <si>
    <t>2015, 9 mos.</t>
  </si>
  <si>
    <t>Figures are from Komanoff's monthly gasoline usage spreadsheet.</t>
  </si>
  <si>
    <t>Converting bbl to gallons.</t>
  </si>
  <si>
    <t>Uses CO2 emission factor from "Personal Ground Travel" tab.</t>
  </si>
  <si>
    <t>Converts days to years and pounds to kg.</t>
  </si>
  <si>
    <t>Uses same calculation and conversion shown at left.</t>
  </si>
  <si>
    <t>Same assumption as at left.</t>
  </si>
  <si>
    <t xml:space="preserve">Calculations for 2015 increase in gasoline consumption </t>
  </si>
  <si>
    <t>Figures in yellow below are temporary. Revise when full 2015 data avail.</t>
  </si>
  <si>
    <r>
      <t xml:space="preserve">Shown at right are each year's carbon tax levels resulting from input choices above </t>
    </r>
    <r>
      <rPr>
        <sz val="9"/>
        <rFont val="Arial"/>
        <family val="2"/>
      </rPr>
      <t>(figures are per short ton (</t>
    </r>
    <r>
      <rPr>
        <u/>
        <sz val="9"/>
        <rFont val="Arial"/>
        <family val="2"/>
      </rPr>
      <t>not</t>
    </r>
    <r>
      <rPr>
        <sz val="9"/>
        <rFont val="Arial"/>
        <family val="2"/>
      </rPr>
      <t xml:space="preserve"> metric ton, or tonne) of CO2 emitted)</t>
    </r>
  </si>
  <si>
    <r>
      <t>Energy-related CO</t>
    </r>
    <r>
      <rPr>
        <vertAlign val="subscript"/>
        <sz val="9"/>
        <rFont val="Arial"/>
        <family val="2"/>
      </rPr>
      <t xml:space="preserve">2 </t>
    </r>
    <r>
      <rPr>
        <sz val="9"/>
        <rFont val="Arial"/>
        <family val="2"/>
      </rPr>
      <t>emissions by source and sector for the United States, 2015</t>
    </r>
    <r>
      <rPr>
        <vertAlign val="superscript"/>
        <sz val="9"/>
        <rFont val="Arial"/>
        <family val="2"/>
      </rPr>
      <t>1</t>
    </r>
  </si>
  <si>
    <r>
      <t>1</t>
    </r>
    <r>
      <rPr>
        <sz val="8"/>
        <rFont val="Arial"/>
        <family val="2"/>
      </rPr>
      <t>Preliminary data for 2015.</t>
    </r>
  </si>
  <si>
    <t>AEO2016 Early Release Overview</t>
  </si>
  <si>
    <t>Release Date: May 17, 2016</t>
  </si>
  <si>
    <t>(next release date is f/c for July 2016)</t>
  </si>
  <si>
    <t>in 2015$, from AEO2016</t>
  </si>
  <si>
    <t>AEO2016 Ref Case With Clean Power Plan</t>
  </si>
  <si>
    <t>Average price to all users ($ per million Btu)</t>
  </si>
  <si>
    <t>Actual (per AEO2015)</t>
  </si>
  <si>
    <t>EIA, Monthly Energy Review, Table 3.5. Petroleum Products Supplied by Type, accessed 23-May-2016, except last category (lubricants, etc.) is Komanoff estimate.</t>
  </si>
  <si>
    <t>EIA, Monthly Energy Review, Table 7.2a. Electricity Net Generation: Total (All Sectors) Net Generation by Energy Source, accessed 23-May-2016.</t>
  </si>
  <si>
    <t>EIA, Monthly Energy Review, Table 6.2 Coal Consumption by Sector, accessed 23-May-2016.</t>
  </si>
  <si>
    <t>Sector figures are from MER Table 4.3 Natural Gas Consumption by Sector, accessed 23 May 2016. Note that over 95% of Transportation usage is for Pipelines &amp; Distribution.</t>
  </si>
  <si>
    <t>MER Table 9.7 Refiner Prices of Petroleum Products to End Users, accessed 23 May 2016.</t>
  </si>
  <si>
    <t>real</t>
  </si>
  <si>
    <t>per thousand cubic feet; from http://www.eia.gov/dnav/ng/ng_pri_sum_dcu_nus_a.htm; except 2013, 2014, 2015 were unavailable and were prorated from 2012 figure and 2012-2015 City Gate prices.</t>
  </si>
  <si>
    <t>2014-2015 prices not available so assumed same as 2013.</t>
  </si>
  <si>
    <t>10-y avg, unadj'd for inflation (2006-2015)</t>
  </si>
  <si>
    <t>From Table A1</t>
  </si>
  <si>
    <t>From Table A3</t>
  </si>
  <si>
    <t>From Table A20</t>
  </si>
  <si>
    <t>Data for 2014 are from US EPA, 430-R-14-004, Inventory of U.S. Greenhouse Gas Emissions and Sinks: 1990–2014, April 15, 2016, available at https://www3.epa.gov/climatechange/Downloads/ghgemissions/US-GHG-Inventory-2016-Main-Text.pdf. Data for 2005-2013 are from earlier versions of same report. Values for 2005 and 2009-2013 here are revised slightly from prior EPA inventories and prior editions of this spreadsheet.</t>
  </si>
  <si>
    <t>Table 3-1, USEPA 2016 Inventory, except 2006 and 2007 are from Table 3-1, USEPA 2012 Inventory.</t>
  </si>
  <si>
    <t>Table ES-3, USEPA 2016 Inventory, except 2006 and 2007 are from Table ES-2, USEPA 2016 Inventory. U.S. Territories include American Samoa, Guam, Puerto Rico, U.S. Virgin Islands, Wake Island, and other U.S. Pacific Islands, per USEPA 2012 Inventory, p. 1-1, FN 25.</t>
  </si>
  <si>
    <t>Table 3-5, USEPA 2016 Inventory, except 2006 and 2007 are from Table 3-1, USEPA 2012 Inventory.</t>
  </si>
  <si>
    <t>2014 figure is from table 1-4, USEPA 2016 Inventory. 2012 figure is from Table 1-4, USEPA 2014 Inventory. 2010 figure is from Table 1-4, USEPA 2012 Inventory.</t>
  </si>
  <si>
    <t>See also https://www3.epa.gov/climatechange/ghgemissions/usinventoryreport.html</t>
  </si>
  <si>
    <t>https://www3.epa.gov/climatechange/Downloads/ghgemissions/US-GHG-Inventory-2016-Main-Text.pdf</t>
  </si>
  <si>
    <t>(entire EPA inventory, 9.7 MB)</t>
  </si>
  <si>
    <t>Downloads of May 24, 2016</t>
  </si>
  <si>
    <t>2014 FF's, w/ Territ's allocated</t>
  </si>
  <si>
    <r>
      <t>Inventory of U.S. Greenhouse Gas Emissions and Sinks: 1990–2014</t>
    </r>
    <r>
      <rPr>
        <sz val="9"/>
        <rFont val="Arial"/>
        <family val="2"/>
      </rPr>
      <t xml:space="preserve"> (executive summary), available via the portal,</t>
    </r>
  </si>
  <si>
    <t>https://www3.epa.gov/climatechange/ghgemissions/usinventoryreport.html</t>
  </si>
  <si>
    <t>All figures are for 2014, in Tg (millions of metric tons) of CO2 equivalent</t>
  </si>
  <si>
    <t>This section uses a fuel-based approach. 2005 and 2009-2014 columns are from Table 3-12 of EPA report referenced above; 2006-2008 are from earlier version of report; 2015 column is ratio'd from 2014. Some values have changed slightly from prior editions.</t>
  </si>
  <si>
    <t>2015 made same 2014</t>
  </si>
  <si>
    <t>2013-2016 value is from IRS Fuel Taxes doc/section, "Kerosene for Use in Aviation," available at &lt;http://www.irs.gov/publications/p510/ch02.html#en_US_2013_publink1000116967&gt; accessed in 2014 and June 2015 and May 2016 (as https://www.irs.gov/publications/p510/ch01.html#en_US_201601_publink1000116906). We reduced it by $.01 for each yr prior to 2013 and increased post-2016 values at projected rate of general inflation.</t>
  </si>
  <si>
    <t>Covers passenger cars, also ATV's, pleasure boats, etc.</t>
  </si>
  <si>
    <t>Fuel usage for PGT, million gallons, w/o c-tax and w/o exogenous mpg gains</t>
  </si>
  <si>
    <t>Historical Real Annual Increase Rate in U.S. Average Gasoline Price, 2000-2015:</t>
  </si>
  <si>
    <r>
      <t xml:space="preserve">Fig to left is from Komanoff spreadsheet, "U.S. Gasoline Usage from 1990," accessible via &lt;http://www.komanoff.net/oil_9_11/&gt;. See </t>
    </r>
    <r>
      <rPr>
        <b/>
        <sz val="8"/>
        <rFont val="Arial"/>
        <family val="2"/>
      </rPr>
      <t>Full-Year Comparison</t>
    </r>
    <r>
      <rPr>
        <sz val="8"/>
        <rFont val="Arial"/>
        <family val="2"/>
      </rPr>
      <t xml:space="preserve"> page.</t>
    </r>
  </si>
  <si>
    <t>2020 vs. 2015</t>
  </si>
  <si>
    <t>2040 vs. 2015</t>
  </si>
  <si>
    <r>
      <t xml:space="preserve">See </t>
    </r>
    <r>
      <rPr>
        <b/>
        <sz val="8"/>
        <rFont val="Arial"/>
        <family val="2"/>
      </rPr>
      <t>Parameters</t>
    </r>
    <r>
      <rPr>
        <sz val="8"/>
        <rFont val="Arial"/>
        <family val="2"/>
      </rPr>
      <t xml:space="preserve"> tab in this spreadsheet. For background, see also http://www.carbontax.org/effectiveness/.</t>
    </r>
  </si>
  <si>
    <t>goes to new part of tab</t>
  </si>
  <si>
    <t>http://carbontax.org/wp-content/uploads/CTC_Carbon_Tax_Model.xlsx</t>
  </si>
  <si>
    <t>E. Ceiling on amount of annual carbon tax increment that will elicit responses from producers and consumers (expressed in $2015 per ton of CO2)</t>
  </si>
  <si>
    <t>Compiles each sector's baseline (actual) CO2 emissions for 2015 and earlier years.</t>
  </si>
  <si>
    <t>Compiles key baseline (actual) energy-use data (kWh of electricity, barrels of petroleum products, etc.) for 2015 and earlier years.</t>
  </si>
  <si>
    <t>1. 2015 Emissions, Pie Chart</t>
  </si>
  <si>
    <t xml:space="preserve">Monthly Energy Review, Table 9.8 Average Retail Prices of Electricity (in 'Annual' tab), accessed 3-June-2016. </t>
  </si>
  <si>
    <t>CTC assumption, chosen on assumption that ongoing decarbonization of electricity sector will continue in future even w/o carbon tax, albeit at lesser pace than during 2005-2015.</t>
  </si>
  <si>
    <t>Felt carbon emission chrg, 2015¢/kWh, per kWh generated (w/ felt tax)</t>
  </si>
  <si>
    <t>Felt carbon charge per kWh delivered, in 2015¢/kWh</t>
  </si>
  <si>
    <t>2015$</t>
  </si>
  <si>
    <t>Average factor by which CO2 lb/kWh ratio changed yr-to-yr, 2005-2015</t>
  </si>
  <si>
    <t>Avg for 11 yrs shown:</t>
  </si>
  <si>
    <t>Projected annual rate of real increase in average gasoline price beyond 2015, w/o C tax</t>
  </si>
  <si>
    <t>% increase in avg real retail price of gasoline due to felt carbon tax (i.e., felt tax's price differential as % of price w/o tax)</t>
  </si>
  <si>
    <t>% increase in avg real retail price of diesel due to carbon tax (i.e., tax's price differential as % of price w/o tax)</t>
  </si>
  <si>
    <t>% increase in avg real retail price of jet fuel due to carbon tax (i.e., tax's price differential as % of price w/o tax)</t>
  </si>
  <si>
    <t xml:space="preserve">  ▪ short-run price-elasticity of (negative) 0.12</t>
  </si>
  <si>
    <t xml:space="preserve">  ▪ long-run price-elasticity of (negative) 0.21</t>
  </si>
  <si>
    <t>Each variable was statistically significant. The sum of the short- and long-run price-elasticities was 0.34.</t>
  </si>
  <si>
    <t xml:space="preserve">  ▪ short-run price-elasticity of (negative) 0.13</t>
  </si>
  <si>
    <t xml:space="preserve">  ▪ long-run price-elasticity of (negative) 0.24</t>
  </si>
  <si>
    <t>Again, each variable was statistically significant. The sum of the short- and long-run elasticities was 0.37.</t>
  </si>
  <si>
    <t>Here are the new results:</t>
  </si>
  <si>
    <t>Model "A"</t>
  </si>
  <si>
    <t>Model "B"</t>
  </si>
  <si>
    <t>Income</t>
  </si>
  <si>
    <t>1-yr Price</t>
  </si>
  <si>
    <t>10-yr Price</t>
  </si>
  <si>
    <t>NA</t>
  </si>
  <si>
    <t>Constant term (exponentiated)</t>
  </si>
  <si>
    <t>2002-2007 dummy variable</t>
  </si>
  <si>
    <t>In May 2016 I updated these regressions with 2015 data, so the dataset extends from 1960 through 2015. The results, unsurprisingly, were basically unchanged from the earlier figures shown above. (Adding a year's worth of data to a 55-year dataset is unlikely to yield large changes.</t>
  </si>
  <si>
    <t>Historical CPI (Consumer Price Index)</t>
  </si>
  <si>
    <t>Source: Bureau of Labor Statistics data set for "All Urban Consumers," 1982-84=100, via from http://www.bls.gov/cpi/home.htm#data. Figures are compiled in Komanoff spreadsheet, "U.S. Gasoline Usage from 1990," accessible via &lt;http://www.komanoff.net/oil_9_11/&gt;.</t>
  </si>
  <si>
    <t>`</t>
  </si>
  <si>
    <r>
      <rPr>
        <b/>
        <sz val="8"/>
        <rFont val="Arial"/>
        <family val="2"/>
      </rPr>
      <t xml:space="preserve">Note: </t>
    </r>
    <r>
      <rPr>
        <sz val="8"/>
        <rFont val="Arial"/>
        <family val="2"/>
      </rPr>
      <t xml:space="preserve">Prior versions of this spreadsheet (through May 2015) ascribed our elasticity assumptions to a literature review, principally Bohi, </t>
    </r>
    <r>
      <rPr>
        <i/>
        <sz val="8"/>
        <rFont val="Arial"/>
        <family val="2"/>
      </rPr>
      <t>Analyzing Demand Behavior</t>
    </r>
    <r>
      <rPr>
        <sz val="8"/>
        <rFont val="Arial"/>
        <family val="2"/>
      </rPr>
      <t>. We also encouraged interested parties to see CTC Web page, http://www.carbontax.org/issues/energy-demand-how-sensitive-to-price/.
In June 2015, we revised (downward) several income-elasticity assumptions to 0.50. The prime motivator was our perception that the connection between wealth and driving is fraying as U.S. society becomes more digital and urban, independent of increases in motor fuel prices. Similarly, energy-efficiency built into new products could reduce electricity's income-elasticity. We also reduced "Other" and "Misc" fuels' income-elasticities to 0.50, on the premise that the economy is likewise growing less energy-intensive at the margin.
We left unchanged aviation's income-elasticity and all sectoral price-elasticities, save for a slight reduction in the price-elasticity assigned to driving, to (negative) 0.35, from 0.40. See discussion directly below.</t>
    </r>
  </si>
  <si>
    <t>In June 2015, I regressed year-to-year % changes in U.S. gasoline consumption from 1960-2014 on three independent variables: the same year's % change in GDP; the same year's % change in the avg real retail price of gasoline; and the avg % change in that price over the 10 prior years to the current year. The last variable was intended to reflect the lags inherent in Americans' responses to changing gasoline prices, insofar as choices of automobiles and locations that affect usage tend to change over years rather than weeks or months. The parameters may be referred to as income-elasticity and short-run and long-run price-elasticity.</t>
  </si>
  <si>
    <t>I then added a new, fourth variable: a "Dummy Variable" for 2002-2007, premised on (i) big discounts/rebates for SUV’s during that period, and (ii) our Iraq War-inspired paranoid triumphalism that manifested as purchase and use of SUV’s: The results were: +0.46, -0.13, -0.24, and +1.4%.</t>
  </si>
  <si>
    <t>These regressions support our (new) income-elasticity for personal ground transportation (i.e., gasoline) of 0.50 and price-elasticity of -0.35.</t>
  </si>
  <si>
    <t>CO2, lb per gallon)</t>
  </si>
  <si>
    <t>CO2, lb per MMbtu)</t>
  </si>
  <si>
    <t xml:space="preserve">CTC estimate, intended to reflect increased penetration of biofuels, hydrogen, electricity, etc. as carbon component of gasoline grows more costly. Ideally, would be modeled with time lag. </t>
  </si>
  <si>
    <t>Average retail gasoline price, per gallon, w/o carbon tax, nominal $</t>
  </si>
  <si>
    <t>Average retail gasoline price, per gallon, w/o carbon tax, 2015 $</t>
  </si>
  <si>
    <t>Projected Year-on-Year Ratios, Average Real Fuel Prices for End-Users</t>
  </si>
  <si>
    <t>Yr-on-yr ratio of avg retail gasoline price, w/o carbon tax, 2015 $</t>
  </si>
  <si>
    <t>CPI Year-on-year ratios</t>
  </si>
  <si>
    <t>Projected CPI's, relative to 2015</t>
  </si>
  <si>
    <t>Average retail gasoline price with felt carbon tax, in nominal $</t>
  </si>
  <si>
    <t>Average retail gasoline price with felt carbon tax, in 2015 $</t>
  </si>
  <si>
    <t>Fuel usage for PGT, million gal, w c-tax and adjsmnt for mpg gains</t>
  </si>
  <si>
    <t>Avg retail diesel price per gallon, with fed, state and local taxes but w/o carbon tax, 2015 $</t>
  </si>
  <si>
    <t>Average felt retail diesel fuel price, per gallon, with all taxes including felt carbon tax, 2015 $</t>
  </si>
  <si>
    <t>Fuel usage for freight transport, million gals, w/o carbon tax or exogenous mpg</t>
  </si>
  <si>
    <t>CO2 emissions, millions of metric tons, w/o carbon tax or exogenous mpg gain</t>
  </si>
  <si>
    <t>Exogenous improvement in freight transport fuel efficiency (mpg), after 2015</t>
  </si>
  <si>
    <t xml:space="preserve">CTC estimate, intended to reflect increased penetration of biofuels, hydrogen, electricity, etc. as carbon component of diesel grows more costly. Ideally, would be modeled with time lag. </t>
  </si>
  <si>
    <t xml:space="preserve">2015 &amp; 2016 values are from API, "Notes To State Motor Fuel Excise And Other Taxes," http://www.api.org/~/media/files/statistics/state-motor-fuel-excise-tax-update-april-2016.pdf. 2013 &amp; 2014 values were from same source (obsolete link). We reduced 2013 value by $.01 for each prior yr. Values after 2016 inflate at AEO projected general inflation rate. </t>
  </si>
  <si>
    <t>Average "retail" jet fuel price, per gallon, without carbon tax, in 2015 $</t>
  </si>
  <si>
    <t>Average felt retail jet fuel price, per gallon, with all taxes including felt carbon tax, 2015 $</t>
  </si>
  <si>
    <r>
      <t xml:space="preserve">Historical and Projected Data for aviation, w/o carbon tax </t>
    </r>
    <r>
      <rPr>
        <sz val="9"/>
        <rFont val="Arial"/>
        <family val="2"/>
      </rPr>
      <t xml:space="preserve">(passenger air travel only; air freight is subsumed in 'Freight' tab), </t>
    </r>
  </si>
  <si>
    <t>Fuel usage for aviation, million gallons, w/o carbon tax or exogenous mpg gain</t>
  </si>
  <si>
    <t>Factor by which that imprvmnt is assumed to spill over to freight transport vehicles</t>
  </si>
  <si>
    <t>Factor by which that improvement will continue after 2015, absent price impacts</t>
  </si>
  <si>
    <t>Komanoff assumption, intended to reflect 'one-shot' nature of some past efficiency measures (load factors, seat dimensions, etc.)</t>
  </si>
  <si>
    <t>Exogenous improvement in aviation fuel efficiency (passenger mpg), after 2015</t>
  </si>
  <si>
    <t>Calculated from "Table 4-20: Energy Intensity of Passenger Modes (Btu per passenger-mile)," http://www.rita.dot.gov/bts/sites/rita.dot.gov.bts/files/publications/national_transportation_statistics/html/table_04_20.html, accessed 7-June-2016.</t>
  </si>
  <si>
    <t>Historical increase in U.S. air passenger mpg, domestic flights, 1970-2013</t>
  </si>
  <si>
    <t>Assumed to be roughly between 50% and 100% greater than gasoline's price-elasticity, reflecting fuel's higher proportion of air travel costs as well as more discretionary nature of most air travel.</t>
  </si>
  <si>
    <t>Fuel use for freight, million gal, w/o c-tax but w/ adjustment for mpg gains</t>
  </si>
  <si>
    <t>Fuel usage for aviation, million gals, w/o c-tax but w/ adjustment for mpg</t>
  </si>
  <si>
    <t>U.S. jet fuel sales with carbon tax, million gallons</t>
  </si>
  <si>
    <t>http://www.sciencedirect.com/science/article/pii/S0160738314001145</t>
  </si>
  <si>
    <t>The income elasticity of air travel: A meta-analysis</t>
  </si>
  <si>
    <t>Highlights</t>
  </si>
  <si>
    <t>We use meta-regression techniques to quantity the income elasticity of air travel.</t>
  </si>
  <si>
    <t>Our meta-regressions control for many issues, including publication selection bias.</t>
  </si>
  <si>
    <t>The baseline income elasticity equals 1.186.</t>
  </si>
  <si>
    <t>Several features of the literature sway the income elasticity from its baseline.</t>
  </si>
  <si>
    <t>Abstract</t>
  </si>
  <si>
    <r>
      <t xml:space="preserve">There is much disparity in estimates of the income elasticity of air travel across the literature. We examine this disparity by applying meta-regression techniques. Controlling for several issues, including publication selection bias, while our preferred baseline income elasticity estimate of 1.186 is consistent with air travel being a luxury and a slightly immature market, there are several features of the literature which sway the income elasticity away from this baseline. For instance, the income elasticity increases to 1.546 on international routes, yet decreases to 0.633 when air fare is included in a dynamic specification of demand, </t>
    </r>
    <r>
      <rPr>
        <i/>
        <sz val="9"/>
        <rFont val="Arial"/>
        <family val="2"/>
      </rPr>
      <t>ceteris paribus</t>
    </r>
    <r>
      <rPr>
        <sz val="9"/>
        <rFont val="Arial"/>
        <family val="2"/>
      </rPr>
      <t>. Other characteristics of the literature, such as those involving various data and estimation choices, have less influence on the reported income elasticity.</t>
    </r>
  </si>
  <si>
    <t>(for air travel)</t>
  </si>
  <si>
    <t>Craig A. Gallet &amp; Hristos Doucouliagos (Corresponding author at: Dept of Economics, California State Univ, Sacramento, 6000 J Street, Sacramento, CA 95819, 916 278 6099</t>
  </si>
  <si>
    <t>Oil Refining</t>
  </si>
  <si>
    <t>Table 2: Energy content-based process energy allocation by final product: 1 kg of crude feed</t>
  </si>
  <si>
    <t>Final Product</t>
  </si>
  <si>
    <t>Mass (kg)</t>
  </si>
  <si>
    <t>Allocated Energy Use</t>
  </si>
  <si>
    <t>Allocated Energy Use Share
(%)</t>
  </si>
  <si>
    <t>Mass (%)</t>
  </si>
  <si>
    <t>Fuel</t>
  </si>
  <si>
    <t>Steam</t>
  </si>
  <si>
    <t>Residual oil</t>
  </si>
  <si>
    <t>Fuel (still) gas</t>
  </si>
  <si>
    <t>Naphtha</t>
  </si>
  <si>
    <t>Diesel</t>
  </si>
  <si>
    <t>Kerosene</t>
  </si>
  <si>
    <t>LPG</t>
  </si>
  <si>
    <t>Gas oil</t>
  </si>
  <si>
    <t>Heavy fuel oil</t>
  </si>
  <si>
    <t>Lube stocks</t>
  </si>
  <si>
    <t>Asphalt</t>
  </si>
  <si>
    <t>Waxes</t>
  </si>
  <si>
    <t>Coke</t>
  </si>
  <si>
    <t>Fuel (kJ)</t>
  </si>
  <si>
    <t>Elec. (kJ)</t>
  </si>
  <si>
    <t>Steam (kJ)</t>
  </si>
  <si>
    <t>Total (kJ)</t>
  </si>
  <si>
    <t>Energy Intensity (%)</t>
  </si>
  <si>
    <t>H2 gas</t>
  </si>
  <si>
    <t>H2S gas</t>
  </si>
  <si>
    <t>From Michael Wang, Hanjie Lee &amp; John Molburg, "Allocation of Energy Use in Petroleum Refineries to Petroleum Products: Implications for Life-Cycle Energy Use and Emission Inventory of Petroleum Transportation Fuels," LCA Studies, downloaded 7 June 2016 via https://greet.es.anl.gov/files/1c49xpjg.</t>
  </si>
  <si>
    <t>Btu in one Joule</t>
  </si>
  <si>
    <t>Weight of one gallon of gasoline, lb</t>
  </si>
  <si>
    <t>https://www.reference.com/science/much-gallon-gasoline-weigh-b3779c49b10f70b7</t>
  </si>
  <si>
    <t>Product Efficiency for Typical U.S. Refinery</t>
  </si>
  <si>
    <t>Without carbon tax</t>
  </si>
  <si>
    <t>Direct fuel usage, million gal</t>
  </si>
  <si>
    <t>With carbon tax</t>
  </si>
  <si>
    <t>Impact of carbon tax</t>
  </si>
  <si>
    <t>Additional Energy Required due to (in) Efficiency</t>
  </si>
  <si>
    <t xml:space="preserve">CARBON TAX 8-SECTOR MODEL </t>
  </si>
  <si>
    <t>CARBON TAX 8-SECTOR MODEL, by Charles Komanoff, is licensed under a Creative Commons Attribution-NonCommercial-ShareAlike 3.0 Unported License.</t>
  </si>
  <si>
    <t>All but Motor Gasoline, Distillate, Aviation &amp; non-combustibles</t>
  </si>
  <si>
    <t>All Other Combusted Petroleum Products</t>
  </si>
  <si>
    <t>7-15</t>
  </si>
  <si>
    <t>1-3</t>
  </si>
  <si>
    <t>4-6</t>
  </si>
  <si>
    <t>Four Categories Combined (Personal Ground Travel, Freight, Aviation, All Other Combusted Petroleum Products)</t>
  </si>
  <si>
    <t>Refinery CO2 emissions, million tonnes</t>
  </si>
  <si>
    <r>
      <t>(1 Quad = 10</t>
    </r>
    <r>
      <rPr>
        <vertAlign val="superscript"/>
        <sz val="8"/>
        <rFont val="Arial"/>
        <family val="2"/>
      </rPr>
      <t>15</t>
    </r>
    <r>
      <rPr>
        <sz val="8"/>
        <rFont val="Arial"/>
        <family val="2"/>
      </rPr>
      <t xml:space="preserve"> Btu)</t>
    </r>
  </si>
  <si>
    <t>Petroleum Consumed in Oil Refineries, Million Gallons, w/o Carbon Tax</t>
  </si>
  <si>
    <t>Petroleum Consumed in Oil Refineries, Quads, w/o Carbon Tax</t>
  </si>
  <si>
    <r>
      <t xml:space="preserve">Petroleum Products Consumed for Other, Quads </t>
    </r>
    <r>
      <rPr>
        <sz val="8"/>
        <rFont val="Arial"/>
        <family val="2"/>
      </rPr>
      <t>(includes oil refining)</t>
    </r>
  </si>
  <si>
    <t>CO2 from Other Petroleum Products (w/o Refineries) w/o c tax, million tonnes</t>
  </si>
  <si>
    <t>"Other" Petroleum Products (industry, construxn, etc.)</t>
  </si>
  <si>
    <t>"Other" Petroleum (heating, construxn, industry, etc.)</t>
  </si>
  <si>
    <t>Figures at right are sums of stacks.</t>
  </si>
  <si>
    <t>Petroleum Consumption, 000 bbl/day (w/o c-tax)</t>
  </si>
  <si>
    <t>Petroleum Consumption, 000 bbl/day (with carbon tax)</t>
  </si>
  <si>
    <t>Petroleum Impacts of the Carbon Tax, 000 bbl/day</t>
  </si>
  <si>
    <t>CO2 Emission Reductions Projected for Carbon Tax's 10th Year, Broken down by Sector</t>
  </si>
  <si>
    <t>2. Annual CO2 Emissions</t>
  </si>
  <si>
    <t>2. Annual CO2 Emissions, continued</t>
  </si>
  <si>
    <t>Projected CO2 reduction, 10^6 tons</t>
  </si>
  <si>
    <t>Share of CO2 reduxn from reduced use</t>
  </si>
  <si>
    <t>10^6 tons of CO2 reduxn from reduced use</t>
  </si>
  <si>
    <t>Has price- and income-elasticities for the eight sectors, along with conversion factors (e.g., tons to tonnes) used throughout.</t>
  </si>
  <si>
    <t>Here we estimate the extent to which reduced future prices for petroleum products in the wake of the 2014-15 price collapse will push up demand for those products, thus boosting CO2 emissions. The calculations center on gasoline for autos and light trucks, and are then extrapolated to the three other petroleum-using sectors in our eight-sector model: freight, aviation, and "other petroleum products."</t>
  </si>
  <si>
    <t xml:space="preserve">Breakdown of CO2 changes (relative to moving trajectory, not 2005) among the eight sectors </t>
  </si>
  <si>
    <t>Sum of same year's revenues in applicable rows of each of the eight "sectoral" worksheets.</t>
  </si>
  <si>
    <t>Wellhead price adjusted for inflation (2015$)</t>
  </si>
  <si>
    <t>Delivered price (2015 $)</t>
  </si>
  <si>
    <t>Average felt user price of natural gas in 2015 dollars, per million Btu, with felt carbon tax</t>
  </si>
  <si>
    <t>Delivery charge adjusted for inflation (2015$)</t>
  </si>
  <si>
    <r>
      <t xml:space="preserve">This is the first of three pages estimating CO2 emissions from fuel burning other than for </t>
    </r>
    <r>
      <rPr>
        <b/>
        <sz val="8"/>
        <rFont val="Arial"/>
        <family val="2"/>
      </rPr>
      <t>Electricity Generation</t>
    </r>
    <r>
      <rPr>
        <sz val="8"/>
        <rFont val="Arial"/>
        <family val="2"/>
      </rPr>
      <t xml:space="preserve">, </t>
    </r>
    <r>
      <rPr>
        <b/>
        <sz val="8"/>
        <rFont val="Arial"/>
        <family val="2"/>
      </rPr>
      <t>Personal Ground Travel</t>
    </r>
    <r>
      <rPr>
        <sz val="8"/>
        <rFont val="Arial"/>
        <family val="2"/>
      </rPr>
      <t xml:space="preserve">, </t>
    </r>
    <r>
      <rPr>
        <b/>
        <sz val="8"/>
        <rFont val="Arial"/>
        <family val="2"/>
      </rPr>
      <t>Freight</t>
    </r>
    <r>
      <rPr>
        <sz val="8"/>
        <rFont val="Arial"/>
        <family val="2"/>
      </rPr>
      <t xml:space="preserve"> movement, </t>
    </r>
    <r>
      <rPr>
        <b/>
        <sz val="8"/>
        <rFont val="Arial"/>
        <family val="2"/>
      </rPr>
      <t xml:space="preserve">Aviation </t>
    </r>
    <r>
      <rPr>
        <sz val="8"/>
        <rFont val="Arial"/>
        <family val="2"/>
      </rPr>
      <t xml:space="preserve">and </t>
    </r>
    <r>
      <rPr>
        <b/>
        <sz val="8"/>
        <rFont val="Arial"/>
        <family val="2"/>
      </rPr>
      <t>Oil Refining</t>
    </r>
    <r>
      <rPr>
        <sz val="8"/>
        <rFont val="Arial"/>
        <family val="2"/>
      </rPr>
      <t xml:space="preserve">, which are treated in preceding sheets. This page covers combustion of petroleum products for other purposes, which are dominated by </t>
    </r>
    <r>
      <rPr>
        <u/>
        <sz val="8"/>
        <rFont val="Arial"/>
        <family val="2"/>
      </rPr>
      <t>industry</t>
    </r>
    <r>
      <rPr>
        <sz val="8"/>
        <rFont val="Arial"/>
        <family val="2"/>
      </rPr>
      <t xml:space="preserve"> and </t>
    </r>
    <r>
      <rPr>
        <u/>
        <sz val="8"/>
        <rFont val="Arial"/>
        <family val="2"/>
      </rPr>
      <t>provision of heat and hot water</t>
    </r>
    <r>
      <rPr>
        <sz val="8"/>
        <rFont val="Arial"/>
        <family val="2"/>
      </rPr>
      <t xml:space="preserve">. </t>
    </r>
  </si>
  <si>
    <t>Petroleum Products Consumed for Other, w/o Refineries, Quads</t>
  </si>
  <si>
    <t>Avg retail 'miscellaneous' fuel price per gallon, with fed, state + local taxes but w/o carbon tax, 2015 $</t>
  </si>
  <si>
    <t>Sector % of Overall Reduction (vis-à-vis "Otherwise" Emissions in 10th tax yr)</t>
  </si>
  <si>
    <t>Petroleum Imports and Exports, 000 bbl/day</t>
  </si>
  <si>
    <t>Total Product Imports</t>
  </si>
  <si>
    <t>Total Product Exports</t>
  </si>
  <si>
    <t>EIA, Monthly Energy Review, Table 3.3b Petroleum Trade: Imports and Exports by Type. Imports were calc'd as sums of all product import categories. Exports were copied from the applicable column.</t>
  </si>
  <si>
    <t>Net Total Product Imports</t>
  </si>
  <si>
    <t>Petroleum Products Supplied, 000 bbl/day</t>
  </si>
  <si>
    <t>Petrol Products Supplied from Domestic Refineries</t>
  </si>
  <si>
    <t>Ratio, Domestic Refinery Production to Product Supplied</t>
  </si>
  <si>
    <t>Refinery fuel usage, million gal (reflecting difference betw domestic + total supply)</t>
  </si>
  <si>
    <t>Rise in "other" natural gas in 2005-2015 is probably due to rising penetration of gas in heating and rebound in U.S. mfg'ing "fueled" by inexpensive gas.</t>
  </si>
  <si>
    <t>Rise in refining emissions is due to oil refining boom fueled by rise in U.S. petroleum extraction.</t>
  </si>
  <si>
    <t>Gas-Diesel-Kero</t>
  </si>
  <si>
    <t>Lube-Asphalt-Wax</t>
  </si>
  <si>
    <t>All other products</t>
  </si>
  <si>
    <t>Although some refinery energy is electricity and thus non-petroleum, that amount is relatively small, so little accuracy is sacrificed by assuming it is 100% petroleum. We also ignore possible improvements in refinery efficiency, both for simplicity and on the premise that efficiencies are already high and would not rise significantly from carbon taxing.</t>
  </si>
  <si>
    <t xml:space="preserve">Source: 2014 National Population Projections, &lt;http://www.census.gov/population/projections/files/summary/NP2014-T1.xls&gt;, Projections of the Population and Components of Change for the United States: 2015 to 2060," downloaded 13-June-2016. </t>
  </si>
  <si>
    <t>Carbon Tax Revenues from Oil Refining, $ billions</t>
  </si>
  <si>
    <t>For each year shown we (1) display the "with c-tax" and "without c-tax" consumption of gasoline, diesel fuel, jet fuel, and other "combustible" petroleum products, estimated in other tabs; (2) estimate refinery energy for each, and (3) calculate associated CO2 emissions. Step 2 accounts for net imports (or exports) of petroleum products.</t>
  </si>
  <si>
    <t>Following is the table we relied on to calculate refinery energy for each of the four categories above</t>
  </si>
  <si>
    <t>Row</t>
  </si>
  <si>
    <t>Column sums</t>
  </si>
  <si>
    <t>(Product Efficiency percents are from same paper, Table 5, and are content based. Total figure is from table's Footnote b.</t>
  </si>
  <si>
    <t>(A useful reference is https://www.epa.gov/sites/production/files/2015-12/documents/refineries.pdf.)</t>
  </si>
  <si>
    <r>
      <t xml:space="preserve">Oil Refining </t>
    </r>
    <r>
      <rPr>
        <sz val="8"/>
        <rFont val="Arial"/>
        <family val="2"/>
      </rPr>
      <t>(% share is x-prod of personal, freight, aviation, other)</t>
    </r>
  </si>
  <si>
    <t>This page pertains to the fossil fuels required to process crude oil into petroleum products in the U.S. It was added to the model in 2016.</t>
  </si>
  <si>
    <t>This version of the model is pre-inputted for a carbon tax that begins in 2016 at $12.50 per metric ton ("tonne") of CO2 and increments thereafter by $12.50/tonne (inflation-adjusted) per year. These inputs correspond to a bill introduced by Rep. Jim McDermott (D-WA) in May 2014. You can change those inputs (i.e., the assumed carbon tax level) directly below.</t>
  </si>
  <si>
    <t>This spreadsheet models the impacts of a national carbon tax on U.S. carbon emissions from fossil-fuel combustion, along with impacts on petroleum use and generation of carbon-tax revenues. The model divides carbon emissions into eight sectors: Electricity, Personal Ground Travel, Freight, Aviation, Oil Refining, Other Petroleum Products, Other Natural Gas, and Miscellany. It calculates likely reductions in U.S. carbon dioxide emissions for each sector and the U.S. as a whole on an annual basis. Emissions are expressed in CO2 (rather than carbon) and, for the most part, in metric terms. However, carbon tax rate is inputted in dollars per British (short) tons of CO2, not metric tons (tonnes).</t>
  </si>
  <si>
    <t>Click this link to see how we derived figures in our Dec. 2015 blog post, "The New Climate Villain: Cheap Oil"</t>
  </si>
  <si>
    <t>The spreadsheet is baselined to U.S. energy-use data through 2015.</t>
  </si>
  <si>
    <r>
      <t xml:space="preserve">Year tax takes effect </t>
    </r>
    <r>
      <rPr>
        <sz val="8"/>
        <rFont val="Arial"/>
        <family val="2"/>
      </rPr>
      <t>(tax is assumed to begin Jan. 1, hence it 'covers' full year; must exceed 2015)</t>
    </r>
  </si>
  <si>
    <r>
      <t xml:space="preserve">Last year tax level is incremented </t>
    </r>
    <r>
      <rPr>
        <sz val="8"/>
        <rFont val="Arial"/>
        <family val="2"/>
      </rPr>
      <t>(after which tax remains in effect at level reached in year selected)</t>
    </r>
  </si>
  <si>
    <t>Vis-à-vis requirements without a carbon price:</t>
  </si>
  <si>
    <t>(Figs below were calc'd in Graph_Oil worksheet and copied from there.)</t>
  </si>
  <si>
    <t>*</t>
  </si>
  <si>
    <r>
      <t xml:space="preserve">In nominal $ </t>
    </r>
    <r>
      <rPr>
        <b/>
        <sz val="9"/>
        <rFont val="Calibri"/>
        <family val="2"/>
      </rPr>
      <t>—</t>
    </r>
    <r>
      <rPr>
        <b/>
        <sz val="9"/>
        <rFont val="Arial"/>
        <family val="2"/>
      </rPr>
      <t xml:space="preserve"> actual levied tax</t>
    </r>
  </si>
  <si>
    <t>Is included because it affects est'd impact of carbon tax on energy demand and supply in "sector" tabs.</t>
  </si>
  <si>
    <t xml:space="preserve">This spreadsheet lets you test and compare different carbon-tax rates and ramp-ups for efficacy and revenue. </t>
  </si>
  <si>
    <t>Click for more on Carbon Tax Center</t>
  </si>
  <si>
    <t>To make this tab more readable, we've hidden columns J, K, L &amp; M, containing emissions data for 2006-2009.</t>
  </si>
  <si>
    <t>You may "unhide" them by "selecting" columns I &amp; N, right-clicking, and selecting Unhide from the pull-down menu.</t>
  </si>
  <si>
    <t>To rehide them, select all four columns, right-click, and select Hide from the pull-down menu.</t>
  </si>
  <si>
    <t>This parameter captures lags in the capacity of energy suppliers and users to adapt to higher fossil fuel prices from the carbon tax. Amounts in excess of ceiling are carried over to subsequent year(s).</t>
  </si>
  <si>
    <t>Click to e-mail Komanoff</t>
  </si>
  <si>
    <t xml:space="preserve">F. Constant-dollar year </t>
  </si>
  <si>
    <t>(tonnes are rounded to nearest 10)</t>
  </si>
  <si>
    <t>1A. Projected CO2 Emissions, "Snapshots"</t>
  </si>
  <si>
    <t>Reductions vis-à-vis actual 2005 emissions:</t>
  </si>
  <si>
    <t>Reductions vis-à-vis emissions without a carbon price:</t>
  </si>
  <si>
    <t>This spreadsheet has 24 worksheet "tabs," or "pages." Clicking on any of the links in Column B takes you to that page.</t>
  </si>
  <si>
    <t>H I D D E N    
C O L U M N S</t>
  </si>
  <si>
    <t>To "unhide" these columns, see instruxns near top of page.</t>
  </si>
  <si>
    <t>The next two graphs display the same three scenarios, but showcasing different time periods.</t>
  </si>
  <si>
    <t>Note: References to McDermott tax in above graph were for a printed graphic. Green line changes if different tax assumptions are inputted.</t>
  </si>
  <si>
    <t>This tab includes six graphs of future CO2 emissions. Other graphs may be found in the next three tabs.</t>
  </si>
  <si>
    <t>This tab includes two graphs of future use of petroleum products with and without a carbon tax. See prior tab and next two tabs for more graphs.</t>
  </si>
  <si>
    <t>This tab includes a number of graphs showing present and future CO2 emissions. Other graphs may be found in prior three tabs.</t>
  </si>
  <si>
    <t>1. Clean Power Plan (this discussion was revised June 23, 2016)</t>
  </si>
  <si>
    <t>Actual 2015 power-sector emissions (million metric tons)</t>
  </si>
  <si>
    <t>Targeted annual average reduction in power-sector emissions, 2030 vs. 2015 (million metric tons)</t>
  </si>
  <si>
    <t>Annual average reduction in power-sector emissions, 2030 vs. 2015, compared to same from 2005 to 2015</t>
  </si>
  <si>
    <t xml:space="preserve">2. Impact of Lower Petroleum Prices on CO2 Emissions </t>
  </si>
  <si>
    <t>These calculations, from late 2015, used the 2015 version of this model. We haven't updated it to the current (2016) version.</t>
  </si>
  <si>
    <r>
      <t xml:space="preserve">Usage is dictated by income (GDP) and price. More precisely, </t>
    </r>
    <r>
      <rPr>
        <i/>
        <sz val="9"/>
        <rFont val="Arial"/>
        <family val="2"/>
      </rPr>
      <t>year-to-year</t>
    </r>
    <r>
      <rPr>
        <sz val="9"/>
        <rFont val="Arial"/>
        <family val="2"/>
      </rPr>
      <t xml:space="preserve"> </t>
    </r>
    <r>
      <rPr>
        <i/>
        <sz val="9"/>
        <rFont val="Arial"/>
        <family val="2"/>
      </rPr>
      <t>changes</t>
    </r>
    <r>
      <rPr>
        <sz val="9"/>
        <rFont val="Arial"/>
        <family val="2"/>
      </rPr>
      <t xml:space="preserve"> in usage are dictated by year-to-year changes in GDP and changes in the (real, i.e., inflation-adjusted) price of the energy or fuel. </t>
    </r>
  </si>
  <si>
    <t xml:space="preserve">We have assigned to each sector an "income-elasticity" and a "price-elasticity" that determine the rate at which changes in income and price affect usage. </t>
  </si>
  <si>
    <t>The future year-to-year changes in GDP are taken from forecasts by the U.S. Energy Information Administration. (See "AEO" tab -- that's EIA's Annual Energy Outlook -- for the actual figures. How those changes are "expressed" as changes in energy is dictated in this model by various "elasticity" values.</t>
  </si>
  <si>
    <t xml:space="preserve">We have assigned to each sector an "income-elasticity" and a "price-elasticity" of our choosing that mathematically convert changes in income and price into changes in usage. </t>
  </si>
  <si>
    <t xml:space="preserve">To this point the discussion concerns only the "demand" (usage) side of the equation. The "supply" side will also be affected by the carbon tax, as tax-minimizing energy users increasingly shift their purchases of energy to suppliers who draw on lower-carbon fuels which will be taxed at lower rates per kWh or Btu. </t>
  </si>
  <si>
    <r>
      <t xml:space="preserve">This shift to lower-carbon energy sources will be most pronounced in the electricity sector. This is because there is a wide range of sources, with a broad range of carbon intensity, capable of producing what is, after all, merely a commodity </t>
    </r>
    <r>
      <rPr>
        <sz val="9"/>
        <rFont val="Calibri"/>
        <family val="2"/>
      </rPr>
      <t>—</t>
    </r>
    <r>
      <rPr>
        <sz val="9"/>
        <rFont val="Arial"/>
        <family val="2"/>
      </rPr>
      <t xml:space="preserve"> a kilowat-hour of electricity: wind turbines, solar collectors, nuclear power plants (all essentially zero-carbon at the point of generation); gas-fired power plants, including combined-cycle turbines that, thanks to "efficiency" factors close to 60% and natural gas's lower carbon content, emit only 35-40% as much CO2 as conventional coal-fired power plants; and, of course, at the top of the carbon-emissions chart, coal-fired generation.</t>
    </r>
  </si>
  <si>
    <t>We've divided the U.S. economy into eight energy-consuming sectors (electricity, personal ground travel, etc.). For each we tabulate current/recent usage (e.g., electricity consumption; gallons of gasoline) and the carbon content of each unit of usage — pounds of CO2 emitted per kWh provided, per gallon of gasoline supplied, etc. For each sector, we project energy usage and carbon content, with and without the carbon tax.</t>
  </si>
  <si>
    <t>Note: We understand the importance of incorporating non-CO2 GHG's into the model, and we intend to do so in 2016.</t>
  </si>
  <si>
    <t>Note: This is our first posted version of the model with eight sectors. It probably has kinks. Please communicate issues (and suggestions), using e-mail link directly at left. Thx.</t>
  </si>
  <si>
    <t>Here are key steps leading to those results.</t>
  </si>
  <si>
    <t>Actual reductions already achieved in power-sector emissions, 2015 vs. 2005 (million metric tons)</t>
  </si>
  <si>
    <t>Annual average reduction already achieved in power-sector emissions, 2015 vs. 2005 (million metric tons)</t>
  </si>
  <si>
    <t>Projected/targeted emissions for 2030 from electricity sector with Clean Power Plan (million metric tons)</t>
  </si>
  <si>
    <t>Targeted 2015-2030 reduction as percent of projected all-sectors emissions w/o a carbon emissions price</t>
  </si>
  <si>
    <t>Targeted reduction for 2030 vs. baseline of 2015 (million metric tons)</t>
  </si>
  <si>
    <t>2030 w/
Clean Power Plan</t>
  </si>
</sst>
</file>

<file path=xl/styles.xml><?xml version="1.0" encoding="utf-8"?>
<styleSheet xmlns="http://schemas.openxmlformats.org/spreadsheetml/2006/main">
  <numFmts count="24">
    <numFmt numFmtId="5" formatCode="&quot;$&quot;#,##0_);\(&quot;$&quot;#,##0\)"/>
    <numFmt numFmtId="7" formatCode="&quot;$&quot;#,##0.00_);\(&quot;$&quot;#,##0.00\)"/>
    <numFmt numFmtId="8" formatCode="&quot;$&quot;#,##0.00_);[Red]\(&quot;$&quot;#,##0.00\)"/>
    <numFmt numFmtId="44" formatCode="_(&quot;$&quot;* #,##0.00_);_(&quot;$&quot;* \(#,##0.00\);_(&quot;$&quot;* &quot;-&quot;??_);_(@_)"/>
    <numFmt numFmtId="43" formatCode="_(* #,##0.00_);_(* \(#,##0.00\);_(* &quot;-&quot;??_);_(@_)"/>
    <numFmt numFmtId="164" formatCode="_(&quot;$&quot;* #,##0_);_(&quot;$&quot;* \(#,##0\);_(&quot;$&quot;* &quot;-&quot;??_);_(@_)"/>
    <numFmt numFmtId="165" formatCode="_(* #,##0_);_(* \(#,##0\);_(* &quot;-&quot;??_);_(@_)"/>
    <numFmt numFmtId="166" formatCode="0.000"/>
    <numFmt numFmtId="167" formatCode="_(* #,##0.0_);_(* \(#,##0.0\);_(* &quot;-&quot;??_);_(@_)"/>
    <numFmt numFmtId="168" formatCode="0.0"/>
    <numFmt numFmtId="169" formatCode="0.0%"/>
    <numFmt numFmtId="170" formatCode="#,##0.0"/>
    <numFmt numFmtId="171" formatCode="_(* #,##0.000_);_(* \(#,##0.000\);_(* &quot;-&quot;??_);_(@_)"/>
    <numFmt numFmtId="172" formatCode="0_);\(0\)"/>
    <numFmt numFmtId="173" formatCode="[$$-409]#,##0_);\([$$-409]#,##0\)"/>
    <numFmt numFmtId="174" formatCode="######"/>
    <numFmt numFmtId="175" formatCode="&quot;$&quot;#,##0.000_);\(&quot;$&quot;#,##0.000\)"/>
    <numFmt numFmtId="176" formatCode="&quot;$&quot;#,##0.0_);\(&quot;$&quot;#,##0.0\)"/>
    <numFmt numFmtId="177" formatCode="#,##0.0_);\(#,##0.0\)"/>
    <numFmt numFmtId="178" formatCode="&quot;$&quot;#,##0.00"/>
    <numFmt numFmtId="179" formatCode="&quot;$&quot;#,##0"/>
    <numFmt numFmtId="180" formatCode="[&gt;=1]&quot;$&quot;#,##0.000;[&lt;0.1]0.00%"/>
    <numFmt numFmtId="181" formatCode="0.0000"/>
    <numFmt numFmtId="182" formatCode="[&gt;=1]&quot;$&quot;#,##0;[&lt;0.1]0%"/>
  </numFmts>
  <fonts count="71">
    <font>
      <sz val="9"/>
      <name val="Arial"/>
    </font>
    <font>
      <sz val="9"/>
      <name val="Arial"/>
      <family val="2"/>
    </font>
    <font>
      <b/>
      <sz val="10"/>
      <name val="Arial"/>
      <family val="2"/>
    </font>
    <font>
      <sz val="8"/>
      <name val="Arial"/>
      <family val="2"/>
    </font>
    <font>
      <u/>
      <sz val="9"/>
      <color indexed="12"/>
      <name val="Arial"/>
      <family val="2"/>
    </font>
    <font>
      <b/>
      <sz val="9"/>
      <name val="Arial"/>
      <family val="2"/>
    </font>
    <font>
      <sz val="9"/>
      <name val="Arial"/>
      <family val="2"/>
    </font>
    <font>
      <b/>
      <sz val="8"/>
      <name val="Arial"/>
      <family val="2"/>
    </font>
    <font>
      <sz val="8"/>
      <name val="Arial"/>
      <family val="2"/>
    </font>
    <font>
      <i/>
      <sz val="8"/>
      <name val="Arial"/>
      <family val="2"/>
    </font>
    <font>
      <vertAlign val="superscript"/>
      <sz val="9"/>
      <name val="Arial"/>
      <family val="2"/>
    </font>
    <font>
      <sz val="10"/>
      <name val="Arial"/>
      <family val="2"/>
    </font>
    <font>
      <u/>
      <sz val="9"/>
      <name val="Arial"/>
      <family val="2"/>
    </font>
    <font>
      <sz val="9"/>
      <color indexed="48"/>
      <name val="Arial"/>
      <family val="2"/>
    </font>
    <font>
      <b/>
      <sz val="8"/>
      <color indexed="48"/>
      <name val="Arial"/>
      <family val="2"/>
    </font>
    <font>
      <b/>
      <sz val="9"/>
      <color indexed="48"/>
      <name val="Arial"/>
      <family val="2"/>
    </font>
    <font>
      <sz val="9"/>
      <color indexed="14"/>
      <name val="Arial"/>
      <family val="2"/>
    </font>
    <font>
      <b/>
      <sz val="11"/>
      <name val="Arial"/>
      <family val="2"/>
    </font>
    <font>
      <b/>
      <sz val="9"/>
      <color indexed="14"/>
      <name val="Arial"/>
      <family val="2"/>
    </font>
    <font>
      <sz val="9"/>
      <color indexed="12"/>
      <name val="Arial"/>
      <family val="2"/>
    </font>
    <font>
      <b/>
      <u/>
      <sz val="9"/>
      <name val="Arial"/>
      <family val="2"/>
    </font>
    <font>
      <sz val="8"/>
      <color indexed="14"/>
      <name val="Arial"/>
      <family val="2"/>
    </font>
    <font>
      <vertAlign val="subscript"/>
      <sz val="8"/>
      <name val="Arial"/>
      <family val="2"/>
    </font>
    <font>
      <vertAlign val="subscript"/>
      <sz val="9"/>
      <name val="Arial"/>
      <family val="2"/>
    </font>
    <font>
      <b/>
      <sz val="8"/>
      <color indexed="10"/>
      <name val="Arial"/>
      <family val="2"/>
    </font>
    <font>
      <b/>
      <sz val="9"/>
      <color indexed="10"/>
      <name val="Arial"/>
      <family val="2"/>
    </font>
    <font>
      <u/>
      <sz val="8"/>
      <name val="Arial"/>
      <family val="2"/>
    </font>
    <font>
      <sz val="9"/>
      <name val="Calibri"/>
      <family val="2"/>
    </font>
    <font>
      <i/>
      <sz val="9"/>
      <name val="Arial"/>
      <family val="2"/>
    </font>
    <font>
      <b/>
      <sz val="9"/>
      <color indexed="12"/>
      <name val="Arial"/>
      <family val="2"/>
    </font>
    <font>
      <sz val="11"/>
      <name val="Arial"/>
      <family val="2"/>
    </font>
    <font>
      <b/>
      <sz val="9"/>
      <color indexed="63"/>
      <name val="Arial"/>
      <family val="2"/>
    </font>
    <font>
      <sz val="9"/>
      <color indexed="63"/>
      <name val="Arial"/>
      <family val="2"/>
    </font>
    <font>
      <b/>
      <sz val="9"/>
      <name val="Calibri"/>
      <family val="2"/>
    </font>
    <font>
      <b/>
      <u/>
      <sz val="9"/>
      <color indexed="12"/>
      <name val="Arial"/>
      <family val="2"/>
    </font>
    <font>
      <b/>
      <vertAlign val="subscript"/>
      <sz val="9"/>
      <name val="Arial"/>
      <family val="2"/>
    </font>
    <font>
      <b/>
      <sz val="9"/>
      <color indexed="60"/>
      <name val="Arial"/>
      <family val="2"/>
    </font>
    <font>
      <vertAlign val="superscript"/>
      <sz val="8"/>
      <name val="Arial"/>
      <family val="2"/>
    </font>
    <font>
      <sz val="9"/>
      <name val="Arial"/>
      <family val="2"/>
    </font>
    <font>
      <b/>
      <i/>
      <sz val="9"/>
      <name val="Arial"/>
      <family val="2"/>
    </font>
    <font>
      <b/>
      <i/>
      <u/>
      <sz val="9"/>
      <name val="Arial"/>
      <family val="2"/>
    </font>
    <font>
      <sz val="9"/>
      <name val="Arial"/>
      <family val="2"/>
    </font>
    <font>
      <sz val="9"/>
      <name val="Arial"/>
      <family val="2"/>
    </font>
    <font>
      <sz val="9"/>
      <name val="Arial"/>
      <family val="2"/>
    </font>
    <font>
      <sz val="9"/>
      <name val="Helvetica"/>
      <family val="2"/>
    </font>
    <font>
      <b/>
      <sz val="10"/>
      <name val="Calibri"/>
      <family val="2"/>
    </font>
    <font>
      <sz val="12"/>
      <name val="Arial"/>
      <family val="2"/>
    </font>
    <font>
      <sz val="10"/>
      <name val="Arial Unicode MS"/>
      <family val="2"/>
    </font>
    <font>
      <b/>
      <sz val="9"/>
      <color rgb="FFFF0000"/>
      <name val="Arial"/>
      <family val="2"/>
    </font>
    <font>
      <sz val="9"/>
      <color rgb="FFFF0000"/>
      <name val="Arial"/>
      <family val="2"/>
    </font>
    <font>
      <sz val="9"/>
      <color rgb="FF00B0F0"/>
      <name val="Arial"/>
      <family val="2"/>
    </font>
    <font>
      <b/>
      <sz val="9"/>
      <color rgb="FF00B0F0"/>
      <name val="Arial"/>
      <family val="2"/>
    </font>
    <font>
      <sz val="9"/>
      <color theme="9" tint="-0.499984740745262"/>
      <name val="Arial"/>
      <family val="2"/>
    </font>
    <font>
      <b/>
      <sz val="9"/>
      <color theme="9" tint="-0.499984740745262"/>
      <name val="Arial"/>
      <family val="2"/>
    </font>
    <font>
      <sz val="9"/>
      <color rgb="FF0000FF"/>
      <name val="Arial"/>
      <family val="2"/>
    </font>
    <font>
      <sz val="9"/>
      <color theme="3" tint="-0.249977111117893"/>
      <name val="Arial"/>
      <family val="2"/>
    </font>
    <font>
      <sz val="8"/>
      <color rgb="FFFF0000"/>
      <name val="Arial"/>
      <family val="2"/>
    </font>
    <font>
      <b/>
      <vertAlign val="superscript"/>
      <sz val="8"/>
      <name val="Arial"/>
      <family val="2"/>
    </font>
    <font>
      <b/>
      <sz val="9"/>
      <color rgb="FF00B050"/>
      <name val="Arial"/>
      <family val="2"/>
    </font>
    <font>
      <sz val="11"/>
      <color rgb="FF000000"/>
      <name val="Calibri"/>
      <family val="2"/>
    </font>
    <font>
      <b/>
      <sz val="9"/>
      <color rgb="FF0000FF"/>
      <name val="Arial"/>
      <family val="2"/>
    </font>
    <font>
      <sz val="16"/>
      <name val="Arial"/>
      <family val="2"/>
    </font>
    <font>
      <b/>
      <sz val="16"/>
      <name val="Arial"/>
      <family val="2"/>
    </font>
    <font>
      <b/>
      <u/>
      <sz val="9"/>
      <color rgb="FFFF0000"/>
      <name val="Arial"/>
      <family val="2"/>
    </font>
    <font>
      <sz val="7"/>
      <name val="Arial"/>
      <family val="2"/>
    </font>
    <font>
      <sz val="9"/>
      <name val="Times New Roman"/>
      <family val="1"/>
      <charset val="204"/>
    </font>
    <font>
      <b/>
      <sz val="9"/>
      <color indexed="8"/>
      <name val="Arial"/>
      <family val="1"/>
      <charset val="204"/>
    </font>
    <font>
      <sz val="11"/>
      <color indexed="8"/>
      <name val="Calibri"/>
      <family val="2"/>
      <scheme val="minor"/>
    </font>
    <font>
      <b/>
      <sz val="8.3000000000000007"/>
      <color rgb="FFFF0000"/>
      <name val="Arial"/>
      <family val="2"/>
    </font>
    <font>
      <sz val="8.3000000000000007"/>
      <name val="Arial"/>
      <family val="2"/>
    </font>
    <font>
      <u/>
      <sz val="8.5"/>
      <color indexed="12"/>
      <name val="Arial"/>
      <family val="2"/>
    </font>
  </fonts>
  <fills count="36">
    <fill>
      <patternFill patternType="none"/>
    </fill>
    <fill>
      <patternFill patternType="gray125"/>
    </fill>
    <fill>
      <patternFill patternType="solid">
        <fgColor indexed="51"/>
        <bgColor indexed="64"/>
      </patternFill>
    </fill>
    <fill>
      <patternFill patternType="solid">
        <fgColor indexed="13"/>
        <bgColor indexed="64"/>
      </patternFill>
    </fill>
    <fill>
      <patternFill patternType="solid">
        <fgColor indexed="15"/>
        <bgColor indexed="64"/>
      </patternFill>
    </fill>
    <fill>
      <patternFill patternType="solid">
        <fgColor indexed="11"/>
        <bgColor indexed="64"/>
      </patternFill>
    </fill>
    <fill>
      <patternFill patternType="solid">
        <fgColor indexed="50"/>
        <bgColor indexed="64"/>
      </patternFill>
    </fill>
    <fill>
      <patternFill patternType="solid">
        <fgColor rgb="FFFFFF00"/>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2"/>
        <bgColor indexed="64"/>
      </patternFill>
    </fill>
    <fill>
      <patternFill patternType="solid">
        <fgColor rgb="FFFF99FF"/>
        <bgColor indexed="64"/>
      </patternFill>
    </fill>
    <fill>
      <patternFill patternType="solid">
        <fgColor rgb="FFCC99FF"/>
        <bgColor indexed="64"/>
      </patternFill>
    </fill>
    <fill>
      <patternFill patternType="solid">
        <fgColor theme="8" tint="0.79998168889431442"/>
        <bgColor indexed="64"/>
      </patternFill>
    </fill>
    <fill>
      <patternFill patternType="solid">
        <fgColor rgb="FF66FFCC"/>
        <bgColor indexed="64"/>
      </patternFill>
    </fill>
    <fill>
      <patternFill patternType="solid">
        <fgColor rgb="FFFFCC66"/>
        <bgColor indexed="64"/>
      </patternFill>
    </fill>
    <fill>
      <patternFill patternType="solid">
        <fgColor rgb="FF66FF33"/>
        <bgColor indexed="64"/>
      </patternFill>
    </fill>
    <fill>
      <patternFill patternType="solid">
        <fgColor rgb="FF99FF33"/>
        <bgColor indexed="64"/>
      </patternFill>
    </fill>
    <fill>
      <patternFill patternType="solid">
        <fgColor rgb="FF99CCFF"/>
        <bgColor indexed="64"/>
      </patternFill>
    </fill>
    <fill>
      <patternFill patternType="solid">
        <fgColor theme="2" tint="-9.9978637043366805E-2"/>
        <bgColor indexed="64"/>
      </patternFill>
    </fill>
    <fill>
      <patternFill patternType="solid">
        <fgColor theme="6" tint="0.39997558519241921"/>
        <bgColor indexed="64"/>
      </patternFill>
    </fill>
    <fill>
      <patternFill patternType="solid">
        <fgColor rgb="FF66FFFF"/>
        <bgColor indexed="64"/>
      </patternFill>
    </fill>
    <fill>
      <patternFill patternType="solid">
        <fgColor rgb="FFCCFF33"/>
        <bgColor indexed="64"/>
      </patternFill>
    </fill>
    <fill>
      <patternFill patternType="solid">
        <fgColor rgb="FF00FFCC"/>
        <bgColor indexed="64"/>
      </patternFill>
    </fill>
    <fill>
      <patternFill patternType="solid">
        <fgColor rgb="FFCCFFFF"/>
        <bgColor indexed="64"/>
      </patternFill>
    </fill>
    <fill>
      <patternFill patternType="solid">
        <fgColor rgb="FF66FF66"/>
        <bgColor indexed="64"/>
      </patternFill>
    </fill>
    <fill>
      <patternFill patternType="gray125">
        <bgColor rgb="FF00FFCC"/>
      </patternFill>
    </fill>
    <fill>
      <patternFill patternType="solid">
        <fgColor rgb="FFFFFF99"/>
        <bgColor indexed="64"/>
      </patternFill>
    </fill>
    <fill>
      <patternFill patternType="solid">
        <fgColor rgb="FFCCFFCC"/>
        <bgColor indexed="64"/>
      </patternFill>
    </fill>
    <fill>
      <patternFill patternType="solid">
        <fgColor rgb="FFFF99CC"/>
        <bgColor indexed="64"/>
      </patternFill>
    </fill>
    <fill>
      <patternFill patternType="solid">
        <fgColor rgb="FF1C1C1C"/>
        <bgColor indexed="64"/>
      </patternFill>
    </fill>
    <fill>
      <patternFill patternType="solid">
        <fgColor rgb="FFFF0000"/>
        <bgColor indexed="64"/>
      </patternFill>
    </fill>
    <fill>
      <patternFill patternType="solid">
        <fgColor rgb="FFFFCCFF"/>
        <bgColor indexed="64"/>
      </patternFill>
    </fill>
    <fill>
      <patternFill patternType="solid">
        <fgColor theme="2" tint="-9.9948118533890809E-2"/>
        <bgColor indexed="64"/>
      </patternFill>
    </fill>
    <fill>
      <patternFill patternType="solid">
        <fgColor theme="4" tint="0.39997558519241921"/>
        <bgColor indexed="64"/>
      </patternFill>
    </fill>
    <fill>
      <patternFill patternType="solid">
        <fgColor rgb="FF92D050"/>
        <bgColor indexed="64"/>
      </patternFill>
    </fill>
  </fills>
  <borders count="47">
    <border>
      <left/>
      <right/>
      <top/>
      <bottom/>
      <diagonal/>
    </border>
    <border>
      <left/>
      <right style="thin">
        <color auto="1"/>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right/>
      <top/>
      <bottom style="medium">
        <color auto="1"/>
      </bottom>
      <diagonal/>
    </border>
    <border>
      <left/>
      <right/>
      <top style="medium">
        <color auto="1"/>
      </top>
      <bottom style="thin">
        <color auto="1"/>
      </bottom>
      <diagonal/>
    </border>
    <border>
      <left style="thin">
        <color auto="1"/>
      </left>
      <right style="thin">
        <color auto="1"/>
      </right>
      <top/>
      <bottom style="thin">
        <color auto="1"/>
      </bottom>
      <diagonal/>
    </border>
    <border>
      <left style="thin">
        <color auto="1"/>
      </left>
      <right/>
      <top/>
      <bottom/>
      <diagonal/>
    </border>
    <border>
      <left style="thin">
        <color auto="1"/>
      </left>
      <right style="thin">
        <color auto="1"/>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right style="hair">
        <color auto="1"/>
      </right>
      <top/>
      <bottom/>
      <diagonal/>
    </border>
    <border>
      <left/>
      <right style="thin">
        <color auto="1"/>
      </right>
      <top style="medium">
        <color auto="1"/>
      </top>
      <bottom/>
      <diagonal/>
    </border>
    <border>
      <left style="thin">
        <color theme="0"/>
      </left>
      <right/>
      <top style="thin">
        <color theme="0"/>
      </top>
      <bottom/>
      <diagonal/>
    </border>
    <border>
      <left/>
      <right/>
      <top style="thin">
        <color theme="0"/>
      </top>
      <bottom/>
      <diagonal/>
    </border>
    <border>
      <left style="thin">
        <color theme="0"/>
      </left>
      <right/>
      <top/>
      <bottom style="thin">
        <color theme="0"/>
      </bottom>
      <diagonal/>
    </border>
    <border>
      <left/>
      <right/>
      <top/>
      <bottom style="thin">
        <color theme="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bottom style="thin">
        <color rgb="FF000000"/>
      </bottom>
      <diagonal/>
    </border>
    <border>
      <left style="medium">
        <color auto="1"/>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top/>
      <bottom style="medium">
        <color auto="1"/>
      </bottom>
      <diagonal/>
    </border>
    <border>
      <left/>
      <right style="thin">
        <color auto="1"/>
      </right>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style="thin">
        <color auto="1"/>
      </top>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indexed="64"/>
      </bottom>
      <diagonal/>
    </border>
    <border>
      <left style="thin">
        <color indexed="64"/>
      </left>
      <right style="thin">
        <color rgb="FF000000"/>
      </right>
      <top style="thin">
        <color rgb="FF000000"/>
      </top>
      <bottom style="thin">
        <color indexed="64"/>
      </bottom>
      <diagonal/>
    </border>
    <border>
      <left style="thin">
        <color rgb="FF000000"/>
      </left>
      <right/>
      <top style="thin">
        <color rgb="FF000000"/>
      </top>
      <bottom style="thin">
        <color indexed="64"/>
      </bottom>
      <diagonal/>
    </border>
  </borders>
  <cellStyleXfs count="10">
    <xf numFmtId="0" fontId="0" fillId="0" borderId="0"/>
    <xf numFmtId="43" fontId="1" fillId="0" borderId="0" applyFont="0" applyFill="0" applyBorder="0" applyAlignment="0" applyProtection="0"/>
    <xf numFmtId="43" fontId="6"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4" fillId="0" borderId="0" applyNumberFormat="0" applyFill="0" applyBorder="0" applyAlignment="0" applyProtection="0">
      <alignment vertical="top"/>
      <protection locked="0"/>
    </xf>
    <xf numFmtId="0" fontId="6" fillId="0" borderId="0"/>
    <xf numFmtId="9" fontId="1" fillId="0" borderId="0" applyFont="0" applyFill="0" applyBorder="0" applyAlignment="0" applyProtection="0"/>
    <xf numFmtId="9" fontId="6" fillId="0" borderId="0" applyFont="0" applyFill="0" applyBorder="0" applyAlignment="0" applyProtection="0"/>
    <xf numFmtId="0" fontId="67" fillId="0" borderId="0"/>
  </cellStyleXfs>
  <cellXfs count="1476">
    <xf numFmtId="0" fontId="0" fillId="0" borderId="0" xfId="0"/>
    <xf numFmtId="0" fontId="2" fillId="0" borderId="0" xfId="0" applyFont="1"/>
    <xf numFmtId="164" fontId="0" fillId="0" borderId="0" xfId="3" applyNumberFormat="1" applyFont="1"/>
    <xf numFmtId="0" fontId="3" fillId="0" borderId="0" xfId="0" applyFont="1"/>
    <xf numFmtId="9" fontId="0" fillId="0" borderId="0" xfId="0" applyNumberFormat="1"/>
    <xf numFmtId="9" fontId="0" fillId="0" borderId="0" xfId="7" applyFont="1"/>
    <xf numFmtId="2" fontId="0" fillId="0" borderId="0" xfId="0" applyNumberFormat="1"/>
    <xf numFmtId="168" fontId="0" fillId="0" borderId="0" xfId="0" applyNumberFormat="1"/>
    <xf numFmtId="0" fontId="5" fillId="0" borderId="0" xfId="0" applyFont="1"/>
    <xf numFmtId="168" fontId="5" fillId="0" borderId="0" xfId="0" applyNumberFormat="1" applyFont="1"/>
    <xf numFmtId="0" fontId="0" fillId="0" borderId="0" xfId="0" applyAlignment="1">
      <alignment horizontal="left" indent="1"/>
    </xf>
    <xf numFmtId="9" fontId="5" fillId="0" borderId="0" xfId="7" applyFont="1"/>
    <xf numFmtId="0" fontId="7" fillId="0" borderId="0" xfId="0" applyFont="1" applyAlignment="1">
      <alignment horizontal="right"/>
    </xf>
    <xf numFmtId="0" fontId="7" fillId="0" borderId="0" xfId="0" applyFont="1"/>
    <xf numFmtId="0" fontId="1" fillId="0" borderId="0" xfId="0" applyFont="1"/>
    <xf numFmtId="169" fontId="0" fillId="0" borderId="0" xfId="7" applyNumberFormat="1" applyFont="1"/>
    <xf numFmtId="169" fontId="0" fillId="0" borderId="0" xfId="0" applyNumberFormat="1"/>
    <xf numFmtId="165" fontId="6" fillId="0" borderId="0" xfId="1" applyNumberFormat="1" applyFont="1"/>
    <xf numFmtId="170" fontId="0" fillId="0" borderId="0" xfId="0" applyNumberFormat="1"/>
    <xf numFmtId="43" fontId="6" fillId="0" borderId="0" xfId="1" applyNumberFormat="1" applyFont="1"/>
    <xf numFmtId="43" fontId="0" fillId="0" borderId="0" xfId="0" applyNumberFormat="1"/>
    <xf numFmtId="165" fontId="0" fillId="0" borderId="0" xfId="1" applyNumberFormat="1" applyFont="1"/>
    <xf numFmtId="166" fontId="0" fillId="0" borderId="0" xfId="0" applyNumberFormat="1"/>
    <xf numFmtId="170" fontId="5" fillId="0" borderId="0" xfId="0" applyNumberFormat="1" applyFont="1"/>
    <xf numFmtId="165" fontId="5" fillId="0" borderId="0" xfId="0" applyNumberFormat="1" applyFont="1"/>
    <xf numFmtId="167" fontId="5" fillId="0" borderId="0" xfId="0" applyNumberFormat="1" applyFont="1"/>
    <xf numFmtId="0" fontId="0" fillId="0" borderId="1" xfId="0" applyBorder="1"/>
    <xf numFmtId="0" fontId="8" fillId="0" borderId="0" xfId="0" applyFont="1"/>
    <xf numFmtId="43" fontId="5" fillId="0" borderId="0" xfId="0" applyNumberFormat="1" applyFont="1"/>
    <xf numFmtId="0" fontId="0" fillId="0" borderId="0" xfId="0" quotePrefix="1"/>
    <xf numFmtId="169" fontId="5" fillId="0" borderId="0" xfId="7" applyNumberFormat="1" applyFont="1"/>
    <xf numFmtId="0" fontId="6" fillId="0" borderId="0" xfId="0" applyFont="1"/>
    <xf numFmtId="170" fontId="6" fillId="0" borderId="0" xfId="0" applyNumberFormat="1" applyFont="1"/>
    <xf numFmtId="165" fontId="6" fillId="0" borderId="0" xfId="0" applyNumberFormat="1" applyFont="1"/>
    <xf numFmtId="167" fontId="6" fillId="0" borderId="0" xfId="0" applyNumberFormat="1" applyFont="1"/>
    <xf numFmtId="9" fontId="6" fillId="0" borderId="0" xfId="7" applyFont="1"/>
    <xf numFmtId="165" fontId="0" fillId="0" borderId="0" xfId="0" applyNumberFormat="1"/>
    <xf numFmtId="43" fontId="7" fillId="0" borderId="0" xfId="0" applyNumberFormat="1" applyFont="1"/>
    <xf numFmtId="0" fontId="5" fillId="0" borderId="2" xfId="0" applyFont="1" applyBorder="1"/>
    <xf numFmtId="0" fontId="5" fillId="0" borderId="3" xfId="0" applyFont="1" applyBorder="1"/>
    <xf numFmtId="9" fontId="5" fillId="0" borderId="4" xfId="7" applyFont="1" applyBorder="1"/>
    <xf numFmtId="0" fontId="5" fillId="0" borderId="5" xfId="0" applyFont="1" applyBorder="1"/>
    <xf numFmtId="0" fontId="5" fillId="0" borderId="6" xfId="0" applyFont="1" applyBorder="1"/>
    <xf numFmtId="9" fontId="5" fillId="0" borderId="7" xfId="0" applyNumberFormat="1" applyFont="1" applyBorder="1"/>
    <xf numFmtId="10" fontId="0" fillId="0" borderId="0" xfId="0" applyNumberFormat="1"/>
    <xf numFmtId="2" fontId="0" fillId="0" borderId="0" xfId="3" applyNumberFormat="1" applyFont="1"/>
    <xf numFmtId="0" fontId="11" fillId="0" borderId="0" xfId="0" applyFont="1"/>
    <xf numFmtId="10" fontId="0" fillId="0" borderId="0" xfId="7" applyNumberFormat="1" applyFont="1"/>
    <xf numFmtId="1" fontId="0" fillId="0" borderId="0" xfId="0" applyNumberFormat="1"/>
    <xf numFmtId="164" fontId="13" fillId="0" borderId="0" xfId="3" applyNumberFormat="1" applyFont="1"/>
    <xf numFmtId="0" fontId="14" fillId="0" borderId="0" xfId="0" applyFont="1" applyAlignment="1">
      <alignment horizontal="right"/>
    </xf>
    <xf numFmtId="0" fontId="3" fillId="0" borderId="0" xfId="0" applyFont="1" applyFill="1" applyBorder="1" applyAlignment="1">
      <alignment horizontal="center"/>
    </xf>
    <xf numFmtId="0" fontId="13" fillId="0" borderId="0" xfId="0" applyFont="1"/>
    <xf numFmtId="0" fontId="16" fillId="0" borderId="0" xfId="0" applyFont="1"/>
    <xf numFmtId="9" fontId="16" fillId="0" borderId="0" xfId="0" applyNumberFormat="1" applyFont="1"/>
    <xf numFmtId="2" fontId="7" fillId="0" borderId="0" xfId="0" applyNumberFormat="1" applyFont="1"/>
    <xf numFmtId="0" fontId="0" fillId="0" borderId="0" xfId="0" applyAlignment="1">
      <alignment wrapText="1"/>
    </xf>
    <xf numFmtId="0" fontId="17" fillId="0" borderId="0" xfId="0" applyFont="1"/>
    <xf numFmtId="0" fontId="18" fillId="0" borderId="0" xfId="0" applyFont="1"/>
    <xf numFmtId="0" fontId="19" fillId="0" borderId="0" xfId="0" applyFont="1"/>
    <xf numFmtId="165" fontId="19" fillId="0" borderId="0" xfId="1" applyNumberFormat="1" applyFont="1"/>
    <xf numFmtId="44" fontId="19" fillId="0" borderId="0" xfId="3" applyFont="1"/>
    <xf numFmtId="1" fontId="3" fillId="0" borderId="0" xfId="0" applyNumberFormat="1" applyFont="1" applyAlignment="1">
      <alignment horizontal="right"/>
    </xf>
    <xf numFmtId="167" fontId="0" fillId="0" borderId="0" xfId="1" applyNumberFormat="1" applyFont="1"/>
    <xf numFmtId="164" fontId="7" fillId="0" borderId="0" xfId="3" applyNumberFormat="1" applyFont="1"/>
    <xf numFmtId="166" fontId="6" fillId="0" borderId="0" xfId="0" applyNumberFormat="1" applyFont="1"/>
    <xf numFmtId="0" fontId="6" fillId="0" borderId="0" xfId="0" applyFont="1" applyAlignment="1">
      <alignment wrapText="1"/>
    </xf>
    <xf numFmtId="0" fontId="0" fillId="0" borderId="0" xfId="0" applyBorder="1"/>
    <xf numFmtId="9" fontId="5" fillId="0" borderId="4" xfId="7" applyNumberFormat="1" applyFont="1" applyBorder="1"/>
    <xf numFmtId="7" fontId="0" fillId="0" borderId="0" xfId="0" applyNumberFormat="1"/>
    <xf numFmtId="0" fontId="5" fillId="0" borderId="0" xfId="0" applyFont="1" applyAlignment="1">
      <alignment wrapText="1"/>
    </xf>
    <xf numFmtId="0" fontId="18" fillId="0" borderId="8" xfId="0" applyFont="1" applyBorder="1" applyAlignment="1">
      <alignment horizontal="center" wrapText="1"/>
    </xf>
    <xf numFmtId="44" fontId="0" fillId="0" borderId="0" xfId="0" applyNumberFormat="1" applyBorder="1"/>
    <xf numFmtId="0" fontId="0" fillId="0" borderId="0" xfId="0" applyAlignment="1"/>
    <xf numFmtId="0" fontId="7" fillId="0" borderId="0" xfId="0" applyFont="1" applyAlignment="1">
      <alignment horizontal="center"/>
    </xf>
    <xf numFmtId="1" fontId="7" fillId="0" borderId="0" xfId="0" applyNumberFormat="1" applyFont="1"/>
    <xf numFmtId="0" fontId="20" fillId="0" borderId="0" xfId="0" applyFont="1"/>
    <xf numFmtId="0" fontId="5" fillId="2" borderId="0" xfId="0" applyFont="1" applyFill="1" applyAlignment="1">
      <alignment horizontal="left" indent="1"/>
    </xf>
    <xf numFmtId="0" fontId="0" fillId="2" borderId="0" xfId="0" applyFill="1"/>
    <xf numFmtId="1" fontId="5" fillId="0" borderId="0" xfId="0" applyNumberFormat="1" applyFont="1"/>
    <xf numFmtId="165" fontId="5" fillId="0" borderId="0" xfId="1" applyNumberFormat="1" applyFont="1"/>
    <xf numFmtId="2" fontId="6" fillId="0" borderId="0" xfId="0" applyNumberFormat="1" applyFont="1"/>
    <xf numFmtId="0" fontId="18" fillId="0" borderId="0" xfId="0" applyFont="1" applyBorder="1" applyAlignment="1">
      <alignment horizontal="center" wrapText="1"/>
    </xf>
    <xf numFmtId="0" fontId="3" fillId="0" borderId="0" xfId="0" applyFont="1" applyAlignment="1">
      <alignment horizontal="left" indent="2"/>
    </xf>
    <xf numFmtId="0" fontId="3" fillId="0" borderId="0" xfId="0" applyFont="1" applyAlignment="1">
      <alignment horizontal="left" indent="1"/>
    </xf>
    <xf numFmtId="164" fontId="3" fillId="0" borderId="0" xfId="0" applyNumberFormat="1" applyFont="1"/>
    <xf numFmtId="0" fontId="7" fillId="0" borderId="0" xfId="0" applyFont="1" applyAlignment="1">
      <alignment horizontal="right" wrapText="1"/>
    </xf>
    <xf numFmtId="0" fontId="0" fillId="0" borderId="0" xfId="0" applyAlignment="1">
      <alignment horizontal="right" wrapText="1"/>
    </xf>
    <xf numFmtId="0" fontId="0" fillId="0" borderId="0" xfId="0" applyAlignment="1">
      <alignment horizontal="left" indent="2"/>
    </xf>
    <xf numFmtId="0" fontId="4" fillId="0" borderId="0" xfId="5" applyAlignment="1" applyProtection="1"/>
    <xf numFmtId="168" fontId="0" fillId="0" borderId="0" xfId="0" applyNumberFormat="1" applyAlignment="1">
      <alignment horizontal="right" indent="1"/>
    </xf>
    <xf numFmtId="169" fontId="3" fillId="0" borderId="0" xfId="7" applyNumberFormat="1" applyFont="1" applyAlignment="1">
      <alignment horizontal="left" indent="2"/>
    </xf>
    <xf numFmtId="0" fontId="1" fillId="0" borderId="0" xfId="0" applyFont="1" applyAlignment="1">
      <alignment horizontal="left" indent="1"/>
    </xf>
    <xf numFmtId="168" fontId="0" fillId="3" borderId="0" xfId="0" applyNumberFormat="1" applyFill="1"/>
    <xf numFmtId="168" fontId="0" fillId="0" borderId="0" xfId="0" applyNumberFormat="1" applyAlignment="1">
      <alignment horizontal="right" indent="2"/>
    </xf>
    <xf numFmtId="0" fontId="3" fillId="0" borderId="0" xfId="0" applyFont="1" applyAlignment="1">
      <alignment horizontal="right"/>
    </xf>
    <xf numFmtId="9" fontId="25" fillId="0" borderId="0" xfId="0" applyNumberFormat="1" applyFont="1"/>
    <xf numFmtId="0" fontId="24" fillId="0" borderId="0" xfId="0" applyFont="1" applyAlignment="1">
      <alignment horizontal="right"/>
    </xf>
    <xf numFmtId="168" fontId="5" fillId="4" borderId="0" xfId="0" applyNumberFormat="1" applyFont="1" applyFill="1"/>
    <xf numFmtId="168" fontId="0" fillId="4" borderId="0" xfId="0" applyNumberFormat="1" applyFill="1" applyAlignment="1">
      <alignment horizontal="right" indent="1"/>
    </xf>
    <xf numFmtId="0" fontId="3" fillId="0" borderId="0" xfId="0" applyFont="1" applyBorder="1"/>
    <xf numFmtId="0" fontId="14" fillId="5" borderId="8" xfId="0" applyFont="1" applyFill="1" applyBorder="1" applyAlignment="1">
      <alignment horizontal="right"/>
    </xf>
    <xf numFmtId="9" fontId="5" fillId="0" borderId="0" xfId="7" applyFont="1" applyBorder="1"/>
    <xf numFmtId="9" fontId="5" fillId="0" borderId="0" xfId="0" applyNumberFormat="1" applyFont="1" applyBorder="1"/>
    <xf numFmtId="0" fontId="18" fillId="0" borderId="0" xfId="0" applyFont="1" applyBorder="1" applyAlignment="1">
      <alignment horizontal="left" indent="1"/>
    </xf>
    <xf numFmtId="0" fontId="5" fillId="0" borderId="0" xfId="0" applyFont="1" applyBorder="1"/>
    <xf numFmtId="0" fontId="18" fillId="0" borderId="0" xfId="0" applyFont="1" applyBorder="1" applyAlignment="1">
      <alignment horizontal="right"/>
    </xf>
    <xf numFmtId="165" fontId="5" fillId="0" borderId="0" xfId="0" applyNumberFormat="1" applyFont="1" applyBorder="1"/>
    <xf numFmtId="165" fontId="6" fillId="0" borderId="0" xfId="0" applyNumberFormat="1" applyFont="1" applyBorder="1"/>
    <xf numFmtId="0" fontId="5" fillId="3" borderId="0" xfId="0" quotePrefix="1" applyFont="1" applyFill="1" applyAlignment="1">
      <alignment horizontal="right" indent="1"/>
    </xf>
    <xf numFmtId="0" fontId="0" fillId="3" borderId="0" xfId="0" applyFill="1"/>
    <xf numFmtId="168" fontId="0" fillId="3" borderId="0" xfId="0" applyNumberFormat="1" applyFill="1" applyAlignment="1">
      <alignment horizontal="right" indent="2"/>
    </xf>
    <xf numFmtId="169" fontId="3" fillId="0" borderId="0" xfId="0" applyNumberFormat="1" applyFont="1"/>
    <xf numFmtId="168" fontId="6" fillId="0" borderId="0" xfId="0" applyNumberFormat="1" applyFont="1"/>
    <xf numFmtId="0" fontId="0" fillId="0" borderId="0" xfId="0" applyBorder="1" applyAlignment="1">
      <alignment vertical="center" wrapText="1"/>
    </xf>
    <xf numFmtId="0" fontId="0" fillId="0" borderId="9" xfId="0" applyBorder="1"/>
    <xf numFmtId="43" fontId="0" fillId="0" borderId="0" xfId="0" applyNumberFormat="1" applyBorder="1"/>
    <xf numFmtId="0" fontId="0" fillId="0" borderId="11" xfId="0" applyBorder="1"/>
    <xf numFmtId="0" fontId="14" fillId="0" borderId="0" xfId="0" applyFont="1" applyFill="1" applyBorder="1" applyAlignment="1">
      <alignment horizontal="right"/>
    </xf>
    <xf numFmtId="165" fontId="0" fillId="0" borderId="0" xfId="1" applyNumberFormat="1" applyFont="1" applyBorder="1"/>
    <xf numFmtId="169" fontId="16" fillId="0" borderId="0" xfId="0" applyNumberFormat="1" applyFont="1" applyBorder="1"/>
    <xf numFmtId="9" fontId="0" fillId="0" borderId="0" xfId="0" applyNumberFormat="1" applyBorder="1"/>
    <xf numFmtId="0" fontId="14" fillId="3" borderId="8" xfId="0" applyFont="1" applyFill="1" applyBorder="1" applyAlignment="1">
      <alignment horizontal="right"/>
    </xf>
    <xf numFmtId="0" fontId="48" fillId="0" borderId="0" xfId="0" applyFont="1"/>
    <xf numFmtId="0" fontId="6" fillId="0" borderId="0" xfId="0" applyFont="1" applyAlignment="1">
      <alignment horizontal="left" indent="1"/>
    </xf>
    <xf numFmtId="0" fontId="0" fillId="0" borderId="0" xfId="0" applyBorder="1" applyAlignment="1">
      <alignment wrapText="1"/>
    </xf>
    <xf numFmtId="167" fontId="6" fillId="0" borderId="0" xfId="0" applyNumberFormat="1" applyFont="1" applyBorder="1"/>
    <xf numFmtId="14" fontId="5" fillId="0" borderId="0" xfId="0" applyNumberFormat="1" applyFont="1" applyBorder="1"/>
    <xf numFmtId="0" fontId="5" fillId="0" borderId="0" xfId="0" applyFont="1" applyBorder="1" applyAlignment="1">
      <alignment wrapText="1"/>
    </xf>
    <xf numFmtId="167" fontId="5" fillId="0" borderId="0" xfId="0" applyNumberFormat="1" applyFont="1" applyBorder="1"/>
    <xf numFmtId="168" fontId="0" fillId="0" borderId="0" xfId="0" applyNumberFormat="1" applyBorder="1"/>
    <xf numFmtId="0" fontId="0" fillId="0" borderId="0" xfId="0" applyAlignment="1">
      <alignment vertical="center" wrapText="1"/>
    </xf>
    <xf numFmtId="0" fontId="5" fillId="0" borderId="0" xfId="0" applyFont="1" applyAlignment="1">
      <alignment vertical="center" wrapText="1"/>
    </xf>
    <xf numFmtId="0" fontId="49" fillId="0" borderId="0" xfId="0" applyFont="1" applyAlignment="1">
      <alignment horizontal="left" indent="1"/>
    </xf>
    <xf numFmtId="0" fontId="49" fillId="0" borderId="0" xfId="0" applyFont="1"/>
    <xf numFmtId="168" fontId="49" fillId="0" borderId="0" xfId="0" applyNumberFormat="1" applyFont="1"/>
    <xf numFmtId="0" fontId="50" fillId="0" borderId="0" xfId="0" applyFont="1" applyAlignment="1">
      <alignment horizontal="left" indent="1"/>
    </xf>
    <xf numFmtId="0" fontId="50" fillId="0" borderId="0" xfId="0" applyFont="1"/>
    <xf numFmtId="168" fontId="50" fillId="0" borderId="0" xfId="0" applyNumberFormat="1" applyFont="1"/>
    <xf numFmtId="168" fontId="48" fillId="0" borderId="0" xfId="0" applyNumberFormat="1" applyFont="1"/>
    <xf numFmtId="0" fontId="51" fillId="0" borderId="0" xfId="0" applyFont="1"/>
    <xf numFmtId="168" fontId="51" fillId="0" borderId="0" xfId="0" applyNumberFormat="1" applyFont="1"/>
    <xf numFmtId="0" fontId="6" fillId="0" borderId="0" xfId="0" applyFont="1" applyAlignment="1">
      <alignment horizontal="left"/>
    </xf>
    <xf numFmtId="0" fontId="3" fillId="0" borderId="0" xfId="0" applyFont="1" applyAlignment="1">
      <alignment horizontal="left"/>
    </xf>
    <xf numFmtId="0" fontId="5" fillId="0" borderId="0" xfId="0" applyFont="1" applyAlignment="1">
      <alignment horizontal="left"/>
    </xf>
    <xf numFmtId="0" fontId="52" fillId="0" borderId="0" xfId="0" applyFont="1" applyAlignment="1">
      <alignment horizontal="left" indent="1"/>
    </xf>
    <xf numFmtId="0" fontId="52" fillId="0" borderId="0" xfId="0" applyFont="1"/>
    <xf numFmtId="168" fontId="52" fillId="0" borderId="0" xfId="0" applyNumberFormat="1" applyFont="1"/>
    <xf numFmtId="0" fontId="53" fillId="0" borderId="0" xfId="0" applyFont="1" applyAlignment="1">
      <alignment horizontal="left"/>
    </xf>
    <xf numFmtId="0" fontId="53" fillId="0" borderId="0" xfId="0" applyFont="1"/>
    <xf numFmtId="168" fontId="53" fillId="0" borderId="0" xfId="0" applyNumberFormat="1" applyFont="1"/>
    <xf numFmtId="0" fontId="14" fillId="0" borderId="0" xfId="0" applyFont="1" applyBorder="1" applyAlignment="1">
      <alignment horizontal="right"/>
    </xf>
    <xf numFmtId="2" fontId="0" fillId="0" borderId="0" xfId="0" applyNumberFormat="1" applyBorder="1"/>
    <xf numFmtId="2" fontId="3" fillId="0" borderId="0" xfId="0" applyNumberFormat="1" applyFont="1" applyBorder="1"/>
    <xf numFmtId="166" fontId="0" fillId="0" borderId="0" xfId="0" applyNumberFormat="1" applyBorder="1"/>
    <xf numFmtId="0" fontId="7" fillId="0" borderId="0" xfId="0" applyFont="1" applyBorder="1"/>
    <xf numFmtId="0" fontId="0" fillId="0" borderId="0" xfId="0" applyBorder="1" applyAlignment="1">
      <alignment horizontal="left" vertical="center" wrapText="1" indent="1"/>
    </xf>
    <xf numFmtId="7" fontId="18" fillId="0" borderId="0" xfId="3" applyNumberFormat="1" applyFont="1" applyBorder="1"/>
    <xf numFmtId="9" fontId="18" fillId="0" borderId="0" xfId="7" applyFont="1" applyBorder="1" applyAlignment="1">
      <alignment horizontal="center" wrapText="1"/>
    </xf>
    <xf numFmtId="165" fontId="5" fillId="0" borderId="0" xfId="1" applyNumberFormat="1" applyFont="1" applyBorder="1"/>
    <xf numFmtId="3" fontId="3" fillId="0" borderId="0" xfId="0" applyNumberFormat="1" applyFont="1" applyAlignment="1">
      <alignment horizontal="right" wrapText="1"/>
    </xf>
    <xf numFmtId="171" fontId="0" fillId="0" borderId="0" xfId="0" applyNumberFormat="1"/>
    <xf numFmtId="171" fontId="0" fillId="0" borderId="0" xfId="1" applyNumberFormat="1" applyFont="1" applyBorder="1"/>
    <xf numFmtId="0" fontId="6" fillId="0" borderId="9" xfId="0" applyFont="1" applyBorder="1" applyAlignment="1">
      <alignment horizontal="right"/>
    </xf>
    <xf numFmtId="0" fontId="3" fillId="0" borderId="0" xfId="0" applyFont="1" applyFill="1"/>
    <xf numFmtId="0" fontId="0" fillId="0" borderId="0" xfId="0" applyFill="1"/>
    <xf numFmtId="165" fontId="6" fillId="0" borderId="0" xfId="1" applyNumberFormat="1" applyFont="1" applyFill="1"/>
    <xf numFmtId="165" fontId="0" fillId="0" borderId="0" xfId="1" applyNumberFormat="1" applyFont="1" applyFill="1" applyBorder="1"/>
    <xf numFmtId="1" fontId="5" fillId="0" borderId="0" xfId="0" applyNumberFormat="1" applyFont="1" applyBorder="1"/>
    <xf numFmtId="0" fontId="15" fillId="0" borderId="0" xfId="0" applyFont="1"/>
    <xf numFmtId="9" fontId="21" fillId="0" borderId="0" xfId="0" applyNumberFormat="1" applyFont="1"/>
    <xf numFmtId="9" fontId="21" fillId="0" borderId="0" xfId="0" applyNumberFormat="1" applyFont="1" applyBorder="1" applyAlignment="1">
      <alignment horizontal="left" vertical="center" indent="1"/>
    </xf>
    <xf numFmtId="0" fontId="0" fillId="0" borderId="0" xfId="0" applyAlignment="1">
      <alignment horizontal="left" vertical="center" wrapText="1" indent="1"/>
    </xf>
    <xf numFmtId="9" fontId="21" fillId="0" borderId="0" xfId="0" applyNumberFormat="1" applyFont="1" applyBorder="1" applyAlignment="1">
      <alignment horizontal="left" vertical="center" wrapText="1" indent="1"/>
    </xf>
    <xf numFmtId="0" fontId="14" fillId="0" borderId="3" xfId="0" applyFont="1" applyBorder="1" applyAlignment="1">
      <alignment horizontal="right"/>
    </xf>
    <xf numFmtId="0" fontId="14" fillId="3" borderId="12" xfId="0" applyFont="1" applyFill="1" applyBorder="1" applyAlignment="1">
      <alignment horizontal="right"/>
    </xf>
    <xf numFmtId="171" fontId="0" fillId="0" borderId="0" xfId="0" applyNumberFormat="1" applyBorder="1"/>
    <xf numFmtId="167" fontId="0" fillId="0" borderId="0" xfId="1" applyNumberFormat="1" applyFont="1" applyBorder="1"/>
    <xf numFmtId="0" fontId="7" fillId="0" borderId="0" xfId="0" applyFont="1" applyBorder="1" applyAlignment="1">
      <alignment horizontal="right"/>
    </xf>
    <xf numFmtId="165" fontId="0" fillId="0" borderId="0" xfId="0" applyNumberFormat="1" applyBorder="1"/>
    <xf numFmtId="43" fontId="7" fillId="0" borderId="0" xfId="0" applyNumberFormat="1" applyFont="1" applyBorder="1"/>
    <xf numFmtId="43" fontId="5" fillId="0" borderId="0" xfId="1" applyNumberFormat="1" applyFont="1"/>
    <xf numFmtId="9" fontId="3" fillId="0" borderId="0" xfId="0" applyNumberFormat="1" applyFont="1" applyBorder="1" applyAlignment="1">
      <alignment horizontal="left" vertical="center" indent="1"/>
    </xf>
    <xf numFmtId="7" fontId="16" fillId="0" borderId="0" xfId="3" applyNumberFormat="1" applyFont="1"/>
    <xf numFmtId="8" fontId="0" fillId="0" borderId="0" xfId="0" applyNumberFormat="1"/>
    <xf numFmtId="0" fontId="0" fillId="0" borderId="0" xfId="0" applyAlignment="1">
      <alignment horizontal="right" vertical="center" wrapText="1" indent="1"/>
    </xf>
    <xf numFmtId="0" fontId="5" fillId="0" borderId="0" xfId="0" applyFont="1" applyAlignment="1">
      <alignment horizontal="right"/>
    </xf>
    <xf numFmtId="0" fontId="7" fillId="0" borderId="0" xfId="0" applyFont="1" applyAlignment="1">
      <alignment horizontal="left" vertical="center" wrapText="1" indent="1"/>
    </xf>
    <xf numFmtId="0" fontId="6" fillId="0" borderId="0" xfId="0" applyFont="1" applyAlignment="1">
      <alignment horizontal="right"/>
    </xf>
    <xf numFmtId="0" fontId="0" fillId="0" borderId="0" xfId="0" applyBorder="1" applyAlignment="1">
      <alignment horizontal="right" vertical="center" indent="1"/>
    </xf>
    <xf numFmtId="0" fontId="18" fillId="0" borderId="0" xfId="0" applyFont="1" applyAlignment="1">
      <alignment vertical="center"/>
    </xf>
    <xf numFmtId="0" fontId="3" fillId="0" borderId="0" xfId="0" applyFont="1" applyBorder="1" applyAlignment="1">
      <alignment horizontal="left" indent="1"/>
    </xf>
    <xf numFmtId="5" fontId="0" fillId="0" borderId="0" xfId="0" applyNumberFormat="1" applyBorder="1" applyAlignment="1">
      <alignment vertical="center" wrapText="1"/>
    </xf>
    <xf numFmtId="37" fontId="0" fillId="0" borderId="0" xfId="0" applyNumberFormat="1" applyBorder="1" applyAlignment="1">
      <alignment vertical="center" wrapText="1"/>
    </xf>
    <xf numFmtId="175" fontId="0" fillId="0" borderId="0" xfId="0" applyNumberFormat="1" applyBorder="1" applyAlignment="1">
      <alignment vertical="center" wrapText="1"/>
    </xf>
    <xf numFmtId="5" fontId="0" fillId="0" borderId="0" xfId="0" applyNumberFormat="1" applyFill="1" applyBorder="1" applyAlignment="1">
      <alignment vertical="center" wrapText="1"/>
    </xf>
    <xf numFmtId="177" fontId="0" fillId="0" borderId="0" xfId="0" applyNumberFormat="1" applyBorder="1" applyAlignment="1">
      <alignment vertical="center" wrapText="1"/>
    </xf>
    <xf numFmtId="174" fontId="0" fillId="0" borderId="0" xfId="0" applyNumberFormat="1"/>
    <xf numFmtId="174" fontId="0" fillId="0" borderId="0" xfId="0" applyNumberFormat="1" applyFill="1"/>
    <xf numFmtId="3" fontId="0" fillId="0" borderId="0" xfId="0" applyNumberFormat="1"/>
    <xf numFmtId="0" fontId="0" fillId="0" borderId="0" xfId="0" applyFill="1" applyBorder="1" applyAlignment="1"/>
    <xf numFmtId="0" fontId="0" fillId="0" borderId="13" xfId="0" applyFill="1" applyBorder="1" applyAlignment="1"/>
    <xf numFmtId="0" fontId="28" fillId="0" borderId="14" xfId="0" applyFont="1" applyFill="1" applyBorder="1" applyAlignment="1">
      <alignment horizontal="center"/>
    </xf>
    <xf numFmtId="0" fontId="28" fillId="0" borderId="14" xfId="0" applyFont="1" applyFill="1" applyBorder="1" applyAlignment="1">
      <alignment horizontal="centerContinuous"/>
    </xf>
    <xf numFmtId="5" fontId="5" fillId="0" borderId="0" xfId="3" applyNumberFormat="1" applyFont="1"/>
    <xf numFmtId="169" fontId="0" fillId="0" borderId="0" xfId="7" applyNumberFormat="1" applyFont="1" applyBorder="1" applyAlignment="1">
      <alignment vertical="center" wrapText="1"/>
    </xf>
    <xf numFmtId="169" fontId="0" fillId="0" borderId="0" xfId="7" applyNumberFormat="1" applyFont="1" applyBorder="1"/>
    <xf numFmtId="0" fontId="3" fillId="0" borderId="0" xfId="0" applyFont="1" applyAlignment="1">
      <alignment horizontal="left" vertical="center" wrapText="1" indent="1"/>
    </xf>
    <xf numFmtId="0" fontId="5" fillId="0" borderId="0" xfId="0" applyFont="1" applyAlignment="1">
      <alignment horizontal="left" indent="1"/>
    </xf>
    <xf numFmtId="9" fontId="18" fillId="0" borderId="0" xfId="3" applyNumberFormat="1" applyFont="1" applyBorder="1"/>
    <xf numFmtId="176" fontId="0" fillId="0" borderId="0" xfId="0" applyNumberFormat="1" applyBorder="1" applyAlignment="1">
      <alignment vertical="center" wrapText="1"/>
    </xf>
    <xf numFmtId="9" fontId="0" fillId="0" borderId="0" xfId="7" applyNumberFormat="1" applyFont="1" applyBorder="1" applyAlignment="1">
      <alignment vertical="center" wrapText="1"/>
    </xf>
    <xf numFmtId="0" fontId="14" fillId="3" borderId="11" xfId="0" applyFont="1" applyFill="1" applyBorder="1" applyAlignment="1">
      <alignment horizontal="right"/>
    </xf>
    <xf numFmtId="172" fontId="7" fillId="0" borderId="0" xfId="0" applyNumberFormat="1" applyFont="1"/>
    <xf numFmtId="14" fontId="5" fillId="0" borderId="0" xfId="0" applyNumberFormat="1" applyFont="1"/>
    <xf numFmtId="14" fontId="7" fillId="0" borderId="0" xfId="0" applyNumberFormat="1" applyFont="1" applyBorder="1"/>
    <xf numFmtId="14" fontId="7" fillId="0" borderId="0" xfId="0" applyNumberFormat="1" applyFont="1"/>
    <xf numFmtId="1" fontId="29" fillId="7" borderId="16" xfId="0" applyNumberFormat="1" applyFont="1" applyFill="1" applyBorder="1" applyAlignment="1">
      <alignment horizontal="center"/>
    </xf>
    <xf numFmtId="0" fontId="6" fillId="7" borderId="0" xfId="0" applyFont="1" applyFill="1" applyBorder="1" applyAlignment="1">
      <alignment horizontal="left"/>
    </xf>
    <xf numFmtId="0" fontId="6" fillId="7" borderId="0" xfId="0" applyFont="1" applyFill="1" applyBorder="1" applyAlignment="1">
      <alignment horizontal="left" vertical="center"/>
    </xf>
    <xf numFmtId="0" fontId="6" fillId="7" borderId="0" xfId="0" applyFont="1" applyFill="1" applyBorder="1" applyAlignment="1"/>
    <xf numFmtId="0" fontId="5" fillId="7" borderId="0" xfId="0" applyFont="1" applyFill="1" applyBorder="1" applyAlignment="1">
      <alignment horizontal="left"/>
    </xf>
    <xf numFmtId="0" fontId="5" fillId="7" borderId="0" xfId="0" applyFont="1" applyFill="1" applyBorder="1"/>
    <xf numFmtId="0" fontId="5" fillId="7" borderId="1" xfId="0" applyFont="1" applyFill="1" applyBorder="1"/>
    <xf numFmtId="0" fontId="5" fillId="7" borderId="0" xfId="0" applyFont="1" applyFill="1" applyBorder="1" applyAlignment="1">
      <alignment horizontal="left" vertical="center"/>
    </xf>
    <xf numFmtId="0" fontId="5" fillId="7" borderId="16" xfId="0" applyFont="1" applyFill="1" applyBorder="1"/>
    <xf numFmtId="0" fontId="6" fillId="7" borderId="0" xfId="0" applyFont="1" applyFill="1" applyBorder="1"/>
    <xf numFmtId="0" fontId="6" fillId="7" borderId="1" xfId="0" applyFont="1" applyFill="1" applyBorder="1"/>
    <xf numFmtId="0" fontId="5" fillId="7" borderId="5" xfId="0" applyFont="1" applyFill="1" applyBorder="1"/>
    <xf numFmtId="0" fontId="6" fillId="7" borderId="7" xfId="0" applyFont="1" applyFill="1" applyBorder="1"/>
    <xf numFmtId="0" fontId="6" fillId="7" borderId="6" xfId="0" applyFont="1" applyFill="1" applyBorder="1"/>
    <xf numFmtId="1" fontId="7" fillId="0" borderId="0" xfId="0" applyNumberFormat="1" applyFont="1" applyAlignment="1">
      <alignment horizontal="right"/>
    </xf>
    <xf numFmtId="0" fontId="0" fillId="7" borderId="0" xfId="0" applyFill="1"/>
    <xf numFmtId="0" fontId="5" fillId="0" borderId="25" xfId="0" applyFont="1" applyFill="1" applyBorder="1" applyAlignment="1">
      <alignment horizontal="right"/>
    </xf>
    <xf numFmtId="0" fontId="5" fillId="0" borderId="27" xfId="0" applyFont="1" applyFill="1" applyBorder="1" applyAlignment="1">
      <alignment horizontal="right"/>
    </xf>
    <xf numFmtId="173" fontId="0" fillId="0" borderId="0" xfId="3" applyNumberFormat="1" applyFont="1" applyAlignment="1">
      <alignment horizontal="right"/>
    </xf>
    <xf numFmtId="5" fontId="5" fillId="0" borderId="0" xfId="0" applyNumberFormat="1" applyFont="1"/>
    <xf numFmtId="5" fontId="0" fillId="0" borderId="0" xfId="0" applyNumberFormat="1"/>
    <xf numFmtId="0" fontId="5" fillId="0" borderId="0" xfId="6" applyFont="1" applyAlignment="1">
      <alignment horizontal="right"/>
    </xf>
    <xf numFmtId="15" fontId="0" fillId="0" borderId="0" xfId="0" applyNumberFormat="1" applyAlignment="1">
      <alignment vertical="center" wrapText="1"/>
    </xf>
    <xf numFmtId="0" fontId="0" fillId="0" borderId="16" xfId="0" applyBorder="1"/>
    <xf numFmtId="0" fontId="0" fillId="0" borderId="0" xfId="0" applyAlignment="1">
      <alignment vertical="center"/>
    </xf>
    <xf numFmtId="2" fontId="3" fillId="0" borderId="0" xfId="0" applyNumberFormat="1" applyFont="1"/>
    <xf numFmtId="169" fontId="3" fillId="0" borderId="0" xfId="7" applyNumberFormat="1" applyFont="1"/>
    <xf numFmtId="0" fontId="3" fillId="0" borderId="0" xfId="0" applyFont="1" applyAlignment="1">
      <alignment vertical="center"/>
    </xf>
    <xf numFmtId="0" fontId="0" fillId="0" borderId="1" xfId="0" applyBorder="1" applyAlignment="1">
      <alignment horizontal="right" vertical="center" wrapText="1" indent="1"/>
    </xf>
    <xf numFmtId="172" fontId="18" fillId="0" borderId="0" xfId="3" applyNumberFormat="1" applyFont="1" applyBorder="1" applyAlignment="1">
      <alignment horizontal="right" indent="1"/>
    </xf>
    <xf numFmtId="172" fontId="18" fillId="0" borderId="0" xfId="3" applyNumberFormat="1" applyFont="1" applyBorder="1" applyAlignment="1">
      <alignment horizontal="center"/>
    </xf>
    <xf numFmtId="0" fontId="3" fillId="0" borderId="0" xfId="0" applyFont="1" applyAlignment="1">
      <alignment horizontal="left" vertical="center" indent="1"/>
    </xf>
    <xf numFmtId="0" fontId="14" fillId="5" borderId="10" xfId="0" applyFont="1" applyFill="1" applyBorder="1" applyAlignment="1">
      <alignment horizontal="right"/>
    </xf>
    <xf numFmtId="0" fontId="14" fillId="0" borderId="1" xfId="0" applyFont="1" applyBorder="1" applyAlignment="1">
      <alignment horizontal="right"/>
    </xf>
    <xf numFmtId="0" fontId="7" fillId="0" borderId="1" xfId="0" applyFont="1" applyBorder="1"/>
    <xf numFmtId="165" fontId="0" fillId="0" borderId="1" xfId="1" applyNumberFormat="1" applyFont="1" applyBorder="1"/>
    <xf numFmtId="0" fontId="0" fillId="0" borderId="8" xfId="0" applyBorder="1"/>
    <xf numFmtId="169" fontId="0" fillId="0" borderId="8" xfId="0" applyNumberFormat="1" applyBorder="1"/>
    <xf numFmtId="0" fontId="3" fillId="0" borderId="8" xfId="0" applyFont="1" applyBorder="1" applyAlignment="1">
      <alignment horizontal="right"/>
    </xf>
    <xf numFmtId="43" fontId="3" fillId="0" borderId="0" xfId="1" applyNumberFormat="1" applyFont="1" applyAlignment="1">
      <alignment horizontal="right"/>
    </xf>
    <xf numFmtId="0" fontId="0" fillId="0" borderId="0" xfId="0" applyFill="1" applyBorder="1" applyAlignment="1">
      <alignment horizontal="center" vertical="center"/>
    </xf>
    <xf numFmtId="44" fontId="16" fillId="0" borderId="11" xfId="3" applyFont="1" applyBorder="1"/>
    <xf numFmtId="169" fontId="21" fillId="0" borderId="10" xfId="0" applyNumberFormat="1" applyFont="1" applyBorder="1"/>
    <xf numFmtId="166" fontId="7" fillId="0" borderId="8" xfId="7" applyNumberFormat="1" applyFont="1" applyFill="1" applyBorder="1" applyAlignment="1">
      <alignment horizontal="center"/>
    </xf>
    <xf numFmtId="0" fontId="0" fillId="0" borderId="0" xfId="0" applyNumberFormat="1"/>
    <xf numFmtId="0" fontId="8" fillId="0" borderId="0" xfId="0" applyFont="1" applyAlignment="1">
      <alignment horizontal="left" indent="1"/>
    </xf>
    <xf numFmtId="7" fontId="0" fillId="0" borderId="0" xfId="0" applyNumberFormat="1" applyBorder="1"/>
    <xf numFmtId="9" fontId="18" fillId="0" borderId="0" xfId="0" applyNumberFormat="1" applyFont="1"/>
    <xf numFmtId="7" fontId="18" fillId="0" borderId="8" xfId="3" applyNumberFormat="1" applyFont="1" applyBorder="1" applyAlignment="1">
      <alignment horizontal="center"/>
    </xf>
    <xf numFmtId="172" fontId="18" fillId="0" borderId="8" xfId="3" applyNumberFormat="1" applyFont="1" applyBorder="1" applyAlignment="1">
      <alignment horizontal="center"/>
    </xf>
    <xf numFmtId="0" fontId="7" fillId="0" borderId="0" xfId="0" applyFont="1" applyAlignment="1">
      <alignment horizontal="left" vertical="center"/>
    </xf>
    <xf numFmtId="0" fontId="0" fillId="0" borderId="0" xfId="0" applyBorder="1" applyAlignment="1">
      <alignment horizontal="right" vertical="center" wrapText="1" indent="1"/>
    </xf>
    <xf numFmtId="178" fontId="0" fillId="0" borderId="0" xfId="0" applyNumberFormat="1"/>
    <xf numFmtId="178" fontId="0" fillId="0" borderId="0" xfId="0" applyNumberFormat="1" applyBorder="1"/>
    <xf numFmtId="0" fontId="14" fillId="0" borderId="16" xfId="0" applyFont="1" applyBorder="1" applyAlignment="1">
      <alignment horizontal="right"/>
    </xf>
    <xf numFmtId="178" fontId="0" fillId="0" borderId="16" xfId="0" applyNumberFormat="1" applyBorder="1"/>
    <xf numFmtId="43" fontId="0" fillId="0" borderId="16" xfId="0" applyNumberFormat="1" applyBorder="1"/>
    <xf numFmtId="0" fontId="14" fillId="0" borderId="16" xfId="0" applyFont="1" applyFill="1" applyBorder="1" applyAlignment="1">
      <alignment horizontal="right"/>
    </xf>
    <xf numFmtId="9" fontId="3" fillId="0" borderId="16" xfId="0" applyNumberFormat="1" applyFont="1" applyBorder="1" applyAlignment="1">
      <alignment horizontal="left" vertical="center" indent="1"/>
    </xf>
    <xf numFmtId="9" fontId="21" fillId="0" borderId="16" xfId="0" applyNumberFormat="1" applyFont="1" applyBorder="1" applyAlignment="1">
      <alignment horizontal="left" vertical="center" wrapText="1" indent="1"/>
    </xf>
    <xf numFmtId="165" fontId="0" fillId="0" borderId="16" xfId="1" applyNumberFormat="1" applyFont="1" applyBorder="1"/>
    <xf numFmtId="167" fontId="5" fillId="0" borderId="16" xfId="0" applyNumberFormat="1" applyFont="1" applyBorder="1"/>
    <xf numFmtId="0" fontId="7" fillId="0" borderId="16" xfId="0" applyFont="1" applyBorder="1"/>
    <xf numFmtId="165" fontId="5" fillId="0" borderId="16" xfId="0" applyNumberFormat="1" applyFont="1" applyBorder="1"/>
    <xf numFmtId="169" fontId="0" fillId="0" borderId="16" xfId="7" applyNumberFormat="1" applyFont="1" applyBorder="1"/>
    <xf numFmtId="169" fontId="0" fillId="0" borderId="16" xfId="0" applyNumberFormat="1" applyBorder="1"/>
    <xf numFmtId="169" fontId="16" fillId="0" borderId="8" xfId="0" applyNumberFormat="1" applyFont="1" applyBorder="1" applyAlignment="1">
      <alignment horizontal="center"/>
    </xf>
    <xf numFmtId="169" fontId="5" fillId="0" borderId="16" xfId="0" applyNumberFormat="1" applyFont="1" applyBorder="1"/>
    <xf numFmtId="169" fontId="5" fillId="0" borderId="0" xfId="0" applyNumberFormat="1" applyFont="1" applyBorder="1"/>
    <xf numFmtId="9" fontId="16" fillId="0" borderId="8" xfId="0" applyNumberFormat="1" applyFont="1" applyBorder="1" applyAlignment="1">
      <alignment horizontal="center"/>
    </xf>
    <xf numFmtId="0" fontId="54" fillId="0" borderId="0" xfId="0" applyFont="1"/>
    <xf numFmtId="0" fontId="54" fillId="0" borderId="0" xfId="0" applyFont="1" applyBorder="1"/>
    <xf numFmtId="0" fontId="54" fillId="0" borderId="16" xfId="0" applyFont="1" applyBorder="1"/>
    <xf numFmtId="178" fontId="6" fillId="0" borderId="0" xfId="0" applyNumberFormat="1" applyFont="1" applyBorder="1"/>
    <xf numFmtId="9" fontId="3" fillId="0" borderId="0" xfId="0" applyNumberFormat="1" applyFont="1" applyBorder="1" applyAlignment="1">
      <alignment horizontal="left" indent="1"/>
    </xf>
    <xf numFmtId="2" fontId="0" fillId="0" borderId="16" xfId="0" applyNumberFormat="1" applyFill="1" applyBorder="1"/>
    <xf numFmtId="2" fontId="0" fillId="0" borderId="0" xfId="0" applyNumberFormat="1" applyFill="1" applyBorder="1"/>
    <xf numFmtId="0" fontId="54" fillId="0" borderId="1" xfId="0" applyFont="1" applyBorder="1"/>
    <xf numFmtId="178" fontId="0" fillId="0" borderId="1" xfId="0" applyNumberFormat="1" applyBorder="1"/>
    <xf numFmtId="167" fontId="5" fillId="0" borderId="1" xfId="0" applyNumberFormat="1" applyFont="1" applyBorder="1"/>
    <xf numFmtId="0" fontId="5" fillId="0" borderId="29" xfId="0" applyFont="1" applyBorder="1" applyAlignment="1">
      <alignment wrapText="1"/>
    </xf>
    <xf numFmtId="0" fontId="6" fillId="0" borderId="29" xfId="0" applyFont="1" applyBorder="1" applyAlignment="1">
      <alignment horizontal="center" wrapText="1"/>
    </xf>
    <xf numFmtId="3" fontId="6" fillId="0" borderId="29" xfId="0" applyNumberFormat="1" applyFont="1" applyBorder="1" applyAlignment="1">
      <alignment horizontal="center" wrapText="1"/>
    </xf>
    <xf numFmtId="3" fontId="5" fillId="0" borderId="29" xfId="0" applyNumberFormat="1" applyFont="1" applyBorder="1" applyAlignment="1">
      <alignment horizontal="center" wrapText="1"/>
    </xf>
    <xf numFmtId="0" fontId="3" fillId="0" borderId="29" xfId="0" applyFont="1" applyBorder="1" applyAlignment="1">
      <alignment horizontal="left"/>
    </xf>
    <xf numFmtId="0" fontId="3" fillId="0" borderId="29" xfId="0" applyFont="1" applyBorder="1" applyAlignment="1">
      <alignment horizontal="right"/>
    </xf>
    <xf numFmtId="0" fontId="6" fillId="0" borderId="29" xfId="0" applyFont="1" applyBorder="1" applyAlignment="1">
      <alignment horizontal="right" wrapText="1"/>
    </xf>
    <xf numFmtId="3" fontId="6" fillId="0" borderId="29" xfId="0" applyNumberFormat="1" applyFont="1" applyBorder="1" applyAlignment="1">
      <alignment horizontal="right" wrapText="1"/>
    </xf>
    <xf numFmtId="3" fontId="5" fillId="0" borderId="29" xfId="0" applyNumberFormat="1" applyFont="1" applyBorder="1" applyAlignment="1">
      <alignment horizontal="right" wrapText="1"/>
    </xf>
    <xf numFmtId="0" fontId="5" fillId="0" borderId="29" xfId="0" applyFont="1" applyBorder="1" applyAlignment="1">
      <alignment horizontal="right" wrapText="1"/>
    </xf>
    <xf numFmtId="0" fontId="7" fillId="8" borderId="0" xfId="0" applyFont="1" applyFill="1" applyAlignment="1">
      <alignment horizontal="center"/>
    </xf>
    <xf numFmtId="168" fontId="0" fillId="8" borderId="0" xfId="0" applyNumberFormat="1" applyFill="1"/>
    <xf numFmtId="0" fontId="0" fillId="8" borderId="0" xfId="0" applyFill="1"/>
    <xf numFmtId="2" fontId="3" fillId="8" borderId="0" xfId="0" applyNumberFormat="1" applyFont="1" applyFill="1"/>
    <xf numFmtId="169" fontId="3" fillId="8" borderId="0" xfId="7" applyNumberFormat="1" applyFont="1" applyFill="1"/>
    <xf numFmtId="0" fontId="7" fillId="0" borderId="0" xfId="0" applyFont="1" applyAlignment="1">
      <alignment horizontal="left" indent="1"/>
    </xf>
    <xf numFmtId="167" fontId="0" fillId="0" borderId="0" xfId="0" applyNumberFormat="1" applyBorder="1"/>
    <xf numFmtId="0" fontId="0" fillId="0" borderId="0" xfId="0" applyBorder="1" applyAlignment="1">
      <alignment horizontal="center"/>
    </xf>
    <xf numFmtId="0" fontId="6" fillId="0" borderId="0" xfId="0" applyFont="1" applyBorder="1" applyAlignment="1">
      <alignment horizontal="center"/>
    </xf>
    <xf numFmtId="0" fontId="5" fillId="7" borderId="11" xfId="0" applyFont="1" applyFill="1" applyBorder="1"/>
    <xf numFmtId="0" fontId="0" fillId="7" borderId="9" xfId="0" applyFill="1" applyBorder="1"/>
    <xf numFmtId="0" fontId="5" fillId="7" borderId="10" xfId="0" applyFont="1" applyFill="1" applyBorder="1"/>
    <xf numFmtId="0" fontId="37" fillId="0" borderId="0" xfId="0" applyFont="1" applyAlignment="1"/>
    <xf numFmtId="165" fontId="3" fillId="0" borderId="0" xfId="1" applyNumberFormat="1" applyFont="1"/>
    <xf numFmtId="165" fontId="5" fillId="9" borderId="2" xfId="1" applyNumberFormat="1" applyFont="1" applyFill="1" applyBorder="1"/>
    <xf numFmtId="165" fontId="5" fillId="8" borderId="3" xfId="1" applyNumberFormat="1" applyFont="1" applyFill="1" applyBorder="1"/>
    <xf numFmtId="165" fontId="5" fillId="9" borderId="3" xfId="1" applyNumberFormat="1" applyFont="1" applyFill="1" applyBorder="1"/>
    <xf numFmtId="0" fontId="7" fillId="0" borderId="0" xfId="0" applyFont="1" applyAlignment="1">
      <alignment horizontal="right" indent="1"/>
    </xf>
    <xf numFmtId="8" fontId="5" fillId="0" borderId="0" xfId="0" applyNumberFormat="1" applyFont="1" applyFill="1" applyBorder="1" applyAlignment="1">
      <alignment horizontal="center"/>
    </xf>
    <xf numFmtId="8" fontId="0" fillId="0" borderId="0" xfId="0" applyNumberFormat="1" applyBorder="1"/>
    <xf numFmtId="168" fontId="15" fillId="0" borderId="0" xfId="0" applyNumberFormat="1" applyFont="1" applyBorder="1"/>
    <xf numFmtId="168" fontId="15" fillId="0" borderId="0" xfId="0" applyNumberFormat="1" applyFont="1" applyBorder="1" applyAlignment="1">
      <alignment horizontal="center"/>
    </xf>
    <xf numFmtId="0" fontId="5" fillId="0" borderId="30" xfId="0" applyFont="1" applyBorder="1" applyAlignment="1">
      <alignment horizontal="center" wrapText="1"/>
    </xf>
    <xf numFmtId="3" fontId="6" fillId="0" borderId="31" xfId="0" applyNumberFormat="1" applyFont="1" applyBorder="1" applyAlignment="1">
      <alignment horizontal="center" wrapText="1"/>
    </xf>
    <xf numFmtId="0" fontId="6" fillId="0" borderId="30" xfId="0" applyFont="1" applyBorder="1" applyAlignment="1">
      <alignment horizontal="right" wrapText="1"/>
    </xf>
    <xf numFmtId="3" fontId="5" fillId="0" borderId="31" xfId="0" applyNumberFormat="1" applyFont="1" applyBorder="1" applyAlignment="1">
      <alignment horizontal="center" wrapText="1"/>
    </xf>
    <xf numFmtId="9" fontId="0" fillId="0" borderId="8" xfId="7" applyFont="1" applyBorder="1" applyAlignment="1">
      <alignment horizontal="center"/>
    </xf>
    <xf numFmtId="43" fontId="0" fillId="0" borderId="0" xfId="1" applyNumberFormat="1" applyFont="1" applyBorder="1"/>
    <xf numFmtId="169" fontId="5" fillId="0" borderId="0" xfId="0" applyNumberFormat="1" applyFont="1"/>
    <xf numFmtId="169" fontId="6" fillId="0" borderId="0" xfId="0" applyNumberFormat="1" applyFont="1"/>
    <xf numFmtId="169" fontId="6" fillId="0" borderId="0" xfId="7" applyNumberFormat="1" applyFont="1"/>
    <xf numFmtId="0" fontId="7" fillId="0" borderId="1" xfId="0" applyFont="1" applyBorder="1" applyAlignment="1">
      <alignment horizontal="right"/>
    </xf>
    <xf numFmtId="8" fontId="0" fillId="0" borderId="1" xfId="0" applyNumberFormat="1" applyBorder="1"/>
    <xf numFmtId="0" fontId="3" fillId="0" borderId="1" xfId="0" applyFont="1" applyBorder="1" applyAlignment="1">
      <alignment horizontal="right" indent="1"/>
    </xf>
    <xf numFmtId="0" fontId="0" fillId="0" borderId="1" xfId="0" applyBorder="1" applyAlignment="1">
      <alignment wrapText="1"/>
    </xf>
    <xf numFmtId="0" fontId="3" fillId="0" borderId="1" xfId="0" applyFont="1" applyBorder="1" applyAlignment="1">
      <alignment horizontal="left" vertical="center" indent="1"/>
    </xf>
    <xf numFmtId="0" fontId="0" fillId="0" borderId="1" xfId="0" applyBorder="1" applyAlignment="1">
      <alignment horizontal="left" vertical="center" indent="1"/>
    </xf>
    <xf numFmtId="0" fontId="0" fillId="0" borderId="0" xfId="0" applyBorder="1" applyAlignment="1">
      <alignment horizontal="left" vertical="center" indent="1"/>
    </xf>
    <xf numFmtId="9" fontId="16" fillId="0" borderId="0" xfId="0" applyNumberFormat="1" applyFont="1" applyBorder="1"/>
    <xf numFmtId="7" fontId="16" fillId="0" borderId="0" xfId="3" applyNumberFormat="1" applyFont="1" applyBorder="1"/>
    <xf numFmtId="164" fontId="1" fillId="0" borderId="0" xfId="3" applyNumberFormat="1" applyBorder="1"/>
    <xf numFmtId="0" fontId="0" fillId="0" borderId="0" xfId="0" quotePrefix="1" applyBorder="1"/>
    <xf numFmtId="0" fontId="6" fillId="0" borderId="0" xfId="0" applyFont="1" applyBorder="1"/>
    <xf numFmtId="169" fontId="18" fillId="0" borderId="8" xfId="7" applyNumberFormat="1" applyFont="1" applyBorder="1" applyAlignment="1">
      <alignment horizontal="center" wrapText="1"/>
    </xf>
    <xf numFmtId="0" fontId="14" fillId="3" borderId="10" xfId="0" applyFont="1" applyFill="1" applyBorder="1" applyAlignment="1">
      <alignment horizontal="right"/>
    </xf>
    <xf numFmtId="169" fontId="5" fillId="0" borderId="0" xfId="7" applyNumberFormat="1" applyFont="1" applyBorder="1"/>
    <xf numFmtId="9" fontId="6" fillId="0" borderId="8" xfId="0" applyNumberFormat="1" applyFont="1" applyBorder="1"/>
    <xf numFmtId="9" fontId="5" fillId="0" borderId="8" xfId="0" applyNumberFormat="1" applyFont="1" applyBorder="1"/>
    <xf numFmtId="165" fontId="0" fillId="0" borderId="0" xfId="1" applyNumberFormat="1" applyFont="1" applyAlignment="1">
      <alignment horizontal="right"/>
    </xf>
    <xf numFmtId="172" fontId="14" fillId="5" borderId="8" xfId="0" applyNumberFormat="1" applyFont="1" applyFill="1" applyBorder="1" applyAlignment="1">
      <alignment horizontal="right"/>
    </xf>
    <xf numFmtId="167" fontId="7" fillId="11" borderId="3" xfId="0" applyNumberFormat="1" applyFont="1" applyFill="1" applyBorder="1" applyAlignment="1">
      <alignment horizontal="center"/>
    </xf>
    <xf numFmtId="167" fontId="7" fillId="11" borderId="4" xfId="0" applyNumberFormat="1" applyFont="1" applyFill="1" applyBorder="1" applyAlignment="1">
      <alignment horizontal="center"/>
    </xf>
    <xf numFmtId="167" fontId="7" fillId="11" borderId="0" xfId="0" applyNumberFormat="1" applyFont="1" applyFill="1" applyBorder="1" applyAlignment="1">
      <alignment horizontal="center"/>
    </xf>
    <xf numFmtId="167" fontId="7" fillId="11" borderId="1" xfId="0" applyNumberFormat="1" applyFont="1" applyFill="1" applyBorder="1" applyAlignment="1">
      <alignment horizontal="center"/>
    </xf>
    <xf numFmtId="7" fontId="6" fillId="11" borderId="0" xfId="0" applyNumberFormat="1" applyFont="1" applyFill="1" applyBorder="1"/>
    <xf numFmtId="0" fontId="5" fillId="0" borderId="0" xfId="0" applyFont="1" applyAlignment="1">
      <alignment horizontal="left" vertical="center" wrapText="1" indent="1"/>
    </xf>
    <xf numFmtId="7" fontId="19" fillId="0" borderId="0" xfId="3" applyNumberFormat="1" applyFont="1"/>
    <xf numFmtId="7" fontId="19" fillId="0" borderId="1" xfId="3" applyNumberFormat="1" applyFont="1" applyBorder="1"/>
    <xf numFmtId="169" fontId="0" fillId="0" borderId="0" xfId="0" applyNumberFormat="1" applyBorder="1"/>
    <xf numFmtId="0" fontId="3" fillId="0" borderId="0" xfId="0" applyFont="1" applyBorder="1" applyAlignment="1">
      <alignment horizontal="right"/>
    </xf>
    <xf numFmtId="0" fontId="34" fillId="0" borderId="0" xfId="5" applyFont="1" applyAlignment="1" applyProtection="1">
      <alignment horizontal="center" wrapText="1"/>
    </xf>
    <xf numFmtId="0" fontId="6" fillId="0" borderId="0" xfId="0" applyFont="1" applyAlignment="1"/>
    <xf numFmtId="166" fontId="7" fillId="0" borderId="20" xfId="7" applyNumberFormat="1" applyFont="1" applyFill="1" applyBorder="1" applyAlignment="1">
      <alignment horizontal="center"/>
    </xf>
    <xf numFmtId="166" fontId="0" fillId="0" borderId="0" xfId="0" applyNumberFormat="1" applyBorder="1" applyAlignment="1">
      <alignment horizontal="right" indent="1"/>
    </xf>
    <xf numFmtId="0" fontId="5" fillId="0" borderId="0" xfId="0" applyFont="1" applyFill="1" applyBorder="1"/>
    <xf numFmtId="0" fontId="0" fillId="0" borderId="0" xfId="0" applyFill="1" applyBorder="1"/>
    <xf numFmtId="9" fontId="18" fillId="0" borderId="8" xfId="7" applyNumberFormat="1" applyFont="1" applyFill="1" applyBorder="1" applyAlignment="1">
      <alignment horizontal="center"/>
    </xf>
    <xf numFmtId="10" fontId="7" fillId="0" borderId="8" xfId="7" applyNumberFormat="1" applyFont="1" applyFill="1" applyBorder="1" applyAlignment="1">
      <alignment horizontal="center"/>
    </xf>
    <xf numFmtId="0" fontId="6" fillId="7" borderId="8" xfId="0" applyFont="1" applyFill="1" applyBorder="1"/>
    <xf numFmtId="169" fontId="6" fillId="7" borderId="8" xfId="7" applyNumberFormat="1" applyFont="1" applyFill="1" applyBorder="1" applyAlignment="1">
      <alignment horizontal="center"/>
    </xf>
    <xf numFmtId="0" fontId="5" fillId="7" borderId="8" xfId="0" applyFont="1" applyFill="1" applyBorder="1" applyAlignment="1">
      <alignment horizontal="right"/>
    </xf>
    <xf numFmtId="165" fontId="5" fillId="7" borderId="8" xfId="0" applyNumberFormat="1" applyFont="1" applyFill="1" applyBorder="1"/>
    <xf numFmtId="169" fontId="5" fillId="7" borderId="8" xfId="7" applyNumberFormat="1" applyFont="1" applyFill="1" applyBorder="1"/>
    <xf numFmtId="0" fontId="6" fillId="0" borderId="0" xfId="0" applyFont="1" applyFill="1" applyBorder="1"/>
    <xf numFmtId="169" fontId="6" fillId="0" borderId="0" xfId="7" applyNumberFormat="1" applyFont="1" applyFill="1" applyBorder="1" applyAlignment="1">
      <alignment horizontal="center"/>
    </xf>
    <xf numFmtId="0" fontId="5" fillId="0" borderId="0" xfId="0" applyFont="1" applyFill="1" applyBorder="1" applyAlignment="1">
      <alignment horizontal="right"/>
    </xf>
    <xf numFmtId="169" fontId="5" fillId="5" borderId="8" xfId="7" applyNumberFormat="1" applyFont="1" applyFill="1" applyBorder="1" applyAlignment="1">
      <alignment horizontal="right"/>
    </xf>
    <xf numFmtId="169" fontId="3" fillId="0" borderId="0" xfId="7" applyNumberFormat="1" applyFont="1" applyAlignment="1">
      <alignment horizontal="right" indent="1"/>
    </xf>
    <xf numFmtId="7" fontId="7" fillId="11" borderId="1" xfId="0" applyNumberFormat="1" applyFont="1" applyFill="1" applyBorder="1" applyAlignment="1">
      <alignment horizontal="right"/>
    </xf>
    <xf numFmtId="0" fontId="0" fillId="11" borderId="16" xfId="0" applyFill="1" applyBorder="1" applyAlignment="1">
      <alignment horizontal="center"/>
    </xf>
    <xf numFmtId="0" fontId="0" fillId="11" borderId="0" xfId="0" applyFill="1" applyBorder="1" applyAlignment="1">
      <alignment horizontal="center"/>
    </xf>
    <xf numFmtId="0" fontId="0" fillId="11" borderId="1" xfId="0" applyFill="1" applyBorder="1" applyAlignment="1">
      <alignment horizontal="center"/>
    </xf>
    <xf numFmtId="172" fontId="7" fillId="11" borderId="16" xfId="0" applyNumberFormat="1" applyFont="1" applyFill="1" applyBorder="1" applyAlignment="1">
      <alignment horizontal="center"/>
    </xf>
    <xf numFmtId="172" fontId="7" fillId="11" borderId="0" xfId="0" applyNumberFormat="1" applyFont="1" applyFill="1" applyBorder="1" applyAlignment="1">
      <alignment horizontal="center"/>
    </xf>
    <xf numFmtId="172" fontId="7" fillId="11" borderId="1" xfId="0" applyNumberFormat="1" applyFont="1" applyFill="1" applyBorder="1" applyAlignment="1">
      <alignment horizontal="center"/>
    </xf>
    <xf numFmtId="7" fontId="6" fillId="11" borderId="0" xfId="0" applyNumberFormat="1" applyFont="1" applyFill="1" applyBorder="1" applyAlignment="1">
      <alignment horizontal="center"/>
    </xf>
    <xf numFmtId="7" fontId="6" fillId="11" borderId="1" xfId="0" applyNumberFormat="1" applyFont="1" applyFill="1" applyBorder="1" applyAlignment="1">
      <alignment horizontal="center"/>
    </xf>
    <xf numFmtId="7" fontId="6" fillId="11" borderId="6" xfId="0" applyNumberFormat="1" applyFont="1" applyFill="1" applyBorder="1" applyAlignment="1">
      <alignment horizontal="center"/>
    </xf>
    <xf numFmtId="165" fontId="3" fillId="13" borderId="10" xfId="1" applyNumberFormat="1" applyFont="1" applyFill="1" applyBorder="1" applyAlignment="1">
      <alignment horizontal="right" indent="1"/>
    </xf>
    <xf numFmtId="167" fontId="0" fillId="0" borderId="0" xfId="0" applyNumberFormat="1"/>
    <xf numFmtId="0" fontId="37" fillId="0" borderId="0" xfId="0" applyFont="1" applyAlignment="1">
      <alignment horizontal="left" indent="1"/>
    </xf>
    <xf numFmtId="2" fontId="0" fillId="0" borderId="0" xfId="0" applyNumberFormat="1" applyAlignment="1">
      <alignment horizontal="center" wrapText="1"/>
    </xf>
    <xf numFmtId="7" fontId="19" fillId="0" borderId="0" xfId="3" applyNumberFormat="1" applyFont="1" applyBorder="1"/>
    <xf numFmtId="167" fontId="6" fillId="0" borderId="0" xfId="0" applyNumberFormat="1" applyFont="1" applyBorder="1" applyAlignment="1">
      <alignment horizontal="right"/>
    </xf>
    <xf numFmtId="9" fontId="6" fillId="0" borderId="12" xfId="7" applyNumberFormat="1" applyFont="1" applyBorder="1" applyAlignment="1">
      <alignment horizontal="right"/>
    </xf>
    <xf numFmtId="0" fontId="0" fillId="0" borderId="12" xfId="0" applyBorder="1"/>
    <xf numFmtId="0" fontId="5" fillId="0" borderId="15" xfId="0" applyFont="1" applyBorder="1" applyAlignment="1">
      <alignment horizontal="left" wrapText="1" indent="1"/>
    </xf>
    <xf numFmtId="0" fontId="5" fillId="0" borderId="9" xfId="0" applyFont="1" applyBorder="1" applyAlignment="1">
      <alignment horizontal="left"/>
    </xf>
    <xf numFmtId="0" fontId="5" fillId="0" borderId="9" xfId="0" applyFont="1" applyBorder="1" applyAlignment="1">
      <alignment horizontal="right"/>
    </xf>
    <xf numFmtId="0" fontId="34" fillId="0" borderId="10" xfId="5" applyFont="1" applyBorder="1" applyAlignment="1" applyProtection="1">
      <alignment horizontal="center" wrapText="1"/>
    </xf>
    <xf numFmtId="5" fontId="0" fillId="0" borderId="0" xfId="1" applyNumberFormat="1" applyFont="1" applyAlignment="1">
      <alignment horizontal="center"/>
    </xf>
    <xf numFmtId="179" fontId="6" fillId="0" borderId="0" xfId="3" applyNumberFormat="1" applyFont="1"/>
    <xf numFmtId="179" fontId="6" fillId="0" borderId="0" xfId="0" applyNumberFormat="1" applyFont="1"/>
    <xf numFmtId="0" fontId="17" fillId="0" borderId="0" xfId="0" applyFont="1" applyAlignment="1">
      <alignment horizontal="left"/>
    </xf>
    <xf numFmtId="0" fontId="2" fillId="0" borderId="0" xfId="0" applyFont="1" applyAlignment="1">
      <alignment horizontal="left"/>
    </xf>
    <xf numFmtId="0" fontId="0" fillId="0" borderId="0" xfId="0" applyAlignment="1">
      <alignment horizontal="left" vertical="center" indent="1"/>
    </xf>
    <xf numFmtId="0" fontId="5" fillId="7" borderId="6" xfId="0" applyFont="1" applyFill="1" applyBorder="1"/>
    <xf numFmtId="0" fontId="5" fillId="7" borderId="7" xfId="0" applyFont="1" applyFill="1" applyBorder="1"/>
    <xf numFmtId="0" fontId="0" fillId="0" borderId="2" xfId="0" applyBorder="1"/>
    <xf numFmtId="0" fontId="0" fillId="0" borderId="3" xfId="0" applyBorder="1"/>
    <xf numFmtId="0" fontId="5" fillId="0" borderId="3" xfId="0" applyFont="1" applyBorder="1" applyAlignment="1">
      <alignment horizontal="right"/>
    </xf>
    <xf numFmtId="0" fontId="34" fillId="0" borderId="4" xfId="5" applyFont="1" applyBorder="1" applyAlignment="1" applyProtection="1">
      <alignment horizontal="center" wrapText="1"/>
    </xf>
    <xf numFmtId="169" fontId="7" fillId="0" borderId="0" xfId="0" applyNumberFormat="1" applyFont="1" applyAlignment="1">
      <alignment horizontal="right"/>
    </xf>
    <xf numFmtId="0" fontId="0" fillId="15" borderId="0" xfId="0" applyFill="1"/>
    <xf numFmtId="3" fontId="0" fillId="15" borderId="0" xfId="0" applyNumberFormat="1" applyFill="1"/>
    <xf numFmtId="3" fontId="5" fillId="15" borderId="0" xfId="0" applyNumberFormat="1" applyFont="1" applyFill="1"/>
    <xf numFmtId="0" fontId="5" fillId="15" borderId="0" xfId="0" applyFont="1" applyFill="1"/>
    <xf numFmtId="3" fontId="5" fillId="15" borderId="11" xfId="0" applyNumberFormat="1" applyFont="1" applyFill="1" applyBorder="1"/>
    <xf numFmtId="9" fontId="5" fillId="15" borderId="15" xfId="0" applyNumberFormat="1" applyFont="1" applyFill="1" applyBorder="1" applyAlignment="1">
      <alignment horizontal="center"/>
    </xf>
    <xf numFmtId="9" fontId="5" fillId="16" borderId="15" xfId="0" applyNumberFormat="1" applyFont="1" applyFill="1" applyBorder="1" applyAlignment="1">
      <alignment horizontal="center"/>
    </xf>
    <xf numFmtId="0" fontId="3" fillId="17" borderId="4" xfId="0" applyFont="1" applyFill="1" applyBorder="1"/>
    <xf numFmtId="0" fontId="5" fillId="7" borderId="9" xfId="0" applyFont="1" applyFill="1" applyBorder="1"/>
    <xf numFmtId="169" fontId="5" fillId="7" borderId="10" xfId="0" applyNumberFormat="1" applyFont="1" applyFill="1" applyBorder="1"/>
    <xf numFmtId="0" fontId="5" fillId="17" borderId="11" xfId="0" applyFont="1" applyFill="1" applyBorder="1"/>
    <xf numFmtId="0" fontId="6" fillId="17" borderId="9" xfId="0" applyFont="1" applyFill="1" applyBorder="1"/>
    <xf numFmtId="0" fontId="0" fillId="17" borderId="9" xfId="0" applyFill="1" applyBorder="1"/>
    <xf numFmtId="169" fontId="5" fillId="17" borderId="10" xfId="0" applyNumberFormat="1" applyFont="1" applyFill="1" applyBorder="1"/>
    <xf numFmtId="169" fontId="5" fillId="17" borderId="9" xfId="0" applyNumberFormat="1" applyFont="1" applyFill="1" applyBorder="1"/>
    <xf numFmtId="0" fontId="5" fillId="18" borderId="11" xfId="0" applyFont="1" applyFill="1" applyBorder="1"/>
    <xf numFmtId="0" fontId="6" fillId="18" borderId="9" xfId="0" applyFont="1" applyFill="1" applyBorder="1"/>
    <xf numFmtId="0" fontId="0" fillId="18" borderId="9" xfId="0" applyFill="1" applyBorder="1"/>
    <xf numFmtId="169" fontId="5" fillId="18" borderId="9" xfId="0" applyNumberFormat="1" applyFont="1" applyFill="1" applyBorder="1"/>
    <xf numFmtId="169" fontId="5" fillId="18" borderId="10" xfId="0" applyNumberFormat="1" applyFont="1" applyFill="1" applyBorder="1"/>
    <xf numFmtId="0" fontId="3" fillId="0" borderId="0" xfId="0" applyFont="1" applyFill="1" applyAlignment="1">
      <alignment horizontal="left" indent="1"/>
    </xf>
    <xf numFmtId="169" fontId="5" fillId="0" borderId="0" xfId="0" applyNumberFormat="1" applyFont="1" applyFill="1" applyBorder="1"/>
    <xf numFmtId="0" fontId="0" fillId="0" borderId="0" xfId="0" applyAlignment="1">
      <alignment horizontal="center" vertical="center" wrapText="1"/>
    </xf>
    <xf numFmtId="169" fontId="42" fillId="19" borderId="9" xfId="7" applyNumberFormat="1" applyFont="1" applyFill="1" applyBorder="1"/>
    <xf numFmtId="3" fontId="0" fillId="15" borderId="12" xfId="0" applyNumberFormat="1" applyFill="1" applyBorder="1"/>
    <xf numFmtId="3" fontId="0" fillId="15" borderId="17" xfId="0" applyNumberFormat="1" applyFill="1" applyBorder="1"/>
    <xf numFmtId="0" fontId="6" fillId="15" borderId="16" xfId="0" applyFont="1" applyFill="1" applyBorder="1" applyAlignment="1">
      <alignment horizontal="center"/>
    </xf>
    <xf numFmtId="0" fontId="6" fillId="15" borderId="2" xfId="0" applyFont="1" applyFill="1" applyBorder="1" applyAlignment="1">
      <alignment horizontal="center"/>
    </xf>
    <xf numFmtId="0" fontId="6" fillId="16" borderId="17" xfId="0" applyFont="1" applyFill="1" applyBorder="1" applyAlignment="1">
      <alignment horizontal="center"/>
    </xf>
    <xf numFmtId="0" fontId="0" fillId="16" borderId="12" xfId="0" applyFill="1" applyBorder="1"/>
    <xf numFmtId="0" fontId="6" fillId="0" borderId="2" xfId="0" applyFont="1" applyBorder="1"/>
    <xf numFmtId="9" fontId="0" fillId="0" borderId="4" xfId="0" applyNumberFormat="1" applyBorder="1"/>
    <xf numFmtId="0" fontId="6" fillId="0" borderId="16" xfId="0" applyFont="1" applyBorder="1"/>
    <xf numFmtId="168" fontId="0" fillId="0" borderId="1" xfId="0" applyNumberFormat="1" applyBorder="1"/>
    <xf numFmtId="0" fontId="6" fillId="0" borderId="5" xfId="0" applyFont="1" applyBorder="1"/>
    <xf numFmtId="0" fontId="0" fillId="0" borderId="6" xfId="0" applyBorder="1"/>
    <xf numFmtId="168" fontId="0" fillId="0" borderId="7" xfId="0" applyNumberFormat="1" applyBorder="1"/>
    <xf numFmtId="0" fontId="3" fillId="0" borderId="3" xfId="0" applyFont="1" applyBorder="1"/>
    <xf numFmtId="0" fontId="3" fillId="0" borderId="6" xfId="0" applyFont="1" applyBorder="1"/>
    <xf numFmtId="169" fontId="7" fillId="19" borderId="9" xfId="7" applyNumberFormat="1" applyFont="1" applyFill="1" applyBorder="1" applyAlignment="1">
      <alignment horizontal="right"/>
    </xf>
    <xf numFmtId="169" fontId="7" fillId="19" borderId="11" xfId="7" applyNumberFormat="1" applyFont="1" applyFill="1" applyBorder="1" applyAlignment="1">
      <alignment horizontal="right"/>
    </xf>
    <xf numFmtId="169" fontId="7" fillId="19" borderId="10" xfId="7" applyNumberFormat="1" applyFont="1" applyFill="1" applyBorder="1" applyAlignment="1">
      <alignment horizontal="right"/>
    </xf>
    <xf numFmtId="0" fontId="6" fillId="15" borderId="12" xfId="0" applyFont="1" applyFill="1" applyBorder="1" applyAlignment="1">
      <alignment horizontal="center"/>
    </xf>
    <xf numFmtId="0" fontId="6" fillId="16" borderId="15" xfId="0" applyFont="1" applyFill="1" applyBorder="1" applyAlignment="1">
      <alignment horizontal="center"/>
    </xf>
    <xf numFmtId="0" fontId="0" fillId="0" borderId="23" xfId="0" applyBorder="1"/>
    <xf numFmtId="0" fontId="0" fillId="0" borderId="0" xfId="0" applyAlignment="1">
      <alignment horizontal="left"/>
    </xf>
    <xf numFmtId="0" fontId="44" fillId="0" borderId="0" xfId="0" applyFont="1" applyFill="1"/>
    <xf numFmtId="5" fontId="0" fillId="0" borderId="0" xfId="0" applyNumberFormat="1" applyBorder="1"/>
    <xf numFmtId="1" fontId="0" fillId="0" borderId="0" xfId="0" applyNumberFormat="1" applyBorder="1"/>
    <xf numFmtId="1" fontId="44" fillId="0" borderId="0" xfId="0" applyNumberFormat="1" applyFont="1" applyFill="1"/>
    <xf numFmtId="1" fontId="6" fillId="0" borderId="0" xfId="0" applyNumberFormat="1" applyFont="1" applyFill="1"/>
    <xf numFmtId="0" fontId="7" fillId="17" borderId="3" xfId="0" applyFont="1" applyFill="1" applyBorder="1" applyAlignment="1"/>
    <xf numFmtId="0" fontId="34" fillId="17" borderId="2" xfId="5" applyFont="1" applyFill="1" applyBorder="1" applyAlignment="1" applyProtection="1">
      <alignment horizontal="center"/>
    </xf>
    <xf numFmtId="0" fontId="46" fillId="0" borderId="0" xfId="0" applyFont="1" applyAlignment="1">
      <alignment horizontal="left" indent="1"/>
    </xf>
    <xf numFmtId="5" fontId="0" fillId="0" borderId="0" xfId="3" applyNumberFormat="1" applyFont="1"/>
    <xf numFmtId="176" fontId="0" fillId="0" borderId="0" xfId="3" applyNumberFormat="1" applyFont="1"/>
    <xf numFmtId="0" fontId="3" fillId="10" borderId="2" xfId="0" applyFont="1" applyFill="1" applyBorder="1"/>
    <xf numFmtId="0" fontId="0" fillId="10" borderId="3" xfId="0" applyFill="1" applyBorder="1"/>
    <xf numFmtId="0" fontId="0" fillId="10" borderId="4" xfId="0" applyFill="1" applyBorder="1"/>
    <xf numFmtId="0" fontId="3" fillId="10" borderId="16" xfId="0" applyFont="1" applyFill="1" applyBorder="1"/>
    <xf numFmtId="0" fontId="0" fillId="10" borderId="0" xfId="0" applyFill="1" applyBorder="1"/>
    <xf numFmtId="0" fontId="0" fillId="10" borderId="1" xfId="0" applyFill="1" applyBorder="1"/>
    <xf numFmtId="0" fontId="3" fillId="10" borderId="16" xfId="0" applyFont="1" applyFill="1" applyBorder="1" applyAlignment="1">
      <alignment horizontal="left" indent="1"/>
    </xf>
    <xf numFmtId="0" fontId="3" fillId="10" borderId="5" xfId="0" applyFont="1" applyFill="1" applyBorder="1"/>
    <xf numFmtId="0" fontId="0" fillId="10" borderId="6" xfId="0" applyFill="1" applyBorder="1"/>
    <xf numFmtId="0" fontId="0" fillId="10" borderId="7" xfId="0" applyFill="1" applyBorder="1"/>
    <xf numFmtId="0" fontId="3" fillId="10" borderId="11" xfId="0" applyFont="1" applyFill="1" applyBorder="1" applyAlignment="1">
      <alignment horizontal="left"/>
    </xf>
    <xf numFmtId="0" fontId="0" fillId="10" borderId="9" xfId="0" applyFill="1" applyBorder="1"/>
    <xf numFmtId="0" fontId="0" fillId="10" borderId="10" xfId="0" applyFill="1" applyBorder="1"/>
    <xf numFmtId="15" fontId="0" fillId="0" borderId="0" xfId="0" applyNumberFormat="1"/>
    <xf numFmtId="168" fontId="47" fillId="0" borderId="0" xfId="0" applyNumberFormat="1" applyFont="1"/>
    <xf numFmtId="0" fontId="5" fillId="0" borderId="11" xfId="0" applyFont="1" applyBorder="1"/>
    <xf numFmtId="5" fontId="0" fillId="0" borderId="9" xfId="3" applyNumberFormat="1" applyFont="1" applyBorder="1"/>
    <xf numFmtId="15" fontId="0" fillId="0" borderId="9" xfId="0" applyNumberFormat="1" applyBorder="1"/>
    <xf numFmtId="168" fontId="47" fillId="0" borderId="9" xfId="0" applyNumberFormat="1" applyFont="1" applyBorder="1"/>
    <xf numFmtId="5" fontId="0" fillId="0" borderId="10" xfId="0" applyNumberFormat="1" applyBorder="1"/>
    <xf numFmtId="0" fontId="7" fillId="0" borderId="0" xfId="0" applyFont="1" applyAlignment="1">
      <alignment horizontal="center"/>
    </xf>
    <xf numFmtId="0" fontId="0" fillId="0" borderId="0" xfId="0" applyBorder="1" applyAlignment="1">
      <alignment horizontal="left" vertical="center" wrapText="1" indent="1"/>
    </xf>
    <xf numFmtId="0" fontId="0" fillId="0" borderId="0" xfId="0" applyAlignment="1">
      <alignment horizontal="left" vertical="center" wrapText="1" indent="1"/>
    </xf>
    <xf numFmtId="0" fontId="0" fillId="0" borderId="0" xfId="0" applyBorder="1" applyAlignment="1">
      <alignment wrapText="1"/>
    </xf>
    <xf numFmtId="0" fontId="7" fillId="0" borderId="0" xfId="0" applyFont="1" applyAlignment="1">
      <alignment horizontal="center"/>
    </xf>
    <xf numFmtId="0" fontId="3" fillId="0" borderId="0" xfId="0" quotePrefix="1" applyFont="1" applyAlignment="1">
      <alignment horizontal="left" indent="1"/>
    </xf>
    <xf numFmtId="0" fontId="3" fillId="0" borderId="0" xfId="0" applyFont="1" applyBorder="1" applyAlignment="1">
      <alignment horizontal="right" vertical="center" wrapText="1"/>
    </xf>
    <xf numFmtId="44" fontId="19" fillId="0" borderId="0" xfId="3" applyFont="1" applyBorder="1"/>
    <xf numFmtId="165" fontId="6" fillId="0" borderId="0" xfId="1" applyNumberFormat="1" applyFont="1" applyBorder="1"/>
    <xf numFmtId="0" fontId="6" fillId="0" borderId="0" xfId="0" applyFont="1" applyBorder="1" applyAlignment="1">
      <alignment horizontal="right"/>
    </xf>
    <xf numFmtId="0" fontId="3" fillId="0" borderId="0" xfId="0" applyFont="1" applyBorder="1" applyAlignment="1">
      <alignment horizontal="right" vertical="center" wrapText="1" indent="1"/>
    </xf>
    <xf numFmtId="166" fontId="7" fillId="0" borderId="32" xfId="7" applyNumberFormat="1" applyFont="1" applyFill="1" applyBorder="1" applyAlignment="1">
      <alignment horizontal="center"/>
    </xf>
    <xf numFmtId="0" fontId="1" fillId="0" borderId="9" xfId="0" applyFont="1" applyBorder="1" applyAlignment="1">
      <alignment horizontal="right"/>
    </xf>
    <xf numFmtId="0" fontId="1" fillId="0" borderId="0" xfId="0" applyFont="1" applyAlignment="1">
      <alignment wrapText="1"/>
    </xf>
    <xf numFmtId="0" fontId="7" fillId="23" borderId="0" xfId="0" applyFont="1" applyFill="1"/>
    <xf numFmtId="178" fontId="6" fillId="23" borderId="0" xfId="0" applyNumberFormat="1" applyFont="1" applyFill="1" applyAlignment="1">
      <alignment wrapText="1"/>
    </xf>
    <xf numFmtId="4" fontId="6" fillId="23" borderId="0" xfId="0" applyNumberFormat="1" applyFont="1" applyFill="1" applyAlignment="1">
      <alignment wrapText="1"/>
    </xf>
    <xf numFmtId="0" fontId="0" fillId="23" borderId="0" xfId="0" applyFill="1"/>
    <xf numFmtId="0" fontId="7" fillId="24" borderId="0" xfId="0" applyFont="1" applyFill="1"/>
    <xf numFmtId="0" fontId="0" fillId="24" borderId="0" xfId="0" applyFill="1"/>
    <xf numFmtId="0" fontId="0" fillId="0" borderId="0" xfId="0" applyAlignment="1">
      <alignment horizontal="left" vertical="center" wrapText="1" indent="1"/>
    </xf>
    <xf numFmtId="0" fontId="7" fillId="0" borderId="0" xfId="0" applyFont="1" applyAlignment="1">
      <alignment horizontal="center"/>
    </xf>
    <xf numFmtId="0" fontId="0" fillId="0" borderId="0" xfId="0" applyAlignment="1">
      <alignment horizontal="left" vertical="center" wrapText="1" indent="1"/>
    </xf>
    <xf numFmtId="0" fontId="0" fillId="0" borderId="0" xfId="0" applyBorder="1" applyAlignment="1">
      <alignment wrapText="1"/>
    </xf>
    <xf numFmtId="0" fontId="39" fillId="0" borderId="0" xfId="0" applyFont="1" applyAlignment="1">
      <alignment horizontal="left"/>
    </xf>
    <xf numFmtId="166" fontId="5" fillId="0" borderId="8" xfId="0" applyNumberFormat="1" applyFont="1" applyBorder="1" applyAlignment="1">
      <alignment horizontal="right" indent="1"/>
    </xf>
    <xf numFmtId="7" fontId="19" fillId="0" borderId="16" xfId="3" applyNumberFormat="1" applyFont="1" applyBorder="1"/>
    <xf numFmtId="44" fontId="19" fillId="0" borderId="16" xfId="3" applyFont="1" applyBorder="1"/>
    <xf numFmtId="166" fontId="0" fillId="0" borderId="16" xfId="0" applyNumberFormat="1" applyBorder="1"/>
    <xf numFmtId="2" fontId="0" fillId="0" borderId="16" xfId="0" applyNumberFormat="1" applyBorder="1"/>
    <xf numFmtId="0" fontId="0" fillId="0" borderId="16" xfId="0" applyBorder="1" applyAlignment="1">
      <alignment horizontal="left" indent="1"/>
    </xf>
    <xf numFmtId="171" fontId="0" fillId="0" borderId="16" xfId="1" applyNumberFormat="1" applyFont="1" applyBorder="1"/>
    <xf numFmtId="165" fontId="6" fillId="0" borderId="16" xfId="1" applyNumberFormat="1" applyFont="1" applyBorder="1"/>
    <xf numFmtId="43" fontId="6" fillId="0" borderId="16" xfId="1" applyNumberFormat="1" applyFont="1" applyBorder="1"/>
    <xf numFmtId="0" fontId="3" fillId="0" borderId="16" xfId="0" applyFont="1" applyBorder="1"/>
    <xf numFmtId="169" fontId="5" fillId="0" borderId="16" xfId="7" applyNumberFormat="1" applyFont="1" applyBorder="1"/>
    <xf numFmtId="7" fontId="7" fillId="0" borderId="0" xfId="0" applyNumberFormat="1" applyFont="1" applyBorder="1" applyAlignment="1">
      <alignment horizontal="right"/>
    </xf>
    <xf numFmtId="166" fontId="5" fillId="0" borderId="0" xfId="0" applyNumberFormat="1" applyFont="1"/>
    <xf numFmtId="166" fontId="1" fillId="0" borderId="0" xfId="0" applyNumberFormat="1" applyFont="1"/>
    <xf numFmtId="166" fontId="1" fillId="0" borderId="0" xfId="0" applyNumberFormat="1" applyFont="1" applyAlignment="1">
      <alignment horizontal="right"/>
    </xf>
    <xf numFmtId="0" fontId="3" fillId="0" borderId="0" xfId="0" applyFont="1" applyAlignment="1">
      <alignment horizontal="right" indent="1"/>
    </xf>
    <xf numFmtId="0" fontId="1" fillId="0" borderId="0" xfId="0" applyFont="1" applyBorder="1"/>
    <xf numFmtId="167" fontId="0" fillId="0" borderId="1" xfId="1" applyNumberFormat="1" applyFont="1" applyBorder="1"/>
    <xf numFmtId="9" fontId="5" fillId="0" borderId="0" xfId="0" applyNumberFormat="1" applyFont="1"/>
    <xf numFmtId="0" fontId="3" fillId="0" borderId="1" xfId="0" applyFont="1" applyBorder="1" applyAlignment="1">
      <alignment horizontal="left" indent="1"/>
    </xf>
    <xf numFmtId="167" fontId="1" fillId="0" borderId="0" xfId="0" applyNumberFormat="1" applyFont="1" applyBorder="1"/>
    <xf numFmtId="0" fontId="0" fillId="0" borderId="0" xfId="0" applyAlignment="1">
      <alignment horizontal="left" vertical="center" wrapText="1" indent="1"/>
    </xf>
    <xf numFmtId="0" fontId="0" fillId="0" borderId="0" xfId="0" applyBorder="1" applyAlignment="1">
      <alignment wrapText="1"/>
    </xf>
    <xf numFmtId="0" fontId="0" fillId="0" borderId="0" xfId="0" applyAlignment="1">
      <alignment horizontal="left" vertical="center" wrapText="1" indent="1"/>
    </xf>
    <xf numFmtId="2" fontId="7" fillId="0" borderId="12" xfId="0" applyNumberFormat="1" applyFont="1" applyBorder="1"/>
    <xf numFmtId="2" fontId="0" fillId="0" borderId="17" xfId="0" applyNumberFormat="1" applyBorder="1"/>
    <xf numFmtId="2" fontId="7" fillId="0" borderId="15" xfId="0" applyNumberFormat="1" applyFont="1" applyBorder="1"/>
    <xf numFmtId="167" fontId="38" fillId="8" borderId="0" xfId="1" applyNumberFormat="1" applyFont="1" applyFill="1"/>
    <xf numFmtId="167" fontId="5" fillId="0" borderId="0" xfId="1" applyNumberFormat="1" applyFont="1"/>
    <xf numFmtId="167" fontId="5" fillId="8" borderId="0" xfId="1" applyNumberFormat="1" applyFont="1" applyFill="1"/>
    <xf numFmtId="0" fontId="58" fillId="0" borderId="0" xfId="0" applyFont="1" applyAlignment="1">
      <alignment horizontal="left"/>
    </xf>
    <xf numFmtId="165" fontId="0" fillId="0" borderId="0" xfId="1" applyNumberFormat="1" applyFont="1" applyAlignment="1">
      <alignment horizontal="left" wrapText="1" indent="1"/>
    </xf>
    <xf numFmtId="167" fontId="1" fillId="0" borderId="0" xfId="1" applyNumberFormat="1" applyFont="1"/>
    <xf numFmtId="165" fontId="1" fillId="0" borderId="0" xfId="1" applyNumberFormat="1" applyFont="1"/>
    <xf numFmtId="168" fontId="1" fillId="0" borderId="0" xfId="0" applyNumberFormat="1" applyFont="1"/>
    <xf numFmtId="0" fontId="58" fillId="0" borderId="2" xfId="0" applyFont="1" applyBorder="1" applyAlignment="1">
      <alignment horizontal="left"/>
    </xf>
    <xf numFmtId="168" fontId="0" fillId="0" borderId="3" xfId="0" applyNumberFormat="1" applyBorder="1"/>
    <xf numFmtId="168" fontId="0" fillId="0" borderId="4" xfId="0" applyNumberFormat="1" applyBorder="1"/>
    <xf numFmtId="0" fontId="39" fillId="0" borderId="0" xfId="0" applyFont="1"/>
    <xf numFmtId="0" fontId="0" fillId="0" borderId="0" xfId="0" applyBorder="1" applyAlignment="1">
      <alignment horizontal="left" wrapText="1" indent="1"/>
    </xf>
    <xf numFmtId="0" fontId="58" fillId="0" borderId="0" xfId="0" applyFont="1" applyBorder="1" applyAlignment="1">
      <alignment vertical="center" wrapText="1"/>
    </xf>
    <xf numFmtId="168" fontId="58" fillId="0" borderId="0" xfId="0" applyNumberFormat="1" applyFont="1" applyBorder="1" applyAlignment="1">
      <alignment wrapText="1"/>
    </xf>
    <xf numFmtId="165" fontId="1" fillId="0" borderId="0" xfId="0" applyNumberFormat="1" applyFont="1" applyBorder="1"/>
    <xf numFmtId="165" fontId="1" fillId="0" borderId="1" xfId="0" applyNumberFormat="1" applyFont="1" applyBorder="1"/>
    <xf numFmtId="165" fontId="0" fillId="0" borderId="1" xfId="0" applyNumberFormat="1" applyBorder="1"/>
    <xf numFmtId="0" fontId="1" fillId="0" borderId="0" xfId="0" applyFont="1" applyBorder="1" applyAlignment="1">
      <alignment horizontal="right"/>
    </xf>
    <xf numFmtId="43" fontId="1" fillId="0" borderId="0" xfId="1" applyNumberFormat="1" applyFont="1"/>
    <xf numFmtId="43" fontId="1" fillId="0" borderId="1" xfId="1" applyNumberFormat="1" applyFont="1" applyBorder="1"/>
    <xf numFmtId="0" fontId="3" fillId="0" borderId="8" xfId="0" applyFont="1" applyBorder="1" applyAlignment="1">
      <alignment horizontal="left" indent="1"/>
    </xf>
    <xf numFmtId="0" fontId="1" fillId="0" borderId="8" xfId="0" applyFont="1" applyBorder="1" applyAlignment="1">
      <alignment horizontal="right"/>
    </xf>
    <xf numFmtId="166" fontId="1" fillId="0" borderId="8" xfId="0" applyNumberFormat="1" applyFont="1" applyBorder="1" applyAlignment="1">
      <alignment horizontal="left" indent="1"/>
    </xf>
    <xf numFmtId="9" fontId="0" fillId="0" borderId="0" xfId="0" applyNumberFormat="1" applyBorder="1" applyAlignment="1">
      <alignment horizontal="left" indent="1"/>
    </xf>
    <xf numFmtId="0" fontId="7" fillId="0" borderId="8" xfId="0" applyFont="1" applyBorder="1" applyAlignment="1">
      <alignment horizontal="right"/>
    </xf>
    <xf numFmtId="9" fontId="0" fillId="0" borderId="8" xfId="0" applyNumberFormat="1" applyBorder="1" applyAlignment="1">
      <alignment horizontal="left" indent="1"/>
    </xf>
    <xf numFmtId="167" fontId="5" fillId="0" borderId="0" xfId="0" applyNumberFormat="1" applyFont="1" applyFill="1" applyBorder="1"/>
    <xf numFmtId="14" fontId="5" fillId="0" borderId="0" xfId="0" applyNumberFormat="1" applyFont="1" applyBorder="1" applyAlignment="1">
      <alignment horizontal="right"/>
    </xf>
    <xf numFmtId="0" fontId="1" fillId="0" borderId="0" xfId="0" applyFont="1" applyAlignment="1">
      <alignment horizontal="left"/>
    </xf>
    <xf numFmtId="169" fontId="18" fillId="0" borderId="0" xfId="7" applyNumberFormat="1" applyFont="1" applyBorder="1" applyAlignment="1">
      <alignment horizontal="center" wrapText="1"/>
    </xf>
    <xf numFmtId="165" fontId="3" fillId="13" borderId="11" xfId="1" applyNumberFormat="1" applyFont="1" applyFill="1" applyBorder="1" applyAlignment="1">
      <alignment horizontal="right"/>
    </xf>
    <xf numFmtId="165" fontId="3" fillId="13" borderId="9" xfId="1" applyNumberFormat="1" applyFont="1" applyFill="1" applyBorder="1" applyAlignment="1">
      <alignment horizontal="center"/>
    </xf>
    <xf numFmtId="0" fontId="7" fillId="2" borderId="0" xfId="0" applyFont="1" applyFill="1" applyAlignment="1">
      <alignment horizontal="left" indent="1"/>
    </xf>
    <xf numFmtId="0" fontId="3" fillId="24" borderId="16" xfId="0" applyFont="1" applyFill="1" applyBorder="1" applyAlignment="1">
      <alignment horizontal="left" indent="2"/>
    </xf>
    <xf numFmtId="0" fontId="3" fillId="24" borderId="0" xfId="0" applyFont="1" applyFill="1" applyBorder="1"/>
    <xf numFmtId="9" fontId="3" fillId="24" borderId="1" xfId="0" applyNumberFormat="1" applyFont="1" applyFill="1" applyBorder="1"/>
    <xf numFmtId="0" fontId="7" fillId="24" borderId="5" xfId="0" applyFont="1" applyFill="1" applyBorder="1" applyAlignment="1">
      <alignment horizontal="left" indent="1"/>
    </xf>
    <xf numFmtId="0" fontId="7" fillId="24" borderId="6" xfId="0" applyFont="1" applyFill="1" applyBorder="1"/>
    <xf numFmtId="9" fontId="7" fillId="24" borderId="7" xfId="7" applyNumberFormat="1" applyFont="1" applyFill="1" applyBorder="1"/>
    <xf numFmtId="167" fontId="3" fillId="0" borderId="0" xfId="0" applyNumberFormat="1" applyFont="1" applyBorder="1" applyAlignment="1">
      <alignment horizontal="right"/>
    </xf>
    <xf numFmtId="0" fontId="5" fillId="7" borderId="5" xfId="0" applyFont="1" applyFill="1" applyBorder="1" applyAlignment="1">
      <alignment horizontal="left"/>
    </xf>
    <xf numFmtId="0" fontId="0" fillId="7" borderId="6" xfId="0" applyFill="1" applyBorder="1"/>
    <xf numFmtId="165" fontId="5" fillId="7" borderId="6" xfId="0" applyNumberFormat="1" applyFont="1" applyFill="1" applyBorder="1"/>
    <xf numFmtId="9" fontId="5" fillId="7" borderId="6" xfId="7" applyFont="1" applyFill="1" applyBorder="1"/>
    <xf numFmtId="165" fontId="5" fillId="7" borderId="7" xfId="0" applyNumberFormat="1" applyFont="1" applyFill="1" applyBorder="1"/>
    <xf numFmtId="0" fontId="5" fillId="7" borderId="11" xfId="0" applyFont="1" applyFill="1" applyBorder="1" applyAlignment="1">
      <alignment horizontal="left"/>
    </xf>
    <xf numFmtId="165" fontId="5" fillId="7" borderId="9" xfId="0" applyNumberFormat="1" applyFont="1" applyFill="1" applyBorder="1"/>
    <xf numFmtId="9" fontId="5" fillId="7" borderId="9" xfId="7" applyFont="1" applyFill="1" applyBorder="1"/>
    <xf numFmtId="165" fontId="5" fillId="7" borderId="10" xfId="0" applyNumberFormat="1" applyFont="1" applyFill="1" applyBorder="1"/>
    <xf numFmtId="0" fontId="0" fillId="0" borderId="0" xfId="0" applyBorder="1" applyAlignment="1">
      <alignment horizontal="left" indent="1"/>
    </xf>
    <xf numFmtId="0" fontId="59" fillId="0" borderId="0" xfId="0" applyFont="1"/>
    <xf numFmtId="0" fontId="0" fillId="0" borderId="0" xfId="0" applyAlignment="1">
      <alignment horizontal="left" vertical="center" wrapText="1" indent="1"/>
    </xf>
    <xf numFmtId="168" fontId="5" fillId="0" borderId="9" xfId="0" applyNumberFormat="1" applyFont="1" applyBorder="1"/>
    <xf numFmtId="168" fontId="5" fillId="0" borderId="9" xfId="0" applyNumberFormat="1" applyFont="1" applyBorder="1" applyAlignment="1">
      <alignment horizontal="center"/>
    </xf>
    <xf numFmtId="0" fontId="5" fillId="0" borderId="9" xfId="0" applyFont="1" applyBorder="1"/>
    <xf numFmtId="9" fontId="1" fillId="0" borderId="9" xfId="0" applyNumberFormat="1" applyFont="1" applyBorder="1" applyAlignment="1">
      <alignment horizontal="right"/>
    </xf>
    <xf numFmtId="9" fontId="1" fillId="0" borderId="10" xfId="0" applyNumberFormat="1" applyFont="1" applyBorder="1" applyAlignment="1">
      <alignment horizontal="left" indent="1"/>
    </xf>
    <xf numFmtId="9" fontId="1" fillId="0" borderId="0" xfId="0" applyNumberFormat="1" applyFont="1"/>
    <xf numFmtId="0" fontId="4" fillId="0" borderId="0" xfId="5" quotePrefix="1" applyAlignment="1" applyProtection="1"/>
    <xf numFmtId="0" fontId="5" fillId="0" borderId="0" xfId="0" applyFont="1" applyFill="1" applyBorder="1" applyAlignment="1">
      <alignment horizontal="left" vertical="center" indent="1"/>
    </xf>
    <xf numFmtId="0" fontId="0" fillId="0" borderId="0" xfId="0" applyFill="1" applyBorder="1" applyAlignment="1">
      <alignment vertical="center"/>
    </xf>
    <xf numFmtId="0" fontId="34" fillId="0" borderId="0" xfId="5" applyFont="1" applyFill="1" applyBorder="1" applyAlignment="1" applyProtection="1">
      <alignment horizontal="center" vertical="center" wrapText="1"/>
    </xf>
    <xf numFmtId="9" fontId="5" fillId="0" borderId="0" xfId="7" applyNumberFormat="1" applyFont="1"/>
    <xf numFmtId="0" fontId="0" fillId="14" borderId="16" xfId="0" applyFill="1" applyBorder="1"/>
    <xf numFmtId="0" fontId="3" fillId="14" borderId="8" xfId="0" applyFont="1" applyFill="1" applyBorder="1" applyAlignment="1">
      <alignment horizontal="right"/>
    </xf>
    <xf numFmtId="3" fontId="0" fillId="14" borderId="8" xfId="0" applyNumberFormat="1" applyFill="1" applyBorder="1"/>
    <xf numFmtId="169" fontId="43" fillId="14" borderId="8" xfId="7" applyNumberFormat="1" applyFont="1" applyFill="1" applyBorder="1"/>
    <xf numFmtId="4" fontId="0" fillId="14" borderId="8" xfId="0" applyNumberFormat="1" applyFill="1" applyBorder="1"/>
    <xf numFmtId="169" fontId="7" fillId="14" borderId="8" xfId="0" applyNumberFormat="1" applyFont="1" applyFill="1" applyBorder="1" applyAlignment="1">
      <alignment horizontal="right"/>
    </xf>
    <xf numFmtId="3" fontId="0" fillId="15" borderId="8" xfId="0" applyNumberFormat="1" applyFill="1" applyBorder="1"/>
    <xf numFmtId="37" fontId="0" fillId="15" borderId="8" xfId="0" applyNumberFormat="1" applyFill="1" applyBorder="1"/>
    <xf numFmtId="37" fontId="0" fillId="15" borderId="8" xfId="0" applyNumberFormat="1" applyFill="1" applyBorder="1" applyAlignment="1">
      <alignment horizontal="right"/>
    </xf>
    <xf numFmtId="169" fontId="43" fillId="15" borderId="8" xfId="7" applyNumberFormat="1" applyFont="1" applyFill="1" applyBorder="1"/>
    <xf numFmtId="4" fontId="0" fillId="15" borderId="8" xfId="0" applyNumberFormat="1" applyFill="1" applyBorder="1"/>
    <xf numFmtId="3" fontId="0" fillId="15" borderId="8" xfId="0" applyNumberFormat="1" applyFill="1" applyBorder="1" applyAlignment="1">
      <alignment horizontal="right"/>
    </xf>
    <xf numFmtId="0" fontId="3" fillId="15" borderId="8" xfId="0" applyFont="1" applyFill="1" applyBorder="1" applyAlignment="1">
      <alignment horizontal="right"/>
    </xf>
    <xf numFmtId="3" fontId="5" fillId="14" borderId="11" xfId="0" applyNumberFormat="1" applyFont="1" applyFill="1" applyBorder="1"/>
    <xf numFmtId="169" fontId="43" fillId="14" borderId="11" xfId="7" applyNumberFormat="1" applyFont="1" applyFill="1" applyBorder="1"/>
    <xf numFmtId="4" fontId="5" fillId="14" borderId="11" xfId="0" applyNumberFormat="1" applyFont="1" applyFill="1" applyBorder="1"/>
    <xf numFmtId="37" fontId="0" fillId="15" borderId="11" xfId="0" applyNumberFormat="1" applyFill="1" applyBorder="1"/>
    <xf numFmtId="165" fontId="7" fillId="15" borderId="15" xfId="0" applyNumberFormat="1" applyFont="1" applyFill="1" applyBorder="1"/>
    <xf numFmtId="165" fontId="5" fillId="15" borderId="12" xfId="0" applyNumberFormat="1" applyFont="1" applyFill="1" applyBorder="1"/>
    <xf numFmtId="4" fontId="5" fillId="15" borderId="11" xfId="0" applyNumberFormat="1" applyFont="1" applyFill="1" applyBorder="1"/>
    <xf numFmtId="165" fontId="7" fillId="15" borderId="17" xfId="0" applyNumberFormat="1" applyFont="1" applyFill="1" applyBorder="1"/>
    <xf numFmtId="165" fontId="7" fillId="15" borderId="12" xfId="0" applyNumberFormat="1" applyFont="1" applyFill="1" applyBorder="1"/>
    <xf numFmtId="165" fontId="5" fillId="15" borderId="15" xfId="0" applyNumberFormat="1" applyFont="1" applyFill="1" applyBorder="1"/>
    <xf numFmtId="3" fontId="0" fillId="22" borderId="12" xfId="0" applyNumberFormat="1" applyFill="1" applyBorder="1"/>
    <xf numFmtId="0" fontId="0" fillId="22" borderId="17" xfId="0" applyFill="1" applyBorder="1"/>
    <xf numFmtId="0" fontId="3" fillId="22" borderId="8" xfId="0" applyFont="1" applyFill="1" applyBorder="1" applyAlignment="1">
      <alignment horizontal="right"/>
    </xf>
    <xf numFmtId="3" fontId="0" fillId="22" borderId="8" xfId="0" applyNumberFormat="1" applyFill="1" applyBorder="1"/>
    <xf numFmtId="3" fontId="5" fillId="22" borderId="11" xfId="0" applyNumberFormat="1" applyFont="1" applyFill="1" applyBorder="1"/>
    <xf numFmtId="165" fontId="5" fillId="22" borderId="12" xfId="0" applyNumberFormat="1" applyFont="1" applyFill="1" applyBorder="1"/>
    <xf numFmtId="0" fontId="6" fillId="22" borderId="12" xfId="0" applyFont="1" applyFill="1" applyBorder="1" applyAlignment="1">
      <alignment horizontal="center"/>
    </xf>
    <xf numFmtId="0" fontId="1" fillId="22" borderId="8" xfId="0" applyFont="1" applyFill="1" applyBorder="1" applyAlignment="1">
      <alignment horizontal="right"/>
    </xf>
    <xf numFmtId="37" fontId="0" fillId="22" borderId="8" xfId="0" applyNumberFormat="1" applyFill="1" applyBorder="1"/>
    <xf numFmtId="37" fontId="0" fillId="22" borderId="8" xfId="0" applyNumberFormat="1" applyFill="1" applyBorder="1" applyAlignment="1">
      <alignment horizontal="right"/>
    </xf>
    <xf numFmtId="37" fontId="0" fillId="22" borderId="11" xfId="0" applyNumberFormat="1" applyFill="1" applyBorder="1"/>
    <xf numFmtId="165" fontId="7" fillId="22" borderId="15" xfId="0" applyNumberFormat="1" applyFont="1" applyFill="1" applyBorder="1"/>
    <xf numFmtId="9" fontId="5" fillId="22" borderId="15" xfId="0" applyNumberFormat="1" applyFont="1" applyFill="1" applyBorder="1" applyAlignment="1">
      <alignment horizontal="center"/>
    </xf>
    <xf numFmtId="169" fontId="43" fillId="22" borderId="8" xfId="7" applyNumberFormat="1" applyFont="1" applyFill="1" applyBorder="1"/>
    <xf numFmtId="165" fontId="7" fillId="22" borderId="17" xfId="0" applyNumberFormat="1" applyFont="1" applyFill="1" applyBorder="1"/>
    <xf numFmtId="0" fontId="6" fillId="22" borderId="2" xfId="0" applyFont="1" applyFill="1" applyBorder="1" applyAlignment="1">
      <alignment horizontal="center"/>
    </xf>
    <xf numFmtId="4" fontId="0" fillId="22" borderId="8" xfId="0" applyNumberFormat="1" applyFill="1" applyBorder="1"/>
    <xf numFmtId="4" fontId="5" fillId="22" borderId="11" xfId="0" applyNumberFormat="1" applyFont="1" applyFill="1" applyBorder="1"/>
    <xf numFmtId="165" fontId="7" fillId="22" borderId="12" xfId="0" applyNumberFormat="1" applyFont="1" applyFill="1" applyBorder="1"/>
    <xf numFmtId="3" fontId="0" fillId="22" borderId="8" xfId="0" applyNumberFormat="1" applyFill="1" applyBorder="1" applyAlignment="1">
      <alignment horizontal="right"/>
    </xf>
    <xf numFmtId="0" fontId="0" fillId="22" borderId="5" xfId="0" applyFill="1" applyBorder="1"/>
    <xf numFmtId="3" fontId="0" fillId="22" borderId="11" xfId="0" applyNumberFormat="1" applyFill="1" applyBorder="1"/>
    <xf numFmtId="3" fontId="0" fillId="22" borderId="9" xfId="0" applyNumberFormat="1" applyFill="1" applyBorder="1"/>
    <xf numFmtId="3" fontId="5" fillId="22" borderId="9" xfId="0" applyNumberFormat="1" applyFont="1" applyFill="1" applyBorder="1" applyAlignment="1">
      <alignment horizontal="right"/>
    </xf>
    <xf numFmtId="37" fontId="3" fillId="22" borderId="8" xfId="0" applyNumberFormat="1" applyFont="1" applyFill="1" applyBorder="1"/>
    <xf numFmtId="3" fontId="0" fillId="15" borderId="2" xfId="0" applyNumberFormat="1" applyFill="1" applyBorder="1"/>
    <xf numFmtId="3" fontId="0" fillId="15" borderId="3" xfId="0" applyNumberFormat="1" applyFill="1" applyBorder="1"/>
    <xf numFmtId="3" fontId="5" fillId="15" borderId="2" xfId="0" applyNumberFormat="1" applyFont="1" applyFill="1" applyBorder="1"/>
    <xf numFmtId="3" fontId="5" fillId="15" borderId="3" xfId="0" applyNumberFormat="1" applyFont="1" applyFill="1" applyBorder="1" applyAlignment="1">
      <alignment horizontal="right"/>
    </xf>
    <xf numFmtId="3" fontId="5" fillId="15" borderId="4" xfId="0" applyNumberFormat="1" applyFont="1" applyFill="1" applyBorder="1"/>
    <xf numFmtId="0" fontId="5" fillId="22" borderId="8" xfId="0" applyFont="1" applyFill="1" applyBorder="1"/>
    <xf numFmtId="3" fontId="5" fillId="22" borderId="2" xfId="0" applyNumberFormat="1" applyFont="1" applyFill="1" applyBorder="1"/>
    <xf numFmtId="0" fontId="2" fillId="16" borderId="4" xfId="0" applyFont="1" applyFill="1" applyBorder="1" applyAlignment="1">
      <alignment horizontal="center"/>
    </xf>
    <xf numFmtId="0" fontId="0" fillId="16" borderId="5" xfId="0" applyFill="1" applyBorder="1"/>
    <xf numFmtId="0" fontId="0" fillId="16" borderId="6" xfId="0" applyFill="1" applyBorder="1"/>
    <xf numFmtId="0" fontId="0" fillId="16" borderId="7" xfId="0" applyFill="1" applyBorder="1"/>
    <xf numFmtId="165" fontId="5" fillId="22" borderId="17" xfId="0" applyNumberFormat="1" applyFont="1" applyFill="1" applyBorder="1"/>
    <xf numFmtId="0" fontId="5" fillId="22" borderId="10" xfId="0" applyFont="1" applyFill="1" applyBorder="1"/>
    <xf numFmtId="3" fontId="5" fillId="22" borderId="9" xfId="0" applyNumberFormat="1" applyFont="1" applyFill="1" applyBorder="1"/>
    <xf numFmtId="0" fontId="1" fillId="16" borderId="8" xfId="0" applyFont="1" applyFill="1" applyBorder="1" applyAlignment="1">
      <alignment horizontal="right"/>
    </xf>
    <xf numFmtId="3" fontId="0" fillId="16" borderId="8" xfId="0" applyNumberFormat="1" applyFill="1" applyBorder="1"/>
    <xf numFmtId="0" fontId="3" fillId="16" borderId="8" xfId="0" applyFont="1" applyFill="1" applyBorder="1" applyAlignment="1">
      <alignment horizontal="right"/>
    </xf>
    <xf numFmtId="37" fontId="3" fillId="16" borderId="8" xfId="0" applyNumberFormat="1" applyFont="1" applyFill="1" applyBorder="1"/>
    <xf numFmtId="37" fontId="0" fillId="16" borderId="8" xfId="0" applyNumberFormat="1" applyFill="1" applyBorder="1"/>
    <xf numFmtId="169" fontId="43" fillId="16" borderId="8" xfId="7" applyNumberFormat="1" applyFont="1" applyFill="1" applyBorder="1"/>
    <xf numFmtId="3" fontId="5" fillId="25" borderId="6" xfId="0" applyNumberFormat="1" applyFont="1" applyFill="1" applyBorder="1" applyAlignment="1">
      <alignment horizontal="right"/>
    </xf>
    <xf numFmtId="37" fontId="5" fillId="16" borderId="7" xfId="0" applyNumberFormat="1" applyFont="1" applyFill="1" applyBorder="1"/>
    <xf numFmtId="3" fontId="5" fillId="16" borderId="11" xfId="0" applyNumberFormat="1" applyFont="1" applyFill="1" applyBorder="1"/>
    <xf numFmtId="37" fontId="0" fillId="16" borderId="11" xfId="0" applyNumberFormat="1" applyFill="1" applyBorder="1"/>
    <xf numFmtId="4" fontId="5" fillId="16" borderId="11" xfId="0" applyNumberFormat="1" applyFont="1" applyFill="1" applyBorder="1"/>
    <xf numFmtId="3" fontId="5" fillId="16" borderId="12" xfId="0" applyNumberFormat="1" applyFont="1" applyFill="1" applyBorder="1"/>
    <xf numFmtId="0" fontId="0" fillId="15" borderId="16" xfId="0" applyFill="1" applyBorder="1"/>
    <xf numFmtId="0" fontId="0" fillId="22" borderId="6" xfId="0" applyFill="1" applyBorder="1"/>
    <xf numFmtId="3" fontId="0" fillId="22" borderId="6" xfId="0" applyNumberFormat="1" applyFill="1" applyBorder="1"/>
    <xf numFmtId="0" fontId="3" fillId="16" borderId="12" xfId="0" applyFont="1" applyFill="1" applyBorder="1" applyAlignment="1">
      <alignment horizontal="right"/>
    </xf>
    <xf numFmtId="4" fontId="0" fillId="16" borderId="12" xfId="0" applyNumberFormat="1" applyFill="1" applyBorder="1"/>
    <xf numFmtId="169" fontId="43" fillId="16" borderId="11" xfId="7" applyNumberFormat="1" applyFont="1" applyFill="1" applyBorder="1"/>
    <xf numFmtId="37" fontId="7" fillId="16" borderId="17" xfId="0" applyNumberFormat="1" applyFont="1" applyFill="1" applyBorder="1"/>
    <xf numFmtId="4" fontId="7" fillId="16" borderId="12" xfId="0" applyNumberFormat="1" applyFont="1" applyFill="1" applyBorder="1" applyAlignment="1">
      <alignment horizontal="center"/>
    </xf>
    <xf numFmtId="3" fontId="5" fillId="16" borderId="15" xfId="0" applyNumberFormat="1" applyFont="1" applyFill="1" applyBorder="1"/>
    <xf numFmtId="9" fontId="1" fillId="0" borderId="0" xfId="7" applyFont="1"/>
    <xf numFmtId="0" fontId="0" fillId="0" borderId="0" xfId="0" applyAlignment="1">
      <alignment horizontal="left" vertical="center" wrapText="1" indent="1"/>
    </xf>
    <xf numFmtId="0" fontId="0" fillId="0" borderId="0" xfId="0" applyBorder="1" applyAlignment="1">
      <alignment horizontal="left" vertical="center" wrapText="1" indent="1"/>
    </xf>
    <xf numFmtId="0" fontId="0" fillId="0" borderId="0" xfId="0" applyBorder="1" applyAlignment="1">
      <alignment wrapText="1"/>
    </xf>
    <xf numFmtId="0" fontId="5" fillId="23" borderId="9" xfId="0" applyFont="1" applyFill="1" applyBorder="1" applyAlignment="1">
      <alignment horizontal="center"/>
    </xf>
    <xf numFmtId="0" fontId="3" fillId="24" borderId="0" xfId="0" applyFont="1" applyFill="1" applyAlignment="1">
      <alignment horizontal="center"/>
    </xf>
    <xf numFmtId="0" fontId="1" fillId="0" borderId="0" xfId="0" applyFont="1" applyAlignment="1">
      <alignment horizontal="left" wrapText="1" indent="1"/>
    </xf>
    <xf numFmtId="3" fontId="6" fillId="26" borderId="16" xfId="0" applyNumberFormat="1" applyFont="1" applyFill="1" applyBorder="1" applyAlignment="1">
      <alignment wrapText="1"/>
    </xf>
    <xf numFmtId="3" fontId="6" fillId="26" borderId="0" xfId="0" applyNumberFormat="1" applyFont="1" applyFill="1" applyBorder="1" applyAlignment="1">
      <alignment wrapText="1"/>
    </xf>
    <xf numFmtId="0" fontId="6" fillId="26" borderId="16" xfId="0" applyFont="1" applyFill="1" applyBorder="1" applyAlignment="1">
      <alignment wrapText="1"/>
    </xf>
    <xf numFmtId="0" fontId="6" fillId="26" borderId="0" xfId="0" applyFont="1" applyFill="1" applyBorder="1" applyAlignment="1">
      <alignment wrapText="1"/>
    </xf>
    <xf numFmtId="0" fontId="0" fillId="26" borderId="5" xfId="0" applyFill="1" applyBorder="1"/>
    <xf numFmtId="170" fontId="1" fillId="26" borderId="6" xfId="0" applyNumberFormat="1" applyFont="1" applyFill="1" applyBorder="1" applyAlignment="1">
      <alignment wrapText="1"/>
    </xf>
    <xf numFmtId="178" fontId="6" fillId="23" borderId="0" xfId="0" applyNumberFormat="1" applyFont="1" applyFill="1" applyBorder="1" applyAlignment="1">
      <alignment wrapText="1"/>
    </xf>
    <xf numFmtId="178" fontId="6" fillId="24" borderId="0" xfId="0" applyNumberFormat="1" applyFont="1" applyFill="1" applyBorder="1" applyAlignment="1">
      <alignment wrapText="1"/>
    </xf>
    <xf numFmtId="4" fontId="6" fillId="23" borderId="0" xfId="0" applyNumberFormat="1" applyFont="1" applyFill="1" applyBorder="1" applyAlignment="1">
      <alignment wrapText="1"/>
    </xf>
    <xf numFmtId="170" fontId="6" fillId="24" borderId="0" xfId="0" applyNumberFormat="1" applyFont="1" applyFill="1" applyBorder="1" applyAlignment="1">
      <alignment wrapText="1"/>
    </xf>
    <xf numFmtId="178" fontId="6" fillId="23" borderId="2" xfId="0" applyNumberFormat="1" applyFont="1" applyFill="1" applyBorder="1" applyAlignment="1">
      <alignment wrapText="1"/>
    </xf>
    <xf numFmtId="178" fontId="6" fillId="23" borderId="3" xfId="0" applyNumberFormat="1" applyFont="1" applyFill="1" applyBorder="1" applyAlignment="1">
      <alignment wrapText="1"/>
    </xf>
    <xf numFmtId="178" fontId="6" fillId="24" borderId="3" xfId="0" applyNumberFormat="1" applyFont="1" applyFill="1" applyBorder="1" applyAlignment="1">
      <alignment wrapText="1"/>
    </xf>
    <xf numFmtId="178" fontId="6" fillId="23" borderId="16" xfId="0" applyNumberFormat="1" applyFont="1" applyFill="1" applyBorder="1" applyAlignment="1">
      <alignment wrapText="1"/>
    </xf>
    <xf numFmtId="4" fontId="6" fillId="23" borderId="16" xfId="0" applyNumberFormat="1" applyFont="1" applyFill="1" applyBorder="1" applyAlignment="1">
      <alignment wrapText="1"/>
    </xf>
    <xf numFmtId="168" fontId="1" fillId="23" borderId="2" xfId="0" applyNumberFormat="1" applyFont="1" applyFill="1" applyBorder="1" applyAlignment="1">
      <alignment horizontal="right"/>
    </xf>
    <xf numFmtId="168" fontId="1" fillId="23" borderId="3" xfId="0" applyNumberFormat="1" applyFont="1" applyFill="1" applyBorder="1" applyAlignment="1">
      <alignment horizontal="right"/>
    </xf>
    <xf numFmtId="168" fontId="1" fillId="24" borderId="3" xfId="0" applyNumberFormat="1" applyFont="1" applyFill="1" applyBorder="1" applyAlignment="1">
      <alignment horizontal="right"/>
    </xf>
    <xf numFmtId="168" fontId="1" fillId="23" borderId="16" xfId="0" applyNumberFormat="1" applyFont="1" applyFill="1" applyBorder="1" applyAlignment="1">
      <alignment horizontal="right"/>
    </xf>
    <xf numFmtId="168" fontId="1" fillId="23" borderId="0" xfId="0" applyNumberFormat="1" applyFont="1" applyFill="1" applyBorder="1" applyAlignment="1">
      <alignment horizontal="right"/>
    </xf>
    <xf numFmtId="168" fontId="1" fillId="24" borderId="0" xfId="0" applyNumberFormat="1" applyFont="1" applyFill="1" applyBorder="1" applyAlignment="1">
      <alignment horizontal="right"/>
    </xf>
    <xf numFmtId="3" fontId="6" fillId="23" borderId="0" xfId="0" applyNumberFormat="1" applyFont="1" applyFill="1" applyBorder="1" applyAlignment="1">
      <alignment wrapText="1"/>
    </xf>
    <xf numFmtId="3" fontId="6" fillId="24" borderId="0" xfId="0" applyNumberFormat="1" applyFont="1" applyFill="1" applyBorder="1" applyAlignment="1">
      <alignment wrapText="1"/>
    </xf>
    <xf numFmtId="0" fontId="6" fillId="23" borderId="0" xfId="0" applyFont="1" applyFill="1" applyBorder="1" applyAlignment="1">
      <alignment wrapText="1"/>
    </xf>
    <xf numFmtId="0" fontId="6" fillId="24" borderId="0" xfId="0" applyFont="1" applyFill="1" applyBorder="1" applyAlignment="1">
      <alignment wrapText="1"/>
    </xf>
    <xf numFmtId="3" fontId="6" fillId="23" borderId="16" xfId="0" applyNumberFormat="1" applyFont="1" applyFill="1" applyBorder="1" applyAlignment="1">
      <alignment wrapText="1"/>
    </xf>
    <xf numFmtId="0" fontId="6" fillId="23" borderId="16" xfId="0" applyFont="1" applyFill="1" applyBorder="1" applyAlignment="1">
      <alignment wrapText="1"/>
    </xf>
    <xf numFmtId="3" fontId="1" fillId="23" borderId="5" xfId="0" applyNumberFormat="1" applyFont="1" applyFill="1" applyBorder="1" applyAlignment="1">
      <alignment wrapText="1"/>
    </xf>
    <xf numFmtId="3" fontId="1" fillId="23" borderId="6" xfId="0" applyNumberFormat="1" applyFont="1" applyFill="1" applyBorder="1" applyAlignment="1">
      <alignment wrapText="1"/>
    </xf>
    <xf numFmtId="3" fontId="1" fillId="24" borderId="6" xfId="0" applyNumberFormat="1" applyFont="1" applyFill="1" applyBorder="1" applyAlignment="1">
      <alignment wrapText="1"/>
    </xf>
    <xf numFmtId="0" fontId="0" fillId="0" borderId="0" xfId="0" applyAlignment="1">
      <alignment horizontal="left" vertical="center" wrapText="1" indent="1"/>
    </xf>
    <xf numFmtId="0" fontId="0" fillId="0" borderId="0" xfId="0" applyBorder="1" applyAlignment="1">
      <alignment horizontal="left" vertical="center" wrapText="1" indent="1"/>
    </xf>
    <xf numFmtId="0" fontId="0" fillId="0" borderId="0" xfId="0" applyBorder="1" applyAlignment="1">
      <alignment wrapText="1"/>
    </xf>
    <xf numFmtId="0" fontId="0" fillId="0" borderId="0" xfId="0" applyAlignment="1">
      <alignment horizontal="left" vertical="center"/>
    </xf>
    <xf numFmtId="8" fontId="1" fillId="0" borderId="0" xfId="0" applyNumberFormat="1" applyFont="1" applyFill="1" applyBorder="1" applyAlignment="1">
      <alignment horizontal="center"/>
    </xf>
    <xf numFmtId="3" fontId="3" fillId="0" borderId="0" xfId="0" applyNumberFormat="1" applyFont="1" applyAlignment="1">
      <alignment wrapText="1"/>
    </xf>
    <xf numFmtId="8" fontId="1" fillId="27" borderId="0" xfId="0" applyNumberFormat="1" applyFont="1" applyFill="1" applyBorder="1" applyAlignment="1">
      <alignment horizontal="center"/>
    </xf>
    <xf numFmtId="0" fontId="0" fillId="27" borderId="0" xfId="0" applyFill="1"/>
    <xf numFmtId="0" fontId="3" fillId="27" borderId="0" xfId="0" applyFont="1" applyFill="1" applyAlignment="1">
      <alignment horizontal="right" indent="1"/>
    </xf>
    <xf numFmtId="166" fontId="1" fillId="0" borderId="0" xfId="0" applyNumberFormat="1" applyFont="1" applyAlignment="1">
      <alignment horizontal="left" indent="2"/>
    </xf>
    <xf numFmtId="166" fontId="0" fillId="0" borderId="0" xfId="0" applyNumberFormat="1" applyAlignment="1">
      <alignment horizontal="left" indent="2"/>
    </xf>
    <xf numFmtId="0" fontId="1" fillId="27" borderId="2" xfId="0" applyFont="1" applyFill="1" applyBorder="1"/>
    <xf numFmtId="0" fontId="0" fillId="27" borderId="3" xfId="0" applyFill="1" applyBorder="1"/>
    <xf numFmtId="0" fontId="1" fillId="27" borderId="16" xfId="0" applyFont="1" applyFill="1" applyBorder="1"/>
    <xf numFmtId="0" fontId="0" fillId="27" borderId="0" xfId="0" applyFill="1" applyBorder="1"/>
    <xf numFmtId="9" fontId="0" fillId="27" borderId="1" xfId="7" applyFont="1" applyFill="1" applyBorder="1"/>
    <xf numFmtId="0" fontId="0" fillId="27" borderId="6" xfId="0" applyFill="1" applyBorder="1"/>
    <xf numFmtId="0" fontId="0" fillId="27" borderId="1" xfId="0" applyFill="1" applyBorder="1"/>
    <xf numFmtId="0" fontId="7" fillId="27" borderId="0" xfId="0" applyFont="1" applyFill="1" applyBorder="1" applyAlignment="1">
      <alignment horizontal="right"/>
    </xf>
    <xf numFmtId="0" fontId="7" fillId="27" borderId="1" xfId="0" applyFont="1" applyFill="1" applyBorder="1" applyAlignment="1">
      <alignment horizontal="right"/>
    </xf>
    <xf numFmtId="10" fontId="6" fillId="27" borderId="0" xfId="0" applyNumberFormat="1" applyFont="1" applyFill="1" applyBorder="1"/>
    <xf numFmtId="43" fontId="1" fillId="0" borderId="0" xfId="1" applyNumberFormat="1" applyFont="1" applyBorder="1"/>
    <xf numFmtId="0" fontId="3" fillId="0" borderId="0" xfId="0" applyFont="1" applyBorder="1" applyAlignment="1">
      <alignment horizontal="left" vertical="center" indent="1"/>
    </xf>
    <xf numFmtId="0" fontId="3" fillId="0" borderId="0" xfId="0" applyFont="1" applyBorder="1" applyAlignment="1">
      <alignment horizontal="right" indent="1"/>
    </xf>
    <xf numFmtId="0" fontId="0" fillId="0" borderId="7" xfId="0" applyBorder="1"/>
    <xf numFmtId="0" fontId="14" fillId="0" borderId="2" xfId="0" applyFont="1" applyBorder="1" applyAlignment="1">
      <alignment horizontal="right"/>
    </xf>
    <xf numFmtId="0" fontId="0" fillId="0" borderId="1" xfId="0" applyBorder="1" applyAlignment="1">
      <alignment horizontal="left" vertical="center" wrapText="1" indent="1"/>
    </xf>
    <xf numFmtId="0" fontId="0" fillId="0" borderId="0" xfId="0" applyBorder="1" applyAlignment="1">
      <alignment wrapText="1"/>
    </xf>
    <xf numFmtId="0" fontId="3" fillId="0" borderId="1" xfId="0" applyFont="1" applyBorder="1" applyAlignment="1">
      <alignment horizontal="center" vertical="center"/>
    </xf>
    <xf numFmtId="0" fontId="0" fillId="0" borderId="0" xfId="0" applyAlignment="1">
      <alignment horizontal="left" vertical="center" wrapText="1" indent="1"/>
    </xf>
    <xf numFmtId="0" fontId="0" fillId="0" borderId="0" xfId="0" applyBorder="1" applyAlignment="1">
      <alignment horizontal="left" vertical="center" wrapText="1" indent="1"/>
    </xf>
    <xf numFmtId="10" fontId="5" fillId="0" borderId="0" xfId="0" applyNumberFormat="1" applyFont="1" applyBorder="1"/>
    <xf numFmtId="0" fontId="14" fillId="0" borderId="4" xfId="0" applyFont="1" applyBorder="1" applyAlignment="1">
      <alignment horizontal="right"/>
    </xf>
    <xf numFmtId="165" fontId="0" fillId="7" borderId="0" xfId="1" applyNumberFormat="1" applyFont="1" applyFill="1"/>
    <xf numFmtId="165" fontId="0" fillId="7" borderId="0" xfId="0" applyNumberFormat="1" applyFill="1"/>
    <xf numFmtId="165" fontId="5" fillId="7" borderId="0" xfId="0" applyNumberFormat="1" applyFont="1" applyFill="1"/>
    <xf numFmtId="0" fontId="15" fillId="0" borderId="0" xfId="0" applyFont="1" applyBorder="1"/>
    <xf numFmtId="167" fontId="1" fillId="0" borderId="0" xfId="1" applyNumberFormat="1" applyFont="1" applyBorder="1"/>
    <xf numFmtId="0" fontId="3" fillId="0" borderId="10" xfId="0" applyFont="1" applyBorder="1" applyAlignment="1">
      <alignment horizontal="left" indent="1"/>
    </xf>
    <xf numFmtId="167" fontId="7" fillId="0" borderId="0" xfId="0" applyNumberFormat="1" applyFont="1" applyBorder="1" applyAlignment="1">
      <alignment horizontal="right"/>
    </xf>
    <xf numFmtId="167" fontId="7" fillId="0" borderId="1" xfId="0" applyNumberFormat="1" applyFont="1" applyBorder="1" applyAlignment="1">
      <alignment horizontal="right"/>
    </xf>
    <xf numFmtId="167" fontId="19" fillId="0" borderId="0" xfId="3" applyNumberFormat="1" applyFont="1" applyBorder="1"/>
    <xf numFmtId="165" fontId="6" fillId="0" borderId="0" xfId="0" applyNumberFormat="1" applyFont="1" applyFill="1" applyBorder="1"/>
    <xf numFmtId="165" fontId="6" fillId="0" borderId="0" xfId="0" applyNumberFormat="1" applyFont="1" applyFill="1"/>
    <xf numFmtId="0" fontId="0" fillId="0" borderId="0" xfId="0" applyAlignment="1">
      <alignment horizontal="left" vertical="center" wrapText="1" indent="1"/>
    </xf>
    <xf numFmtId="0" fontId="0" fillId="0" borderId="0" xfId="0" applyBorder="1" applyAlignment="1">
      <alignment horizontal="left" vertical="center" wrapText="1" indent="1"/>
    </xf>
    <xf numFmtId="0" fontId="0" fillId="0" borderId="0" xfId="0" applyBorder="1" applyAlignment="1">
      <alignment wrapText="1"/>
    </xf>
    <xf numFmtId="9" fontId="3" fillId="0" borderId="0" xfId="0" applyNumberFormat="1" applyFont="1" applyBorder="1" applyAlignment="1">
      <alignment horizontal="left" vertical="center" wrapText="1" indent="1"/>
    </xf>
    <xf numFmtId="0" fontId="3" fillId="0" borderId="0" xfId="0" applyFont="1" applyBorder="1" applyAlignment="1">
      <alignment horizontal="center" vertical="center"/>
    </xf>
    <xf numFmtId="165" fontId="6" fillId="0" borderId="0" xfId="1" applyNumberFormat="1" applyFont="1" applyFill="1" applyBorder="1"/>
    <xf numFmtId="169" fontId="6" fillId="0" borderId="12" xfId="7" applyNumberFormat="1" applyFont="1" applyBorder="1" applyAlignment="1">
      <alignment horizontal="right"/>
    </xf>
    <xf numFmtId="179" fontId="5" fillId="0" borderId="16" xfId="3" applyNumberFormat="1" applyFont="1" applyBorder="1"/>
    <xf numFmtId="179" fontId="5" fillId="0" borderId="0" xfId="3" applyNumberFormat="1" applyFont="1"/>
    <xf numFmtId="179" fontId="5" fillId="0" borderId="0" xfId="3" applyNumberFormat="1" applyFont="1" applyBorder="1"/>
    <xf numFmtId="179" fontId="5" fillId="0" borderId="0" xfId="1" applyNumberFormat="1" applyFont="1"/>
    <xf numFmtId="167" fontId="1" fillId="0" borderId="1" xfId="1" applyNumberFormat="1" applyFont="1" applyBorder="1"/>
    <xf numFmtId="9" fontId="6" fillId="21" borderId="12" xfId="7" applyNumberFormat="1" applyFont="1" applyFill="1" applyBorder="1" applyAlignment="1">
      <alignment horizontal="right"/>
    </xf>
    <xf numFmtId="2" fontId="0" fillId="0" borderId="5" xfId="0" applyNumberFormat="1" applyBorder="1"/>
    <xf numFmtId="1" fontId="0" fillId="0" borderId="0" xfId="0" applyNumberFormat="1" applyFill="1"/>
    <xf numFmtId="9" fontId="5" fillId="0" borderId="0" xfId="7" applyFont="1" applyFill="1"/>
    <xf numFmtId="0" fontId="5" fillId="0" borderId="4" xfId="0" applyFont="1" applyBorder="1"/>
    <xf numFmtId="0" fontId="6" fillId="0" borderId="1" xfId="0" applyFont="1" applyBorder="1"/>
    <xf numFmtId="0" fontId="5" fillId="0" borderId="16" xfId="0" applyFont="1" applyBorder="1"/>
    <xf numFmtId="0" fontId="5" fillId="0" borderId="1" xfId="0" applyFont="1" applyBorder="1"/>
    <xf numFmtId="0" fontId="6" fillId="0" borderId="6" xfId="0" applyFont="1" applyBorder="1"/>
    <xf numFmtId="0" fontId="6" fillId="0" borderId="7" xfId="0" applyFont="1" applyBorder="1"/>
    <xf numFmtId="0" fontId="0" fillId="0" borderId="0" xfId="0" applyBorder="1" applyAlignment="1">
      <alignment horizontal="left" vertical="center" wrapText="1" indent="1"/>
    </xf>
    <xf numFmtId="7" fontId="6" fillId="0" borderId="0" xfId="0" applyNumberFormat="1" applyFont="1" applyFill="1" applyBorder="1"/>
    <xf numFmtId="7" fontId="7" fillId="0" borderId="0" xfId="0" applyNumberFormat="1" applyFont="1" applyFill="1" applyBorder="1" applyAlignment="1">
      <alignment horizontal="right"/>
    </xf>
    <xf numFmtId="7" fontId="6" fillId="0" borderId="0" xfId="0" applyNumberFormat="1" applyFont="1" applyFill="1" applyBorder="1" applyAlignment="1">
      <alignment horizontal="center"/>
    </xf>
    <xf numFmtId="0" fontId="60" fillId="0" borderId="0" xfId="0" applyFont="1"/>
    <xf numFmtId="0" fontId="54" fillId="0" borderId="0" xfId="0" applyFont="1" applyAlignment="1">
      <alignment horizontal="left" indent="1"/>
    </xf>
    <xf numFmtId="0" fontId="3" fillId="0" borderId="0" xfId="0" applyFont="1" applyAlignment="1">
      <alignment horizontal="left" vertical="center" wrapText="1" indent="1"/>
    </xf>
    <xf numFmtId="0" fontId="0" fillId="0" borderId="0" xfId="0" applyBorder="1" applyAlignment="1">
      <alignment horizontal="left" vertical="center" wrapText="1" indent="1"/>
    </xf>
    <xf numFmtId="0" fontId="7" fillId="0" borderId="0" xfId="0" applyFont="1" applyAlignment="1">
      <alignment horizontal="left" vertical="center" wrapText="1" indent="1"/>
    </xf>
    <xf numFmtId="0" fontId="60" fillId="0" borderId="0" xfId="0" applyFont="1" applyBorder="1"/>
    <xf numFmtId="0" fontId="60" fillId="0" borderId="16" xfId="0" applyFont="1" applyBorder="1"/>
    <xf numFmtId="0" fontId="15" fillId="0" borderId="1" xfId="0" applyFont="1" applyBorder="1"/>
    <xf numFmtId="2" fontId="5" fillId="0" borderId="0" xfId="0" applyNumberFormat="1" applyFont="1"/>
    <xf numFmtId="2" fontId="0" fillId="0" borderId="1" xfId="0" applyNumberFormat="1" applyBorder="1"/>
    <xf numFmtId="167" fontId="1" fillId="0" borderId="0" xfId="0" applyNumberFormat="1" applyFont="1"/>
    <xf numFmtId="167" fontId="1" fillId="0" borderId="16" xfId="0" applyNumberFormat="1" applyFont="1" applyBorder="1"/>
    <xf numFmtId="0" fontId="3" fillId="0" borderId="0" xfId="0" applyFont="1" applyBorder="1" applyAlignment="1">
      <alignment vertical="center"/>
    </xf>
    <xf numFmtId="0" fontId="5" fillId="23" borderId="2" xfId="0" applyFont="1" applyFill="1" applyBorder="1"/>
    <xf numFmtId="0" fontId="0" fillId="23" borderId="3" xfId="0" applyFill="1" applyBorder="1"/>
    <xf numFmtId="169" fontId="5" fillId="23" borderId="3" xfId="0" applyNumberFormat="1" applyFont="1" applyFill="1" applyBorder="1"/>
    <xf numFmtId="0" fontId="5" fillId="23" borderId="4" xfId="0" applyFont="1" applyFill="1" applyBorder="1"/>
    <xf numFmtId="165" fontId="5" fillId="0" borderId="16" xfId="1" applyNumberFormat="1" applyFont="1" applyBorder="1"/>
    <xf numFmtId="0" fontId="0" fillId="28" borderId="0" xfId="0" applyFill="1" applyBorder="1"/>
    <xf numFmtId="7" fontId="0" fillId="28" borderId="0" xfId="0" applyNumberFormat="1" applyFill="1" applyBorder="1" applyAlignment="1">
      <alignment horizontal="left"/>
    </xf>
    <xf numFmtId="180" fontId="41" fillId="28" borderId="0" xfId="7" applyNumberFormat="1" applyFont="1" applyFill="1" applyBorder="1" applyAlignment="1">
      <alignment horizontal="left"/>
    </xf>
    <xf numFmtId="0" fontId="5" fillId="28" borderId="0" xfId="0" applyFont="1" applyFill="1" applyBorder="1"/>
    <xf numFmtId="0" fontId="0" fillId="28" borderId="0" xfId="0" applyFill="1" applyBorder="1" applyAlignment="1">
      <alignment horizontal="left"/>
    </xf>
    <xf numFmtId="0" fontId="39" fillId="28" borderId="2" xfId="0" applyFont="1" applyFill="1" applyBorder="1" applyAlignment="1">
      <alignment horizontal="left" indent="1"/>
    </xf>
    <xf numFmtId="0" fontId="0" fillId="28" borderId="3" xfId="0" applyFill="1" applyBorder="1"/>
    <xf numFmtId="0" fontId="0" fillId="28" borderId="4" xfId="0" applyFill="1" applyBorder="1"/>
    <xf numFmtId="0" fontId="6" fillId="28" borderId="16" xfId="0" applyFont="1" applyFill="1" applyBorder="1" applyAlignment="1">
      <alignment horizontal="left" indent="1"/>
    </xf>
    <xf numFmtId="0" fontId="0" fillId="28" borderId="1" xfId="0" applyFill="1" applyBorder="1"/>
    <xf numFmtId="0" fontId="6" fillId="28" borderId="5" xfId="0" applyFont="1" applyFill="1" applyBorder="1" applyAlignment="1">
      <alignment horizontal="left" indent="1"/>
    </xf>
    <xf numFmtId="0" fontId="0" fillId="28" borderId="6" xfId="0" applyFill="1" applyBorder="1"/>
    <xf numFmtId="180" fontId="41" fillId="28" borderId="6" xfId="7" applyNumberFormat="1" applyFont="1" applyFill="1" applyBorder="1" applyAlignment="1">
      <alignment horizontal="left"/>
    </xf>
    <xf numFmtId="0" fontId="0" fillId="28" borderId="7" xfId="0" applyFill="1" applyBorder="1"/>
    <xf numFmtId="0" fontId="4" fillId="0" borderId="0" xfId="5" applyFont="1" applyAlignment="1" applyProtection="1">
      <alignment horizontal="center"/>
    </xf>
    <xf numFmtId="0" fontId="4" fillId="0" borderId="0" xfId="5" applyFont="1" applyAlignment="1" applyProtection="1">
      <alignment horizontal="center" wrapText="1"/>
    </xf>
    <xf numFmtId="0" fontId="5" fillId="29" borderId="25" xfId="0" applyFont="1" applyFill="1" applyBorder="1"/>
    <xf numFmtId="0" fontId="0" fillId="29" borderId="26" xfId="0" applyFill="1" applyBorder="1"/>
    <xf numFmtId="0" fontId="5" fillId="29" borderId="27" xfId="0" applyFont="1" applyFill="1" applyBorder="1"/>
    <xf numFmtId="0" fontId="0" fillId="29" borderId="28" xfId="0" applyFill="1" applyBorder="1"/>
    <xf numFmtId="0" fontId="0" fillId="29" borderId="0" xfId="0" applyFill="1" applyBorder="1"/>
    <xf numFmtId="169" fontId="18" fillId="30" borderId="8" xfId="7" applyNumberFormat="1" applyFont="1" applyFill="1" applyBorder="1" applyAlignment="1">
      <alignment horizontal="right" indent="1"/>
    </xf>
    <xf numFmtId="3" fontId="18" fillId="30" borderId="8" xfId="7" applyNumberFormat="1" applyFont="1" applyFill="1" applyBorder="1" applyAlignment="1">
      <alignment horizontal="center"/>
    </xf>
    <xf numFmtId="0" fontId="6" fillId="0" borderId="0" xfId="0" applyFont="1" applyFill="1" applyBorder="1" applyAlignment="1">
      <alignment horizontal="left" indent="1"/>
    </xf>
    <xf numFmtId="180" fontId="41" fillId="0" borderId="0" xfId="7" applyNumberFormat="1" applyFont="1" applyFill="1" applyBorder="1" applyAlignment="1">
      <alignment horizontal="left"/>
    </xf>
    <xf numFmtId="0" fontId="61" fillId="31" borderId="0" xfId="0" applyFont="1" applyFill="1"/>
    <xf numFmtId="0" fontId="62" fillId="31" borderId="0" xfId="0" applyFont="1" applyFill="1"/>
    <xf numFmtId="0" fontId="61" fillId="0" borderId="0" xfId="0" applyFont="1"/>
    <xf numFmtId="0" fontId="6" fillId="15" borderId="16" xfId="0" applyFont="1" applyFill="1" applyBorder="1"/>
    <xf numFmtId="0" fontId="0" fillId="15" borderId="0" xfId="0" applyFill="1" applyBorder="1"/>
    <xf numFmtId="7" fontId="7" fillId="15" borderId="1" xfId="0" applyNumberFormat="1" applyFont="1" applyFill="1" applyBorder="1" applyAlignment="1">
      <alignment horizontal="right"/>
    </xf>
    <xf numFmtId="0" fontId="7" fillId="15" borderId="1" xfId="0" applyFont="1" applyFill="1" applyBorder="1" applyAlignment="1">
      <alignment horizontal="right"/>
    </xf>
    <xf numFmtId="0" fontId="1" fillId="15" borderId="5" xfId="0" applyFont="1" applyFill="1" applyBorder="1"/>
    <xf numFmtId="0" fontId="0" fillId="15" borderId="6" xfId="0" applyFill="1" applyBorder="1"/>
    <xf numFmtId="7" fontId="7" fillId="15" borderId="7" xfId="0" applyNumberFormat="1" applyFont="1" applyFill="1" applyBorder="1" applyAlignment="1">
      <alignment horizontal="right"/>
    </xf>
    <xf numFmtId="0" fontId="0" fillId="27" borderId="16" xfId="0" applyFill="1" applyBorder="1"/>
    <xf numFmtId="0" fontId="0" fillId="28" borderId="16" xfId="0" applyFill="1" applyBorder="1"/>
    <xf numFmtId="0" fontId="5" fillId="28" borderId="16" xfId="0" applyFont="1" applyFill="1" applyBorder="1" applyAlignment="1">
      <alignment horizontal="left" indent="1"/>
    </xf>
    <xf numFmtId="0" fontId="0" fillId="28" borderId="6" xfId="0" applyFill="1" applyBorder="1" applyAlignment="1">
      <alignment vertical="center"/>
    </xf>
    <xf numFmtId="0" fontId="5" fillId="28" borderId="16" xfId="0" applyFont="1" applyFill="1" applyBorder="1" applyAlignment="1">
      <alignment horizontal="right" indent="1"/>
    </xf>
    <xf numFmtId="0" fontId="34" fillId="28" borderId="1" xfId="5" applyFont="1" applyFill="1" applyBorder="1" applyAlignment="1" applyProtection="1">
      <alignment horizontal="left" wrapText="1"/>
    </xf>
    <xf numFmtId="0" fontId="34" fillId="28" borderId="7" xfId="5" applyFont="1" applyFill="1" applyBorder="1" applyAlignment="1" applyProtection="1">
      <alignment horizontal="left" vertical="center" wrapText="1"/>
    </xf>
    <xf numFmtId="0" fontId="5" fillId="28" borderId="5" xfId="0" applyFont="1" applyFill="1" applyBorder="1" applyAlignment="1">
      <alignment horizontal="right" vertical="center" indent="1"/>
    </xf>
    <xf numFmtId="0" fontId="5" fillId="28" borderId="16" xfId="0" applyFont="1" applyFill="1" applyBorder="1"/>
    <xf numFmtId="0" fontId="0" fillId="28" borderId="5" xfId="0" applyFill="1" applyBorder="1"/>
    <xf numFmtId="0" fontId="0" fillId="0" borderId="0" xfId="0" applyAlignment="1">
      <alignment horizontal="left" indent="3"/>
    </xf>
    <xf numFmtId="165" fontId="0" fillId="0" borderId="0" xfId="1" applyNumberFormat="1" applyFont="1" applyAlignment="1">
      <alignment horizontal="left" indent="1"/>
    </xf>
    <xf numFmtId="167" fontId="0" fillId="0" borderId="0" xfId="1" applyNumberFormat="1" applyFont="1" applyAlignment="1">
      <alignment horizontal="left" indent="1"/>
    </xf>
    <xf numFmtId="0" fontId="1" fillId="27" borderId="0" xfId="0" applyFont="1" applyFill="1" applyBorder="1" applyAlignment="1">
      <alignment horizontal="right"/>
    </xf>
    <xf numFmtId="178" fontId="0" fillId="27" borderId="0" xfId="0" applyNumberFormat="1" applyFill="1" applyBorder="1"/>
    <xf numFmtId="2" fontId="0" fillId="27" borderId="0" xfId="0" applyNumberFormat="1" applyFill="1" applyBorder="1"/>
    <xf numFmtId="165" fontId="0" fillId="27" borderId="0" xfId="0" applyNumberFormat="1" applyFill="1" applyBorder="1"/>
    <xf numFmtId="165" fontId="5" fillId="27" borderId="1" xfId="0" applyNumberFormat="1" applyFont="1" applyFill="1" applyBorder="1"/>
    <xf numFmtId="43" fontId="0" fillId="27" borderId="0" xfId="0" applyNumberFormat="1" applyFill="1" applyBorder="1"/>
    <xf numFmtId="168" fontId="0" fillId="27" borderId="0" xfId="0" applyNumberFormat="1" applyFill="1" applyBorder="1"/>
    <xf numFmtId="0" fontId="0" fillId="27" borderId="21" xfId="0" applyFill="1" applyBorder="1"/>
    <xf numFmtId="165" fontId="5" fillId="27" borderId="38" xfId="0" applyNumberFormat="1" applyFont="1" applyFill="1" applyBorder="1"/>
    <xf numFmtId="0" fontId="5" fillId="27" borderId="37" xfId="0" applyFont="1" applyFill="1" applyBorder="1"/>
    <xf numFmtId="0" fontId="5" fillId="27" borderId="13" xfId="0" applyFont="1" applyFill="1" applyBorder="1"/>
    <xf numFmtId="0" fontId="5" fillId="27" borderId="13" xfId="0" applyFont="1" applyFill="1" applyBorder="1" applyAlignment="1">
      <alignment horizontal="right"/>
    </xf>
    <xf numFmtId="165" fontId="5" fillId="27" borderId="13" xfId="0" applyNumberFormat="1" applyFont="1" applyFill="1" applyBorder="1"/>
    <xf numFmtId="0" fontId="48" fillId="7" borderId="0" xfId="0" applyFont="1" applyFill="1"/>
    <xf numFmtId="0" fontId="49" fillId="7" borderId="0" xfId="0" applyFont="1" applyFill="1"/>
    <xf numFmtId="165" fontId="0" fillId="27" borderId="4" xfId="1" applyNumberFormat="1" applyFont="1" applyFill="1" applyBorder="1"/>
    <xf numFmtId="0" fontId="3" fillId="27" borderId="16" xfId="0" applyFont="1" applyFill="1" applyBorder="1" applyAlignment="1">
      <alignment horizontal="left" indent="1"/>
    </xf>
    <xf numFmtId="165" fontId="0" fillId="27" borderId="1" xfId="0" applyNumberFormat="1" applyFill="1" applyBorder="1"/>
    <xf numFmtId="0" fontId="3" fillId="27" borderId="5" xfId="0" applyFont="1" applyFill="1" applyBorder="1" applyAlignment="1">
      <alignment horizontal="left" indent="1"/>
    </xf>
    <xf numFmtId="0" fontId="0" fillId="27" borderId="7" xfId="0" applyFill="1" applyBorder="1"/>
    <xf numFmtId="7" fontId="5" fillId="0" borderId="8" xfId="3" applyNumberFormat="1" applyFont="1" applyBorder="1" applyAlignment="1">
      <alignment horizontal="center"/>
    </xf>
    <xf numFmtId="0" fontId="7" fillId="0" borderId="0" xfId="0" applyFont="1" applyFill="1" applyBorder="1" applyAlignment="1">
      <alignment horizontal="right"/>
    </xf>
    <xf numFmtId="0" fontId="1" fillId="0" borderId="0" xfId="0" applyFont="1" applyAlignment="1">
      <alignment horizontal="right"/>
    </xf>
    <xf numFmtId="0" fontId="1" fillId="0" borderId="0" xfId="0" applyFont="1" applyAlignment="1">
      <alignment horizontal="center"/>
    </xf>
    <xf numFmtId="0" fontId="0" fillId="32" borderId="16" xfId="0" applyFill="1" applyBorder="1"/>
    <xf numFmtId="0" fontId="0" fillId="32" borderId="0" xfId="0" applyFill="1" applyBorder="1"/>
    <xf numFmtId="0" fontId="0" fillId="32" borderId="1" xfId="0" applyFill="1" applyBorder="1"/>
    <xf numFmtId="0" fontId="1" fillId="32" borderId="0" xfId="0" applyFont="1" applyFill="1" applyBorder="1" applyAlignment="1">
      <alignment horizontal="right"/>
    </xf>
    <xf numFmtId="0" fontId="1" fillId="32" borderId="1" xfId="0" applyFont="1" applyFill="1" applyBorder="1" applyAlignment="1">
      <alignment horizontal="right"/>
    </xf>
    <xf numFmtId="0" fontId="1" fillId="32" borderId="16" xfId="0" applyFont="1" applyFill="1" applyBorder="1" applyAlignment="1">
      <alignment horizontal="right"/>
    </xf>
    <xf numFmtId="165" fontId="0" fillId="32" borderId="0" xfId="0" applyNumberFormat="1" applyFill="1" applyBorder="1"/>
    <xf numFmtId="165" fontId="0" fillId="32" borderId="1" xfId="0" applyNumberFormat="1" applyFill="1" applyBorder="1"/>
    <xf numFmtId="0" fontId="3" fillId="32" borderId="16" xfId="0" applyFont="1" applyFill="1" applyBorder="1" applyAlignment="1">
      <alignment horizontal="left" indent="1"/>
    </xf>
    <xf numFmtId="168" fontId="0" fillId="32" borderId="0" xfId="0" applyNumberFormat="1" applyFill="1" applyBorder="1"/>
    <xf numFmtId="168" fontId="0" fillId="32" borderId="1" xfId="0" applyNumberFormat="1" applyFill="1" applyBorder="1"/>
    <xf numFmtId="0" fontId="3" fillId="32" borderId="16" xfId="0" applyFont="1" applyFill="1" applyBorder="1" applyAlignment="1">
      <alignment horizontal="right"/>
    </xf>
    <xf numFmtId="165" fontId="0" fillId="32" borderId="0" xfId="1" applyNumberFormat="1" applyFont="1" applyFill="1" applyBorder="1" applyAlignment="1">
      <alignment horizontal="left" indent="1"/>
    </xf>
    <xf numFmtId="165" fontId="0" fillId="32" borderId="1" xfId="1" applyNumberFormat="1" applyFont="1" applyFill="1" applyBorder="1" applyAlignment="1">
      <alignment horizontal="left" indent="1"/>
    </xf>
    <xf numFmtId="9" fontId="0" fillId="32" borderId="0" xfId="0" applyNumberFormat="1" applyFill="1" applyBorder="1"/>
    <xf numFmtId="9" fontId="0" fillId="32" borderId="1" xfId="0" applyNumberFormat="1" applyFill="1" applyBorder="1"/>
    <xf numFmtId="0" fontId="0" fillId="32" borderId="5" xfId="0" applyFill="1" applyBorder="1"/>
    <xf numFmtId="165" fontId="5" fillId="32" borderId="6" xfId="0" applyNumberFormat="1" applyFont="1" applyFill="1" applyBorder="1"/>
    <xf numFmtId="165" fontId="5" fillId="32" borderId="7" xfId="1" applyNumberFormat="1" applyFont="1" applyFill="1" applyBorder="1" applyAlignment="1">
      <alignment horizontal="left" indent="1"/>
    </xf>
    <xf numFmtId="0" fontId="0" fillId="0" borderId="0" xfId="0" applyAlignment="1">
      <alignment horizontal="right" wrapText="1"/>
    </xf>
    <xf numFmtId="168" fontId="0" fillId="7" borderId="0" xfId="0" applyNumberFormat="1" applyFill="1"/>
    <xf numFmtId="0" fontId="5" fillId="23" borderId="9" xfId="0" applyFont="1" applyFill="1" applyBorder="1" applyAlignment="1">
      <alignment horizontal="center"/>
    </xf>
    <xf numFmtId="0" fontId="3" fillId="23" borderId="0" xfId="0" applyFont="1" applyFill="1" applyAlignment="1">
      <alignment horizontal="center"/>
    </xf>
    <xf numFmtId="0" fontId="0" fillId="0" borderId="0" xfId="0" applyFont="1"/>
    <xf numFmtId="14" fontId="0" fillId="0" borderId="0" xfId="0" applyNumberFormat="1"/>
    <xf numFmtId="0" fontId="0" fillId="0" borderId="0" xfId="0" applyFont="1" applyAlignment="1">
      <alignment wrapText="1"/>
    </xf>
    <xf numFmtId="178" fontId="6" fillId="23" borderId="4" xfId="0" applyNumberFormat="1" applyFont="1" applyFill="1" applyBorder="1" applyAlignment="1">
      <alignment wrapText="1"/>
    </xf>
    <xf numFmtId="178" fontId="6" fillId="23" borderId="1" xfId="0" applyNumberFormat="1" applyFont="1" applyFill="1" applyBorder="1" applyAlignment="1">
      <alignment wrapText="1"/>
    </xf>
    <xf numFmtId="4" fontId="6" fillId="23" borderId="1" xfId="0" applyNumberFormat="1" applyFont="1" applyFill="1" applyBorder="1" applyAlignment="1">
      <alignment wrapText="1"/>
    </xf>
    <xf numFmtId="168" fontId="1" fillId="23" borderId="4" xfId="0" applyNumberFormat="1" applyFont="1" applyFill="1" applyBorder="1" applyAlignment="1">
      <alignment horizontal="right"/>
    </xf>
    <xf numFmtId="168" fontId="1" fillId="23" borderId="1" xfId="0" applyNumberFormat="1" applyFont="1" applyFill="1" applyBorder="1" applyAlignment="1">
      <alignment horizontal="right"/>
    </xf>
    <xf numFmtId="3" fontId="6" fillId="23" borderId="1" xfId="0" applyNumberFormat="1" applyFont="1" applyFill="1" applyBorder="1" applyAlignment="1">
      <alignment wrapText="1"/>
    </xf>
    <xf numFmtId="0" fontId="6" fillId="23" borderId="1" xfId="0" applyFont="1" applyFill="1" applyBorder="1" applyAlignment="1">
      <alignment wrapText="1"/>
    </xf>
    <xf numFmtId="3" fontId="1" fillId="23" borderId="7" xfId="0" applyNumberFormat="1" applyFont="1" applyFill="1" applyBorder="1" applyAlignment="1">
      <alignment wrapText="1"/>
    </xf>
    <xf numFmtId="0" fontId="0" fillId="0" borderId="0" xfId="0" applyAlignment="1">
      <alignment vertical="center" wrapText="1"/>
    </xf>
    <xf numFmtId="14" fontId="0" fillId="0" borderId="0" xfId="0" applyNumberFormat="1" applyAlignment="1">
      <alignment vertical="center" wrapText="1"/>
    </xf>
    <xf numFmtId="166" fontId="0" fillId="0" borderId="0" xfId="0" applyNumberFormat="1" applyFill="1" applyAlignment="1">
      <alignment horizontal="left" indent="2"/>
    </xf>
    <xf numFmtId="0" fontId="1" fillId="0" borderId="0" xfId="0" applyFont="1" applyFill="1"/>
    <xf numFmtId="0" fontId="11" fillId="0" borderId="0" xfId="0" applyFont="1" applyFill="1"/>
    <xf numFmtId="3" fontId="3" fillId="0" borderId="0" xfId="0" applyNumberFormat="1" applyFont="1" applyFill="1" applyAlignment="1">
      <alignment wrapText="1"/>
    </xf>
    <xf numFmtId="0" fontId="7" fillId="0" borderId="0" xfId="0" applyFont="1" applyFill="1" applyAlignment="1">
      <alignment horizontal="center"/>
    </xf>
    <xf numFmtId="166" fontId="1" fillId="0" borderId="0" xfId="0" applyNumberFormat="1" applyFont="1" applyAlignment="1">
      <alignment horizontal="right" indent="2"/>
    </xf>
    <xf numFmtId="166" fontId="0" fillId="0" borderId="0" xfId="0" applyNumberFormat="1" applyAlignment="1">
      <alignment horizontal="right" indent="2"/>
    </xf>
    <xf numFmtId="0" fontId="1" fillId="0" borderId="0" xfId="0" applyFont="1" applyFill="1" applyBorder="1"/>
    <xf numFmtId="9" fontId="0" fillId="0" borderId="0" xfId="7" applyFont="1" applyFill="1" applyBorder="1"/>
    <xf numFmtId="165" fontId="5" fillId="0" borderId="0" xfId="1" applyNumberFormat="1" applyFont="1" applyFill="1" applyBorder="1"/>
    <xf numFmtId="9" fontId="5" fillId="0" borderId="0" xfId="7" applyFont="1" applyFill="1" applyBorder="1"/>
    <xf numFmtId="0" fontId="5" fillId="0" borderId="0" xfId="0" applyFont="1" applyFill="1"/>
    <xf numFmtId="0" fontId="0" fillId="0" borderId="0" xfId="0" applyFont="1" applyFill="1" applyAlignment="1">
      <alignment horizontal="left" vertical="center" wrapText="1" indent="1"/>
    </xf>
    <xf numFmtId="0" fontId="0" fillId="0" borderId="0" xfId="0" applyFill="1" applyAlignment="1">
      <alignment horizontal="left" vertical="center" wrapText="1" indent="1"/>
    </xf>
    <xf numFmtId="4" fontId="0" fillId="0" borderId="0" xfId="0" applyNumberFormat="1"/>
    <xf numFmtId="165" fontId="6" fillId="33" borderId="5" xfId="1" applyNumberFormat="1" applyFont="1" applyFill="1" applyBorder="1"/>
    <xf numFmtId="165" fontId="6" fillId="33" borderId="6" xfId="1" applyNumberFormat="1" applyFont="1" applyFill="1" applyBorder="1"/>
    <xf numFmtId="165" fontId="1" fillId="33" borderId="6" xfId="1" applyNumberFormat="1" applyFont="1" applyFill="1" applyBorder="1"/>
    <xf numFmtId="0" fontId="0" fillId="33" borderId="4" xfId="0" applyFill="1" applyBorder="1"/>
    <xf numFmtId="168" fontId="0" fillId="0" borderId="0" xfId="0" applyNumberFormat="1" applyFill="1"/>
    <xf numFmtId="168" fontId="0" fillId="0" borderId="0" xfId="0" applyNumberFormat="1" applyFill="1" applyBorder="1"/>
    <xf numFmtId="0" fontId="3" fillId="0" borderId="0" xfId="0" applyFont="1" applyFill="1" applyBorder="1" applyAlignment="1">
      <alignment horizontal="right" vertical="center" wrapText="1"/>
    </xf>
    <xf numFmtId="0" fontId="0" fillId="0" borderId="0" xfId="0" applyFill="1" applyBorder="1" applyAlignment="1">
      <alignment horizontal="right" vertical="center" wrapText="1"/>
    </xf>
    <xf numFmtId="0" fontId="3" fillId="0" borderId="0" xfId="0" applyFont="1" applyFill="1" applyBorder="1" applyAlignment="1">
      <alignment horizontal="right" vertical="center"/>
    </xf>
    <xf numFmtId="0" fontId="0" fillId="0" borderId="0" xfId="0" applyFill="1" applyBorder="1" applyAlignment="1">
      <alignment horizontal="right" vertical="center"/>
    </xf>
    <xf numFmtId="168" fontId="0" fillId="0" borderId="6" xfId="0" applyNumberFormat="1" applyBorder="1"/>
    <xf numFmtId="0" fontId="0" fillId="0" borderId="0" xfId="0" applyBorder="1" applyAlignment="1"/>
    <xf numFmtId="0" fontId="6" fillId="0" borderId="10" xfId="0" applyFont="1" applyBorder="1" applyAlignment="1">
      <alignment horizontal="center"/>
    </xf>
    <xf numFmtId="166" fontId="0" fillId="0" borderId="0" xfId="0" applyNumberFormat="1" applyFill="1" applyBorder="1"/>
    <xf numFmtId="0" fontId="3" fillId="0" borderId="1" xfId="0" applyFont="1" applyFill="1" applyBorder="1" applyAlignment="1">
      <alignment horizontal="right"/>
    </xf>
    <xf numFmtId="166" fontId="0" fillId="0" borderId="1" xfId="0" applyNumberFormat="1" applyFill="1" applyBorder="1"/>
    <xf numFmtId="165" fontId="6" fillId="0" borderId="1" xfId="1" applyNumberFormat="1" applyFont="1" applyFill="1" applyBorder="1"/>
    <xf numFmtId="3" fontId="0" fillId="33" borderId="7" xfId="0" applyNumberFormat="1" applyFill="1" applyBorder="1"/>
    <xf numFmtId="165" fontId="5" fillId="9" borderId="4" xfId="1" applyNumberFormat="1" applyFont="1" applyFill="1" applyBorder="1"/>
    <xf numFmtId="1" fontId="5" fillId="7" borderId="0" xfId="0" applyNumberFormat="1" applyFont="1" applyFill="1"/>
    <xf numFmtId="168" fontId="52" fillId="7" borderId="0" xfId="0" applyNumberFormat="1" applyFont="1" applyFill="1"/>
    <xf numFmtId="0" fontId="3" fillId="7" borderId="0" xfId="0" applyFont="1" applyFill="1"/>
    <xf numFmtId="0" fontId="7" fillId="21" borderId="16" xfId="0" applyFont="1" applyFill="1" applyBorder="1" applyAlignment="1">
      <alignment horizontal="right"/>
    </xf>
    <xf numFmtId="0" fontId="7" fillId="21" borderId="0" xfId="0" applyFont="1" applyFill="1" applyBorder="1" applyAlignment="1">
      <alignment horizontal="right"/>
    </xf>
    <xf numFmtId="0" fontId="7" fillId="21" borderId="1" xfId="0" applyFont="1" applyFill="1" applyBorder="1" applyAlignment="1">
      <alignment horizontal="center"/>
    </xf>
    <xf numFmtId="0" fontId="0" fillId="21" borderId="16" xfId="0" applyFill="1" applyBorder="1"/>
    <xf numFmtId="0" fontId="0" fillId="21" borderId="0" xfId="0" applyFill="1" applyBorder="1"/>
    <xf numFmtId="166" fontId="0" fillId="21" borderId="16" xfId="0" applyNumberFormat="1" applyFill="1" applyBorder="1"/>
    <xf numFmtId="166" fontId="0" fillId="21" borderId="0" xfId="0" applyNumberFormat="1" applyFill="1" applyBorder="1"/>
    <xf numFmtId="166" fontId="0" fillId="21" borderId="1" xfId="0" applyNumberFormat="1" applyFill="1" applyBorder="1"/>
    <xf numFmtId="0" fontId="0" fillId="21" borderId="1" xfId="0" applyFill="1" applyBorder="1"/>
    <xf numFmtId="0" fontId="7" fillId="21" borderId="1" xfId="0" applyFont="1" applyFill="1" applyBorder="1" applyAlignment="1">
      <alignment horizontal="right"/>
    </xf>
    <xf numFmtId="166" fontId="0" fillId="21" borderId="5" xfId="0" applyNumberFormat="1" applyFill="1" applyBorder="1"/>
    <xf numFmtId="166" fontId="0" fillId="21" borderId="6" xfId="0" applyNumberFormat="1" applyFill="1" applyBorder="1"/>
    <xf numFmtId="166" fontId="0" fillId="21" borderId="7" xfId="0" applyNumberFormat="1" applyFill="1" applyBorder="1"/>
    <xf numFmtId="0" fontId="1" fillId="27" borderId="0" xfId="0" applyFont="1" applyFill="1"/>
    <xf numFmtId="9" fontId="16" fillId="27" borderId="0" xfId="0" applyNumberFormat="1" applyFont="1" applyFill="1"/>
    <xf numFmtId="9" fontId="16" fillId="27" borderId="0" xfId="7" applyFont="1" applyFill="1"/>
    <xf numFmtId="168" fontId="0" fillId="27" borderId="0" xfId="0" applyNumberFormat="1" applyFill="1"/>
    <xf numFmtId="165" fontId="1" fillId="0" borderId="0" xfId="1" applyNumberFormat="1" applyFont="1" applyBorder="1"/>
    <xf numFmtId="0" fontId="0" fillId="0" borderId="0" xfId="0" applyBorder="1" applyAlignment="1">
      <alignment horizontal="left" vertical="center" wrapText="1" indent="1"/>
    </xf>
    <xf numFmtId="0" fontId="0" fillId="0" borderId="0" xfId="0" applyAlignment="1">
      <alignment horizontal="left" vertical="center" wrapText="1" indent="1"/>
    </xf>
    <xf numFmtId="0" fontId="0" fillId="0" borderId="0" xfId="0" applyAlignment="1">
      <alignment horizontal="left" wrapText="1" indent="1"/>
    </xf>
    <xf numFmtId="0" fontId="0" fillId="0" borderId="0" xfId="0" applyAlignment="1">
      <alignment horizontal="left" vertical="center" wrapText="1" indent="1"/>
    </xf>
    <xf numFmtId="0" fontId="0" fillId="0" borderId="0" xfId="0" applyBorder="1" applyAlignment="1">
      <alignment horizontal="left" vertical="center" wrapText="1" indent="1"/>
    </xf>
    <xf numFmtId="166" fontId="0" fillId="27" borderId="0" xfId="0" applyNumberFormat="1" applyFill="1" applyBorder="1"/>
    <xf numFmtId="0" fontId="7" fillId="27" borderId="16" xfId="0" applyFont="1" applyFill="1" applyBorder="1" applyAlignment="1">
      <alignment horizontal="left" indent="1"/>
    </xf>
    <xf numFmtId="166" fontId="0" fillId="27" borderId="1" xfId="0" applyNumberFormat="1" applyFill="1" applyBorder="1"/>
    <xf numFmtId="0" fontId="7" fillId="27" borderId="5" xfId="0" applyFont="1" applyFill="1" applyBorder="1" applyAlignment="1">
      <alignment horizontal="left" indent="1"/>
    </xf>
    <xf numFmtId="10" fontId="0" fillId="27" borderId="6" xfId="7" applyNumberFormat="1" applyFont="1" applyFill="1" applyBorder="1"/>
    <xf numFmtId="10" fontId="0" fillId="27" borderId="7" xfId="7" applyNumberFormat="1" applyFont="1" applyFill="1" applyBorder="1"/>
    <xf numFmtId="181" fontId="0" fillId="0" borderId="0" xfId="0" applyNumberFormat="1"/>
    <xf numFmtId="178" fontId="1" fillId="0" borderId="0" xfId="0" applyNumberFormat="1" applyFont="1"/>
    <xf numFmtId="9" fontId="3" fillId="0" borderId="0" xfId="0" quotePrefix="1" applyNumberFormat="1" applyFont="1" applyBorder="1" applyAlignment="1">
      <alignment horizontal="left" indent="1"/>
    </xf>
    <xf numFmtId="0" fontId="5" fillId="23" borderId="8" xfId="0" applyFont="1" applyFill="1" applyBorder="1"/>
    <xf numFmtId="0" fontId="0" fillId="23" borderId="8" xfId="0" applyFill="1" applyBorder="1"/>
    <xf numFmtId="9" fontId="5" fillId="23" borderId="8" xfId="0" applyNumberFormat="1" applyFont="1" applyFill="1" applyBorder="1"/>
    <xf numFmtId="169" fontId="5" fillId="23" borderId="10" xfId="0" applyNumberFormat="1" applyFont="1" applyFill="1" applyBorder="1"/>
    <xf numFmtId="0" fontId="5" fillId="23" borderId="15" xfId="0" applyFont="1" applyFill="1" applyBorder="1"/>
    <xf numFmtId="0" fontId="0" fillId="23" borderId="15" xfId="0" applyFill="1" applyBorder="1"/>
    <xf numFmtId="0" fontId="5" fillId="23" borderId="11" xfId="0" applyFont="1" applyFill="1" applyBorder="1"/>
    <xf numFmtId="0" fontId="0" fillId="23" borderId="9" xfId="0" applyFill="1" applyBorder="1"/>
    <xf numFmtId="0" fontId="0" fillId="23" borderId="10" xfId="0" applyFill="1" applyBorder="1"/>
    <xf numFmtId="10" fontId="5" fillId="23" borderId="8" xfId="0" applyNumberFormat="1" applyFont="1" applyFill="1" applyBorder="1"/>
    <xf numFmtId="9" fontId="5" fillId="23" borderId="10" xfId="0" applyNumberFormat="1" applyFont="1" applyFill="1" applyBorder="1"/>
    <xf numFmtId="169" fontId="5" fillId="23" borderId="8" xfId="0" applyNumberFormat="1" applyFont="1" applyFill="1" applyBorder="1"/>
    <xf numFmtId="165" fontId="5" fillId="0" borderId="1" xfId="1" applyNumberFormat="1" applyFont="1" applyBorder="1"/>
    <xf numFmtId="0" fontId="5" fillId="27" borderId="2" xfId="0" applyFont="1" applyFill="1" applyBorder="1"/>
    <xf numFmtId="0" fontId="0" fillId="27" borderId="4" xfId="0" applyFill="1" applyBorder="1"/>
    <xf numFmtId="0" fontId="2" fillId="27" borderId="16" xfId="0" applyFont="1" applyFill="1" applyBorder="1"/>
    <xf numFmtId="0" fontId="1" fillId="27" borderId="16" xfId="0" applyFont="1" applyFill="1" applyBorder="1" applyAlignment="1">
      <alignment horizontal="left" indent="1"/>
    </xf>
    <xf numFmtId="0" fontId="66" fillId="27" borderId="44" xfId="0" applyFont="1" applyFill="1" applyBorder="1" applyAlignment="1">
      <alignment horizontal="right" wrapText="1"/>
    </xf>
    <xf numFmtId="0" fontId="65" fillId="27" borderId="0" xfId="0" applyFont="1" applyFill="1" applyBorder="1" applyAlignment="1">
      <alignment wrapText="1"/>
    </xf>
    <xf numFmtId="0" fontId="1" fillId="27" borderId="0" xfId="0" applyFont="1" applyFill="1" applyBorder="1"/>
    <xf numFmtId="0" fontId="66" fillId="27" borderId="45" xfId="0" applyFont="1" applyFill="1" applyBorder="1" applyAlignment="1">
      <alignment horizontal="left" wrapText="1"/>
    </xf>
    <xf numFmtId="169" fontId="0" fillId="27" borderId="1" xfId="7" applyNumberFormat="1" applyFont="1" applyFill="1" applyBorder="1"/>
    <xf numFmtId="0" fontId="5" fillId="27" borderId="11" xfId="0" applyFont="1" applyFill="1" applyBorder="1"/>
    <xf numFmtId="0" fontId="5" fillId="27" borderId="9" xfId="0" applyFont="1" applyFill="1" applyBorder="1"/>
    <xf numFmtId="169" fontId="7" fillId="7" borderId="17" xfId="7" applyNumberFormat="1" applyFont="1" applyFill="1" applyBorder="1" applyAlignment="1">
      <alignment horizontal="center" wrapText="1"/>
    </xf>
    <xf numFmtId="169" fontId="7" fillId="7" borderId="8" xfId="7" applyNumberFormat="1" applyFont="1" applyFill="1" applyBorder="1" applyAlignment="1">
      <alignment horizontal="center" wrapText="1"/>
    </xf>
    <xf numFmtId="169" fontId="5" fillId="7" borderId="10" xfId="7" applyNumberFormat="1" applyFont="1" applyFill="1" applyBorder="1"/>
    <xf numFmtId="169" fontId="0" fillId="7" borderId="17" xfId="7" applyNumberFormat="1" applyFont="1" applyFill="1" applyBorder="1"/>
    <xf numFmtId="169" fontId="0" fillId="7" borderId="15" xfId="7" applyNumberFormat="1" applyFont="1" applyFill="1" applyBorder="1"/>
    <xf numFmtId="169" fontId="5" fillId="27" borderId="9" xfId="0" applyNumberFormat="1" applyFont="1" applyFill="1" applyBorder="1"/>
    <xf numFmtId="169" fontId="0" fillId="7" borderId="0" xfId="7" applyNumberFormat="1" applyFont="1" applyFill="1"/>
    <xf numFmtId="0" fontId="1" fillId="0" borderId="0" xfId="0" applyFont="1" applyAlignment="1">
      <alignment horizontal="left" indent="2"/>
    </xf>
    <xf numFmtId="0" fontId="0" fillId="0" borderId="0" xfId="0" applyAlignment="1">
      <alignment horizontal="left" vertical="center" wrapText="1" indent="1"/>
    </xf>
    <xf numFmtId="166" fontId="5" fillId="27" borderId="9" xfId="0" applyNumberFormat="1" applyFont="1" applyFill="1" applyBorder="1"/>
    <xf numFmtId="165" fontId="1" fillId="0" borderId="0" xfId="0" applyNumberFormat="1" applyFont="1"/>
    <xf numFmtId="9" fontId="1" fillId="0" borderId="0" xfId="7" applyFont="1" applyBorder="1" applyAlignment="1">
      <alignment horizontal="center"/>
    </xf>
    <xf numFmtId="9" fontId="1" fillId="0" borderId="1" xfId="7" applyFont="1" applyBorder="1" applyAlignment="1">
      <alignment horizontal="center"/>
    </xf>
    <xf numFmtId="43" fontId="1" fillId="0" borderId="0" xfId="0" applyNumberFormat="1" applyFont="1"/>
    <xf numFmtId="167" fontId="1" fillId="0" borderId="1" xfId="0" applyNumberFormat="1" applyFont="1" applyBorder="1"/>
    <xf numFmtId="0" fontId="67" fillId="0" borderId="0" xfId="9"/>
    <xf numFmtId="0" fontId="0" fillId="0" borderId="0" xfId="0" applyAlignment="1">
      <alignment horizontal="left" wrapText="1" indent="1"/>
    </xf>
    <xf numFmtId="171" fontId="0" fillId="0" borderId="0" xfId="1" applyNumberFormat="1" applyFont="1"/>
    <xf numFmtId="0" fontId="1" fillId="27" borderId="12" xfId="0" applyFont="1" applyFill="1" applyBorder="1" applyAlignment="1">
      <alignment horizontal="left" indent="2"/>
    </xf>
    <xf numFmtId="0" fontId="0" fillId="27" borderId="17" xfId="0" applyFill="1" applyBorder="1" applyAlignment="1">
      <alignment horizontal="left" indent="3"/>
    </xf>
    <xf numFmtId="0" fontId="0" fillId="27" borderId="15" xfId="0" applyFill="1" applyBorder="1" applyAlignment="1">
      <alignment horizontal="left" indent="3"/>
    </xf>
    <xf numFmtId="0" fontId="7" fillId="7" borderId="3" xfId="0" applyFont="1" applyFill="1" applyBorder="1" applyAlignment="1">
      <alignment vertical="center"/>
    </xf>
    <xf numFmtId="0" fontId="66" fillId="27" borderId="46" xfId="0" applyFont="1" applyFill="1" applyBorder="1" applyAlignment="1">
      <alignment horizontal="right" wrapText="1"/>
    </xf>
    <xf numFmtId="169" fontId="0" fillId="24" borderId="12" xfId="0" applyNumberFormat="1" applyFill="1" applyBorder="1"/>
    <xf numFmtId="169" fontId="0" fillId="24" borderId="17" xfId="0" applyNumberFormat="1" applyFill="1" applyBorder="1"/>
    <xf numFmtId="169" fontId="5" fillId="24" borderId="15" xfId="0" applyNumberFormat="1" applyFont="1" applyFill="1" applyBorder="1"/>
    <xf numFmtId="16" fontId="1" fillId="27" borderId="12" xfId="0" quotePrefix="1" applyNumberFormat="1" applyFont="1" applyFill="1" applyBorder="1" applyAlignment="1">
      <alignment horizontal="right"/>
    </xf>
    <xf numFmtId="16" fontId="1" fillId="27" borderId="17" xfId="0" quotePrefix="1" applyNumberFormat="1" applyFont="1" applyFill="1" applyBorder="1" applyAlignment="1">
      <alignment horizontal="right"/>
    </xf>
    <xf numFmtId="16" fontId="1" fillId="27" borderId="15" xfId="0" quotePrefix="1" applyNumberFormat="1" applyFont="1" applyFill="1" applyBorder="1" applyAlignment="1">
      <alignment horizontal="right"/>
    </xf>
    <xf numFmtId="0" fontId="1" fillId="27" borderId="12" xfId="0" applyFont="1" applyFill="1" applyBorder="1"/>
    <xf numFmtId="0" fontId="1" fillId="27" borderId="17" xfId="0" applyFont="1" applyFill="1" applyBorder="1"/>
    <xf numFmtId="0" fontId="1" fillId="27" borderId="15" xfId="0" applyFont="1" applyFill="1" applyBorder="1"/>
    <xf numFmtId="0" fontId="0" fillId="0" borderId="17" xfId="0" applyBorder="1"/>
    <xf numFmtId="0" fontId="0" fillId="0" borderId="15" xfId="0" applyBorder="1"/>
    <xf numFmtId="0" fontId="7" fillId="27" borderId="16" xfId="0" applyFont="1" applyFill="1" applyBorder="1"/>
    <xf numFmtId="182" fontId="1" fillId="28" borderId="0" xfId="7" applyNumberFormat="1" applyFont="1" applyFill="1" applyBorder="1" applyAlignment="1">
      <alignment horizontal="left"/>
    </xf>
    <xf numFmtId="165" fontId="0" fillId="24" borderId="0" xfId="1" applyNumberFormat="1" applyFont="1" applyFill="1" applyAlignment="1">
      <alignment horizontal="right"/>
    </xf>
    <xf numFmtId="1" fontId="1" fillId="24" borderId="0" xfId="0" applyNumberFormat="1" applyFont="1" applyFill="1" applyAlignment="1">
      <alignment horizontal="left" indent="3"/>
    </xf>
    <xf numFmtId="1" fontId="0" fillId="24" borderId="0" xfId="0" applyNumberFormat="1" applyFill="1"/>
    <xf numFmtId="0" fontId="0" fillId="0" borderId="0" xfId="0" applyAlignment="1">
      <alignment horizontal="left" vertical="center" wrapText="1" indent="1"/>
    </xf>
    <xf numFmtId="0" fontId="6" fillId="0" borderId="0" xfId="0" applyFont="1" applyAlignment="1">
      <alignment horizontal="left" vertical="center" indent="1"/>
    </xf>
    <xf numFmtId="0" fontId="18" fillId="0" borderId="0" xfId="0" applyFont="1" applyAlignment="1">
      <alignment horizontal="left" vertical="center" indent="1"/>
    </xf>
    <xf numFmtId="7" fontId="6" fillId="11" borderId="2" xfId="0" applyNumberFormat="1" applyFont="1" applyFill="1" applyBorder="1"/>
    <xf numFmtId="7" fontId="7" fillId="11" borderId="4" xfId="0" applyNumberFormat="1" applyFont="1" applyFill="1" applyBorder="1" applyAlignment="1">
      <alignment horizontal="right"/>
    </xf>
    <xf numFmtId="7" fontId="6" fillId="11" borderId="3" xfId="0" applyNumberFormat="1" applyFont="1" applyFill="1" applyBorder="1"/>
    <xf numFmtId="7" fontId="6" fillId="11" borderId="16" xfId="0" applyNumberFormat="1" applyFont="1" applyFill="1" applyBorder="1"/>
    <xf numFmtId="7" fontId="6" fillId="11" borderId="16" xfId="0" applyNumberFormat="1" applyFont="1" applyFill="1" applyBorder="1" applyAlignment="1">
      <alignment horizontal="center"/>
    </xf>
    <xf numFmtId="7" fontId="6" fillId="11" borderId="5" xfId="0" applyNumberFormat="1" applyFont="1" applyFill="1" applyBorder="1" applyAlignment="1">
      <alignment horizontal="center"/>
    </xf>
    <xf numFmtId="7" fontId="6" fillId="11" borderId="6" xfId="0" applyNumberFormat="1" applyFont="1" applyFill="1" applyBorder="1"/>
    <xf numFmtId="7" fontId="7" fillId="11" borderId="7" xfId="0" applyNumberFormat="1" applyFont="1" applyFill="1" applyBorder="1" applyAlignment="1">
      <alignment horizontal="right"/>
    </xf>
    <xf numFmtId="0" fontId="6" fillId="0" borderId="0" xfId="0" applyFont="1" applyAlignment="1">
      <alignment horizontal="right" indent="1"/>
    </xf>
    <xf numFmtId="0" fontId="1" fillId="0" borderId="0" xfId="0" applyFont="1" applyAlignment="1">
      <alignment horizontal="right" indent="1"/>
    </xf>
    <xf numFmtId="0" fontId="3" fillId="17" borderId="11" xfId="0" applyFont="1" applyFill="1" applyBorder="1" applyAlignment="1">
      <alignment horizontal="left" vertical="center" indent="1"/>
    </xf>
    <xf numFmtId="0" fontId="0" fillId="17" borderId="9" xfId="0" applyFill="1" applyBorder="1" applyAlignment="1">
      <alignment horizontal="left" vertical="center" indent="1"/>
    </xf>
    <xf numFmtId="0" fontId="0" fillId="17" borderId="10" xfId="0" applyFill="1" applyBorder="1" applyAlignment="1">
      <alignment horizontal="left" vertical="center" indent="1"/>
    </xf>
    <xf numFmtId="0" fontId="7" fillId="17" borderId="9" xfId="0" applyFont="1" applyFill="1" applyBorder="1" applyAlignment="1">
      <alignment horizontal="right"/>
    </xf>
    <xf numFmtId="0" fontId="7" fillId="17" borderId="10" xfId="0" applyFont="1" applyFill="1" applyBorder="1" applyAlignment="1">
      <alignment horizontal="right"/>
    </xf>
    <xf numFmtId="9" fontId="6" fillId="17" borderId="12" xfId="7" applyNumberFormat="1" applyFont="1" applyFill="1" applyBorder="1" applyAlignment="1">
      <alignment horizontal="right"/>
    </xf>
    <xf numFmtId="0" fontId="3" fillId="21" borderId="11" xfId="0" applyFont="1" applyFill="1" applyBorder="1" applyAlignment="1">
      <alignment horizontal="left" vertical="center" indent="1"/>
    </xf>
    <xf numFmtId="0" fontId="0" fillId="21" borderId="9" xfId="0" applyFill="1" applyBorder="1" applyAlignment="1">
      <alignment horizontal="left" vertical="center" indent="1"/>
    </xf>
    <xf numFmtId="0" fontId="0" fillId="21" borderId="10" xfId="0" applyFill="1" applyBorder="1" applyAlignment="1">
      <alignment horizontal="left" vertical="center" indent="1"/>
    </xf>
    <xf numFmtId="0" fontId="0" fillId="21" borderId="9" xfId="0" applyFill="1" applyBorder="1"/>
    <xf numFmtId="0" fontId="3" fillId="21" borderId="8" xfId="0" applyFont="1" applyFill="1" applyBorder="1" applyAlignment="1">
      <alignment horizontal="left" vertical="center" indent="1"/>
    </xf>
    <xf numFmtId="0" fontId="0" fillId="24" borderId="11" xfId="0" applyFill="1" applyBorder="1"/>
    <xf numFmtId="0" fontId="3" fillId="24" borderId="9" xfId="0" applyFont="1" applyFill="1" applyBorder="1" applyAlignment="1">
      <alignment horizontal="right"/>
    </xf>
    <xf numFmtId="0" fontId="0" fillId="24" borderId="9" xfId="0" applyFill="1" applyBorder="1" applyAlignment="1">
      <alignment horizontal="center"/>
    </xf>
    <xf numFmtId="0" fontId="0" fillId="24" borderId="0" xfId="0" applyFill="1" applyBorder="1"/>
    <xf numFmtId="0" fontId="3" fillId="24" borderId="9" xfId="0" applyFont="1" applyFill="1" applyBorder="1"/>
    <xf numFmtId="0" fontId="0" fillId="24" borderId="9" xfId="0" applyFill="1" applyBorder="1"/>
    <xf numFmtId="0" fontId="0" fillId="24" borderId="10" xfId="0" applyFill="1" applyBorder="1"/>
    <xf numFmtId="0" fontId="1" fillId="0" borderId="0" xfId="0" applyFont="1" applyFill="1" applyBorder="1" applyAlignment="1">
      <alignment horizontal="left" vertical="center"/>
    </xf>
    <xf numFmtId="0" fontId="2" fillId="0" borderId="0" xfId="0" applyFont="1" applyAlignment="1">
      <alignment horizontal="left" indent="1"/>
    </xf>
    <xf numFmtId="0" fontId="7" fillId="0" borderId="0" xfId="0" applyFont="1" applyAlignment="1">
      <alignment horizontal="left" vertical="top" indent="1"/>
    </xf>
    <xf numFmtId="0" fontId="0" fillId="0" borderId="0" xfId="0" applyAlignment="1">
      <alignment vertical="center" wrapText="1"/>
    </xf>
    <xf numFmtId="0" fontId="6" fillId="0" borderId="0" xfId="0" applyFont="1" applyAlignment="1">
      <alignment horizontal="left" vertical="center" wrapText="1" indent="1"/>
    </xf>
    <xf numFmtId="0" fontId="7" fillId="0" borderId="0" xfId="0" applyFont="1" applyAlignment="1">
      <alignment horizontal="right" wrapText="1"/>
    </xf>
    <xf numFmtId="43" fontId="3" fillId="0" borderId="0" xfId="0" applyNumberFormat="1" applyFont="1"/>
    <xf numFmtId="0" fontId="7" fillId="7" borderId="2" xfId="0" applyFont="1" applyFill="1" applyBorder="1" applyAlignment="1">
      <alignment horizontal="left" vertical="center" wrapText="1" indent="1"/>
    </xf>
    <xf numFmtId="0" fontId="0" fillId="0" borderId="3" xfId="0" applyBorder="1" applyAlignment="1">
      <alignment horizontal="left" vertical="center" wrapText="1" indent="1"/>
    </xf>
    <xf numFmtId="0" fontId="0" fillId="0" borderId="4" xfId="0" applyBorder="1" applyAlignment="1">
      <alignment horizontal="left" vertical="center" wrapText="1" indent="1"/>
    </xf>
    <xf numFmtId="0" fontId="0" fillId="0" borderId="16" xfId="0" applyBorder="1" applyAlignment="1">
      <alignment horizontal="left" vertical="center" wrapText="1" indent="1"/>
    </xf>
    <xf numFmtId="0" fontId="0" fillId="0" borderId="0" xfId="0" applyBorder="1" applyAlignment="1">
      <alignment horizontal="left" vertical="center" wrapText="1" indent="1"/>
    </xf>
    <xf numFmtId="0" fontId="0" fillId="0" borderId="1" xfId="0" applyBorder="1" applyAlignment="1">
      <alignment horizontal="left" vertical="center" wrapText="1" indent="1"/>
    </xf>
    <xf numFmtId="0" fontId="0" fillId="0" borderId="5" xfId="0" applyBorder="1" applyAlignment="1">
      <alignment horizontal="left" vertical="center" wrapText="1" indent="1"/>
    </xf>
    <xf numFmtId="0" fontId="0" fillId="0" borderId="6" xfId="0" applyBorder="1" applyAlignment="1">
      <alignment horizontal="left" vertical="center" wrapText="1" indent="1"/>
    </xf>
    <xf numFmtId="0" fontId="0" fillId="0" borderId="7" xfId="0" applyBorder="1" applyAlignment="1">
      <alignment horizontal="left" vertical="center" wrapText="1" indent="1"/>
    </xf>
    <xf numFmtId="0" fontId="3" fillId="3" borderId="11" xfId="0" applyFont="1" applyFill="1" applyBorder="1" applyAlignment="1">
      <alignment horizontal="right" vertical="center" wrapText="1"/>
    </xf>
    <xf numFmtId="0" fontId="0" fillId="3" borderId="11" xfId="0" applyFill="1" applyBorder="1" applyAlignment="1">
      <alignment horizontal="right" vertical="center" wrapText="1"/>
    </xf>
    <xf numFmtId="0" fontId="3" fillId="3" borderId="12" xfId="0" applyFont="1" applyFill="1" applyBorder="1" applyAlignment="1">
      <alignment horizontal="right" vertical="center" wrapText="1"/>
    </xf>
    <xf numFmtId="0" fontId="3" fillId="3" borderId="17" xfId="0" applyFont="1" applyFill="1" applyBorder="1" applyAlignment="1">
      <alignment horizontal="right" vertical="center" wrapText="1"/>
    </xf>
    <xf numFmtId="0" fontId="3" fillId="3" borderId="15" xfId="0" applyFont="1" applyFill="1" applyBorder="1" applyAlignment="1">
      <alignment horizontal="right" vertical="center" wrapText="1"/>
    </xf>
    <xf numFmtId="0" fontId="3" fillId="5" borderId="12" xfId="0" applyFont="1" applyFill="1" applyBorder="1" applyAlignment="1">
      <alignment horizontal="right" vertical="center" wrapText="1"/>
    </xf>
    <xf numFmtId="0" fontId="0" fillId="5" borderId="17" xfId="0" applyFill="1" applyBorder="1" applyAlignment="1">
      <alignment horizontal="right" vertical="center" wrapText="1"/>
    </xf>
    <xf numFmtId="0" fontId="0" fillId="5" borderId="15" xfId="0" applyFill="1" applyBorder="1" applyAlignment="1">
      <alignment horizontal="right" vertical="center" wrapText="1"/>
    </xf>
    <xf numFmtId="0" fontId="0" fillId="24" borderId="2" xfId="0" applyFill="1" applyBorder="1" applyAlignment="1">
      <alignment horizontal="left" vertical="center" wrapText="1" indent="1"/>
    </xf>
    <xf numFmtId="0" fontId="0" fillId="24" borderId="3" xfId="0" applyFill="1" applyBorder="1" applyAlignment="1">
      <alignment horizontal="left" vertical="center" wrapText="1" indent="1"/>
    </xf>
    <xf numFmtId="0" fontId="0" fillId="24" borderId="4" xfId="0" applyFill="1" applyBorder="1" applyAlignment="1">
      <alignment horizontal="left" vertical="center" wrapText="1" indent="1"/>
    </xf>
    <xf numFmtId="0" fontId="0" fillId="24" borderId="5" xfId="0" applyFill="1" applyBorder="1" applyAlignment="1">
      <alignment horizontal="left" vertical="center" wrapText="1" indent="1"/>
    </xf>
    <xf numFmtId="0" fontId="0" fillId="24" borderId="6" xfId="0" applyFill="1" applyBorder="1" applyAlignment="1">
      <alignment horizontal="left" vertical="center" wrapText="1" indent="1"/>
    </xf>
    <xf numFmtId="0" fontId="0" fillId="24" borderId="7" xfId="0" applyFill="1" applyBorder="1" applyAlignment="1">
      <alignment horizontal="left" vertical="center" wrapText="1" indent="1"/>
    </xf>
    <xf numFmtId="0" fontId="5" fillId="7" borderId="11" xfId="0" applyFont="1" applyFill="1" applyBorder="1" applyAlignment="1">
      <alignment horizontal="center"/>
    </xf>
    <xf numFmtId="0" fontId="5" fillId="7" borderId="9" xfId="0" applyFont="1" applyFill="1" applyBorder="1" applyAlignment="1">
      <alignment horizontal="center"/>
    </xf>
    <xf numFmtId="0" fontId="5" fillId="7" borderId="10" xfId="0" applyFont="1" applyFill="1" applyBorder="1" applyAlignment="1">
      <alignment horizontal="center"/>
    </xf>
    <xf numFmtId="0" fontId="7" fillId="0" borderId="8" xfId="0" applyFont="1" applyBorder="1" applyAlignment="1">
      <alignment horizontal="center"/>
    </xf>
    <xf numFmtId="0" fontId="3" fillId="3" borderId="8" xfId="0" applyFont="1" applyFill="1" applyBorder="1" applyAlignment="1">
      <alignment horizontal="right" vertical="center" wrapText="1"/>
    </xf>
    <xf numFmtId="0" fontId="0" fillId="3" borderId="8" xfId="0" applyFill="1" applyBorder="1" applyAlignment="1">
      <alignment horizontal="right" vertical="center" wrapText="1"/>
    </xf>
    <xf numFmtId="0" fontId="1" fillId="0" borderId="2" xfId="0" applyFont="1" applyBorder="1" applyAlignment="1">
      <alignment horizontal="left" vertical="center" wrapText="1" indent="1"/>
    </xf>
    <xf numFmtId="9" fontId="7" fillId="0" borderId="2" xfId="0" applyNumberFormat="1" applyFont="1" applyBorder="1" applyAlignment="1">
      <alignment horizontal="right" wrapText="1"/>
    </xf>
    <xf numFmtId="0" fontId="0" fillId="0" borderId="16" xfId="0" applyBorder="1" applyAlignment="1">
      <alignment wrapText="1"/>
    </xf>
    <xf numFmtId="0" fontId="0" fillId="0" borderId="17" xfId="0" applyBorder="1" applyAlignment="1">
      <alignment wrapText="1"/>
    </xf>
    <xf numFmtId="0" fontId="0" fillId="0" borderId="15" xfId="0" applyBorder="1" applyAlignment="1">
      <alignment wrapText="1"/>
    </xf>
    <xf numFmtId="0" fontId="5" fillId="0" borderId="8" xfId="0" applyFont="1" applyBorder="1" applyAlignment="1">
      <alignment horizontal="center"/>
    </xf>
    <xf numFmtId="0" fontId="3" fillId="3" borderId="10" xfId="0" applyFont="1" applyFill="1" applyBorder="1" applyAlignment="1">
      <alignment horizontal="right" vertical="center" wrapText="1"/>
    </xf>
    <xf numFmtId="0" fontId="0" fillId="3" borderId="10" xfId="0" applyFill="1" applyBorder="1" applyAlignment="1">
      <alignment horizontal="right" vertical="center" wrapText="1"/>
    </xf>
    <xf numFmtId="0" fontId="7" fillId="24" borderId="12" xfId="0" applyFont="1" applyFill="1" applyBorder="1" applyAlignment="1">
      <alignment horizontal="right" wrapText="1"/>
    </xf>
    <xf numFmtId="0" fontId="7" fillId="24" borderId="17" xfId="0" applyFont="1" applyFill="1" applyBorder="1" applyAlignment="1">
      <alignment horizontal="right" wrapText="1"/>
    </xf>
    <xf numFmtId="0" fontId="7" fillId="24" borderId="15" xfId="0" applyFont="1" applyFill="1" applyBorder="1" applyAlignment="1">
      <alignment horizontal="right" wrapText="1"/>
    </xf>
    <xf numFmtId="0" fontId="7" fillId="0" borderId="0" xfId="0" applyFont="1" applyAlignment="1">
      <alignment horizontal="right" wrapText="1"/>
    </xf>
    <xf numFmtId="0" fontId="5" fillId="0" borderId="0" xfId="0" applyFont="1" applyAlignment="1">
      <alignment horizontal="left" vertical="center" wrapText="1"/>
    </xf>
    <xf numFmtId="0" fontId="39" fillId="0" borderId="0" xfId="0" applyFont="1" applyAlignment="1">
      <alignment horizontal="left" vertical="center" wrapText="1"/>
    </xf>
    <xf numFmtId="0" fontId="0" fillId="0" borderId="0" xfId="0" applyAlignment="1">
      <alignment horizontal="left" vertical="center" wrapText="1"/>
    </xf>
    <xf numFmtId="0" fontId="34" fillId="0" borderId="0" xfId="5" applyFont="1" applyAlignment="1" applyProtection="1">
      <alignment horizontal="center" vertical="center" wrapText="1"/>
    </xf>
    <xf numFmtId="0" fontId="1" fillId="0" borderId="0" xfId="0" applyFont="1" applyAlignment="1">
      <alignment horizontal="left" vertical="center" wrapText="1" indent="1"/>
    </xf>
    <xf numFmtId="0" fontId="5" fillId="0" borderId="0" xfId="0" applyFont="1" applyAlignment="1">
      <alignment vertical="center" wrapText="1"/>
    </xf>
    <xf numFmtId="0" fontId="3" fillId="0" borderId="0" xfId="0" applyFont="1" applyAlignment="1">
      <alignment horizontal="left" vertical="center" wrapText="1" indent="1"/>
    </xf>
    <xf numFmtId="0" fontId="7" fillId="0" borderId="12" xfId="0" applyFont="1" applyBorder="1" applyAlignment="1">
      <alignment horizontal="right" wrapText="1"/>
    </xf>
    <xf numFmtId="0" fontId="5" fillId="21" borderId="0" xfId="0" applyFont="1" applyFill="1" applyAlignment="1">
      <alignment horizontal="left" vertical="center" wrapText="1" indent="1"/>
    </xf>
    <xf numFmtId="0" fontId="0" fillId="0" borderId="5" xfId="0" applyBorder="1" applyAlignment="1">
      <alignment horizontal="left" wrapText="1" indent="1"/>
    </xf>
    <xf numFmtId="0" fontId="0" fillId="0" borderId="6" xfId="0" applyBorder="1" applyAlignment="1">
      <alignment horizontal="left" wrapText="1" indent="1"/>
    </xf>
    <xf numFmtId="0" fontId="0" fillId="0" borderId="7" xfId="0" applyBorder="1" applyAlignment="1">
      <alignment horizontal="left" wrapText="1" indent="1"/>
    </xf>
    <xf numFmtId="0" fontId="1" fillId="12" borderId="5" xfId="0" applyFont="1" applyFill="1" applyBorder="1" applyAlignment="1">
      <alignment horizontal="center"/>
    </xf>
    <xf numFmtId="0" fontId="6" fillId="12" borderId="6" xfId="0" applyFont="1" applyFill="1" applyBorder="1" applyAlignment="1">
      <alignment horizontal="center"/>
    </xf>
    <xf numFmtId="0" fontId="6" fillId="12" borderId="0" xfId="0" applyFont="1" applyFill="1" applyBorder="1" applyAlignment="1">
      <alignment horizontal="center"/>
    </xf>
    <xf numFmtId="0" fontId="7" fillId="6" borderId="0" xfId="0" applyFont="1" applyFill="1" applyAlignment="1">
      <alignment horizontal="left" vertical="center" wrapText="1" indent="1"/>
    </xf>
    <xf numFmtId="0" fontId="0" fillId="0" borderId="0" xfId="0" applyAlignment="1">
      <alignment horizontal="left" vertical="center" wrapText="1" indent="1"/>
    </xf>
    <xf numFmtId="167" fontId="5" fillId="0" borderId="8" xfId="0" applyNumberFormat="1" applyFont="1" applyBorder="1" applyAlignment="1">
      <alignment horizontal="center"/>
    </xf>
    <xf numFmtId="0" fontId="5" fillId="0" borderId="1" xfId="0" applyFont="1" applyBorder="1" applyAlignment="1">
      <alignment horizontal="center" wrapText="1"/>
    </xf>
    <xf numFmtId="0" fontId="5" fillId="0" borderId="7" xfId="0" applyFont="1" applyBorder="1" applyAlignment="1">
      <alignment horizontal="center" wrapText="1"/>
    </xf>
    <xf numFmtId="0" fontId="5" fillId="24" borderId="2" xfId="0" applyFont="1" applyFill="1" applyBorder="1" applyAlignment="1">
      <alignment horizontal="center" vertical="center" wrapText="1"/>
    </xf>
    <xf numFmtId="0" fontId="5" fillId="24" borderId="3" xfId="0" applyFont="1" applyFill="1" applyBorder="1" applyAlignment="1">
      <alignment horizontal="center" vertical="center" wrapText="1"/>
    </xf>
    <xf numFmtId="0" fontId="5" fillId="24" borderId="4" xfId="0" applyFont="1" applyFill="1" applyBorder="1" applyAlignment="1">
      <alignment horizontal="center" vertical="center" wrapText="1"/>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1" fillId="0" borderId="7" xfId="0" applyFont="1" applyBorder="1" applyAlignment="1">
      <alignment horizontal="center" vertical="center" wrapText="1"/>
    </xf>
    <xf numFmtId="0" fontId="5" fillId="24" borderId="16" xfId="0" applyFont="1" applyFill="1" applyBorder="1" applyAlignment="1">
      <alignment horizontal="center" vertical="center" wrapText="1"/>
    </xf>
    <xf numFmtId="0" fontId="0" fillId="24" borderId="0" xfId="0" applyFill="1" applyBorder="1" applyAlignment="1">
      <alignment horizontal="center" vertical="center" wrapText="1"/>
    </xf>
    <xf numFmtId="0" fontId="0" fillId="24" borderId="1" xfId="0" applyFill="1" applyBorder="1" applyAlignment="1">
      <alignment horizontal="center" vertical="center" wrapText="1"/>
    </xf>
    <xf numFmtId="0" fontId="0" fillId="24" borderId="16" xfId="0" applyFill="1" applyBorder="1" applyAlignment="1">
      <alignment horizontal="center" vertical="center" wrapText="1"/>
    </xf>
    <xf numFmtId="0" fontId="0" fillId="24" borderId="5" xfId="0" applyFill="1" applyBorder="1" applyAlignment="1">
      <alignment horizontal="center" vertical="center" wrapText="1"/>
    </xf>
    <xf numFmtId="0" fontId="0" fillId="24" borderId="6" xfId="0" applyFill="1" applyBorder="1" applyAlignment="1">
      <alignment horizontal="center" vertical="center" wrapText="1"/>
    </xf>
    <xf numFmtId="0" fontId="0" fillId="24" borderId="7" xfId="0" applyFill="1" applyBorder="1" applyAlignment="1">
      <alignment horizontal="center" vertical="center" wrapText="1"/>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0" fillId="0" borderId="16" xfId="0" applyBorder="1" applyAlignment="1">
      <alignment horizontal="center" vertical="center" wrapText="1"/>
    </xf>
    <xf numFmtId="0" fontId="0" fillId="0" borderId="0" xfId="0" applyBorder="1" applyAlignment="1">
      <alignment horizontal="center" vertical="center" wrapText="1"/>
    </xf>
    <xf numFmtId="0" fontId="0" fillId="0" borderId="1" xfId="0" applyBorder="1" applyAlignment="1">
      <alignment horizontal="center" vertical="center" wrapText="1"/>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7" xfId="0" applyBorder="1" applyAlignment="1">
      <alignment horizontal="center" vertical="center" wrapText="1"/>
    </xf>
    <xf numFmtId="7" fontId="18" fillId="0" borderId="12" xfId="3" applyNumberFormat="1" applyFont="1" applyBorder="1" applyAlignment="1">
      <alignment horizontal="center" vertical="center" wrapText="1"/>
    </xf>
    <xf numFmtId="0" fontId="0" fillId="0" borderId="15" xfId="0" applyBorder="1" applyAlignment="1">
      <alignment horizontal="center" vertical="center" wrapText="1"/>
    </xf>
    <xf numFmtId="0" fontId="0" fillId="0" borderId="0" xfId="0" applyAlignment="1">
      <alignment vertical="center" wrapText="1"/>
    </xf>
    <xf numFmtId="0" fontId="5" fillId="0" borderId="0" xfId="0" applyFont="1" applyBorder="1" applyAlignment="1">
      <alignment vertical="center" wrapText="1"/>
    </xf>
    <xf numFmtId="0" fontId="0" fillId="0" borderId="0" xfId="0" applyBorder="1" applyAlignment="1">
      <alignment vertical="center" wrapText="1"/>
    </xf>
    <xf numFmtId="0" fontId="4" fillId="21" borderId="0" xfId="5" applyFill="1" applyAlignment="1" applyProtection="1">
      <alignment horizontal="center"/>
    </xf>
    <xf numFmtId="0" fontId="70" fillId="28" borderId="0" xfId="5" applyFont="1" applyFill="1" applyAlignment="1" applyProtection="1">
      <alignment horizontal="center"/>
    </xf>
    <xf numFmtId="0" fontId="7" fillId="6" borderId="16" xfId="0" applyFont="1" applyFill="1" applyBorder="1" applyAlignment="1">
      <alignment horizontal="left" vertical="center" wrapText="1" indent="1"/>
    </xf>
    <xf numFmtId="0" fontId="7" fillId="35" borderId="0" xfId="0" applyFont="1" applyFill="1" applyAlignment="1">
      <alignment horizontal="left" vertical="center" wrapText="1" indent="1"/>
    </xf>
    <xf numFmtId="0" fontId="63" fillId="28" borderId="2" xfId="5" applyFont="1" applyFill="1" applyBorder="1" applyAlignment="1" applyProtection="1">
      <alignment horizontal="center" vertical="center" wrapText="1"/>
    </xf>
    <xf numFmtId="0" fontId="18" fillId="0" borderId="0" xfId="0" applyFont="1" applyAlignment="1">
      <alignment horizontal="left" vertical="center" wrapText="1" indent="1"/>
    </xf>
    <xf numFmtId="0" fontId="2" fillId="28" borderId="2" xfId="0" applyFont="1" applyFill="1" applyBorder="1" applyAlignment="1">
      <alignment horizontal="center" vertical="center" wrapText="1"/>
    </xf>
    <xf numFmtId="0" fontId="2" fillId="28" borderId="3" xfId="0" applyFont="1" applyFill="1" applyBorder="1" applyAlignment="1">
      <alignment horizontal="center" vertical="center" wrapText="1"/>
    </xf>
    <xf numFmtId="0" fontId="2" fillId="28" borderId="4" xfId="0" applyFont="1" applyFill="1" applyBorder="1" applyAlignment="1">
      <alignment horizontal="center" vertical="center" wrapText="1"/>
    </xf>
    <xf numFmtId="0" fontId="2" fillId="28" borderId="16" xfId="0" applyFont="1" applyFill="1" applyBorder="1" applyAlignment="1">
      <alignment horizontal="center" vertical="center" wrapText="1"/>
    </xf>
    <xf numFmtId="0" fontId="2" fillId="28" borderId="0" xfId="0" applyFont="1" applyFill="1" applyBorder="1" applyAlignment="1">
      <alignment horizontal="center" vertical="center" wrapText="1"/>
    </xf>
    <xf numFmtId="0" fontId="2" fillId="28" borderId="1" xfId="0" applyFont="1" applyFill="1" applyBorder="1" applyAlignment="1">
      <alignment horizontal="center" vertical="center" wrapText="1"/>
    </xf>
    <xf numFmtId="0" fontId="68" fillId="28" borderId="2" xfId="0" applyFont="1" applyFill="1" applyBorder="1" applyAlignment="1">
      <alignment horizontal="left" vertical="center" wrapText="1" indent="1"/>
    </xf>
    <xf numFmtId="0" fontId="69" fillId="0" borderId="3" xfId="0" applyFont="1" applyBorder="1" applyAlignment="1">
      <alignment horizontal="left" vertical="center" wrapText="1" indent="1"/>
    </xf>
    <xf numFmtId="0" fontId="69" fillId="0" borderId="4" xfId="0" applyFont="1" applyBorder="1" applyAlignment="1">
      <alignment horizontal="left" vertical="center" wrapText="1" indent="1"/>
    </xf>
    <xf numFmtId="0" fontId="69" fillId="0" borderId="16" xfId="0" applyFont="1" applyBorder="1" applyAlignment="1">
      <alignment horizontal="left" vertical="center" wrapText="1" indent="1"/>
    </xf>
    <xf numFmtId="0" fontId="69" fillId="0" borderId="0" xfId="0" applyFont="1" applyBorder="1" applyAlignment="1">
      <alignment horizontal="left" vertical="center" wrapText="1" indent="1"/>
    </xf>
    <xf numFmtId="0" fontId="69" fillId="0" borderId="1" xfId="0" applyFont="1" applyBorder="1" applyAlignment="1">
      <alignment horizontal="left" vertical="center" wrapText="1" indent="1"/>
    </xf>
    <xf numFmtId="0" fontId="69" fillId="0" borderId="5" xfId="0" applyFont="1" applyBorder="1" applyAlignment="1">
      <alignment horizontal="left" vertical="center" wrapText="1" indent="1"/>
    </xf>
    <xf numFmtId="0" fontId="69" fillId="0" borderId="6" xfId="0" applyFont="1" applyBorder="1" applyAlignment="1">
      <alignment horizontal="left" vertical="center" wrapText="1" indent="1"/>
    </xf>
    <xf numFmtId="0" fontId="69" fillId="0" borderId="7" xfId="0" applyFont="1" applyBorder="1" applyAlignment="1">
      <alignment horizontal="left" vertical="center" wrapText="1" indent="1"/>
    </xf>
    <xf numFmtId="0" fontId="55" fillId="28" borderId="2" xfId="0" applyFont="1" applyFill="1" applyBorder="1" applyAlignment="1">
      <alignment horizontal="left" vertical="center" wrapText="1" indent="1"/>
    </xf>
    <xf numFmtId="0" fontId="0" fillId="24" borderId="3" xfId="0" applyFill="1" applyBorder="1" applyAlignment="1">
      <alignment horizontal="center" vertical="center" wrapText="1"/>
    </xf>
    <xf numFmtId="0" fontId="0" fillId="24" borderId="4" xfId="0" applyFill="1" applyBorder="1" applyAlignment="1">
      <alignment horizontal="center" vertical="center" wrapText="1"/>
    </xf>
    <xf numFmtId="0" fontId="7" fillId="6" borderId="2" xfId="0" applyFont="1" applyFill="1" applyBorder="1" applyAlignment="1">
      <alignment horizontal="left" vertical="center" wrapText="1" indent="1"/>
    </xf>
    <xf numFmtId="0" fontId="5" fillId="34" borderId="11" xfId="0" applyFont="1" applyFill="1" applyBorder="1" applyAlignment="1">
      <alignment horizontal="center"/>
    </xf>
    <xf numFmtId="0" fontId="5" fillId="34" borderId="9" xfId="0" applyFont="1" applyFill="1" applyBorder="1" applyAlignment="1">
      <alignment horizontal="center"/>
    </xf>
    <xf numFmtId="0" fontId="5" fillId="34" borderId="10" xfId="0" applyFont="1" applyFill="1" applyBorder="1" applyAlignment="1">
      <alignment horizontal="center"/>
    </xf>
    <xf numFmtId="0" fontId="5" fillId="15" borderId="11" xfId="0" applyFont="1" applyFill="1" applyBorder="1" applyAlignment="1">
      <alignment horizontal="center"/>
    </xf>
    <xf numFmtId="0" fontId="5" fillId="15" borderId="9" xfId="0" applyFont="1" applyFill="1" applyBorder="1" applyAlignment="1">
      <alignment horizontal="center"/>
    </xf>
    <xf numFmtId="0" fontId="5" fillId="15" borderId="10" xfId="0" applyFont="1" applyFill="1" applyBorder="1" applyAlignment="1">
      <alignment horizontal="center"/>
    </xf>
    <xf numFmtId="0" fontId="5" fillId="32" borderId="11" xfId="0" applyFont="1" applyFill="1" applyBorder="1" applyAlignment="1">
      <alignment horizontal="center"/>
    </xf>
    <xf numFmtId="0" fontId="5" fillId="32" borderId="9" xfId="0" applyFont="1" applyFill="1" applyBorder="1" applyAlignment="1">
      <alignment horizontal="center"/>
    </xf>
    <xf numFmtId="0" fontId="5" fillId="32" borderId="10" xfId="0" applyFont="1" applyFill="1" applyBorder="1" applyAlignment="1">
      <alignment horizontal="center"/>
    </xf>
    <xf numFmtId="165" fontId="3" fillId="13" borderId="2" xfId="1" applyNumberFormat="1" applyFont="1" applyFill="1" applyBorder="1" applyAlignment="1">
      <alignment horizontal="left" vertical="center" wrapText="1"/>
    </xf>
    <xf numFmtId="165" fontId="3" fillId="13" borderId="4" xfId="1" applyNumberFormat="1" applyFont="1" applyFill="1" applyBorder="1" applyAlignment="1">
      <alignment horizontal="left" vertical="center" wrapText="1"/>
    </xf>
    <xf numFmtId="165" fontId="3" fillId="13" borderId="16" xfId="1" applyNumberFormat="1" applyFont="1" applyFill="1" applyBorder="1" applyAlignment="1">
      <alignment horizontal="left" vertical="center" wrapText="1"/>
    </xf>
    <xf numFmtId="165" fontId="3" fillId="13" borderId="1" xfId="1" applyNumberFormat="1" applyFont="1" applyFill="1" applyBorder="1" applyAlignment="1">
      <alignment horizontal="left" vertical="center" wrapText="1"/>
    </xf>
    <xf numFmtId="165" fontId="3" fillId="13" borderId="5" xfId="1" applyNumberFormat="1" applyFont="1" applyFill="1" applyBorder="1" applyAlignment="1">
      <alignment horizontal="left" vertical="center" wrapText="1"/>
    </xf>
    <xf numFmtId="165" fontId="3" fillId="13" borderId="7" xfId="1" applyNumberFormat="1" applyFont="1" applyFill="1" applyBorder="1" applyAlignment="1">
      <alignment horizontal="left" vertical="center" wrapText="1"/>
    </xf>
    <xf numFmtId="0" fontId="3" fillId="0" borderId="11" xfId="0" applyFont="1" applyBorder="1" applyAlignment="1">
      <alignment horizontal="center"/>
    </xf>
    <xf numFmtId="0" fontId="3" fillId="0" borderId="9" xfId="0" applyFont="1" applyBorder="1" applyAlignment="1">
      <alignment horizontal="center"/>
    </xf>
    <xf numFmtId="0" fontId="3" fillId="0" borderId="10" xfId="0" applyFont="1" applyBorder="1" applyAlignment="1">
      <alignment horizontal="center"/>
    </xf>
    <xf numFmtId="0" fontId="2" fillId="0" borderId="0" xfId="0" applyFont="1" applyAlignment="1">
      <alignment horizontal="center"/>
    </xf>
    <xf numFmtId="0" fontId="5" fillId="32" borderId="2" xfId="0" applyFont="1" applyFill="1" applyBorder="1" applyAlignment="1">
      <alignment horizontal="center"/>
    </xf>
    <xf numFmtId="0" fontId="5" fillId="32" borderId="3" xfId="0" applyFont="1" applyFill="1" applyBorder="1" applyAlignment="1">
      <alignment horizontal="center"/>
    </xf>
    <xf numFmtId="0" fontId="5" fillId="32" borderId="4" xfId="0" applyFont="1" applyFill="1" applyBorder="1" applyAlignment="1">
      <alignment horizontal="center"/>
    </xf>
    <xf numFmtId="0" fontId="7" fillId="0" borderId="0" xfId="0" applyFont="1" applyFill="1" applyBorder="1" applyAlignment="1">
      <alignment horizontal="right" wrapText="1"/>
    </xf>
    <xf numFmtId="0" fontId="0" fillId="0" borderId="0" xfId="0" applyAlignment="1">
      <alignment horizontal="right" wrapText="1"/>
    </xf>
    <xf numFmtId="0" fontId="3" fillId="24" borderId="2" xfId="0" applyFont="1" applyFill="1" applyBorder="1" applyAlignment="1">
      <alignment horizontal="left" vertical="center" wrapText="1" indent="1"/>
    </xf>
    <xf numFmtId="0" fontId="5" fillId="0" borderId="0" xfId="0" applyFont="1" applyAlignment="1">
      <alignment horizontal="left" vertical="center" wrapText="1" indent="1"/>
    </xf>
    <xf numFmtId="0" fontId="5" fillId="27" borderId="33" xfId="0" applyFont="1" applyFill="1" applyBorder="1" applyAlignment="1">
      <alignment horizontal="center"/>
    </xf>
    <xf numFmtId="0" fontId="5" fillId="27" borderId="34" xfId="0" applyFont="1" applyFill="1" applyBorder="1" applyAlignment="1">
      <alignment horizontal="center"/>
    </xf>
    <xf numFmtId="0" fontId="3" fillId="24" borderId="8" xfId="0" applyFont="1" applyFill="1" applyBorder="1" applyAlignment="1">
      <alignment horizontal="left" vertical="center" wrapText="1" indent="1"/>
    </xf>
    <xf numFmtId="0" fontId="0" fillId="24" borderId="8" xfId="0" applyFill="1" applyBorder="1" applyAlignment="1">
      <alignment horizontal="left" vertical="center" wrapText="1" indent="1"/>
    </xf>
    <xf numFmtId="0" fontId="0" fillId="24" borderId="36" xfId="0" applyFill="1" applyBorder="1" applyAlignment="1">
      <alignment horizontal="left" vertical="center" wrapText="1" indent="1"/>
    </xf>
    <xf numFmtId="0" fontId="0" fillId="24" borderId="12" xfId="0" applyFill="1" applyBorder="1" applyAlignment="1">
      <alignment horizontal="left" vertical="center" wrapText="1" indent="1"/>
    </xf>
    <xf numFmtId="0" fontId="0" fillId="24" borderId="41" xfId="0" applyFill="1" applyBorder="1" applyAlignment="1">
      <alignment horizontal="left" vertical="center" wrapText="1" indent="1"/>
    </xf>
    <xf numFmtId="0" fontId="0" fillId="24" borderId="39" xfId="0" applyFill="1" applyBorder="1" applyAlignment="1">
      <alignment horizontal="left" vertical="center" wrapText="1" indent="1"/>
    </xf>
    <xf numFmtId="0" fontId="0" fillId="24" borderId="40" xfId="0" applyFill="1" applyBorder="1" applyAlignment="1">
      <alignment horizontal="left" vertical="center" wrapText="1" indent="1"/>
    </xf>
    <xf numFmtId="0" fontId="0" fillId="0" borderId="0" xfId="0" applyAlignment="1">
      <alignment horizontal="left" wrapText="1" indent="1"/>
    </xf>
    <xf numFmtId="0" fontId="3" fillId="24" borderId="34" xfId="0" applyFont="1" applyFill="1" applyBorder="1" applyAlignment="1">
      <alignment horizontal="left" vertical="center" wrapText="1" indent="1"/>
    </xf>
    <xf numFmtId="0" fontId="3" fillId="24" borderId="35" xfId="0" applyFont="1" applyFill="1" applyBorder="1" applyAlignment="1">
      <alignment horizontal="left" vertical="center" wrapText="1" indent="1"/>
    </xf>
    <xf numFmtId="0" fontId="3" fillId="24" borderId="36" xfId="0" applyFont="1" applyFill="1" applyBorder="1" applyAlignment="1">
      <alignment horizontal="left" vertical="center" wrapText="1" indent="1"/>
    </xf>
    <xf numFmtId="0" fontId="0" fillId="27" borderId="2" xfId="0" applyFill="1" applyBorder="1" applyAlignment="1">
      <alignment horizontal="left" vertical="center" wrapText="1" indent="1"/>
    </xf>
    <xf numFmtId="0" fontId="0" fillId="27" borderId="4" xfId="0" applyFill="1" applyBorder="1" applyAlignment="1">
      <alignment horizontal="left" vertical="center" wrapText="1" indent="1"/>
    </xf>
    <xf numFmtId="0" fontId="0" fillId="27" borderId="16" xfId="0" applyFill="1" applyBorder="1" applyAlignment="1">
      <alignment horizontal="left" vertical="center" wrapText="1" indent="1"/>
    </xf>
    <xf numFmtId="0" fontId="0" fillId="27" borderId="1" xfId="0" applyFill="1" applyBorder="1" applyAlignment="1">
      <alignment horizontal="left" vertical="center" wrapText="1" indent="1"/>
    </xf>
    <xf numFmtId="0" fontId="0" fillId="27" borderId="5" xfId="0" applyFill="1" applyBorder="1" applyAlignment="1">
      <alignment horizontal="left" vertical="center" wrapText="1" indent="1"/>
    </xf>
    <xf numFmtId="0" fontId="0" fillId="27" borderId="7" xfId="0" applyFill="1" applyBorder="1" applyAlignment="1">
      <alignment horizontal="left" vertical="center" wrapText="1" indent="1"/>
    </xf>
    <xf numFmtId="0" fontId="6" fillId="0" borderId="0" xfId="0" applyFont="1" applyAlignment="1">
      <alignment horizontal="left" vertical="center" wrapText="1" indent="1"/>
    </xf>
    <xf numFmtId="0" fontId="1" fillId="7" borderId="0" xfId="0" applyFont="1" applyFill="1" applyAlignment="1">
      <alignment horizontal="center"/>
    </xf>
    <xf numFmtId="0" fontId="5" fillId="15" borderId="2" xfId="0" applyFont="1" applyFill="1" applyBorder="1" applyAlignment="1">
      <alignment horizontal="center"/>
    </xf>
    <xf numFmtId="0" fontId="5" fillId="15" borderId="3" xfId="0" applyFont="1" applyFill="1" applyBorder="1" applyAlignment="1">
      <alignment horizontal="center"/>
    </xf>
    <xf numFmtId="0" fontId="5" fillId="15" borderId="4" xfId="0" applyFont="1" applyFill="1" applyBorder="1" applyAlignment="1">
      <alignment horizontal="center"/>
    </xf>
    <xf numFmtId="168" fontId="18" fillId="0" borderId="20" xfId="0" applyNumberFormat="1" applyFont="1" applyFill="1" applyBorder="1" applyAlignment="1">
      <alignment horizontal="center" vertical="center" wrapText="1"/>
    </xf>
    <xf numFmtId="0" fontId="0" fillId="0" borderId="22" xfId="0" applyFill="1" applyBorder="1" applyAlignment="1">
      <alignment horizontal="center" vertical="center" wrapText="1"/>
    </xf>
    <xf numFmtId="0" fontId="2" fillId="0" borderId="0" xfId="0" applyFont="1" applyAlignment="1">
      <alignment horizontal="center" vertical="center" wrapText="1"/>
    </xf>
    <xf numFmtId="0" fontId="0" fillId="0" borderId="0" xfId="0" applyAlignment="1">
      <alignment horizontal="center" vertical="center" wrapText="1"/>
    </xf>
    <xf numFmtId="0" fontId="3" fillId="0" borderId="2" xfId="0" applyFont="1" applyBorder="1" applyAlignment="1">
      <alignment horizontal="left" vertical="center" wrapText="1" indent="1"/>
    </xf>
    <xf numFmtId="9" fontId="18" fillId="0" borderId="18" xfId="0" applyNumberFormat="1" applyFont="1" applyBorder="1" applyAlignment="1">
      <alignment horizontal="right" vertical="center" wrapText="1" indent="2"/>
    </xf>
    <xf numFmtId="0" fontId="1" fillId="0" borderId="19" xfId="0" applyFont="1" applyBorder="1" applyAlignment="1">
      <alignment horizontal="right" vertical="center" wrapText="1" indent="2"/>
    </xf>
    <xf numFmtId="0" fontId="1" fillId="0" borderId="24" xfId="0" applyFont="1" applyBorder="1" applyAlignment="1">
      <alignment horizontal="right" vertical="center" wrapText="1" indent="2"/>
    </xf>
    <xf numFmtId="0" fontId="1" fillId="0" borderId="21" xfId="0" applyFont="1" applyBorder="1" applyAlignment="1">
      <alignment horizontal="right" vertical="center" wrapText="1" indent="2"/>
    </xf>
    <xf numFmtId="0" fontId="1" fillId="0" borderId="0" xfId="0" applyFont="1" applyBorder="1" applyAlignment="1">
      <alignment horizontal="right" vertical="center" wrapText="1" indent="2"/>
    </xf>
    <xf numFmtId="0" fontId="1" fillId="0" borderId="1" xfId="0" applyFont="1" applyBorder="1" applyAlignment="1">
      <alignment horizontal="right" vertical="center" wrapText="1" indent="2"/>
    </xf>
    <xf numFmtId="0" fontId="7" fillId="17" borderId="16" xfId="0" applyFont="1" applyFill="1" applyBorder="1" applyAlignment="1">
      <alignment horizontal="left" vertical="top" wrapText="1" indent="1"/>
    </xf>
    <xf numFmtId="0" fontId="5" fillId="17" borderId="0" xfId="0" applyFont="1" applyFill="1" applyBorder="1" applyAlignment="1">
      <alignment horizontal="left" vertical="top" wrapText="1" indent="1"/>
    </xf>
    <xf numFmtId="0" fontId="5" fillId="17" borderId="1" xfId="0" applyFont="1" applyFill="1" applyBorder="1" applyAlignment="1">
      <alignment horizontal="left" vertical="top" wrapText="1" indent="1"/>
    </xf>
    <xf numFmtId="0" fontId="5" fillId="17" borderId="5" xfId="0" applyFont="1" applyFill="1" applyBorder="1" applyAlignment="1">
      <alignment horizontal="left" vertical="top" wrapText="1" indent="1"/>
    </xf>
    <xf numFmtId="0" fontId="5" fillId="17" borderId="6" xfId="0" applyFont="1" applyFill="1" applyBorder="1" applyAlignment="1">
      <alignment horizontal="left" vertical="top" wrapText="1" indent="1"/>
    </xf>
    <xf numFmtId="0" fontId="5" fillId="17" borderId="7" xfId="0" applyFont="1" applyFill="1" applyBorder="1" applyAlignment="1">
      <alignment horizontal="left" vertical="top" wrapText="1" indent="1"/>
    </xf>
    <xf numFmtId="0" fontId="7" fillId="0" borderId="0" xfId="0" applyFont="1" applyAlignment="1">
      <alignment horizontal="left" vertical="center" wrapText="1" indent="1"/>
    </xf>
    <xf numFmtId="3" fontId="2" fillId="15" borderId="0" xfId="0" applyNumberFormat="1" applyFont="1" applyFill="1" applyBorder="1" applyAlignment="1">
      <alignment horizontal="center"/>
    </xf>
    <xf numFmtId="3" fontId="2" fillId="15" borderId="0" xfId="0" applyNumberFormat="1" applyFont="1" applyFill="1" applyAlignment="1">
      <alignment horizontal="center"/>
    </xf>
    <xf numFmtId="3" fontId="2" fillId="22" borderId="11" xfId="0" applyNumberFormat="1" applyFont="1" applyFill="1" applyBorder="1" applyAlignment="1">
      <alignment horizontal="center"/>
    </xf>
    <xf numFmtId="3" fontId="2" fillId="22" borderId="9" xfId="0" applyNumberFormat="1" applyFont="1" applyFill="1" applyBorder="1" applyAlignment="1">
      <alignment horizontal="center"/>
    </xf>
    <xf numFmtId="3" fontId="2" fillId="22" borderId="10" xfId="0" applyNumberFormat="1" applyFont="1" applyFill="1" applyBorder="1" applyAlignment="1">
      <alignment horizontal="center"/>
    </xf>
    <xf numFmtId="0" fontId="2" fillId="16" borderId="2" xfId="0" applyFont="1" applyFill="1" applyBorder="1" applyAlignment="1">
      <alignment horizontal="center"/>
    </xf>
    <xf numFmtId="0" fontId="2" fillId="16" borderId="3" xfId="0" applyFont="1" applyFill="1" applyBorder="1" applyAlignment="1">
      <alignment horizontal="center"/>
    </xf>
    <xf numFmtId="169" fontId="7" fillId="19" borderId="12" xfId="7" applyNumberFormat="1" applyFont="1" applyFill="1" applyBorder="1" applyAlignment="1">
      <alignment horizontal="center" vertical="center" wrapText="1"/>
    </xf>
    <xf numFmtId="0" fontId="0" fillId="0" borderId="17" xfId="0" applyBorder="1" applyAlignment="1">
      <alignment horizontal="center" vertical="center" wrapText="1"/>
    </xf>
    <xf numFmtId="0" fontId="3" fillId="0" borderId="2" xfId="0" applyFont="1" applyBorder="1" applyAlignment="1">
      <alignment horizontal="right" vertical="center" wrapText="1"/>
    </xf>
    <xf numFmtId="0" fontId="3" fillId="0" borderId="16" xfId="0" applyFont="1" applyBorder="1" applyAlignment="1">
      <alignment horizontal="right" vertical="center" wrapText="1"/>
    </xf>
    <xf numFmtId="0" fontId="3" fillId="0" borderId="5" xfId="0" applyFont="1" applyBorder="1" applyAlignment="1">
      <alignment horizontal="right" vertical="center" wrapText="1"/>
    </xf>
    <xf numFmtId="169" fontId="2" fillId="14" borderId="3" xfId="0" applyNumberFormat="1" applyFont="1" applyFill="1" applyBorder="1" applyAlignment="1">
      <alignment horizontal="center"/>
    </xf>
    <xf numFmtId="169" fontId="7" fillId="19" borderId="12" xfId="7" applyNumberFormat="1" applyFont="1" applyFill="1" applyBorder="1" applyAlignment="1">
      <alignment horizontal="right" wrapText="1"/>
    </xf>
    <xf numFmtId="169" fontId="7" fillId="19" borderId="15" xfId="7" applyNumberFormat="1" applyFont="1" applyFill="1" applyBorder="1" applyAlignment="1">
      <alignment horizontal="right" wrapText="1"/>
    </xf>
    <xf numFmtId="9" fontId="3" fillId="27" borderId="2" xfId="0" applyNumberFormat="1" applyFont="1" applyFill="1" applyBorder="1" applyAlignment="1">
      <alignment horizontal="left" vertical="center" wrapText="1" indent="1"/>
    </xf>
    <xf numFmtId="0" fontId="0" fillId="27" borderId="3" xfId="0" applyFill="1" applyBorder="1" applyAlignment="1">
      <alignment horizontal="left" vertical="center" wrapText="1" indent="1"/>
    </xf>
    <xf numFmtId="0" fontId="0" fillId="27" borderId="6" xfId="0" applyFill="1" applyBorder="1" applyAlignment="1">
      <alignment horizontal="left" vertical="center" wrapText="1" indent="1"/>
    </xf>
    <xf numFmtId="9" fontId="3" fillId="0" borderId="0" xfId="0" applyNumberFormat="1" applyFont="1" applyBorder="1" applyAlignment="1">
      <alignment horizontal="left" vertical="center" wrapText="1" indent="1"/>
    </xf>
    <xf numFmtId="9" fontId="3" fillId="27" borderId="0" xfId="0" applyNumberFormat="1" applyFont="1" applyFill="1" applyBorder="1" applyAlignment="1">
      <alignment horizontal="left" vertical="center" wrapText="1" indent="1"/>
    </xf>
    <xf numFmtId="0" fontId="0" fillId="27" borderId="0" xfId="0" applyFill="1" applyAlignment="1">
      <alignment horizontal="left" vertical="center" wrapText="1" indent="1"/>
    </xf>
    <xf numFmtId="0" fontId="3" fillId="27" borderId="2" xfId="0" applyFont="1" applyFill="1" applyBorder="1" applyAlignment="1">
      <alignment horizontal="left" vertical="center" wrapText="1" indent="1"/>
    </xf>
    <xf numFmtId="0" fontId="0" fillId="27" borderId="0" xfId="0" applyFill="1" applyBorder="1" applyAlignment="1">
      <alignment horizontal="left" vertical="center" wrapText="1" indent="1"/>
    </xf>
    <xf numFmtId="9" fontId="7" fillId="23" borderId="2" xfId="0" applyNumberFormat="1" applyFont="1" applyFill="1" applyBorder="1" applyAlignment="1">
      <alignment horizontal="left" vertical="center" wrapText="1" indent="1"/>
    </xf>
    <xf numFmtId="0" fontId="5" fillId="23" borderId="3" xfId="0" applyFont="1" applyFill="1" applyBorder="1" applyAlignment="1">
      <alignment horizontal="left" vertical="center" wrapText="1" indent="1"/>
    </xf>
    <xf numFmtId="0" fontId="5" fillId="23" borderId="4" xfId="0" applyFont="1" applyFill="1" applyBorder="1" applyAlignment="1">
      <alignment horizontal="left" vertical="center" wrapText="1" indent="1"/>
    </xf>
    <xf numFmtId="0" fontId="5" fillId="23" borderId="5" xfId="0" applyFont="1" applyFill="1" applyBorder="1" applyAlignment="1">
      <alignment horizontal="left" vertical="center" wrapText="1" indent="1"/>
    </xf>
    <xf numFmtId="0" fontId="5" fillId="23" borderId="6" xfId="0" applyFont="1" applyFill="1" applyBorder="1" applyAlignment="1">
      <alignment horizontal="left" vertical="center" wrapText="1" indent="1"/>
    </xf>
    <xf numFmtId="0" fontId="5" fillId="23" borderId="7" xfId="0" applyFont="1" applyFill="1" applyBorder="1" applyAlignment="1">
      <alignment horizontal="left" vertical="center" wrapText="1" indent="1"/>
    </xf>
    <xf numFmtId="0" fontId="1" fillId="28" borderId="2" xfId="0" applyFont="1" applyFill="1" applyBorder="1" applyAlignment="1">
      <alignment horizontal="left" vertical="center" wrapText="1" indent="1"/>
    </xf>
    <xf numFmtId="0" fontId="0" fillId="28" borderId="3" xfId="0" applyFill="1" applyBorder="1" applyAlignment="1">
      <alignment horizontal="left" vertical="center" wrapText="1" indent="1"/>
    </xf>
    <xf numFmtId="0" fontId="0" fillId="28" borderId="4" xfId="0" applyFill="1" applyBorder="1" applyAlignment="1">
      <alignment horizontal="left" vertical="center" wrapText="1" indent="1"/>
    </xf>
    <xf numFmtId="0" fontId="0" fillId="28" borderId="16" xfId="0" applyFill="1" applyBorder="1" applyAlignment="1">
      <alignment horizontal="left" vertical="center" wrapText="1" indent="1"/>
    </xf>
    <xf numFmtId="0" fontId="0" fillId="28" borderId="0" xfId="0" applyFill="1" applyBorder="1" applyAlignment="1">
      <alignment horizontal="left" vertical="center" wrapText="1" indent="1"/>
    </xf>
    <xf numFmtId="0" fontId="0" fillId="28" borderId="1" xfId="0" applyFill="1" applyBorder="1" applyAlignment="1">
      <alignment horizontal="left" vertical="center" wrapText="1" indent="1"/>
    </xf>
    <xf numFmtId="0" fontId="0" fillId="28" borderId="5" xfId="0" applyFill="1" applyBorder="1" applyAlignment="1">
      <alignment horizontal="left" vertical="center" wrapText="1" indent="1"/>
    </xf>
    <xf numFmtId="0" fontId="0" fillId="28" borderId="6" xfId="0" applyFill="1" applyBorder="1" applyAlignment="1">
      <alignment horizontal="left" vertical="center" wrapText="1" indent="1"/>
    </xf>
    <xf numFmtId="0" fontId="0" fillId="28" borderId="7" xfId="0" applyFill="1" applyBorder="1" applyAlignment="1">
      <alignment horizontal="left" vertical="center" wrapText="1" indent="1"/>
    </xf>
    <xf numFmtId="0" fontId="3" fillId="5" borderId="4" xfId="0" applyFont="1" applyFill="1" applyBorder="1" applyAlignment="1">
      <alignment horizontal="right" vertical="center" wrapText="1"/>
    </xf>
    <xf numFmtId="0" fontId="0" fillId="5" borderId="1" xfId="0" applyFill="1" applyBorder="1" applyAlignment="1">
      <alignment horizontal="right" vertical="center" wrapText="1"/>
    </xf>
    <xf numFmtId="0" fontId="0" fillId="5" borderId="7" xfId="0" applyFill="1" applyBorder="1" applyAlignment="1">
      <alignment horizontal="right" vertical="center" wrapText="1"/>
    </xf>
    <xf numFmtId="9" fontId="3" fillId="0" borderId="0" xfId="0" applyNumberFormat="1" applyFont="1" applyFill="1" applyBorder="1" applyAlignment="1">
      <alignment horizontal="left" vertical="center" wrapText="1" indent="1"/>
    </xf>
    <xf numFmtId="0" fontId="0" fillId="0" borderId="0" xfId="0" applyFill="1" applyAlignment="1">
      <alignment horizontal="left" vertical="center" wrapText="1" indent="1"/>
    </xf>
    <xf numFmtId="0" fontId="0" fillId="0" borderId="1" xfId="0" applyFill="1" applyBorder="1" applyAlignment="1">
      <alignment horizontal="left" vertical="center" wrapText="1" indent="1"/>
    </xf>
    <xf numFmtId="0" fontId="66" fillId="7" borderId="12" xfId="0" applyFont="1" applyFill="1" applyBorder="1" applyAlignment="1">
      <alignment horizontal="center" wrapText="1"/>
    </xf>
    <xf numFmtId="0" fontId="0" fillId="7" borderId="17" xfId="0" applyFill="1" applyBorder="1" applyAlignment="1">
      <alignment horizontal="center" wrapText="1"/>
    </xf>
    <xf numFmtId="0" fontId="7" fillId="0" borderId="2" xfId="0" applyFont="1" applyBorder="1" applyAlignment="1">
      <alignment horizontal="right" wrapText="1"/>
    </xf>
    <xf numFmtId="0" fontId="7" fillId="0" borderId="16" xfId="0" applyFont="1" applyBorder="1" applyAlignment="1">
      <alignment horizontal="right" wrapText="1"/>
    </xf>
    <xf numFmtId="0" fontId="0" fillId="0" borderId="5" xfId="0" applyBorder="1" applyAlignment="1">
      <alignment wrapText="1"/>
    </xf>
    <xf numFmtId="0" fontId="0" fillId="24" borderId="15" xfId="0" applyFill="1" applyBorder="1" applyAlignment="1">
      <alignment wrapText="1"/>
    </xf>
    <xf numFmtId="0" fontId="66" fillId="27" borderId="30" xfId="0" applyFont="1" applyFill="1" applyBorder="1" applyAlignment="1">
      <alignment horizontal="center"/>
    </xf>
    <xf numFmtId="0" fontId="66" fillId="27" borderId="43" xfId="0" applyFont="1" applyFill="1" applyBorder="1" applyAlignment="1">
      <alignment horizontal="center"/>
    </xf>
    <xf numFmtId="0" fontId="66" fillId="27" borderId="42" xfId="0" applyFont="1" applyFill="1" applyBorder="1" applyAlignment="1">
      <alignment horizontal="center"/>
    </xf>
    <xf numFmtId="0" fontId="3" fillId="27" borderId="16" xfId="0" applyFont="1" applyFill="1" applyBorder="1" applyAlignment="1">
      <alignment vertical="center" wrapText="1"/>
    </xf>
    <xf numFmtId="0" fontId="3" fillId="27" borderId="0" xfId="0" applyFont="1" applyFill="1" applyBorder="1" applyAlignment="1">
      <alignment vertical="center" wrapText="1"/>
    </xf>
    <xf numFmtId="0" fontId="3" fillId="27" borderId="1" xfId="0" applyFont="1" applyFill="1" applyBorder="1" applyAlignment="1">
      <alignment vertical="center" wrapText="1"/>
    </xf>
    <xf numFmtId="0" fontId="7" fillId="7" borderId="12" xfId="0" applyFont="1" applyFill="1" applyBorder="1" applyAlignment="1">
      <alignment horizontal="center" vertical="center" wrapText="1"/>
    </xf>
    <xf numFmtId="0" fontId="7" fillId="7" borderId="17" xfId="0" applyFont="1" applyFill="1" applyBorder="1" applyAlignment="1">
      <alignment horizontal="center" vertical="center" wrapText="1"/>
    </xf>
    <xf numFmtId="0" fontId="7" fillId="7" borderId="15" xfId="0" applyFont="1" applyFill="1" applyBorder="1" applyAlignment="1">
      <alignment horizontal="center" vertical="center" wrapText="1"/>
    </xf>
    <xf numFmtId="0" fontId="0" fillId="3" borderId="17" xfId="0" applyFill="1" applyBorder="1" applyAlignment="1">
      <alignment horizontal="right" vertical="center" wrapText="1"/>
    </xf>
    <xf numFmtId="0" fontId="0" fillId="3" borderId="15" xfId="0" applyFill="1" applyBorder="1" applyAlignment="1">
      <alignment horizontal="right" vertical="center" wrapText="1"/>
    </xf>
    <xf numFmtId="168" fontId="0" fillId="0" borderId="11" xfId="0" applyNumberFormat="1" applyBorder="1" applyAlignment="1">
      <alignment horizontal="center"/>
    </xf>
    <xf numFmtId="168" fontId="0" fillId="0" borderId="9" xfId="0" applyNumberFormat="1" applyBorder="1" applyAlignment="1">
      <alignment horizontal="center"/>
    </xf>
    <xf numFmtId="168" fontId="0" fillId="0" borderId="10" xfId="0" applyNumberFormat="1" applyBorder="1" applyAlignment="1">
      <alignment horizontal="center"/>
    </xf>
    <xf numFmtId="0" fontId="3" fillId="0" borderId="0" xfId="0" applyFont="1" applyBorder="1" applyAlignment="1">
      <alignment horizontal="left" vertical="center" wrapText="1" indent="1"/>
    </xf>
    <xf numFmtId="0" fontId="1" fillId="0" borderId="3" xfId="0" applyFont="1" applyBorder="1" applyAlignment="1">
      <alignment horizontal="left" vertical="center" wrapText="1" indent="1"/>
    </xf>
    <xf numFmtId="0" fontId="1" fillId="0" borderId="4" xfId="0" applyFont="1" applyBorder="1" applyAlignment="1">
      <alignment horizontal="left" vertical="center" wrapText="1" indent="1"/>
    </xf>
    <xf numFmtId="0" fontId="1" fillId="0" borderId="16" xfId="0" applyFont="1" applyBorder="1" applyAlignment="1">
      <alignment horizontal="left" vertical="center" wrapText="1" indent="1"/>
    </xf>
    <xf numFmtId="0" fontId="1" fillId="0" borderId="0" xfId="0" applyFont="1" applyBorder="1" applyAlignment="1">
      <alignment horizontal="left" vertical="center" wrapText="1" indent="1"/>
    </xf>
    <xf numFmtId="0" fontId="1" fillId="0" borderId="1" xfId="0" applyFont="1" applyBorder="1" applyAlignment="1">
      <alignment horizontal="left" vertical="center" wrapText="1" indent="1"/>
    </xf>
    <xf numFmtId="0" fontId="1" fillId="0" borderId="5" xfId="0" applyFont="1" applyBorder="1" applyAlignment="1">
      <alignment horizontal="left" vertical="center" wrapText="1" indent="1"/>
    </xf>
    <xf numFmtId="0" fontId="1" fillId="0" borderId="6" xfId="0" applyFont="1" applyBorder="1" applyAlignment="1">
      <alignment horizontal="left" vertical="center" wrapText="1" indent="1"/>
    </xf>
    <xf numFmtId="0" fontId="1" fillId="0" borderId="7" xfId="0" applyFont="1" applyBorder="1" applyAlignment="1">
      <alignment horizontal="left" vertical="center" wrapText="1" indent="1"/>
    </xf>
    <xf numFmtId="0" fontId="3" fillId="0" borderId="0" xfId="0" applyFont="1" applyBorder="1" applyAlignment="1">
      <alignment horizontal="center" vertical="center"/>
    </xf>
    <xf numFmtId="0" fontId="9" fillId="24" borderId="2" xfId="0" applyFont="1" applyFill="1" applyBorder="1" applyAlignment="1">
      <alignment horizontal="center"/>
    </xf>
    <xf numFmtId="0" fontId="9" fillId="24" borderId="3" xfId="0" applyFont="1" applyFill="1" applyBorder="1" applyAlignment="1">
      <alignment horizontal="center"/>
    </xf>
    <xf numFmtId="0" fontId="9" fillId="24" borderId="4" xfId="0" applyFont="1" applyFill="1" applyBorder="1" applyAlignment="1">
      <alignment horizontal="center"/>
    </xf>
    <xf numFmtId="0" fontId="3" fillId="0" borderId="12" xfId="0" applyFont="1" applyBorder="1" applyAlignment="1">
      <alignment horizontal="center" vertical="center" wrapText="1"/>
    </xf>
    <xf numFmtId="0" fontId="3" fillId="13" borderId="12" xfId="0" applyFont="1" applyFill="1" applyBorder="1" applyAlignment="1">
      <alignment horizontal="right" vertical="center" wrapText="1"/>
    </xf>
    <xf numFmtId="0" fontId="0" fillId="13" borderId="17" xfId="0" applyFill="1" applyBorder="1" applyAlignment="1">
      <alignment horizontal="right" vertical="center" wrapText="1"/>
    </xf>
    <xf numFmtId="0" fontId="0" fillId="13" borderId="15" xfId="0" applyFill="1" applyBorder="1" applyAlignment="1">
      <alignment horizontal="right" vertical="center" wrapText="1"/>
    </xf>
    <xf numFmtId="9" fontId="49" fillId="0" borderId="8" xfId="0" applyNumberFormat="1" applyFont="1" applyBorder="1" applyAlignment="1">
      <alignment horizontal="center"/>
    </xf>
    <xf numFmtId="0" fontId="56" fillId="0" borderId="8" xfId="0" applyFont="1" applyBorder="1" applyAlignment="1">
      <alignment horizontal="left" vertical="center" wrapText="1" indent="1"/>
    </xf>
    <xf numFmtId="0" fontId="49" fillId="0" borderId="8" xfId="0" applyFont="1" applyBorder="1" applyAlignment="1">
      <alignment horizontal="left" vertical="center" wrapText="1" indent="1"/>
    </xf>
    <xf numFmtId="0" fontId="64" fillId="0" borderId="16" xfId="0" applyFont="1" applyBorder="1" applyAlignment="1">
      <alignment horizontal="left" vertical="center" wrapText="1" indent="1"/>
    </xf>
    <xf numFmtId="0" fontId="64" fillId="0" borderId="0" xfId="0" applyFont="1" applyBorder="1" applyAlignment="1">
      <alignment horizontal="left" vertical="center" wrapText="1" indent="1"/>
    </xf>
    <xf numFmtId="0" fontId="64" fillId="0" borderId="5" xfId="0" applyFont="1" applyBorder="1" applyAlignment="1">
      <alignment horizontal="left" wrapText="1" indent="1"/>
    </xf>
    <xf numFmtId="0" fontId="64" fillId="0" borderId="6" xfId="0" applyFont="1" applyBorder="1" applyAlignment="1">
      <alignment horizontal="left" wrapText="1" indent="1"/>
    </xf>
    <xf numFmtId="168" fontId="58" fillId="0" borderId="3" xfId="0" applyNumberFormat="1" applyFont="1" applyBorder="1" applyAlignment="1">
      <alignment vertical="center" wrapText="1"/>
    </xf>
    <xf numFmtId="0" fontId="58" fillId="0" borderId="3" xfId="0" applyFont="1" applyBorder="1" applyAlignment="1">
      <alignment vertical="center" wrapText="1"/>
    </xf>
    <xf numFmtId="0" fontId="58" fillId="0" borderId="0" xfId="0" applyFont="1" applyBorder="1" applyAlignment="1">
      <alignment vertical="center" wrapText="1"/>
    </xf>
    <xf numFmtId="0" fontId="58" fillId="0" borderId="6" xfId="0" applyFont="1" applyBorder="1" applyAlignment="1">
      <alignment vertical="center" wrapText="1"/>
    </xf>
    <xf numFmtId="0" fontId="3" fillId="0" borderId="12" xfId="0" applyFont="1" applyBorder="1" applyAlignment="1">
      <alignment horizontal="left" vertical="center" wrapText="1" indent="1"/>
    </xf>
    <xf numFmtId="0" fontId="0" fillId="0" borderId="17" xfId="0" applyBorder="1" applyAlignment="1">
      <alignment horizontal="left" vertical="center" wrapText="1" indent="1"/>
    </xf>
    <xf numFmtId="0" fontId="0" fillId="0" borderId="15" xfId="0" applyBorder="1" applyAlignment="1">
      <alignment horizontal="left" vertical="center" wrapText="1" indent="1"/>
    </xf>
    <xf numFmtId="0" fontId="3" fillId="0" borderId="12" xfId="0" applyFont="1" applyBorder="1" applyAlignment="1">
      <alignment horizontal="right" vertical="center" wrapText="1"/>
    </xf>
    <xf numFmtId="0" fontId="3" fillId="0" borderId="15" xfId="0" applyFont="1" applyBorder="1" applyAlignment="1">
      <alignment horizontal="right" vertical="center" wrapText="1"/>
    </xf>
    <xf numFmtId="0" fontId="0" fillId="0" borderId="11" xfId="0" applyBorder="1" applyAlignment="1">
      <alignment horizontal="center"/>
    </xf>
    <xf numFmtId="0" fontId="0" fillId="0" borderId="9" xfId="0" applyBorder="1" applyAlignment="1">
      <alignment horizontal="center"/>
    </xf>
    <xf numFmtId="0" fontId="6" fillId="33" borderId="2" xfId="0" applyFont="1" applyFill="1" applyBorder="1" applyAlignment="1">
      <alignment horizontal="center"/>
    </xf>
    <xf numFmtId="0" fontId="6" fillId="33" borderId="3" xfId="0" applyFont="1" applyFill="1" applyBorder="1" applyAlignment="1">
      <alignment horizontal="center"/>
    </xf>
    <xf numFmtId="0" fontId="7" fillId="7" borderId="0" xfId="0" applyFont="1" applyFill="1" applyAlignment="1">
      <alignment horizontal="right" vertical="center" wrapText="1"/>
    </xf>
    <xf numFmtId="0" fontId="6" fillId="9" borderId="5" xfId="0" applyFont="1" applyFill="1" applyBorder="1" applyAlignment="1">
      <alignment horizontal="center"/>
    </xf>
    <xf numFmtId="0" fontId="6" fillId="9" borderId="6" xfId="0" applyFont="1" applyFill="1" applyBorder="1" applyAlignment="1">
      <alignment horizontal="center"/>
    </xf>
    <xf numFmtId="0" fontId="6" fillId="9" borderId="7" xfId="0" applyFont="1" applyFill="1" applyBorder="1" applyAlignment="1">
      <alignment horizontal="center"/>
    </xf>
    <xf numFmtId="0" fontId="0" fillId="0" borderId="0" xfId="0" applyAlignment="1">
      <alignment wrapText="1"/>
    </xf>
    <xf numFmtId="14" fontId="0" fillId="0" borderId="0" xfId="0" applyNumberFormat="1" applyAlignment="1">
      <alignment vertical="center" wrapText="1"/>
    </xf>
    <xf numFmtId="0" fontId="7" fillId="0" borderId="0" xfId="0" applyFont="1" applyAlignment="1">
      <alignment horizontal="center" wrapText="1"/>
    </xf>
    <xf numFmtId="0" fontId="0" fillId="0" borderId="0" xfId="0" applyAlignment="1">
      <alignment horizontal="center" wrapText="1"/>
    </xf>
    <xf numFmtId="0" fontId="3" fillId="0" borderId="0" xfId="0" applyFont="1" applyAlignment="1">
      <alignment horizontal="right" vertical="center" wrapText="1" indent="1"/>
    </xf>
    <xf numFmtId="0" fontId="0" fillId="0" borderId="0" xfId="0" applyAlignment="1">
      <alignment horizontal="right" vertical="center" wrapText="1"/>
    </xf>
    <xf numFmtId="0" fontId="0" fillId="0" borderId="17" xfId="0" applyBorder="1" applyAlignment="1">
      <alignment horizontal="right" vertical="center" wrapText="1"/>
    </xf>
    <xf numFmtId="0" fontId="0" fillId="0" borderId="15" xfId="0" applyBorder="1" applyAlignment="1">
      <alignment horizontal="right" vertical="center" wrapText="1"/>
    </xf>
    <xf numFmtId="0" fontId="3" fillId="0" borderId="2" xfId="0" applyFont="1" applyBorder="1" applyAlignment="1">
      <alignment horizontal="right" vertical="center" wrapText="1" indent="1"/>
    </xf>
    <xf numFmtId="0" fontId="3" fillId="0" borderId="4" xfId="0" applyFont="1" applyBorder="1" applyAlignment="1">
      <alignment horizontal="right" vertical="center" wrapText="1" indent="1"/>
    </xf>
    <xf numFmtId="0" fontId="3" fillId="0" borderId="16" xfId="0" applyFont="1" applyBorder="1" applyAlignment="1">
      <alignment horizontal="right" vertical="center" wrapText="1" indent="1"/>
    </xf>
    <xf numFmtId="0" fontId="3" fillId="0" borderId="1" xfId="0" applyFont="1" applyBorder="1" applyAlignment="1">
      <alignment horizontal="right" vertical="center" wrapText="1" indent="1"/>
    </xf>
    <xf numFmtId="0" fontId="3" fillId="0" borderId="5" xfId="0" applyFont="1" applyBorder="1" applyAlignment="1">
      <alignment horizontal="right" vertical="center" wrapText="1" indent="1"/>
    </xf>
    <xf numFmtId="0" fontId="3" fillId="0" borderId="7" xfId="0" applyFont="1" applyBorder="1" applyAlignment="1">
      <alignment horizontal="right" vertical="center" wrapText="1" indent="1"/>
    </xf>
    <xf numFmtId="0" fontId="3" fillId="23" borderId="9" xfId="0" applyFont="1" applyFill="1" applyBorder="1" applyAlignment="1">
      <alignment horizontal="center"/>
    </xf>
    <xf numFmtId="0" fontId="3" fillId="23" borderId="5" xfId="0" applyFont="1" applyFill="1"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3" fillId="23" borderId="0" xfId="0" applyFont="1" applyFill="1" applyAlignment="1">
      <alignment horizontal="center"/>
    </xf>
    <xf numFmtId="0" fontId="3" fillId="24" borderId="0" xfId="0" applyFont="1" applyFill="1" applyAlignment="1">
      <alignment horizontal="center"/>
    </xf>
    <xf numFmtId="0" fontId="1" fillId="23" borderId="2" xfId="0" applyFont="1" applyFill="1" applyBorder="1" applyAlignment="1">
      <alignment horizontal="center"/>
    </xf>
    <xf numFmtId="0" fontId="1" fillId="23" borderId="3" xfId="0" applyFont="1" applyFill="1" applyBorder="1" applyAlignment="1">
      <alignment horizontal="center"/>
    </xf>
    <xf numFmtId="0" fontId="3" fillId="23" borderId="3" xfId="0" applyFont="1" applyFill="1" applyBorder="1" applyAlignment="1">
      <alignment horizontal="center" vertical="center"/>
    </xf>
    <xf numFmtId="0" fontId="0" fillId="0" borderId="3" xfId="0" applyBorder="1" applyAlignment="1">
      <alignment horizontal="center" vertical="center"/>
    </xf>
    <xf numFmtId="0" fontId="3" fillId="23" borderId="2" xfId="0" applyFont="1" applyFill="1" applyBorder="1" applyAlignment="1">
      <alignment horizontal="center" vertical="center"/>
    </xf>
    <xf numFmtId="0" fontId="0" fillId="0" borderId="4" xfId="0" applyBorder="1" applyAlignment="1">
      <alignment horizontal="center" vertical="center"/>
    </xf>
    <xf numFmtId="0" fontId="0" fillId="23" borderId="6" xfId="0" applyFill="1" applyBorder="1" applyAlignment="1"/>
    <xf numFmtId="0" fontId="0" fillId="0" borderId="6" xfId="0" applyBorder="1" applyAlignment="1"/>
    <xf numFmtId="0" fontId="5" fillId="21" borderId="2" xfId="0" applyFont="1" applyFill="1" applyBorder="1" applyAlignment="1">
      <alignment horizontal="center"/>
    </xf>
    <xf numFmtId="0" fontId="5" fillId="21" borderId="3" xfId="0" applyFont="1" applyFill="1" applyBorder="1" applyAlignment="1">
      <alignment horizontal="center"/>
    </xf>
    <xf numFmtId="0" fontId="5" fillId="21" borderId="4" xfId="0" applyFont="1" applyFill="1" applyBorder="1" applyAlignment="1">
      <alignment horizontal="center"/>
    </xf>
    <xf numFmtId="0" fontId="3" fillId="23" borderId="0" xfId="0" applyFont="1" applyFill="1" applyAlignment="1">
      <alignment horizontal="right" wrapText="1"/>
    </xf>
    <xf numFmtId="0" fontId="5" fillId="23" borderId="11" xfId="0" applyFont="1" applyFill="1" applyBorder="1" applyAlignment="1">
      <alignment horizontal="center"/>
    </xf>
    <xf numFmtId="0" fontId="5" fillId="23" borderId="9" xfId="0" applyFont="1" applyFill="1" applyBorder="1" applyAlignment="1">
      <alignment horizontal="center"/>
    </xf>
    <xf numFmtId="0" fontId="5" fillId="23" borderId="10" xfId="0" applyFont="1" applyFill="1" applyBorder="1" applyAlignment="1">
      <alignment horizontal="center"/>
    </xf>
    <xf numFmtId="0" fontId="3" fillId="21" borderId="1" xfId="0" applyFont="1" applyFill="1" applyBorder="1" applyAlignment="1">
      <alignment horizontal="center" vertical="center" wrapText="1"/>
    </xf>
    <xf numFmtId="0" fontId="5" fillId="24" borderId="11" xfId="0" applyFont="1" applyFill="1" applyBorder="1" applyAlignment="1">
      <alignment horizontal="center"/>
    </xf>
    <xf numFmtId="0" fontId="5" fillId="24" borderId="9" xfId="0" applyFont="1" applyFill="1" applyBorder="1" applyAlignment="1">
      <alignment horizontal="center"/>
    </xf>
    <xf numFmtId="0" fontId="0" fillId="0" borderId="6" xfId="0" applyBorder="1" applyAlignment="1">
      <alignment horizontal="right" wrapText="1"/>
    </xf>
    <xf numFmtId="0" fontId="1" fillId="27" borderId="16" xfId="0" applyFont="1" applyFill="1" applyBorder="1" applyAlignment="1">
      <alignment vertical="center" wrapText="1"/>
    </xf>
    <xf numFmtId="0" fontId="1" fillId="27" borderId="0" xfId="0" applyFont="1" applyFill="1" applyBorder="1" applyAlignment="1">
      <alignment vertical="center" wrapText="1"/>
    </xf>
    <xf numFmtId="0" fontId="1" fillId="27" borderId="1" xfId="0" applyFont="1" applyFill="1" applyBorder="1" applyAlignment="1">
      <alignment vertical="center" wrapText="1"/>
    </xf>
    <xf numFmtId="0" fontId="1" fillId="27" borderId="16" xfId="0" applyFont="1" applyFill="1" applyBorder="1" applyAlignment="1">
      <alignment horizontal="left" vertical="center" wrapText="1" indent="1"/>
    </xf>
    <xf numFmtId="0" fontId="0" fillId="27" borderId="5" xfId="0" applyFill="1" applyBorder="1" applyAlignment="1">
      <alignment horizontal="left" wrapText="1" indent="1"/>
    </xf>
    <xf numFmtId="0" fontId="0" fillId="27" borderId="6" xfId="0" applyFill="1" applyBorder="1" applyAlignment="1">
      <alignment horizontal="left" wrapText="1" indent="1"/>
    </xf>
    <xf numFmtId="0" fontId="0" fillId="27" borderId="7" xfId="0" applyFill="1" applyBorder="1" applyAlignment="1">
      <alignment horizontal="left" wrapText="1" indent="1"/>
    </xf>
    <xf numFmtId="0" fontId="0" fillId="27" borderId="0" xfId="0" applyFill="1" applyBorder="1" applyAlignment="1">
      <alignment vertical="center" wrapText="1"/>
    </xf>
    <xf numFmtId="0" fontId="0" fillId="27" borderId="1" xfId="0" applyFill="1" applyBorder="1" applyAlignment="1">
      <alignment vertical="center" wrapText="1"/>
    </xf>
    <xf numFmtId="0" fontId="0" fillId="27" borderId="16" xfId="0" applyFill="1" applyBorder="1" applyAlignment="1">
      <alignment vertical="center" wrapText="1"/>
    </xf>
    <xf numFmtId="0" fontId="0" fillId="0" borderId="16" xfId="0" applyBorder="1" applyAlignment="1">
      <alignment horizontal="right" wrapText="1"/>
    </xf>
    <xf numFmtId="0" fontId="0" fillId="0" borderId="5" xfId="0" applyBorder="1" applyAlignment="1">
      <alignment horizontal="right" wrapText="1"/>
    </xf>
    <xf numFmtId="0" fontId="5" fillId="27" borderId="2" xfId="0" applyFont="1" applyFill="1" applyBorder="1" applyAlignment="1">
      <alignment horizontal="center" vertical="center" wrapText="1"/>
    </xf>
    <xf numFmtId="0" fontId="5" fillId="27" borderId="3" xfId="0" applyFont="1" applyFill="1" applyBorder="1" applyAlignment="1">
      <alignment horizontal="center" vertical="center" wrapText="1"/>
    </xf>
    <xf numFmtId="0" fontId="5" fillId="27" borderId="4" xfId="0" applyFont="1" applyFill="1" applyBorder="1" applyAlignment="1">
      <alignment horizontal="center" vertical="center" wrapText="1"/>
    </xf>
    <xf numFmtId="0" fontId="0" fillId="0" borderId="16" xfId="0" applyBorder="1" applyAlignment="1">
      <alignment vertical="center" wrapText="1"/>
    </xf>
    <xf numFmtId="0" fontId="0" fillId="0" borderId="1" xfId="0" applyBorder="1" applyAlignment="1">
      <alignment vertical="center" wrapText="1"/>
    </xf>
    <xf numFmtId="2" fontId="0" fillId="0" borderId="0" xfId="0" applyNumberFormat="1" applyAlignment="1">
      <alignment horizontal="center" wrapText="1"/>
    </xf>
    <xf numFmtId="0" fontId="1" fillId="19" borderId="2" xfId="0" applyFont="1" applyFill="1" applyBorder="1" applyAlignment="1">
      <alignment horizontal="left" vertical="center" wrapText="1" indent="1"/>
    </xf>
    <xf numFmtId="0" fontId="0" fillId="19" borderId="3" xfId="0" applyFill="1" applyBorder="1" applyAlignment="1">
      <alignment horizontal="left" vertical="center" wrapText="1" indent="1"/>
    </xf>
    <xf numFmtId="0" fontId="0" fillId="19" borderId="4" xfId="0" applyFill="1" applyBorder="1" applyAlignment="1">
      <alignment horizontal="left" vertical="center" wrapText="1" indent="1"/>
    </xf>
    <xf numFmtId="0" fontId="0" fillId="19" borderId="16" xfId="0" applyFill="1" applyBorder="1" applyAlignment="1">
      <alignment horizontal="left" vertical="center" wrapText="1" indent="1"/>
    </xf>
    <xf numFmtId="0" fontId="0" fillId="19" borderId="0" xfId="0" applyFill="1" applyBorder="1" applyAlignment="1">
      <alignment horizontal="left" vertical="center" wrapText="1" indent="1"/>
    </xf>
    <xf numFmtId="0" fontId="0" fillId="19" borderId="1" xfId="0" applyFill="1" applyBorder="1" applyAlignment="1">
      <alignment horizontal="left" vertical="center" wrapText="1" indent="1"/>
    </xf>
    <xf numFmtId="0" fontId="6" fillId="0" borderId="0" xfId="0" applyFont="1" applyAlignment="1">
      <alignment vertical="center" wrapText="1"/>
    </xf>
    <xf numFmtId="0" fontId="3" fillId="0" borderId="0" xfId="0" applyFont="1" applyAlignment="1">
      <alignment vertical="center" wrapText="1"/>
    </xf>
    <xf numFmtId="0" fontId="3" fillId="0" borderId="0" xfId="0" applyFont="1" applyAlignment="1">
      <alignment horizontal="center" wrapText="1"/>
    </xf>
    <xf numFmtId="0" fontId="24" fillId="0" borderId="0" xfId="0" applyFont="1" applyAlignment="1">
      <alignment horizontal="center" wrapText="1"/>
    </xf>
    <xf numFmtId="0" fontId="3" fillId="0" borderId="0" xfId="0" applyFont="1" applyAlignment="1">
      <alignment horizontal="left" wrapText="1" indent="1"/>
    </xf>
    <xf numFmtId="0" fontId="3" fillId="0" borderId="0" xfId="0" applyFont="1" applyAlignment="1">
      <alignment horizontal="right" wrapText="1"/>
    </xf>
    <xf numFmtId="0" fontId="7" fillId="0" borderId="0" xfId="0" quotePrefix="1" applyFont="1" applyAlignment="1">
      <alignment horizontal="right" wrapText="1"/>
    </xf>
    <xf numFmtId="0" fontId="3" fillId="10" borderId="16" xfId="0" applyFont="1" applyFill="1" applyBorder="1" applyAlignment="1">
      <alignment vertical="center" wrapText="1"/>
    </xf>
    <xf numFmtId="0" fontId="0" fillId="10" borderId="0" xfId="0" applyFill="1" applyBorder="1" applyAlignment="1">
      <alignment vertical="center" wrapText="1"/>
    </xf>
    <xf numFmtId="0" fontId="0" fillId="10" borderId="1" xfId="0" applyFill="1" applyBorder="1" applyAlignment="1">
      <alignment vertical="center" wrapText="1"/>
    </xf>
    <xf numFmtId="0" fontId="0" fillId="10" borderId="16" xfId="0" applyFill="1" applyBorder="1" applyAlignment="1">
      <alignment vertical="center" wrapText="1"/>
    </xf>
    <xf numFmtId="0" fontId="5" fillId="0" borderId="0" xfId="0" applyFont="1" applyAlignment="1">
      <alignment horizontal="center"/>
    </xf>
    <xf numFmtId="0" fontId="17" fillId="7" borderId="2" xfId="0" applyFont="1" applyFill="1" applyBorder="1" applyAlignment="1">
      <alignment horizontal="center" vertical="center" wrapText="1"/>
    </xf>
    <xf numFmtId="0" fontId="30" fillId="7" borderId="3" xfId="0" applyFont="1" applyFill="1" applyBorder="1" applyAlignment="1">
      <alignment horizontal="center" vertical="center" wrapText="1"/>
    </xf>
    <xf numFmtId="0" fontId="30" fillId="7" borderId="4" xfId="0" applyFont="1" applyFill="1" applyBorder="1" applyAlignment="1">
      <alignment horizontal="center" vertical="center" wrapText="1"/>
    </xf>
    <xf numFmtId="0" fontId="30" fillId="7" borderId="16" xfId="0" applyFont="1" applyFill="1" applyBorder="1" applyAlignment="1">
      <alignment horizontal="center" vertical="center" wrapText="1"/>
    </xf>
    <xf numFmtId="0" fontId="30" fillId="7" borderId="0" xfId="0" applyFont="1" applyFill="1" applyBorder="1" applyAlignment="1">
      <alignment horizontal="center" vertical="center" wrapText="1"/>
    </xf>
    <xf numFmtId="0" fontId="30" fillId="7" borderId="1" xfId="0" applyFont="1" applyFill="1" applyBorder="1" applyAlignment="1">
      <alignment horizontal="center" vertical="center" wrapText="1"/>
    </xf>
    <xf numFmtId="0" fontId="6" fillId="20" borderId="2" xfId="0" applyNumberFormat="1" applyFont="1" applyFill="1" applyBorder="1" applyAlignment="1">
      <alignment horizontal="left" vertical="center" wrapText="1" indent="1"/>
    </xf>
    <xf numFmtId="0" fontId="6" fillId="20" borderId="3" xfId="0" applyNumberFormat="1" applyFont="1" applyFill="1" applyBorder="1" applyAlignment="1">
      <alignment horizontal="left" vertical="center" wrapText="1" indent="1"/>
    </xf>
    <xf numFmtId="0" fontId="6" fillId="20" borderId="4" xfId="0" applyNumberFormat="1" applyFont="1" applyFill="1" applyBorder="1" applyAlignment="1">
      <alignment horizontal="left" vertical="center" wrapText="1" indent="1"/>
    </xf>
    <xf numFmtId="0" fontId="6" fillId="20" borderId="5" xfId="0" applyNumberFormat="1" applyFont="1" applyFill="1" applyBorder="1" applyAlignment="1">
      <alignment horizontal="left" vertical="center" wrapText="1" indent="1"/>
    </xf>
    <xf numFmtId="0" fontId="6" fillId="20" borderId="6" xfId="0" applyNumberFormat="1" applyFont="1" applyFill="1" applyBorder="1" applyAlignment="1">
      <alignment horizontal="left" vertical="center" wrapText="1" indent="1"/>
    </xf>
    <xf numFmtId="0" fontId="6" fillId="20" borderId="7" xfId="0" applyNumberFormat="1" applyFont="1" applyFill="1" applyBorder="1" applyAlignment="1">
      <alignment horizontal="left" vertical="center" wrapText="1" indent="1"/>
    </xf>
    <xf numFmtId="0" fontId="1" fillId="7" borderId="2" xfId="0" applyFont="1" applyFill="1" applyBorder="1" applyAlignment="1">
      <alignment horizontal="left" vertical="center" wrapText="1" indent="1"/>
    </xf>
    <xf numFmtId="0" fontId="0" fillId="7" borderId="3" xfId="0" applyFill="1" applyBorder="1" applyAlignment="1">
      <alignment horizontal="left" vertical="center" wrapText="1" indent="1"/>
    </xf>
    <xf numFmtId="0" fontId="0" fillId="7" borderId="4" xfId="0" applyFill="1" applyBorder="1" applyAlignment="1">
      <alignment horizontal="left" vertical="center" wrapText="1" indent="1"/>
    </xf>
    <xf numFmtId="0" fontId="0" fillId="7" borderId="5" xfId="0" applyFill="1" applyBorder="1" applyAlignment="1">
      <alignment horizontal="left" vertical="center" wrapText="1" indent="1"/>
    </xf>
    <xf numFmtId="0" fontId="0" fillId="7" borderId="6" xfId="0" applyFill="1" applyBorder="1" applyAlignment="1">
      <alignment horizontal="left" vertical="center" wrapText="1" indent="1"/>
    </xf>
    <xf numFmtId="0" fontId="0" fillId="7" borderId="7" xfId="0" applyFill="1" applyBorder="1" applyAlignment="1">
      <alignment horizontal="left" vertical="center" wrapText="1" indent="1"/>
    </xf>
  </cellXfs>
  <cellStyles count="10">
    <cellStyle name="Comma" xfId="1" builtinId="3"/>
    <cellStyle name="Comma 2" xfId="2"/>
    <cellStyle name="Currency" xfId="3" builtinId="4"/>
    <cellStyle name="Currency 2" xfId="4"/>
    <cellStyle name="Hyperlink" xfId="5" builtinId="8"/>
    <cellStyle name="Normal" xfId="0" builtinId="0"/>
    <cellStyle name="Normal 2" xfId="6"/>
    <cellStyle name="Normal 3" xfId="9"/>
    <cellStyle name="Percent" xfId="7" builtinId="5"/>
    <cellStyle name="Percent 2" xfId="8"/>
  </cellStyles>
  <dxfs count="8">
    <dxf>
      <numFmt numFmtId="178" formatCode="&quot;$&quot;#,##0.00"/>
    </dxf>
    <dxf>
      <numFmt numFmtId="169" formatCode="0.0%"/>
    </dxf>
    <dxf>
      <numFmt numFmtId="178" formatCode="&quot;$&quot;#,##0.00"/>
    </dxf>
    <dxf>
      <numFmt numFmtId="169" formatCode="0.0%"/>
    </dxf>
    <dxf>
      <numFmt numFmtId="178" formatCode="&quot;$&quot;#,##0.00"/>
    </dxf>
    <dxf>
      <numFmt numFmtId="169" formatCode="0.0%"/>
    </dxf>
    <dxf>
      <numFmt numFmtId="178" formatCode="&quot;$&quot;#,##0.00"/>
    </dxf>
    <dxf>
      <numFmt numFmtId="169" formatCode="0.0%"/>
    </dxf>
  </dxfs>
  <tableStyles count="0" defaultTableStyle="TableStyleMedium9" defaultPivotStyle="PivotStyleLight16"/>
  <colors>
    <mruColors>
      <color rgb="FF0000FF"/>
      <color rgb="FFFF66FF"/>
      <color rgb="FF66CCFF"/>
      <color rgb="FFFFCC66"/>
      <color rgb="FF66FFFF"/>
      <color rgb="FF99FF33"/>
      <color rgb="FFFF6699"/>
      <color rgb="FFFFCCFF"/>
      <color rgb="FFCC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0" i="0" u="none" strike="noStrike" baseline="0">
                <a:solidFill>
                  <a:srgbClr val="000000"/>
                </a:solidFill>
                <a:latin typeface="Arial"/>
                <a:ea typeface="Arial"/>
                <a:cs typeface="Arial"/>
              </a:defRPr>
            </a:pPr>
            <a:r>
              <a:rPr lang="en-US" sz="1050" b="1" i="0" u="none" strike="noStrike" baseline="0">
                <a:solidFill>
                  <a:srgbClr val="000000"/>
                </a:solidFill>
                <a:latin typeface="Arial"/>
                <a:cs typeface="Arial"/>
              </a:rPr>
              <a:t>U.S. CO2 Emissions with and without  a </a:t>
            </a:r>
            <a:r>
              <a:rPr lang="en-US" sz="1050" b="1" i="0" u="none" strike="noStrike" baseline="0"/>
              <a:t>Carbon Tax </a:t>
            </a:r>
            <a:endParaRPr lang="en-US" sz="1100" b="1" i="0" u="none" strike="noStrike" baseline="0">
              <a:solidFill>
                <a:srgbClr val="000000"/>
              </a:solidFill>
              <a:latin typeface="Arial"/>
              <a:cs typeface="Arial"/>
            </a:endParaRPr>
          </a:p>
          <a:p>
            <a:pPr>
              <a:defRPr sz="1200" b="0" i="0" u="none" strike="noStrike" baseline="0">
                <a:solidFill>
                  <a:srgbClr val="000000"/>
                </a:solidFill>
                <a:latin typeface="Arial"/>
                <a:ea typeface="Arial"/>
                <a:cs typeface="Arial"/>
              </a:defRPr>
            </a:pPr>
            <a:endParaRPr lang="en-US" sz="1400" b="1" i="0" u="none" strike="noStrike" baseline="0">
              <a:solidFill>
                <a:srgbClr val="000000"/>
              </a:solidFill>
              <a:latin typeface="Arial"/>
              <a:cs typeface="Arial"/>
            </a:endParaRPr>
          </a:p>
        </c:rich>
      </c:tx>
      <c:layout>
        <c:manualLayout>
          <c:xMode val="edge"/>
          <c:yMode val="edge"/>
          <c:x val="0.20266716472188001"/>
          <c:y val="5.1065084255772414E-2"/>
        </c:manualLayout>
      </c:layout>
      <c:spPr>
        <a:noFill/>
        <a:ln w="25400">
          <a:noFill/>
        </a:ln>
      </c:spPr>
    </c:title>
    <c:plotArea>
      <c:layout>
        <c:manualLayout>
          <c:layoutTarget val="inner"/>
          <c:xMode val="edge"/>
          <c:yMode val="edge"/>
          <c:x val="0.18128246425490521"/>
          <c:y val="0.220470566179228"/>
          <c:w val="0.76782964410919796"/>
          <c:h val="0.65634170728660468"/>
        </c:manualLayout>
      </c:layout>
      <c:lineChart>
        <c:grouping val="standard"/>
        <c:ser>
          <c:idx val="0"/>
          <c:order val="0"/>
          <c:tx>
            <c:v>No Carbon Tax</c:v>
          </c:tx>
          <c:spPr>
            <a:ln w="12700">
              <a:solidFill>
                <a:srgbClr val="000080"/>
              </a:solidFill>
              <a:prstDash val="solid"/>
            </a:ln>
          </c:spPr>
          <c:marker>
            <c:symbol val="diamond"/>
            <c:size val="5"/>
            <c:spPr>
              <a:solidFill>
                <a:srgbClr val="000080"/>
              </a:solidFill>
              <a:ln>
                <a:solidFill>
                  <a:srgbClr val="000080"/>
                </a:solidFill>
                <a:prstDash val="solid"/>
              </a:ln>
            </c:spPr>
          </c:marker>
          <c:cat>
            <c:numRef>
              <c:f>Graph_CO2!$I$44:$AP$44</c:f>
              <c:numCache>
                <c:formatCode>0</c:formatCode>
                <c:ptCount val="34"/>
                <c:pt idx="0">
                  <c:v>2005</c:v>
                </c:pt>
                <c:pt idx="1">
                  <c:v>2006</c:v>
                </c:pt>
                <c:pt idx="2">
                  <c:v>2007</c:v>
                </c:pt>
                <c:pt idx="3">
                  <c:v>2008</c:v>
                </c:pt>
                <c:pt idx="4">
                  <c:v>2009</c:v>
                </c:pt>
                <c:pt idx="5">
                  <c:v>2010</c:v>
                </c:pt>
                <c:pt idx="6">
                  <c:v>2011</c:v>
                </c:pt>
                <c:pt idx="7">
                  <c:v>2012</c:v>
                </c:pt>
                <c:pt idx="8">
                  <c:v>2013</c:v>
                </c:pt>
                <c:pt idx="9">
                  <c:v>2014</c:v>
                </c:pt>
                <c:pt idx="10">
                  <c:v>2015</c:v>
                </c:pt>
                <c:pt idx="11">
                  <c:v>2017</c:v>
                </c:pt>
                <c:pt idx="12">
                  <c:v>2018</c:v>
                </c:pt>
                <c:pt idx="13">
                  <c:v>2019</c:v>
                </c:pt>
                <c:pt idx="14">
                  <c:v>2020</c:v>
                </c:pt>
                <c:pt idx="15">
                  <c:v>2021</c:v>
                </c:pt>
                <c:pt idx="16">
                  <c:v>2022</c:v>
                </c:pt>
                <c:pt idx="17">
                  <c:v>2023</c:v>
                </c:pt>
                <c:pt idx="18">
                  <c:v>2024</c:v>
                </c:pt>
                <c:pt idx="19">
                  <c:v>2025</c:v>
                </c:pt>
                <c:pt idx="20">
                  <c:v>2026</c:v>
                </c:pt>
                <c:pt idx="21">
                  <c:v>2027</c:v>
                </c:pt>
                <c:pt idx="22">
                  <c:v>2028</c:v>
                </c:pt>
                <c:pt idx="23">
                  <c:v>2029</c:v>
                </c:pt>
                <c:pt idx="24">
                  <c:v>2030</c:v>
                </c:pt>
                <c:pt idx="25">
                  <c:v>2031</c:v>
                </c:pt>
                <c:pt idx="26">
                  <c:v>2032</c:v>
                </c:pt>
                <c:pt idx="27">
                  <c:v>2033</c:v>
                </c:pt>
                <c:pt idx="28">
                  <c:v>2034</c:v>
                </c:pt>
                <c:pt idx="29">
                  <c:v>2035</c:v>
                </c:pt>
                <c:pt idx="30">
                  <c:v>2036</c:v>
                </c:pt>
                <c:pt idx="31">
                  <c:v>2037</c:v>
                </c:pt>
                <c:pt idx="32">
                  <c:v>2038</c:v>
                </c:pt>
                <c:pt idx="33">
                  <c:v>2039</c:v>
                </c:pt>
              </c:numCache>
            </c:numRef>
          </c:cat>
          <c:val>
            <c:numRef>
              <c:f>Graph_CO2!$I$45:$AP$45</c:f>
              <c:numCache>
                <c:formatCode>_(* #,##0_);_(* \(#,##0\);_(* "-"??_);_(@_)</c:formatCode>
                <c:ptCount val="34"/>
                <c:pt idx="0">
                  <c:v>5811.705891565216</c:v>
                </c:pt>
                <c:pt idx="1">
                  <c:v>5741.3947512468221</c:v>
                </c:pt>
                <c:pt idx="2">
                  <c:v>5831.6621575089175</c:v>
                </c:pt>
                <c:pt idx="3">
                  <c:v>5629.4402855458411</c:v>
                </c:pt>
                <c:pt idx="4">
                  <c:v>5237.9790874120499</c:v>
                </c:pt>
                <c:pt idx="5">
                  <c:v>5421.3546132287674</c:v>
                </c:pt>
                <c:pt idx="6">
                  <c:v>5271.9587835203365</c:v>
                </c:pt>
                <c:pt idx="7">
                  <c:v>5061.796514329073</c:v>
                </c:pt>
                <c:pt idx="8">
                  <c:v>5210.4666515024519</c:v>
                </c:pt>
                <c:pt idx="9">
                  <c:v>5265.4112730987672</c:v>
                </c:pt>
                <c:pt idx="10">
                  <c:v>5104.5387588362364</c:v>
                </c:pt>
                <c:pt idx="11">
                  <c:v>5046.5655113504927</c:v>
                </c:pt>
                <c:pt idx="12">
                  <c:v>5029.0196091770758</c:v>
                </c:pt>
                <c:pt idx="13">
                  <c:v>5011.7661930732556</c:v>
                </c:pt>
                <c:pt idx="14">
                  <c:v>4996.6967853840397</c:v>
                </c:pt>
                <c:pt idx="15">
                  <c:v>4982.1862657830388</c:v>
                </c:pt>
                <c:pt idx="16">
                  <c:v>4977.2427579819168</c:v>
                </c:pt>
                <c:pt idx="17">
                  <c:v>4977.9278678765377</c:v>
                </c:pt>
                <c:pt idx="18">
                  <c:v>4978.6434462421412</c:v>
                </c:pt>
                <c:pt idx="19">
                  <c:v>4977.8611055325591</c:v>
                </c:pt>
                <c:pt idx="20">
                  <c:v>4975.5375122650157</c:v>
                </c:pt>
                <c:pt idx="21">
                  <c:v>4965.5608677201562</c:v>
                </c:pt>
                <c:pt idx="22">
                  <c:v>4955.7415341154447</c:v>
                </c:pt>
                <c:pt idx="23">
                  <c:v>4946.0785287498356</c:v>
                </c:pt>
                <c:pt idx="24">
                  <c:v>4936.5708791641691</c:v>
                </c:pt>
                <c:pt idx="25">
                  <c:v>4936.3511241774959</c:v>
                </c:pt>
                <c:pt idx="26">
                  <c:v>4935.6671283251453</c:v>
                </c:pt>
                <c:pt idx="27">
                  <c:v>4935.0429486801213</c:v>
                </c:pt>
                <c:pt idx="28">
                  <c:v>4934.4805393085126</c:v>
                </c:pt>
                <c:pt idx="29">
                  <c:v>4933.9818621789072</c:v>
                </c:pt>
                <c:pt idx="30">
                  <c:v>4933.5488869980691</c:v>
                </c:pt>
                <c:pt idx="31">
                  <c:v>4933.1835910508898</c:v>
                </c:pt>
                <c:pt idx="32">
                  <c:v>4932.8879590446841</c:v>
                </c:pt>
                <c:pt idx="33">
                  <c:v>4932.663982957909</c:v>
                </c:pt>
              </c:numCache>
            </c:numRef>
          </c:val>
          <c:extLst xmlns:c16r2="http://schemas.microsoft.com/office/drawing/2015/06/chart">
            <c:ext xmlns:c16="http://schemas.microsoft.com/office/drawing/2014/chart" uri="{C3380CC4-5D6E-409C-BE32-E72D297353CC}">
              <c16:uniqueId val="{00000000-3F2F-4F5F-8F5F-423457730B0F}"/>
            </c:ext>
          </c:extLst>
        </c:ser>
        <c:ser>
          <c:idx val="2"/>
          <c:order val="1"/>
          <c:tx>
            <c:v>User-Selected Tax</c:v>
          </c:tx>
          <c:marker>
            <c:spPr>
              <a:solidFill>
                <a:srgbClr val="00FF00"/>
              </a:solidFill>
            </c:spPr>
          </c:marker>
          <c:cat>
            <c:numRef>
              <c:f>Graph_CO2!$I$44:$AP$44</c:f>
              <c:numCache>
                <c:formatCode>0</c:formatCode>
                <c:ptCount val="34"/>
                <c:pt idx="0">
                  <c:v>2005</c:v>
                </c:pt>
                <c:pt idx="1">
                  <c:v>2006</c:v>
                </c:pt>
                <c:pt idx="2">
                  <c:v>2007</c:v>
                </c:pt>
                <c:pt idx="3">
                  <c:v>2008</c:v>
                </c:pt>
                <c:pt idx="4">
                  <c:v>2009</c:v>
                </c:pt>
                <c:pt idx="5">
                  <c:v>2010</c:v>
                </c:pt>
                <c:pt idx="6">
                  <c:v>2011</c:v>
                </c:pt>
                <c:pt idx="7">
                  <c:v>2012</c:v>
                </c:pt>
                <c:pt idx="8">
                  <c:v>2013</c:v>
                </c:pt>
                <c:pt idx="9">
                  <c:v>2014</c:v>
                </c:pt>
                <c:pt idx="10">
                  <c:v>2015</c:v>
                </c:pt>
                <c:pt idx="11">
                  <c:v>2017</c:v>
                </c:pt>
                <c:pt idx="12">
                  <c:v>2018</c:v>
                </c:pt>
                <c:pt idx="13">
                  <c:v>2019</c:v>
                </c:pt>
                <c:pt idx="14">
                  <c:v>2020</c:v>
                </c:pt>
                <c:pt idx="15">
                  <c:v>2021</c:v>
                </c:pt>
                <c:pt idx="16">
                  <c:v>2022</c:v>
                </c:pt>
                <c:pt idx="17">
                  <c:v>2023</c:v>
                </c:pt>
                <c:pt idx="18">
                  <c:v>2024</c:v>
                </c:pt>
                <c:pt idx="19">
                  <c:v>2025</c:v>
                </c:pt>
                <c:pt idx="20">
                  <c:v>2026</c:v>
                </c:pt>
                <c:pt idx="21">
                  <c:v>2027</c:v>
                </c:pt>
                <c:pt idx="22">
                  <c:v>2028</c:v>
                </c:pt>
                <c:pt idx="23">
                  <c:v>2029</c:v>
                </c:pt>
                <c:pt idx="24">
                  <c:v>2030</c:v>
                </c:pt>
                <c:pt idx="25">
                  <c:v>2031</c:v>
                </c:pt>
                <c:pt idx="26">
                  <c:v>2032</c:v>
                </c:pt>
                <c:pt idx="27">
                  <c:v>2033</c:v>
                </c:pt>
                <c:pt idx="28">
                  <c:v>2034</c:v>
                </c:pt>
                <c:pt idx="29">
                  <c:v>2035</c:v>
                </c:pt>
                <c:pt idx="30">
                  <c:v>2036</c:v>
                </c:pt>
                <c:pt idx="31">
                  <c:v>2037</c:v>
                </c:pt>
                <c:pt idx="32">
                  <c:v>2038</c:v>
                </c:pt>
                <c:pt idx="33">
                  <c:v>2039</c:v>
                </c:pt>
              </c:numCache>
            </c:numRef>
          </c:cat>
          <c:val>
            <c:numRef>
              <c:f>Graph_CO2!$I$47:$AP$47</c:f>
              <c:numCache>
                <c:formatCode>_(* #,##0_);_(* \(#,##0\);_(* "-"??_);_(@_)</c:formatCode>
                <c:ptCount val="34"/>
                <c:pt idx="0">
                  <c:v>5811.705891565216</c:v>
                </c:pt>
                <c:pt idx="1">
                  <c:v>5741.3947512468221</c:v>
                </c:pt>
                <c:pt idx="2">
                  <c:v>5831.6621575089175</c:v>
                </c:pt>
                <c:pt idx="3">
                  <c:v>5629.4402855458411</c:v>
                </c:pt>
                <c:pt idx="4">
                  <c:v>5237.9790874120499</c:v>
                </c:pt>
                <c:pt idx="5">
                  <c:v>5421.3546132287674</c:v>
                </c:pt>
                <c:pt idx="6">
                  <c:v>5271.9587835203365</c:v>
                </c:pt>
                <c:pt idx="7">
                  <c:v>5061.796514329073</c:v>
                </c:pt>
                <c:pt idx="8">
                  <c:v>5210.4666515024519</c:v>
                </c:pt>
                <c:pt idx="9">
                  <c:v>5265.4112730987672</c:v>
                </c:pt>
                <c:pt idx="10">
                  <c:v>5104.5387588362364</c:v>
                </c:pt>
                <c:pt idx="11">
                  <c:v>4804.5672943417485</c:v>
                </c:pt>
                <c:pt idx="12">
                  <c:v>4571.5969475236061</c:v>
                </c:pt>
                <c:pt idx="13">
                  <c:v>4366.3671264869035</c:v>
                </c:pt>
                <c:pt idx="14">
                  <c:v>4185.3280177723309</c:v>
                </c:pt>
                <c:pt idx="15">
                  <c:v>4018.9809123075147</c:v>
                </c:pt>
                <c:pt idx="16">
                  <c:v>3873.4183585679589</c:v>
                </c:pt>
                <c:pt idx="17">
                  <c:v>3744.3933367446161</c:v>
                </c:pt>
                <c:pt idx="18">
                  <c:v>3625.0125223660971</c:v>
                </c:pt>
                <c:pt idx="19">
                  <c:v>3512.6285343834284</c:v>
                </c:pt>
                <c:pt idx="20">
                  <c:v>3406.2137623870713</c:v>
                </c:pt>
                <c:pt idx="21">
                  <c:v>3299.819374038455</c:v>
                </c:pt>
                <c:pt idx="22">
                  <c:v>3200.0306182053191</c:v>
                </c:pt>
                <c:pt idx="23">
                  <c:v>3106.648941185776</c:v>
                </c:pt>
                <c:pt idx="24">
                  <c:v>3019.010616037508</c:v>
                </c:pt>
                <c:pt idx="25">
                  <c:v>2938.6126092781701</c:v>
                </c:pt>
                <c:pt idx="26">
                  <c:v>2862.1350350781963</c:v>
                </c:pt>
                <c:pt idx="27">
                  <c:v>2789.6677011175238</c:v>
                </c:pt>
                <c:pt idx="28">
                  <c:v>2720.8691597313632</c:v>
                </c:pt>
                <c:pt idx="29">
                  <c:v>2655.4384955128794</c:v>
                </c:pt>
                <c:pt idx="30">
                  <c:v>2593.1716197677424</c:v>
                </c:pt>
                <c:pt idx="31">
                  <c:v>2533.7775462375603</c:v>
                </c:pt>
                <c:pt idx="32">
                  <c:v>2477.0442876425464</c:v>
                </c:pt>
                <c:pt idx="33">
                  <c:v>2422.7818394032015</c:v>
                </c:pt>
              </c:numCache>
            </c:numRef>
          </c:val>
          <c:extLst xmlns:c16r2="http://schemas.microsoft.com/office/drawing/2015/06/chart">
            <c:ext xmlns:c16="http://schemas.microsoft.com/office/drawing/2014/chart" uri="{C3380CC4-5D6E-409C-BE32-E72D297353CC}">
              <c16:uniqueId val="{00000001-3F2F-4F5F-8F5F-423457730B0F}"/>
            </c:ext>
          </c:extLst>
        </c:ser>
        <c:dLbls/>
        <c:marker val="1"/>
        <c:axId val="146185600"/>
        <c:axId val="158729344"/>
      </c:lineChart>
      <c:catAx>
        <c:axId val="146185600"/>
        <c:scaling>
          <c:orientation val="minMax"/>
        </c:scaling>
        <c:axPos val="b"/>
        <c:minorGridlines/>
        <c:numFmt formatCode="0" sourceLinked="1"/>
        <c:tickLblPos val="nextTo"/>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en-US"/>
          </a:p>
        </c:txPr>
        <c:crossAx val="158729344"/>
        <c:crosses val="autoZero"/>
        <c:auto val="1"/>
        <c:lblAlgn val="ctr"/>
        <c:lblOffset val="100"/>
        <c:tickLblSkip val="4"/>
        <c:tickMarkSkip val="2"/>
      </c:catAx>
      <c:valAx>
        <c:axId val="158729344"/>
        <c:scaling>
          <c:orientation val="minMax"/>
          <c:max val="6000"/>
          <c:min val="0"/>
        </c:scaling>
        <c:axPos val="l"/>
        <c:majorGridlines>
          <c:spPr>
            <a:ln w="3175">
              <a:solidFill>
                <a:srgbClr val="000000"/>
              </a:solidFill>
              <a:prstDash val="solid"/>
            </a:ln>
          </c:spPr>
        </c:majorGridlines>
        <c:title>
          <c:tx>
            <c:rich>
              <a:bodyPr/>
              <a:lstStyle/>
              <a:p>
                <a:pPr>
                  <a:defRPr sz="900" b="1" i="0" u="none" strike="noStrike" baseline="0">
                    <a:solidFill>
                      <a:srgbClr val="000000"/>
                    </a:solidFill>
                    <a:latin typeface="Arial"/>
                    <a:ea typeface="Arial"/>
                    <a:cs typeface="Arial"/>
                  </a:defRPr>
                </a:pPr>
                <a:r>
                  <a:rPr lang="en-US" sz="900"/>
                  <a:t>Million Tonnes CO2</a:t>
                </a:r>
              </a:p>
            </c:rich>
          </c:tx>
          <c:layout>
            <c:manualLayout>
              <c:xMode val="edge"/>
              <c:yMode val="edge"/>
              <c:x val="3.7277912376338401E-2"/>
              <c:y val="0.15496312960879904"/>
            </c:manualLayout>
          </c:layout>
          <c:spPr>
            <a:noFill/>
            <a:ln w="25400">
              <a:noFill/>
            </a:ln>
          </c:spPr>
        </c:title>
        <c:numFmt formatCode="#,##0" sourceLinked="0"/>
        <c:tickLblPos val="nextTo"/>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en-US"/>
          </a:p>
        </c:txPr>
        <c:crossAx val="146185600"/>
        <c:crosses val="autoZero"/>
        <c:crossBetween val="midCat"/>
        <c:majorUnit val="2000"/>
        <c:minorUnit val="500"/>
      </c:valAx>
      <c:spPr>
        <a:solidFill>
          <a:srgbClr val="C0C0C0"/>
        </a:solidFill>
        <a:ln w="12700">
          <a:solidFill>
            <a:srgbClr val="808080"/>
          </a:solidFill>
          <a:prstDash val="solid"/>
        </a:ln>
      </c:spPr>
    </c:plotArea>
    <c:legend>
      <c:legendPos val="r"/>
      <c:legendEntry>
        <c:idx val="0"/>
        <c:txPr>
          <a:bodyPr/>
          <a:lstStyle/>
          <a:p>
            <a:pPr>
              <a:defRPr sz="800" b="1" i="0" u="none" strike="noStrike" baseline="0">
                <a:solidFill>
                  <a:srgbClr val="000000"/>
                </a:solidFill>
                <a:latin typeface="Arial"/>
                <a:ea typeface="Arial"/>
                <a:cs typeface="Arial"/>
              </a:defRPr>
            </a:pPr>
            <a:endParaRPr lang="en-US"/>
          </a:p>
        </c:txPr>
      </c:legendEntry>
      <c:layout>
        <c:manualLayout>
          <c:xMode val="edge"/>
          <c:yMode val="edge"/>
          <c:x val="0.59869813901274349"/>
          <c:y val="0.62891703754422468"/>
          <c:w val="0.30936897195080176"/>
          <c:h val="0.201241964319677"/>
        </c:manualLayout>
      </c:layout>
      <c:spPr>
        <a:solidFill>
          <a:srgbClr val="FFFF00"/>
        </a:solidFill>
        <a:ln w="3175">
          <a:solidFill>
            <a:srgbClr val="000000"/>
          </a:solidFill>
          <a:prstDash val="solid"/>
        </a:ln>
      </c:spPr>
      <c:txPr>
        <a:bodyPr/>
        <a:lstStyle/>
        <a:p>
          <a:pPr>
            <a:defRPr sz="800" b="1"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033" r="0.75000000000001033" t="1" header="0.5" footer="0.5"/>
    <c:pageSetup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b="1" i="0" u="none" strike="noStrike" baseline="0">
                <a:solidFill>
                  <a:srgbClr val="000000"/>
                </a:solidFill>
                <a:latin typeface="Calibri"/>
                <a:ea typeface="Calibri"/>
                <a:cs typeface="Calibri"/>
              </a:defRPr>
            </a:pPr>
            <a:r>
              <a:rPr lang="en-US" sz="2000"/>
              <a:t>U.S. Petroleum Savings by</a:t>
            </a:r>
            <a:r>
              <a:rPr lang="en-US" sz="2000" b="1" i="0" u="none" strike="noStrike" baseline="0"/>
              <a:t> Sector</a:t>
            </a:r>
            <a:endParaRPr lang="en-US" sz="2000"/>
          </a:p>
          <a:p>
            <a:pPr>
              <a:defRPr sz="1400" b="1" i="0" u="none" strike="noStrike" baseline="0">
                <a:solidFill>
                  <a:srgbClr val="000000"/>
                </a:solidFill>
                <a:latin typeface="Calibri"/>
                <a:ea typeface="Calibri"/>
                <a:cs typeface="Calibri"/>
              </a:defRPr>
            </a:pPr>
            <a:r>
              <a:rPr lang="en-US" sz="2000"/>
              <a:t>(in 10th Year of Carbon Tax)</a:t>
            </a:r>
          </a:p>
        </c:rich>
      </c:tx>
      <c:layout>
        <c:manualLayout>
          <c:xMode val="edge"/>
          <c:yMode val="edge"/>
          <c:x val="0.23684862306832141"/>
          <c:y val="3.0483991379431811E-2"/>
        </c:manualLayout>
      </c:layout>
    </c:title>
    <c:plotArea>
      <c:layout>
        <c:manualLayout>
          <c:layoutTarget val="inner"/>
          <c:xMode val="edge"/>
          <c:yMode val="edge"/>
          <c:x val="0.114432300293172"/>
          <c:y val="0.20412635580262273"/>
          <c:w val="0.81734866803066897"/>
          <c:h val="0.57215108773835199"/>
        </c:manualLayout>
      </c:layout>
      <c:barChart>
        <c:barDir val="col"/>
        <c:grouping val="stacked"/>
        <c:ser>
          <c:idx val="1"/>
          <c:order val="0"/>
          <c:tx>
            <c:v>Petroleum Use with Carbon Tax</c:v>
          </c:tx>
          <c:spPr>
            <a:solidFill>
              <a:srgbClr val="FF0000"/>
            </a:solidFill>
          </c:spPr>
          <c:dLbls>
            <c:dLbl>
              <c:idx val="0"/>
              <c:layout>
                <c:manualLayout>
                  <c:x val="-1.484798425755888E-2"/>
                  <c:y val="-3.8579342736423015E-2"/>
                </c:manualLayout>
              </c:layout>
              <c:dLblPos val="ctr"/>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D32D-4664-A253-57D0BB80698A}"/>
                </c:ext>
              </c:extLst>
            </c:dLbl>
            <c:spPr>
              <a:noFill/>
              <a:ln>
                <a:noFill/>
              </a:ln>
              <a:effectLst/>
            </c:spPr>
            <c:txPr>
              <a:bodyPr/>
              <a:lstStyle/>
              <a:p>
                <a:pPr>
                  <a:defRPr sz="1000" b="1" i="0" u="none" strike="noStrike" baseline="0">
                    <a:solidFill>
                      <a:srgbClr val="000000"/>
                    </a:solidFill>
                    <a:latin typeface="Calibri"/>
                    <a:ea typeface="Calibri"/>
                    <a:cs typeface="Calibri"/>
                  </a:defRPr>
                </a:pPr>
                <a:endParaRPr lang="en-US"/>
              </a:p>
            </c:txPr>
            <c:showVal val="1"/>
            <c:extLst xmlns:c16r2="http://schemas.microsoft.com/office/drawing/2015/06/chart">
              <c:ext xmlns:c15="http://schemas.microsoft.com/office/drawing/2012/chart" uri="{CE6537A1-D6FC-4f65-9D91-7224C49458BB}">
                <c15:showLeaderLines val="0"/>
              </c:ext>
            </c:extLst>
          </c:dLbls>
          <c:cat>
            <c:strRef>
              <c:f>(Graph_Oil!$B$76:$B$81,Graph_Oil!$B$83)</c:f>
              <c:strCache>
                <c:ptCount val="7"/>
                <c:pt idx="0">
                  <c:v>Electricity Generation</c:v>
                </c:pt>
                <c:pt idx="1">
                  <c:v>Personal Ground Travel (driving, boating, rec vehicles, etc.)</c:v>
                </c:pt>
                <c:pt idx="2">
                  <c:v>Freight (goods movement by road, rail, ship, air)</c:v>
                </c:pt>
                <c:pt idx="3">
                  <c:v>Aviation (passenger only)</c:v>
                </c:pt>
                <c:pt idx="4">
                  <c:v>Oil Refining</c:v>
                </c:pt>
                <c:pt idx="5">
                  <c:v>"Other" Petroleum (heating, construxn, industry, etc.)</c:v>
                </c:pt>
                <c:pt idx="6">
                  <c:v>Misc. (non-electric coal, non-energy FF's, U.S. territories)</c:v>
                </c:pt>
              </c:strCache>
            </c:strRef>
          </c:cat>
          <c:val>
            <c:numRef>
              <c:f>(Graph_Oil!$AC$66:$AC$71,Graph_Oil!$AC$73)</c:f>
              <c:numCache>
                <c:formatCode>_(* #,##0_);_(* \(#,##0\);_(* "-"??_);_(@_)</c:formatCode>
                <c:ptCount val="7"/>
                <c:pt idx="0">
                  <c:v>60.923764006684692</c:v>
                </c:pt>
                <c:pt idx="1">
                  <c:v>6936.2448315546617</c:v>
                </c:pt>
                <c:pt idx="2">
                  <c:v>2180.9504483747733</c:v>
                </c:pt>
                <c:pt idx="3">
                  <c:v>906.27612413455665</c:v>
                </c:pt>
                <c:pt idx="4">
                  <c:v>1975.6200752489463</c:v>
                </c:pt>
                <c:pt idx="5">
                  <c:v>1505.031651604954</c:v>
                </c:pt>
                <c:pt idx="6">
                  <c:v>1866.250928623497</c:v>
                </c:pt>
              </c:numCache>
            </c:numRef>
          </c:val>
          <c:extLst xmlns:c16r2="http://schemas.microsoft.com/office/drawing/2015/06/chart">
            <c:ext xmlns:c16="http://schemas.microsoft.com/office/drawing/2014/chart" uri="{C3380CC4-5D6E-409C-BE32-E72D297353CC}">
              <c16:uniqueId val="{00000001-D32D-4664-A253-57D0BB80698A}"/>
            </c:ext>
          </c:extLst>
        </c:ser>
        <c:ser>
          <c:idx val="0"/>
          <c:order val="1"/>
          <c:tx>
            <c:v>Savings from Tax (vs. Trajectory w/o Tax)</c:v>
          </c:tx>
          <c:spPr>
            <a:solidFill>
              <a:srgbClr val="66FF66"/>
            </a:solidFill>
          </c:spPr>
          <c:dLbls>
            <c:dLbl>
              <c:idx val="0"/>
              <c:layout>
                <c:manualLayout>
                  <c:x val="4.0387383685665454E-2"/>
                  <c:y val="-2.0227360418423334E-2"/>
                </c:manualLayout>
              </c:layout>
              <c:dLblPos val="ctr"/>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32D-4664-A253-57D0BB80698A}"/>
                </c:ext>
              </c:extLst>
            </c:dLbl>
            <c:spPr>
              <a:noFill/>
              <a:ln>
                <a:noFill/>
              </a:ln>
              <a:effectLst/>
            </c:spPr>
            <c:txPr>
              <a:bodyPr/>
              <a:lstStyle/>
              <a:p>
                <a:pPr>
                  <a:defRPr sz="1000" b="1" i="0" u="none" strike="noStrike" baseline="0">
                    <a:solidFill>
                      <a:srgbClr val="000000"/>
                    </a:solidFill>
                    <a:latin typeface="Calibri"/>
                    <a:ea typeface="Calibri"/>
                    <a:cs typeface="Calibri"/>
                  </a:defRPr>
                </a:pPr>
                <a:endParaRPr lang="en-US"/>
              </a:p>
            </c:txPr>
            <c:showVal val="1"/>
            <c:extLst xmlns:c16r2="http://schemas.microsoft.com/office/drawing/2015/06/chart">
              <c:ext xmlns:c15="http://schemas.microsoft.com/office/drawing/2012/chart" uri="{CE6537A1-D6FC-4f65-9D91-7224C49458BB}">
                <c15:showLeaderLines val="0"/>
              </c:ext>
            </c:extLst>
          </c:dLbls>
          <c:cat>
            <c:strRef>
              <c:f>(Graph_Oil!$B$76:$B$81,Graph_Oil!$B$83)</c:f>
              <c:strCache>
                <c:ptCount val="7"/>
                <c:pt idx="0">
                  <c:v>Electricity Generation</c:v>
                </c:pt>
                <c:pt idx="1">
                  <c:v>Personal Ground Travel (driving, boating, rec vehicles, etc.)</c:v>
                </c:pt>
                <c:pt idx="2">
                  <c:v>Freight (goods movement by road, rail, ship, air)</c:v>
                </c:pt>
                <c:pt idx="3">
                  <c:v>Aviation (passenger only)</c:v>
                </c:pt>
                <c:pt idx="4">
                  <c:v>Oil Refining</c:v>
                </c:pt>
                <c:pt idx="5">
                  <c:v>"Other" Petroleum (heating, construxn, industry, etc.)</c:v>
                </c:pt>
                <c:pt idx="6">
                  <c:v>Misc. (non-electric coal, non-energy FF's, U.S. territories)</c:v>
                </c:pt>
              </c:strCache>
            </c:strRef>
          </c:cat>
          <c:val>
            <c:numRef>
              <c:f>(Graph_Oil!$AC$76:$AC$81,Graph_Oil!$AC$83)</c:f>
              <c:numCache>
                <c:formatCode>_(* #,##0_);_(* \(#,##0\);_(* "-"??_);_(@_)</c:formatCode>
                <c:ptCount val="7"/>
                <c:pt idx="0">
                  <c:v>71.592689889252469</c:v>
                </c:pt>
                <c:pt idx="1">
                  <c:v>1240.4382385829376</c:v>
                </c:pt>
                <c:pt idx="2">
                  <c:v>935.44097789444731</c:v>
                </c:pt>
                <c:pt idx="3">
                  <c:v>463.44058502385303</c:v>
                </c:pt>
                <c:pt idx="4">
                  <c:v>193.19330697922624</c:v>
                </c:pt>
                <c:pt idx="5">
                  <c:v>458.18514223759576</c:v>
                </c:pt>
                <c:pt idx="6">
                  <c:v>373.86707275756612</c:v>
                </c:pt>
              </c:numCache>
            </c:numRef>
          </c:val>
          <c:extLst xmlns:c16r2="http://schemas.microsoft.com/office/drawing/2015/06/chart">
            <c:ext xmlns:c16="http://schemas.microsoft.com/office/drawing/2014/chart" uri="{C3380CC4-5D6E-409C-BE32-E72D297353CC}">
              <c16:uniqueId val="{00000003-D32D-4664-A253-57D0BB80698A}"/>
            </c:ext>
          </c:extLst>
        </c:ser>
        <c:dLbls>
          <c:showVal val="1"/>
        </c:dLbls>
        <c:gapWidth val="95"/>
        <c:overlap val="100"/>
        <c:axId val="167839232"/>
        <c:axId val="167840768"/>
      </c:barChart>
      <c:catAx>
        <c:axId val="167839232"/>
        <c:scaling>
          <c:orientation val="minMax"/>
        </c:scaling>
        <c:axPos val="b"/>
        <c:numFmt formatCode="General" sourceLinked="1"/>
        <c:majorTickMark val="none"/>
        <c:tickLblPos val="nextTo"/>
        <c:txPr>
          <a:bodyPr rot="0" vert="horz"/>
          <a:lstStyle/>
          <a:p>
            <a:pPr>
              <a:defRPr sz="900" b="1" i="0" u="none" strike="noStrike" baseline="0">
                <a:solidFill>
                  <a:srgbClr val="000000"/>
                </a:solidFill>
                <a:latin typeface="Calibri"/>
                <a:ea typeface="Calibri"/>
                <a:cs typeface="Calibri"/>
              </a:defRPr>
            </a:pPr>
            <a:endParaRPr lang="en-US"/>
          </a:p>
        </c:txPr>
        <c:crossAx val="167840768"/>
        <c:crosses val="autoZero"/>
        <c:auto val="1"/>
        <c:lblAlgn val="ctr"/>
        <c:lblOffset val="100"/>
      </c:catAx>
      <c:valAx>
        <c:axId val="167840768"/>
        <c:scaling>
          <c:orientation val="minMax"/>
        </c:scaling>
        <c:axPos val="l"/>
        <c:numFmt formatCode="_(* #,##0_);_(* \(#,##0\);_(* &quot;-&quot;??_);_(@_)" sourceLinked="1"/>
        <c:tickLblPos val="nextTo"/>
        <c:spPr>
          <a:ln w="9525">
            <a:solidFill>
              <a:schemeClr val="accent1"/>
            </a:solidFill>
          </a:ln>
        </c:spPr>
        <c:txPr>
          <a:bodyPr rot="0" vert="horz"/>
          <a:lstStyle/>
          <a:p>
            <a:pPr>
              <a:defRPr sz="950" b="1" i="0" u="none" strike="noStrike" baseline="0">
                <a:solidFill>
                  <a:srgbClr val="000000"/>
                </a:solidFill>
                <a:latin typeface="Calibri"/>
                <a:ea typeface="Calibri"/>
                <a:cs typeface="Calibri"/>
              </a:defRPr>
            </a:pPr>
            <a:endParaRPr lang="en-US"/>
          </a:p>
        </c:txPr>
        <c:crossAx val="167839232"/>
        <c:crosses val="autoZero"/>
        <c:crossBetween val="between"/>
        <c:majorUnit val="2000"/>
      </c:valAx>
      <c:spPr>
        <a:solidFill>
          <a:srgbClr val="41B4CB"/>
        </a:solidFill>
        <a:ln w="9525"/>
      </c:spPr>
    </c:plotArea>
    <c:legend>
      <c:legendPos val="b"/>
      <c:legendEntry>
        <c:idx val="0"/>
        <c:txPr>
          <a:bodyPr/>
          <a:lstStyle/>
          <a:p>
            <a:pPr>
              <a:defRPr sz="1150" b="1" i="0" u="none" strike="noStrike" baseline="0">
                <a:solidFill>
                  <a:srgbClr val="000000"/>
                </a:solidFill>
                <a:latin typeface="Calibri"/>
                <a:ea typeface="Calibri"/>
                <a:cs typeface="Calibri"/>
              </a:defRPr>
            </a:pPr>
            <a:endParaRPr lang="en-US"/>
          </a:p>
        </c:txPr>
      </c:legendEntry>
      <c:legendEntry>
        <c:idx val="1"/>
        <c:txPr>
          <a:bodyPr/>
          <a:lstStyle/>
          <a:p>
            <a:pPr>
              <a:defRPr sz="1150" b="1" i="0" u="none" strike="noStrike" baseline="0">
                <a:solidFill>
                  <a:srgbClr val="000000"/>
                </a:solidFill>
                <a:latin typeface="Calibri"/>
                <a:ea typeface="Calibri"/>
                <a:cs typeface="Calibri"/>
              </a:defRPr>
            </a:pPr>
            <a:endParaRPr lang="en-US"/>
          </a:p>
        </c:txPr>
      </c:legendEntry>
      <c:layout>
        <c:manualLayout>
          <c:xMode val="edge"/>
          <c:yMode val="edge"/>
          <c:x val="0.40373683604510074"/>
          <c:y val="0.26134325087766902"/>
          <c:w val="0.44686057943545004"/>
          <c:h val="0.11675764894179502"/>
        </c:manualLayout>
      </c:layout>
      <c:txPr>
        <a:bodyPr/>
        <a:lstStyle/>
        <a:p>
          <a:pPr>
            <a:defRPr sz="1150" b="1" i="0" u="none" strike="noStrike" baseline="0">
              <a:solidFill>
                <a:srgbClr val="000000"/>
              </a:solidFill>
              <a:latin typeface="Calibri"/>
              <a:ea typeface="Calibri"/>
              <a:cs typeface="Calibri"/>
            </a:defRPr>
          </a:pPr>
          <a:endParaRPr lang="en-US"/>
        </a:p>
      </c:txPr>
    </c:legend>
    <c:plotVisOnly val="1"/>
    <c:dispBlanksAs val="gap"/>
  </c:chart>
  <c:spPr>
    <a:solidFill>
      <a:srgbClr val="FFFF99"/>
    </a:solidFill>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033" l="0.70000000000000162" r="0.70000000000000162" t="0.75000000000001033" header="0.30000000000000032" footer="0.30000000000000032"/>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2050" b="1" i="0" u="none" strike="noStrike" baseline="0">
                <a:solidFill>
                  <a:srgbClr val="000000"/>
                </a:solidFill>
                <a:latin typeface="Arial"/>
                <a:ea typeface="Arial"/>
                <a:cs typeface="Arial"/>
              </a:defRPr>
            </a:pPr>
            <a:r>
              <a:rPr lang="en-US"/>
              <a:t>Carbon Tax Revenues</a:t>
            </a:r>
          </a:p>
        </c:rich>
      </c:tx>
      <c:layout>
        <c:manualLayout>
          <c:xMode val="edge"/>
          <c:yMode val="edge"/>
          <c:x val="0.27884251194265669"/>
          <c:y val="3.0883344401227919E-2"/>
        </c:manualLayout>
      </c:layout>
      <c:spPr>
        <a:noFill/>
        <a:ln w="25400">
          <a:noFill/>
        </a:ln>
      </c:spPr>
    </c:title>
    <c:plotArea>
      <c:layout>
        <c:manualLayout>
          <c:layoutTarget val="inner"/>
          <c:xMode val="edge"/>
          <c:yMode val="edge"/>
          <c:x val="0.16259884581735282"/>
          <c:y val="0.13681710154850701"/>
          <c:w val="0.79976149311886291"/>
          <c:h val="0.74438776021318065"/>
        </c:manualLayout>
      </c:layout>
      <c:lineChart>
        <c:grouping val="standard"/>
        <c:ser>
          <c:idx val="0"/>
          <c:order val="0"/>
          <c:tx>
            <c:v>Carbon Tax Revenue</c:v>
          </c:tx>
          <c:spPr>
            <a:ln w="12700">
              <a:solidFill>
                <a:srgbClr val="000080"/>
              </a:solidFill>
              <a:prstDash val="solid"/>
            </a:ln>
          </c:spPr>
          <c:marker>
            <c:symbol val="diamond"/>
            <c:size val="9"/>
            <c:spPr>
              <a:solidFill>
                <a:srgbClr val="FF0000"/>
              </a:solidFill>
              <a:ln>
                <a:solidFill>
                  <a:srgbClr val="000080"/>
                </a:solidFill>
                <a:prstDash val="solid"/>
              </a:ln>
            </c:spPr>
          </c:marker>
          <c:cat>
            <c:numRef>
              <c:f>Graph_Revenue!$I$5:$AE$5</c:f>
              <c:numCache>
                <c:formatCode>0</c:formatCode>
                <c:ptCount val="23"/>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numCache>
            </c:numRef>
          </c:cat>
          <c:val>
            <c:numRef>
              <c:f>Graph_Revenue!$I$7:$AF$7</c:f>
              <c:numCache>
                <c:formatCode>"$"#,##0_);\("$"#,##0\)</c:formatCode>
                <c:ptCount val="24"/>
                <c:pt idx="0">
                  <c:v>59.996132853372941</c:v>
                </c:pt>
                <c:pt idx="1">
                  <c:v>116.75998131258092</c:v>
                </c:pt>
                <c:pt idx="2">
                  <c:v>170.82843867265058</c:v>
                </c:pt>
                <c:pt idx="3">
                  <c:v>222.7906789024224</c:v>
                </c:pt>
                <c:pt idx="4">
                  <c:v>273.09212622721429</c:v>
                </c:pt>
                <c:pt idx="5">
                  <c:v>322.57248738535253</c:v>
                </c:pt>
                <c:pt idx="6">
                  <c:v>371.29547672226118</c:v>
                </c:pt>
                <c:pt idx="7">
                  <c:v>419.60012416608771</c:v>
                </c:pt>
                <c:pt idx="8">
                  <c:v>466.99795493506213</c:v>
                </c:pt>
                <c:pt idx="9">
                  <c:v>513.77963688741124</c:v>
                </c:pt>
                <c:pt idx="10">
                  <c:v>558.91978723207546</c:v>
                </c:pt>
                <c:pt idx="11">
                  <c:v>603.68051331492813</c:v>
                </c:pt>
                <c:pt idx="12">
                  <c:v>648.41406438622255</c:v>
                </c:pt>
                <c:pt idx="13">
                  <c:v>692.96484719041143</c:v>
                </c:pt>
                <c:pt idx="14">
                  <c:v>737.92214924942868</c:v>
                </c:pt>
                <c:pt idx="15">
                  <c:v>782.77669010037948</c:v>
                </c:pt>
                <c:pt idx="16">
                  <c:v>827.87755177920371</c:v>
                </c:pt>
                <c:pt idx="17">
                  <c:v>872.94823231278428</c:v>
                </c:pt>
                <c:pt idx="18">
                  <c:v>918.10957557551615</c:v>
                </c:pt>
                <c:pt idx="19">
                  <c:v>963.78021025388421</c:v>
                </c:pt>
                <c:pt idx="20">
                  <c:v>1009.6769106526688</c:v>
                </c:pt>
                <c:pt idx="21">
                  <c:v>1055.8148949774481</c:v>
                </c:pt>
                <c:pt idx="22">
                  <c:v>1102.4080731622867</c:v>
                </c:pt>
                <c:pt idx="23">
                  <c:v>1161.3853615987346</c:v>
                </c:pt>
              </c:numCache>
            </c:numRef>
          </c:val>
          <c:extLst xmlns:c16r2="http://schemas.microsoft.com/office/drawing/2015/06/chart">
            <c:ext xmlns:c16="http://schemas.microsoft.com/office/drawing/2014/chart" uri="{C3380CC4-5D6E-409C-BE32-E72D297353CC}">
              <c16:uniqueId val="{00000000-3CAD-4A8C-AE92-E0870C787EA7}"/>
            </c:ext>
          </c:extLst>
        </c:ser>
        <c:ser>
          <c:idx val="1"/>
          <c:order val="1"/>
          <c:tx>
            <c:v>Per-Household Dividend</c:v>
          </c:tx>
          <c:marker>
            <c:spPr>
              <a:solidFill>
                <a:srgbClr val="00B0F0"/>
              </a:solidFill>
            </c:spPr>
          </c:marker>
          <c:val>
            <c:numRef>
              <c:f>Graph_Revenue!$I$9:$AF$9</c:f>
              <c:numCache>
                <c:formatCode>"$"#,##0_);\("$"#,##0\)</c:formatCode>
                <c:ptCount val="24"/>
                <c:pt idx="0">
                  <c:v>481.45639272944624</c:v>
                </c:pt>
                <c:pt idx="1">
                  <c:v>929.42984150897473</c:v>
                </c:pt>
                <c:pt idx="2">
                  <c:v>1348.9623288532071</c:v>
                </c:pt>
                <c:pt idx="3">
                  <c:v>1745.3561037781219</c:v>
                </c:pt>
                <c:pt idx="4">
                  <c:v>2122.670135068317</c:v>
                </c:pt>
                <c:pt idx="5">
                  <c:v>2487.8851267747723</c:v>
                </c:pt>
                <c:pt idx="6">
                  <c:v>2841.8425762821066</c:v>
                </c:pt>
                <c:pt idx="7">
                  <c:v>3187.4540134802014</c:v>
                </c:pt>
                <c:pt idx="8">
                  <c:v>3521.3033195611588</c:v>
                </c:pt>
                <c:pt idx="9">
                  <c:v>3845.9327620518211</c:v>
                </c:pt>
                <c:pt idx="10">
                  <c:v>4154.0407139646459</c:v>
                </c:pt>
                <c:pt idx="11">
                  <c:v>4455.4470284199633</c:v>
                </c:pt>
                <c:pt idx="12">
                  <c:v>4752.9914671190099</c:v>
                </c:pt>
                <c:pt idx="13">
                  <c:v>5045.7710403616902</c:v>
                </c:pt>
                <c:pt idx="14">
                  <c:v>5338.3052627656898</c:v>
                </c:pt>
                <c:pt idx="15">
                  <c:v>5627.0494885355683</c:v>
                </c:pt>
                <c:pt idx="16">
                  <c:v>5914.7110206252182</c:v>
                </c:pt>
                <c:pt idx="17">
                  <c:v>6199.476118974394</c:v>
                </c:pt>
                <c:pt idx="18">
                  <c:v>6482.3104568585723</c:v>
                </c:pt>
                <c:pt idx="19">
                  <c:v>6766.328453089066</c:v>
                </c:pt>
                <c:pt idx="20">
                  <c:v>7049.4910381506998</c:v>
                </c:pt>
                <c:pt idx="21">
                  <c:v>7332.0282983789175</c:v>
                </c:pt>
                <c:pt idx="22">
                  <c:v>7615.4393629277856</c:v>
                </c:pt>
                <c:pt idx="23">
                  <c:v>7981.7556894865102</c:v>
                </c:pt>
              </c:numCache>
            </c:numRef>
          </c:val>
          <c:extLst xmlns:c16r2="http://schemas.microsoft.com/office/drawing/2015/06/chart">
            <c:ext xmlns:c16="http://schemas.microsoft.com/office/drawing/2014/chart" uri="{C3380CC4-5D6E-409C-BE32-E72D297353CC}">
              <c16:uniqueId val="{00000001-3CAD-4A8C-AE92-E0870C787EA7}"/>
            </c:ext>
          </c:extLst>
        </c:ser>
        <c:dLbls/>
        <c:marker val="1"/>
        <c:axId val="6193152"/>
        <c:axId val="6194688"/>
      </c:lineChart>
      <c:catAx>
        <c:axId val="6193152"/>
        <c:scaling>
          <c:orientation val="minMax"/>
        </c:scaling>
        <c:axPos val="b"/>
        <c:minorGridlines/>
        <c:numFmt formatCode="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194688"/>
        <c:crosses val="autoZero"/>
        <c:auto val="1"/>
        <c:lblAlgn val="ctr"/>
        <c:lblOffset val="100"/>
        <c:tickLblSkip val="2"/>
        <c:tickMarkSkip val="2"/>
      </c:catAx>
      <c:valAx>
        <c:axId val="6194688"/>
        <c:scaling>
          <c:orientation val="minMax"/>
        </c:scaling>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en-US"/>
                  <a:t>$ per year (revenue line is in millions)</a:t>
                </a:r>
              </a:p>
            </c:rich>
          </c:tx>
          <c:layout>
            <c:manualLayout>
              <c:xMode val="edge"/>
              <c:yMode val="edge"/>
              <c:x val="2.3833879172183724E-2"/>
              <c:y val="0.1733884830661282"/>
            </c:manualLayout>
          </c:layout>
          <c:spPr>
            <a:noFill/>
            <a:ln w="25400">
              <a:noFill/>
            </a:ln>
          </c:spPr>
        </c:title>
        <c:numFmt formatCode="\$#,##0" sourceLinked="0"/>
        <c:tickLblPos val="nextTo"/>
        <c:spPr>
          <a:ln w="3175">
            <a:solidFill>
              <a:srgbClr val="000000"/>
            </a:solidFill>
            <a:prstDash val="solid"/>
          </a:ln>
        </c:spPr>
        <c:txPr>
          <a:bodyPr rot="0" vert="horz"/>
          <a:lstStyle/>
          <a:p>
            <a:pPr>
              <a:defRPr sz="900" b="1" i="0" u="none" strike="noStrike" baseline="0">
                <a:solidFill>
                  <a:srgbClr val="000000"/>
                </a:solidFill>
                <a:latin typeface="Arial"/>
                <a:ea typeface="Arial"/>
                <a:cs typeface="Arial"/>
              </a:defRPr>
            </a:pPr>
            <a:endParaRPr lang="en-US"/>
          </a:p>
        </c:txPr>
        <c:crossAx val="6193152"/>
        <c:crosses val="autoZero"/>
        <c:crossBetween val="midCat"/>
        <c:majorUnit val="2000"/>
      </c:valAx>
      <c:spPr>
        <a:solidFill>
          <a:srgbClr val="C0C0C0"/>
        </a:solidFill>
        <a:ln w="12700">
          <a:solidFill>
            <a:srgbClr val="808080"/>
          </a:solidFill>
          <a:prstDash val="solid"/>
        </a:ln>
      </c:spPr>
    </c:plotArea>
    <c:legend>
      <c:legendPos val="r"/>
      <c:layout>
        <c:manualLayout>
          <c:xMode val="edge"/>
          <c:yMode val="edge"/>
          <c:x val="0.19041453788078044"/>
          <c:y val="0.38920399780536452"/>
          <c:w val="0.30872193436961104"/>
          <c:h val="0.10797287344731619"/>
        </c:manualLayout>
      </c:layout>
      <c:spPr>
        <a:solidFill>
          <a:srgbClr val="FFFFFF"/>
        </a:solidFill>
        <a:ln w="3175">
          <a:solidFill>
            <a:srgbClr val="000000"/>
          </a:solidFill>
          <a:prstDash val="solid"/>
        </a:ln>
      </c:spPr>
      <c:txPr>
        <a:bodyPr/>
        <a:lstStyle/>
        <a:p>
          <a:pPr>
            <a:defRPr sz="900" b="1" i="0" u="none" strike="noStrike" baseline="0">
              <a:solidFill>
                <a:srgbClr val="000000"/>
              </a:solidFill>
              <a:latin typeface="Arial"/>
              <a:ea typeface="Arial"/>
              <a:cs typeface="Arial"/>
            </a:defRPr>
          </a:pPr>
          <a:endParaRPr lang="en-US"/>
        </a:p>
      </c:txPr>
    </c:legend>
    <c:plotVisOnly val="1"/>
    <c:dispBlanksAs val="gap"/>
  </c:chart>
  <c:spPr>
    <a:solidFill>
      <a:srgbClr val="CCFFCC"/>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033" r="0.75000000000001033" t="1" header="0.5" footer="0.5"/>
    <c:pageSetup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lang val="en-US"/>
  <c:chart>
    <c:view3D>
      <c:rotX val="30"/>
      <c:rotY val="110"/>
      <c:perspective val="30"/>
    </c:view3D>
    <c:plotArea>
      <c:layout>
        <c:manualLayout>
          <c:layoutTarget val="inner"/>
          <c:xMode val="edge"/>
          <c:yMode val="edge"/>
          <c:x val="0.198702739243447"/>
          <c:y val="5.7962083251991148E-2"/>
          <c:w val="0.59787042943694857"/>
          <c:h val="0.86894470835773763"/>
        </c:manualLayout>
      </c:layout>
      <c:pie3DChart>
        <c:varyColors val="1"/>
        <c:ser>
          <c:idx val="0"/>
          <c:order val="0"/>
          <c:dPt>
            <c:idx val="0"/>
            <c:spPr>
              <a:solidFill>
                <a:srgbClr val="00FF00"/>
              </a:solidFill>
            </c:spPr>
            <c:extLst xmlns:c16r2="http://schemas.microsoft.com/office/drawing/2015/06/chart">
              <c:ext xmlns:c16="http://schemas.microsoft.com/office/drawing/2014/chart" uri="{C3380CC4-5D6E-409C-BE32-E72D297353CC}">
                <c16:uniqueId val="{00000000-AE29-4142-83AF-9E829C69E554}"/>
              </c:ext>
            </c:extLst>
          </c:dPt>
          <c:dPt>
            <c:idx val="1"/>
            <c:spPr>
              <a:solidFill>
                <a:srgbClr val="FF33CC"/>
              </a:solidFill>
            </c:spPr>
            <c:extLst xmlns:c16r2="http://schemas.microsoft.com/office/drawing/2015/06/chart">
              <c:ext xmlns:c16="http://schemas.microsoft.com/office/drawing/2014/chart" uri="{C3380CC4-5D6E-409C-BE32-E72D297353CC}">
                <c16:uniqueId val="{00000001-AE29-4142-83AF-9E829C69E554}"/>
              </c:ext>
            </c:extLst>
          </c:dPt>
          <c:dPt>
            <c:idx val="2"/>
            <c:spPr>
              <a:solidFill>
                <a:srgbClr val="FF3300"/>
              </a:solidFill>
            </c:spPr>
            <c:extLst xmlns:c16r2="http://schemas.microsoft.com/office/drawing/2015/06/chart">
              <c:ext xmlns:c16="http://schemas.microsoft.com/office/drawing/2014/chart" uri="{C3380CC4-5D6E-409C-BE32-E72D297353CC}">
                <c16:uniqueId val="{00000002-AE29-4142-83AF-9E829C69E554}"/>
              </c:ext>
            </c:extLst>
          </c:dPt>
          <c:dPt>
            <c:idx val="3"/>
            <c:spPr>
              <a:solidFill>
                <a:srgbClr val="00FFFF"/>
              </a:solidFill>
            </c:spPr>
            <c:extLst xmlns:c16r2="http://schemas.microsoft.com/office/drawing/2015/06/chart">
              <c:ext xmlns:c16="http://schemas.microsoft.com/office/drawing/2014/chart" uri="{C3380CC4-5D6E-409C-BE32-E72D297353CC}">
                <c16:uniqueId val="{00000003-AE29-4142-83AF-9E829C69E554}"/>
              </c:ext>
            </c:extLst>
          </c:dPt>
          <c:dPt>
            <c:idx val="4"/>
            <c:spPr>
              <a:solidFill>
                <a:srgbClr val="FFFF00"/>
              </a:solidFill>
            </c:spPr>
            <c:extLst xmlns:c16r2="http://schemas.microsoft.com/office/drawing/2015/06/chart">
              <c:ext xmlns:c16="http://schemas.microsoft.com/office/drawing/2014/chart" uri="{C3380CC4-5D6E-409C-BE32-E72D297353CC}">
                <c16:uniqueId val="{00000004-AE29-4142-83AF-9E829C69E554}"/>
              </c:ext>
            </c:extLst>
          </c:dPt>
          <c:dLbls>
            <c:dLbl>
              <c:idx val="6"/>
              <c:layout>
                <c:manualLayout>
                  <c:x val="-8.4954314205283363E-2"/>
                  <c:y val="1.5866900934903796E-2"/>
                </c:manualLayout>
              </c:layout>
              <c:dLblPos val="bestFi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E29-4142-83AF-9E829C69E554}"/>
                </c:ext>
              </c:extLst>
            </c:dLbl>
            <c:spPr>
              <a:noFill/>
              <a:ln>
                <a:noFill/>
              </a:ln>
              <a:effectLst/>
            </c:spPr>
            <c:txPr>
              <a:bodyPr/>
              <a:lstStyle/>
              <a:p>
                <a:pPr>
                  <a:defRPr sz="1300" b="1" i="0" baseline="0"/>
                </a:pPr>
                <a:endParaRPr lang="en-US"/>
              </a:p>
            </c:txPr>
            <c:dLblPos val="inEnd"/>
            <c:showVal val="1"/>
            <c:showLeaderLines val="1"/>
            <c:extLst xmlns:c16r2="http://schemas.microsoft.com/office/drawing/2015/06/chart">
              <c:ext xmlns:c15="http://schemas.microsoft.com/office/drawing/2012/chart" uri="{CE6537A1-D6FC-4f65-9D91-7224C49458BB}"/>
            </c:extLst>
          </c:dLbls>
          <c:cat>
            <c:strRef>
              <c:f>'Other Graphs'!$B$7:$B$14</c:f>
              <c:strCache>
                <c:ptCount val="8"/>
                <c:pt idx="0">
                  <c:v>Electricity</c:v>
                </c:pt>
                <c:pt idx="1">
                  <c:v>Personal Ground Travel</c:v>
                </c:pt>
                <c:pt idx="2">
                  <c:v>Goods Movement</c:v>
                </c:pt>
                <c:pt idx="3">
                  <c:v>Air Travel</c:v>
                </c:pt>
                <c:pt idx="4">
                  <c:v>Oil Refining</c:v>
                </c:pt>
                <c:pt idx="5">
                  <c:v>Other Petroleum</c:v>
                </c:pt>
                <c:pt idx="6">
                  <c:v>Other "Natural" Gas</c:v>
                </c:pt>
                <c:pt idx="7">
                  <c:v>Miscellany</c:v>
                </c:pt>
              </c:strCache>
            </c:strRef>
          </c:cat>
          <c:val>
            <c:numRef>
              <c:f>'Other Graphs'!$F$7:$F$14</c:f>
              <c:numCache>
                <c:formatCode>0%</c:formatCode>
                <c:ptCount val="8"/>
                <c:pt idx="0">
                  <c:v>0.37131066436558097</c:v>
                </c:pt>
                <c:pt idx="1">
                  <c:v>0.21524761809679194</c:v>
                </c:pt>
                <c:pt idx="2">
                  <c:v>9.4049656324104516E-2</c:v>
                </c:pt>
                <c:pt idx="3">
                  <c:v>4.181737877489821E-2</c:v>
                </c:pt>
                <c:pt idx="4">
                  <c:v>6.3730793859975779E-2</c:v>
                </c:pt>
                <c:pt idx="5">
                  <c:v>5.5277306567837282E-2</c:v>
                </c:pt>
                <c:pt idx="6">
                  <c:v>0.11320557793965989</c:v>
                </c:pt>
                <c:pt idx="7">
                  <c:v>4.5361004071151505E-2</c:v>
                </c:pt>
              </c:numCache>
            </c:numRef>
          </c:val>
          <c:extLst xmlns:c16r2="http://schemas.microsoft.com/office/drawing/2015/06/chart">
            <c:ext xmlns:c16="http://schemas.microsoft.com/office/drawing/2014/chart" uri="{C3380CC4-5D6E-409C-BE32-E72D297353CC}">
              <c16:uniqueId val="{00000006-AE29-4142-83AF-9E829C69E554}"/>
            </c:ext>
          </c:extLst>
        </c:ser>
        <c:dLbls/>
      </c:pie3DChart>
      <c:spPr>
        <a:noFill/>
        <a:ln w="25400">
          <a:noFill/>
        </a:ln>
      </c:spPr>
    </c:plotArea>
    <c:legend>
      <c:legendPos val="r"/>
      <c:layout>
        <c:manualLayout>
          <c:xMode val="edge"/>
          <c:yMode val="edge"/>
          <c:x val="7.4163167633066504E-2"/>
          <c:y val="0.73940630355090009"/>
          <c:w val="0.83192562689035265"/>
          <c:h val="0.24140691091299782"/>
        </c:manualLayout>
      </c:layout>
      <c:txPr>
        <a:bodyPr/>
        <a:lstStyle/>
        <a:p>
          <a:pPr>
            <a:defRPr sz="1400" b="1" i="0" u="none" strike="noStrike" baseline="0">
              <a:solidFill>
                <a:srgbClr val="000000"/>
              </a:solidFill>
              <a:latin typeface="Calibri"/>
              <a:ea typeface="Calibri"/>
              <a:cs typeface="Calibri"/>
            </a:defRPr>
          </a:pPr>
          <a:endParaRPr lang="en-US"/>
        </a:p>
      </c:txPr>
    </c:legend>
    <c:plotVisOnly val="1"/>
    <c:dispBlanksAs val="zero"/>
  </c:chart>
  <c:spPr>
    <a:solidFill>
      <a:srgbClr val="FFCC66"/>
    </a:solidFill>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033" l="0.70000000000000162" r="0.70000000000000162" t="0.75000000000001033" header="0.30000000000000032" footer="0.30000000000000032"/>
    <c:pageSetup orientation="landscape" verticalDpi="0"/>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lang val="en-US"/>
  <c:chart>
    <c:view3D>
      <c:rotX val="75"/>
      <c:perspective val="30"/>
    </c:view3D>
    <c:plotArea>
      <c:layout>
        <c:manualLayout>
          <c:layoutTarget val="inner"/>
          <c:xMode val="edge"/>
          <c:yMode val="edge"/>
          <c:x val="7.2222222222222437E-2"/>
          <c:y val="5.0925925925925902E-2"/>
          <c:w val="0.70197506561680956"/>
          <c:h val="0.89814814814814803"/>
        </c:manualLayout>
      </c:layout>
      <c:pie3DChart>
        <c:varyColors val="1"/>
        <c:ser>
          <c:idx val="0"/>
          <c:order val="0"/>
          <c:dPt>
            <c:idx val="0"/>
            <c:spPr>
              <a:solidFill>
                <a:schemeClr val="tx1"/>
              </a:solidFill>
            </c:spPr>
            <c:extLst xmlns:c16r2="http://schemas.microsoft.com/office/drawing/2015/06/chart">
              <c:ext xmlns:c16="http://schemas.microsoft.com/office/drawing/2014/chart" uri="{C3380CC4-5D6E-409C-BE32-E72D297353CC}">
                <c16:uniqueId val="{00000000-1170-473A-BFA7-E8DD91AB92B3}"/>
              </c:ext>
            </c:extLst>
          </c:dPt>
          <c:dPt>
            <c:idx val="3"/>
            <c:spPr>
              <a:solidFill>
                <a:srgbClr val="00FF00"/>
              </a:solidFill>
            </c:spPr>
            <c:extLst xmlns:c16r2="http://schemas.microsoft.com/office/drawing/2015/06/chart">
              <c:ext xmlns:c16="http://schemas.microsoft.com/office/drawing/2014/chart" uri="{C3380CC4-5D6E-409C-BE32-E72D297353CC}">
                <c16:uniqueId val="{00000001-1170-473A-BFA7-E8DD91AB92B3}"/>
              </c:ext>
            </c:extLst>
          </c:dPt>
          <c:dPt>
            <c:idx val="4"/>
            <c:spPr>
              <a:solidFill>
                <a:srgbClr val="00CCFF"/>
              </a:solidFill>
            </c:spPr>
            <c:extLst xmlns:c16r2="http://schemas.microsoft.com/office/drawing/2015/06/chart">
              <c:ext xmlns:c16="http://schemas.microsoft.com/office/drawing/2014/chart" uri="{C3380CC4-5D6E-409C-BE32-E72D297353CC}">
                <c16:uniqueId val="{00000002-1170-473A-BFA7-E8DD91AB92B3}"/>
              </c:ext>
            </c:extLst>
          </c:dPt>
          <c:dPt>
            <c:idx val="5"/>
            <c:spPr>
              <a:solidFill>
                <a:srgbClr val="FFFF00"/>
              </a:solidFill>
            </c:spPr>
            <c:extLst xmlns:c16r2="http://schemas.microsoft.com/office/drawing/2015/06/chart">
              <c:ext xmlns:c16="http://schemas.microsoft.com/office/drawing/2014/chart" uri="{C3380CC4-5D6E-409C-BE32-E72D297353CC}">
                <c16:uniqueId val="{00000003-1170-473A-BFA7-E8DD91AB92B3}"/>
              </c:ext>
            </c:extLst>
          </c:dPt>
          <c:cat>
            <c:strRef>
              <c:f>'Other Graphs'!$D$131:$J$131</c:f>
              <c:strCache>
                <c:ptCount val="7"/>
                <c:pt idx="0">
                  <c:v>Coal</c:v>
                </c:pt>
                <c:pt idx="1">
                  <c:v>Methane</c:v>
                </c:pt>
                <c:pt idx="2">
                  <c:v>Nuke</c:v>
                </c:pt>
                <c:pt idx="3">
                  <c:v>Other</c:v>
                </c:pt>
                <c:pt idx="4">
                  <c:v>Hydro</c:v>
                </c:pt>
                <c:pt idx="5">
                  <c:v>Wind</c:v>
                </c:pt>
                <c:pt idx="6">
                  <c:v>Solar</c:v>
                </c:pt>
              </c:strCache>
            </c:strRef>
          </c:cat>
          <c:val>
            <c:numRef>
              <c:f>'Other Graphs'!$D$134:$J$134</c:f>
              <c:numCache>
                <c:formatCode>0%</c:formatCode>
                <c:ptCount val="7"/>
                <c:pt idx="0">
                  <c:v>0.38883423512051157</c:v>
                </c:pt>
                <c:pt idx="1">
                  <c:v>0.27668470241023119</c:v>
                </c:pt>
                <c:pt idx="2">
                  <c:v>0.19404820462370881</c:v>
                </c:pt>
                <c:pt idx="3">
                  <c:v>3.0742744712247909E-2</c:v>
                </c:pt>
                <c:pt idx="4">
                  <c:v>6.6158386620757501E-2</c:v>
                </c:pt>
                <c:pt idx="5">
                  <c:v>4.1318248893261189E-2</c:v>
                </c:pt>
                <c:pt idx="6">
                  <c:v>2.2749631087063452E-3</c:v>
                </c:pt>
              </c:numCache>
            </c:numRef>
          </c:val>
          <c:extLst xmlns:c16r2="http://schemas.microsoft.com/office/drawing/2015/06/chart">
            <c:ext xmlns:c16="http://schemas.microsoft.com/office/drawing/2014/chart" uri="{C3380CC4-5D6E-409C-BE32-E72D297353CC}">
              <c16:uniqueId val="{00000004-1170-473A-BFA7-E8DD91AB92B3}"/>
            </c:ext>
          </c:extLst>
        </c:ser>
        <c:dLbls/>
      </c:pie3DChart>
      <c:spPr>
        <a:noFill/>
        <a:ln w="25400">
          <a:noFill/>
        </a:ln>
      </c:spPr>
    </c:plotArea>
    <c:legend>
      <c:legendPos val="r"/>
      <c:layout>
        <c:manualLayout>
          <c:xMode val="edge"/>
          <c:yMode val="edge"/>
          <c:x val="0.68599134950698604"/>
          <c:y val="9.4512652388590745E-2"/>
          <c:w val="0.27294726230383631"/>
          <c:h val="0.77439399053877311"/>
        </c:manualLayout>
      </c:layout>
      <c:txPr>
        <a:bodyPr/>
        <a:lstStyle/>
        <a:p>
          <a:pPr>
            <a:defRPr sz="1160" b="1" i="0" u="none" strike="noStrike" baseline="0">
              <a:solidFill>
                <a:srgbClr val="000000"/>
              </a:solidFill>
              <a:latin typeface="Calibri"/>
              <a:ea typeface="Calibri"/>
              <a:cs typeface="Calibri"/>
            </a:defRPr>
          </a:pPr>
          <a:endParaRPr lang="en-US"/>
        </a:p>
      </c:txPr>
    </c:legend>
    <c:plotVisOnly val="1"/>
    <c:dispBlanksAs val="zero"/>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033" l="0.70000000000000162" r="0.70000000000000162" t="0.75000000000001033" header="0.30000000000000032" footer="0.30000000000000032"/>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lang val="en-US"/>
  <c:chart>
    <c:view3D>
      <c:rotX val="75"/>
      <c:perspective val="30"/>
    </c:view3D>
    <c:plotArea>
      <c:layout>
        <c:manualLayout>
          <c:layoutTarget val="inner"/>
          <c:xMode val="edge"/>
          <c:yMode val="edge"/>
          <c:x val="7.2222222222222437E-2"/>
          <c:y val="5.0925925925925902E-2"/>
          <c:w val="0.70197506561680956"/>
          <c:h val="0.89814814814814803"/>
        </c:manualLayout>
      </c:layout>
      <c:pie3DChart>
        <c:varyColors val="1"/>
        <c:ser>
          <c:idx val="0"/>
          <c:order val="0"/>
          <c:dPt>
            <c:idx val="0"/>
            <c:spPr>
              <a:solidFill>
                <a:schemeClr val="tx1"/>
              </a:solidFill>
            </c:spPr>
            <c:extLst xmlns:c16r2="http://schemas.microsoft.com/office/drawing/2015/06/chart">
              <c:ext xmlns:c16="http://schemas.microsoft.com/office/drawing/2014/chart" uri="{C3380CC4-5D6E-409C-BE32-E72D297353CC}">
                <c16:uniqueId val="{00000000-6455-4D54-83FE-EBBE435F5B79}"/>
              </c:ext>
            </c:extLst>
          </c:dPt>
          <c:dPt>
            <c:idx val="3"/>
            <c:spPr>
              <a:solidFill>
                <a:srgbClr val="00FF00"/>
              </a:solidFill>
            </c:spPr>
            <c:extLst xmlns:c16r2="http://schemas.microsoft.com/office/drawing/2015/06/chart">
              <c:ext xmlns:c16="http://schemas.microsoft.com/office/drawing/2014/chart" uri="{C3380CC4-5D6E-409C-BE32-E72D297353CC}">
                <c16:uniqueId val="{00000001-6455-4D54-83FE-EBBE435F5B79}"/>
              </c:ext>
            </c:extLst>
          </c:dPt>
          <c:dPt>
            <c:idx val="4"/>
            <c:spPr>
              <a:solidFill>
                <a:srgbClr val="00CCFF"/>
              </a:solidFill>
            </c:spPr>
            <c:extLst xmlns:c16r2="http://schemas.microsoft.com/office/drawing/2015/06/chart">
              <c:ext xmlns:c16="http://schemas.microsoft.com/office/drawing/2014/chart" uri="{C3380CC4-5D6E-409C-BE32-E72D297353CC}">
                <c16:uniqueId val="{00000002-6455-4D54-83FE-EBBE435F5B79}"/>
              </c:ext>
            </c:extLst>
          </c:dPt>
          <c:dPt>
            <c:idx val="5"/>
            <c:spPr>
              <a:solidFill>
                <a:srgbClr val="FFFF00"/>
              </a:solidFill>
            </c:spPr>
            <c:extLst xmlns:c16r2="http://schemas.microsoft.com/office/drawing/2015/06/chart">
              <c:ext xmlns:c16="http://schemas.microsoft.com/office/drawing/2014/chart" uri="{C3380CC4-5D6E-409C-BE32-E72D297353CC}">
                <c16:uniqueId val="{00000003-6455-4D54-83FE-EBBE435F5B79}"/>
              </c:ext>
            </c:extLst>
          </c:dPt>
          <c:cat>
            <c:strRef>
              <c:f>'Other Graphs'!$D$131:$J$131</c:f>
              <c:strCache>
                <c:ptCount val="7"/>
                <c:pt idx="0">
                  <c:v>Coal</c:v>
                </c:pt>
                <c:pt idx="1">
                  <c:v>Methane</c:v>
                </c:pt>
                <c:pt idx="2">
                  <c:v>Nuke</c:v>
                </c:pt>
                <c:pt idx="3">
                  <c:v>Other</c:v>
                </c:pt>
                <c:pt idx="4">
                  <c:v>Hydro</c:v>
                </c:pt>
                <c:pt idx="5">
                  <c:v>Wind</c:v>
                </c:pt>
                <c:pt idx="6">
                  <c:v>Solar</c:v>
                </c:pt>
              </c:strCache>
            </c:strRef>
          </c:cat>
          <c:val>
            <c:numRef>
              <c:f>'Other Graphs'!$D$137:$J$137</c:f>
              <c:numCache>
                <c:formatCode>0%</c:formatCode>
                <c:ptCount val="7"/>
                <c:pt idx="0">
                  <c:v>0.28783253379851725</c:v>
                </c:pt>
                <c:pt idx="1">
                  <c:v>0.40994330571303966</c:v>
                </c:pt>
                <c:pt idx="2">
                  <c:v>0.14675098124727431</c:v>
                </c:pt>
                <c:pt idx="3">
                  <c:v>2.7256868730920192E-2</c:v>
                </c:pt>
                <c:pt idx="4">
                  <c:v>5.8656781508940256E-2</c:v>
                </c:pt>
                <c:pt idx="5">
                  <c:v>6.2581770606192758E-2</c:v>
                </c:pt>
                <c:pt idx="6">
                  <c:v>6.9777583951155693E-3</c:v>
                </c:pt>
              </c:numCache>
            </c:numRef>
          </c:val>
          <c:extLst xmlns:c16r2="http://schemas.microsoft.com/office/drawing/2015/06/chart">
            <c:ext xmlns:c16="http://schemas.microsoft.com/office/drawing/2014/chart" uri="{C3380CC4-5D6E-409C-BE32-E72D297353CC}">
              <c16:uniqueId val="{00000004-6455-4D54-83FE-EBBE435F5B79}"/>
            </c:ext>
          </c:extLst>
        </c:ser>
        <c:dLbls/>
      </c:pie3DChart>
      <c:spPr>
        <a:noFill/>
        <a:ln w="25400">
          <a:noFill/>
        </a:ln>
      </c:spPr>
    </c:plotArea>
    <c:legend>
      <c:legendPos val="r"/>
      <c:layout>
        <c:manualLayout>
          <c:xMode val="edge"/>
          <c:yMode val="edge"/>
          <c:x val="0.68192911494723196"/>
          <c:y val="0.11764719220956198"/>
          <c:w val="0.27228971727575652"/>
          <c:h val="0.77089870684688666"/>
        </c:manualLayout>
      </c:layout>
      <c:txPr>
        <a:bodyPr/>
        <a:lstStyle/>
        <a:p>
          <a:pPr>
            <a:defRPr sz="1160" b="1" i="0" u="none" strike="noStrike" baseline="0">
              <a:solidFill>
                <a:srgbClr val="000000"/>
              </a:solidFill>
              <a:latin typeface="Calibri"/>
              <a:ea typeface="Calibri"/>
              <a:cs typeface="Calibri"/>
            </a:defRPr>
          </a:pPr>
          <a:endParaRPr lang="en-US"/>
        </a:p>
      </c:txPr>
    </c:legend>
    <c:plotVisOnly val="1"/>
    <c:dispBlanksAs val="zero"/>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033" l="0.70000000000000162" r="0.70000000000000162" t="0.75000000000001033" header="0.30000000000000032" footer="0.30000000000000032"/>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lang val="en-US"/>
  <c:chart>
    <c:view3D>
      <c:rotX val="75"/>
      <c:perspective val="30"/>
    </c:view3D>
    <c:plotArea>
      <c:layout>
        <c:manualLayout>
          <c:layoutTarget val="inner"/>
          <c:xMode val="edge"/>
          <c:yMode val="edge"/>
          <c:x val="7.2222222222222437E-2"/>
          <c:y val="5.0925925925925902E-2"/>
          <c:w val="0.70197506561680956"/>
          <c:h val="0.89814814814814803"/>
        </c:manualLayout>
      </c:layout>
      <c:pie3DChart>
        <c:varyColors val="1"/>
        <c:ser>
          <c:idx val="0"/>
          <c:order val="0"/>
          <c:dPt>
            <c:idx val="0"/>
            <c:spPr>
              <a:solidFill>
                <a:schemeClr val="tx1"/>
              </a:solidFill>
            </c:spPr>
            <c:extLst xmlns:c16r2="http://schemas.microsoft.com/office/drawing/2015/06/chart">
              <c:ext xmlns:c16="http://schemas.microsoft.com/office/drawing/2014/chart" uri="{C3380CC4-5D6E-409C-BE32-E72D297353CC}">
                <c16:uniqueId val="{00000000-D522-4930-8610-0F3C85FFBFBF}"/>
              </c:ext>
            </c:extLst>
          </c:dPt>
          <c:dPt>
            <c:idx val="3"/>
            <c:spPr>
              <a:solidFill>
                <a:srgbClr val="00FF00"/>
              </a:solidFill>
            </c:spPr>
            <c:extLst xmlns:c16r2="http://schemas.microsoft.com/office/drawing/2015/06/chart">
              <c:ext xmlns:c16="http://schemas.microsoft.com/office/drawing/2014/chart" uri="{C3380CC4-5D6E-409C-BE32-E72D297353CC}">
                <c16:uniqueId val="{00000001-D522-4930-8610-0F3C85FFBFBF}"/>
              </c:ext>
            </c:extLst>
          </c:dPt>
          <c:dPt>
            <c:idx val="4"/>
            <c:spPr>
              <a:solidFill>
                <a:srgbClr val="00CCFF"/>
              </a:solidFill>
            </c:spPr>
            <c:extLst xmlns:c16r2="http://schemas.microsoft.com/office/drawing/2015/06/chart">
              <c:ext xmlns:c16="http://schemas.microsoft.com/office/drawing/2014/chart" uri="{C3380CC4-5D6E-409C-BE32-E72D297353CC}">
                <c16:uniqueId val="{00000002-D522-4930-8610-0F3C85FFBFBF}"/>
              </c:ext>
            </c:extLst>
          </c:dPt>
          <c:dPt>
            <c:idx val="5"/>
            <c:spPr>
              <a:solidFill>
                <a:srgbClr val="FFFF00"/>
              </a:solidFill>
            </c:spPr>
            <c:extLst xmlns:c16r2="http://schemas.microsoft.com/office/drawing/2015/06/chart">
              <c:ext xmlns:c16="http://schemas.microsoft.com/office/drawing/2014/chart" uri="{C3380CC4-5D6E-409C-BE32-E72D297353CC}">
                <c16:uniqueId val="{00000003-D522-4930-8610-0F3C85FFBFBF}"/>
              </c:ext>
            </c:extLst>
          </c:dPt>
          <c:cat>
            <c:strRef>
              <c:f>'Other Graphs'!$D$131:$J$131</c:f>
              <c:strCache>
                <c:ptCount val="7"/>
                <c:pt idx="0">
                  <c:v>Coal</c:v>
                </c:pt>
                <c:pt idx="1">
                  <c:v>Methane</c:v>
                </c:pt>
                <c:pt idx="2">
                  <c:v>Nuke</c:v>
                </c:pt>
                <c:pt idx="3">
                  <c:v>Other</c:v>
                </c:pt>
                <c:pt idx="4">
                  <c:v>Hydro</c:v>
                </c:pt>
                <c:pt idx="5">
                  <c:v>Wind</c:v>
                </c:pt>
                <c:pt idx="6">
                  <c:v>Solar</c:v>
                </c:pt>
              </c:strCache>
            </c:strRef>
          </c:cat>
          <c:val>
            <c:numRef>
              <c:f>'Other Graphs'!$D$140:$J$140</c:f>
              <c:numCache>
                <c:formatCode>0%</c:formatCode>
                <c:ptCount val="7"/>
                <c:pt idx="0">
                  <c:v>0.13970382788488406</c:v>
                </c:pt>
                <c:pt idx="1">
                  <c:v>0.32131880413523328</c:v>
                </c:pt>
                <c:pt idx="2">
                  <c:v>0.18804135233305391</c:v>
                </c:pt>
                <c:pt idx="3">
                  <c:v>3.4925956971221014E-2</c:v>
                </c:pt>
                <c:pt idx="4">
                  <c:v>7.516065940206762E-2</c:v>
                </c:pt>
                <c:pt idx="5">
                  <c:v>0.19837943559653534</c:v>
                </c:pt>
                <c:pt idx="6">
                  <c:v>4.246996367700475E-2</c:v>
                </c:pt>
              </c:numCache>
            </c:numRef>
          </c:val>
          <c:extLst xmlns:c16r2="http://schemas.microsoft.com/office/drawing/2015/06/chart">
            <c:ext xmlns:c16="http://schemas.microsoft.com/office/drawing/2014/chart" uri="{C3380CC4-5D6E-409C-BE32-E72D297353CC}">
              <c16:uniqueId val="{00000004-D522-4930-8610-0F3C85FFBFBF}"/>
            </c:ext>
          </c:extLst>
        </c:ser>
        <c:dLbls/>
      </c:pie3DChart>
      <c:spPr>
        <a:noFill/>
        <a:ln w="25400">
          <a:noFill/>
        </a:ln>
      </c:spPr>
    </c:plotArea>
    <c:legend>
      <c:legendPos val="r"/>
      <c:layout>
        <c:manualLayout>
          <c:xMode val="edge"/>
          <c:yMode val="edge"/>
          <c:x val="0.68599134950698604"/>
          <c:y val="0.10802489485544202"/>
          <c:w val="0.27294726230383631"/>
          <c:h val="0.78086566852648565"/>
        </c:manualLayout>
      </c:layout>
      <c:txPr>
        <a:bodyPr/>
        <a:lstStyle/>
        <a:p>
          <a:pPr>
            <a:defRPr sz="1160" b="1" i="0" u="none" strike="noStrike" baseline="0">
              <a:solidFill>
                <a:srgbClr val="000000"/>
              </a:solidFill>
              <a:latin typeface="Calibri"/>
              <a:ea typeface="Calibri"/>
              <a:cs typeface="Calibri"/>
            </a:defRPr>
          </a:pPr>
          <a:endParaRPr lang="en-US"/>
        </a:p>
      </c:txPr>
    </c:legend>
    <c:plotVisOnly val="1"/>
    <c:dispBlanksAs val="zero"/>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033" l="0.70000000000000162" r="0.70000000000000162" t="0.75000000000001033" header="0.30000000000000032" footer="0.30000000000000032"/>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lang val="en-US"/>
  <c:chart>
    <c:view3D>
      <c:rotX val="75"/>
      <c:perspective val="30"/>
    </c:view3D>
    <c:plotArea>
      <c:layout>
        <c:manualLayout>
          <c:layoutTarget val="inner"/>
          <c:xMode val="edge"/>
          <c:yMode val="edge"/>
          <c:x val="7.2222222222222437E-2"/>
          <c:y val="5.0925925925925902E-2"/>
          <c:w val="0.70197506561680956"/>
          <c:h val="0.89814814814814803"/>
        </c:manualLayout>
      </c:layout>
      <c:pie3DChart>
        <c:varyColors val="1"/>
        <c:ser>
          <c:idx val="0"/>
          <c:order val="0"/>
          <c:dPt>
            <c:idx val="0"/>
            <c:spPr>
              <a:solidFill>
                <a:schemeClr val="tx1"/>
              </a:solidFill>
            </c:spPr>
            <c:extLst xmlns:c16r2="http://schemas.microsoft.com/office/drawing/2015/06/chart">
              <c:ext xmlns:c16="http://schemas.microsoft.com/office/drawing/2014/chart" uri="{C3380CC4-5D6E-409C-BE32-E72D297353CC}">
                <c16:uniqueId val="{00000000-3340-40A3-BE93-B85CF048A367}"/>
              </c:ext>
            </c:extLst>
          </c:dPt>
          <c:dPt>
            <c:idx val="3"/>
            <c:spPr>
              <a:solidFill>
                <a:srgbClr val="00FF00"/>
              </a:solidFill>
            </c:spPr>
            <c:extLst xmlns:c16r2="http://schemas.microsoft.com/office/drawing/2015/06/chart">
              <c:ext xmlns:c16="http://schemas.microsoft.com/office/drawing/2014/chart" uri="{C3380CC4-5D6E-409C-BE32-E72D297353CC}">
                <c16:uniqueId val="{00000001-3340-40A3-BE93-B85CF048A367}"/>
              </c:ext>
            </c:extLst>
          </c:dPt>
          <c:dPt>
            <c:idx val="4"/>
            <c:spPr>
              <a:solidFill>
                <a:srgbClr val="00CCFF"/>
              </a:solidFill>
            </c:spPr>
            <c:extLst xmlns:c16r2="http://schemas.microsoft.com/office/drawing/2015/06/chart">
              <c:ext xmlns:c16="http://schemas.microsoft.com/office/drawing/2014/chart" uri="{C3380CC4-5D6E-409C-BE32-E72D297353CC}">
                <c16:uniqueId val="{00000002-3340-40A3-BE93-B85CF048A367}"/>
              </c:ext>
            </c:extLst>
          </c:dPt>
          <c:dPt>
            <c:idx val="5"/>
            <c:spPr>
              <a:solidFill>
                <a:srgbClr val="FFFF00"/>
              </a:solidFill>
            </c:spPr>
            <c:extLst xmlns:c16r2="http://schemas.microsoft.com/office/drawing/2015/06/chart">
              <c:ext xmlns:c16="http://schemas.microsoft.com/office/drawing/2014/chart" uri="{C3380CC4-5D6E-409C-BE32-E72D297353CC}">
                <c16:uniqueId val="{00000003-3340-40A3-BE93-B85CF048A367}"/>
              </c:ext>
            </c:extLst>
          </c:dPt>
          <c:cat>
            <c:strRef>
              <c:f>'Other Graphs'!$D$131:$J$131</c:f>
              <c:strCache>
                <c:ptCount val="7"/>
                <c:pt idx="0">
                  <c:v>Coal</c:v>
                </c:pt>
                <c:pt idx="1">
                  <c:v>Methane</c:v>
                </c:pt>
                <c:pt idx="2">
                  <c:v>Nuke</c:v>
                </c:pt>
                <c:pt idx="3">
                  <c:v>Other</c:v>
                </c:pt>
                <c:pt idx="4">
                  <c:v>Hydro</c:v>
                </c:pt>
                <c:pt idx="5">
                  <c:v>Wind</c:v>
                </c:pt>
                <c:pt idx="6">
                  <c:v>Solar</c:v>
                </c:pt>
              </c:strCache>
            </c:strRef>
          </c:cat>
          <c:val>
            <c:numRef>
              <c:f>'Other Graphs'!$D$143:$J$143</c:f>
              <c:numCache>
                <c:formatCode>0%</c:formatCode>
                <c:ptCount val="7"/>
                <c:pt idx="0">
                  <c:v>0.145985401459854</c:v>
                </c:pt>
                <c:pt idx="1">
                  <c:v>0.31162268388545761</c:v>
                </c:pt>
                <c:pt idx="2">
                  <c:v>0.18893879842784952</c:v>
                </c:pt>
                <c:pt idx="3">
                  <c:v>3.5092644581695677E-2</c:v>
                </c:pt>
                <c:pt idx="4">
                  <c:v>7.5519371139809097E-2</c:v>
                </c:pt>
                <c:pt idx="5">
                  <c:v>0.11005053340819765</c:v>
                </c:pt>
                <c:pt idx="6">
                  <c:v>0.13279056709713644</c:v>
                </c:pt>
              </c:numCache>
            </c:numRef>
          </c:val>
          <c:extLst xmlns:c16r2="http://schemas.microsoft.com/office/drawing/2015/06/chart">
            <c:ext xmlns:c16="http://schemas.microsoft.com/office/drawing/2014/chart" uri="{C3380CC4-5D6E-409C-BE32-E72D297353CC}">
              <c16:uniqueId val="{00000004-3340-40A3-BE93-B85CF048A367}"/>
            </c:ext>
          </c:extLst>
        </c:ser>
        <c:dLbls/>
      </c:pie3DChart>
      <c:spPr>
        <a:noFill/>
        <a:ln w="25400">
          <a:noFill/>
        </a:ln>
      </c:spPr>
    </c:plotArea>
    <c:legend>
      <c:legendPos val="r"/>
      <c:layout>
        <c:manualLayout>
          <c:xMode val="edge"/>
          <c:yMode val="edge"/>
          <c:x val="0.68660547747343936"/>
          <c:y val="0.116923384338826"/>
          <c:w val="0.27990536886547535"/>
          <c:h val="0.78154051637004862"/>
        </c:manualLayout>
      </c:layout>
      <c:txPr>
        <a:bodyPr/>
        <a:lstStyle/>
        <a:p>
          <a:pPr>
            <a:defRPr sz="1160" b="1" i="0" u="none" strike="noStrike" baseline="0">
              <a:solidFill>
                <a:srgbClr val="000000"/>
              </a:solidFill>
              <a:latin typeface="Calibri"/>
              <a:ea typeface="Calibri"/>
              <a:cs typeface="Calibri"/>
            </a:defRPr>
          </a:pPr>
          <a:endParaRPr lang="en-US"/>
        </a:p>
      </c:txPr>
    </c:legend>
    <c:plotVisOnly val="1"/>
    <c:dispBlanksAs val="zero"/>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033" l="0.70000000000000162" r="0.70000000000000162" t="0.75000000000001033" header="0.30000000000000032" footer="0.30000000000000032"/>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600" b="1" i="0" u="none" strike="noStrike" baseline="0">
                <a:solidFill>
                  <a:srgbClr val="000000"/>
                </a:solidFill>
                <a:latin typeface="Arial"/>
                <a:ea typeface="Arial"/>
                <a:cs typeface="Arial"/>
              </a:defRPr>
            </a:pPr>
            <a:r>
              <a:rPr lang="en-US"/>
              <a:t>U.S. Electricity Generation</a:t>
            </a:r>
          </a:p>
        </c:rich>
      </c:tx>
      <c:layout>
        <c:manualLayout>
          <c:xMode val="edge"/>
          <c:yMode val="edge"/>
          <c:x val="0.20977680115567021"/>
          <c:y val="5.6472246524740012E-2"/>
        </c:manualLayout>
      </c:layout>
      <c:spPr>
        <a:noFill/>
        <a:ln w="25400">
          <a:noFill/>
        </a:ln>
      </c:spPr>
    </c:title>
    <c:plotArea>
      <c:layout>
        <c:manualLayout>
          <c:layoutTarget val="inner"/>
          <c:xMode val="edge"/>
          <c:yMode val="edge"/>
          <c:x val="0.13180266731915136"/>
          <c:y val="0.11212977688133829"/>
          <c:w val="0.66309539458142408"/>
          <c:h val="0.87481448175523957"/>
        </c:manualLayout>
      </c:layout>
      <c:barChart>
        <c:barDir val="col"/>
        <c:grouping val="stacked"/>
        <c:ser>
          <c:idx val="1"/>
          <c:order val="0"/>
          <c:tx>
            <c:strRef>
              <c:f>'Other Graphs'!$B$187:$C$187</c:f>
              <c:strCache>
                <c:ptCount val="1"/>
                <c:pt idx="0">
                  <c:v>Coal</c:v>
                </c:pt>
              </c:strCache>
            </c:strRef>
          </c:tx>
          <c:spPr>
            <a:solidFill>
              <a:schemeClr val="tx1"/>
            </a:solidFill>
          </c:spPr>
          <c:cat>
            <c:strRef>
              <c:f>'Other Graphs'!$D$186:$G$186</c:f>
              <c:strCache>
                <c:ptCount val="4"/>
                <c:pt idx="0">
                  <c:v>2013</c:v>
                </c:pt>
                <c:pt idx="1">
                  <c:v>2024NoTax</c:v>
                </c:pt>
                <c:pt idx="2">
                  <c:v>2024Tax#1</c:v>
                </c:pt>
                <c:pt idx="3">
                  <c:v>2024Tax#2</c:v>
                </c:pt>
              </c:strCache>
            </c:strRef>
          </c:cat>
          <c:val>
            <c:numRef>
              <c:f>'Other Graphs'!$D$187:$G$187</c:f>
              <c:numCache>
                <c:formatCode>0</c:formatCode>
                <c:ptCount val="4"/>
                <c:pt idx="0">
                  <c:v>1581</c:v>
                </c:pt>
                <c:pt idx="1">
                  <c:v>1320</c:v>
                </c:pt>
                <c:pt idx="2">
                  <c:v>500</c:v>
                </c:pt>
                <c:pt idx="3">
                  <c:v>520</c:v>
                </c:pt>
              </c:numCache>
            </c:numRef>
          </c:val>
          <c:extLst xmlns:c16r2="http://schemas.microsoft.com/office/drawing/2015/06/chart">
            <c:ext xmlns:c16="http://schemas.microsoft.com/office/drawing/2014/chart" uri="{C3380CC4-5D6E-409C-BE32-E72D297353CC}">
              <c16:uniqueId val="{00000000-2A14-402E-B93B-B5B355FBA67F}"/>
            </c:ext>
          </c:extLst>
        </c:ser>
        <c:ser>
          <c:idx val="9"/>
          <c:order val="1"/>
          <c:tx>
            <c:strRef>
              <c:f>'Other Graphs'!$B$188:$C$188</c:f>
              <c:strCache>
                <c:ptCount val="1"/>
                <c:pt idx="0">
                  <c:v>Methane</c:v>
                </c:pt>
              </c:strCache>
            </c:strRef>
          </c:tx>
          <c:spPr>
            <a:solidFill>
              <a:schemeClr val="accent6">
                <a:lumMod val="50000"/>
              </a:schemeClr>
            </a:solidFill>
          </c:spPr>
          <c:cat>
            <c:strRef>
              <c:f>'Other Graphs'!$D$186:$G$186</c:f>
              <c:strCache>
                <c:ptCount val="4"/>
                <c:pt idx="0">
                  <c:v>2013</c:v>
                </c:pt>
                <c:pt idx="1">
                  <c:v>2024NoTax</c:v>
                </c:pt>
                <c:pt idx="2">
                  <c:v>2024Tax#1</c:v>
                </c:pt>
                <c:pt idx="3">
                  <c:v>2024Tax#2</c:v>
                </c:pt>
              </c:strCache>
            </c:strRef>
          </c:cat>
          <c:val>
            <c:numRef>
              <c:f>'Other Graphs'!$D$188:$G$188</c:f>
              <c:numCache>
                <c:formatCode>0</c:formatCode>
                <c:ptCount val="4"/>
                <c:pt idx="0">
                  <c:v>1125</c:v>
                </c:pt>
                <c:pt idx="1">
                  <c:v>1880</c:v>
                </c:pt>
                <c:pt idx="2">
                  <c:v>1150</c:v>
                </c:pt>
                <c:pt idx="3">
                  <c:v>1110</c:v>
                </c:pt>
              </c:numCache>
            </c:numRef>
          </c:val>
          <c:extLst xmlns:c16r2="http://schemas.microsoft.com/office/drawing/2015/06/chart">
            <c:ext xmlns:c16="http://schemas.microsoft.com/office/drawing/2014/chart" uri="{C3380CC4-5D6E-409C-BE32-E72D297353CC}">
              <c16:uniqueId val="{00000001-2A14-402E-B93B-B5B355FBA67F}"/>
            </c:ext>
          </c:extLst>
        </c:ser>
        <c:ser>
          <c:idx val="7"/>
          <c:order val="2"/>
          <c:tx>
            <c:strRef>
              <c:f>'Other Graphs'!$B$189:$C$189</c:f>
              <c:strCache>
                <c:ptCount val="1"/>
                <c:pt idx="0">
                  <c:v>Nuke</c:v>
                </c:pt>
              </c:strCache>
            </c:strRef>
          </c:tx>
          <c:spPr>
            <a:solidFill>
              <a:srgbClr val="FF0000"/>
            </a:solidFill>
          </c:spPr>
          <c:cat>
            <c:strRef>
              <c:f>'Other Graphs'!$D$186:$G$186</c:f>
              <c:strCache>
                <c:ptCount val="4"/>
                <c:pt idx="0">
                  <c:v>2013</c:v>
                </c:pt>
                <c:pt idx="1">
                  <c:v>2024NoTax</c:v>
                </c:pt>
                <c:pt idx="2">
                  <c:v>2024Tax#1</c:v>
                </c:pt>
                <c:pt idx="3">
                  <c:v>2024Tax#2</c:v>
                </c:pt>
              </c:strCache>
            </c:strRef>
          </c:cat>
          <c:val>
            <c:numRef>
              <c:f>'Other Graphs'!$D$189:$G$189</c:f>
              <c:numCache>
                <c:formatCode>0</c:formatCode>
                <c:ptCount val="4"/>
                <c:pt idx="0">
                  <c:v>789</c:v>
                </c:pt>
                <c:pt idx="1">
                  <c:v>673</c:v>
                </c:pt>
                <c:pt idx="2">
                  <c:v>673</c:v>
                </c:pt>
                <c:pt idx="3">
                  <c:v>673</c:v>
                </c:pt>
              </c:numCache>
            </c:numRef>
          </c:val>
          <c:extLst xmlns:c16r2="http://schemas.microsoft.com/office/drawing/2015/06/chart">
            <c:ext xmlns:c16="http://schemas.microsoft.com/office/drawing/2014/chart" uri="{C3380CC4-5D6E-409C-BE32-E72D297353CC}">
              <c16:uniqueId val="{00000002-2A14-402E-B93B-B5B355FBA67F}"/>
            </c:ext>
          </c:extLst>
        </c:ser>
        <c:ser>
          <c:idx val="6"/>
          <c:order val="3"/>
          <c:tx>
            <c:strRef>
              <c:f>'Other Graphs'!$B$190:$C$190</c:f>
              <c:strCache>
                <c:ptCount val="1"/>
                <c:pt idx="0">
                  <c:v>Other</c:v>
                </c:pt>
              </c:strCache>
            </c:strRef>
          </c:tx>
          <c:spPr>
            <a:solidFill>
              <a:srgbClr val="7030A0"/>
            </a:solidFill>
          </c:spPr>
          <c:cat>
            <c:strRef>
              <c:f>'Other Graphs'!$D$186:$G$186</c:f>
              <c:strCache>
                <c:ptCount val="4"/>
                <c:pt idx="0">
                  <c:v>2013</c:v>
                </c:pt>
                <c:pt idx="1">
                  <c:v>2024NoTax</c:v>
                </c:pt>
                <c:pt idx="2">
                  <c:v>2024Tax#1</c:v>
                </c:pt>
                <c:pt idx="3">
                  <c:v>2024Tax#2</c:v>
                </c:pt>
              </c:strCache>
            </c:strRef>
          </c:cat>
          <c:val>
            <c:numRef>
              <c:f>'Other Graphs'!$D$190:$G$190</c:f>
              <c:numCache>
                <c:formatCode>0</c:formatCode>
                <c:ptCount val="4"/>
                <c:pt idx="0">
                  <c:v>125</c:v>
                </c:pt>
                <c:pt idx="1">
                  <c:v>125</c:v>
                </c:pt>
                <c:pt idx="2">
                  <c:v>125</c:v>
                </c:pt>
                <c:pt idx="3">
                  <c:v>125</c:v>
                </c:pt>
              </c:numCache>
            </c:numRef>
          </c:val>
          <c:extLst xmlns:c16r2="http://schemas.microsoft.com/office/drawing/2015/06/chart">
            <c:ext xmlns:c16="http://schemas.microsoft.com/office/drawing/2014/chart" uri="{C3380CC4-5D6E-409C-BE32-E72D297353CC}">
              <c16:uniqueId val="{00000003-2A14-402E-B93B-B5B355FBA67F}"/>
            </c:ext>
          </c:extLst>
        </c:ser>
        <c:ser>
          <c:idx val="0"/>
          <c:order val="4"/>
          <c:tx>
            <c:strRef>
              <c:f>'Other Graphs'!$B$191:$C$191</c:f>
              <c:strCache>
                <c:ptCount val="1"/>
                <c:pt idx="0">
                  <c:v>Hydro</c:v>
                </c:pt>
              </c:strCache>
            </c:strRef>
          </c:tx>
          <c:spPr>
            <a:solidFill>
              <a:srgbClr val="00FF00"/>
            </a:solidFill>
            <a:ln w="25400">
              <a:noFill/>
            </a:ln>
          </c:spPr>
          <c:cat>
            <c:strRef>
              <c:f>'Other Graphs'!$D$186:$G$186</c:f>
              <c:strCache>
                <c:ptCount val="4"/>
                <c:pt idx="0">
                  <c:v>2013</c:v>
                </c:pt>
                <c:pt idx="1">
                  <c:v>2024NoTax</c:v>
                </c:pt>
                <c:pt idx="2">
                  <c:v>2024Tax#1</c:v>
                </c:pt>
                <c:pt idx="3">
                  <c:v>2024Tax#2</c:v>
                </c:pt>
              </c:strCache>
            </c:strRef>
          </c:cat>
          <c:val>
            <c:numRef>
              <c:f>'Other Graphs'!$D$191:$G$191</c:f>
              <c:numCache>
                <c:formatCode>0</c:formatCode>
                <c:ptCount val="4"/>
                <c:pt idx="0">
                  <c:v>269</c:v>
                </c:pt>
                <c:pt idx="1">
                  <c:v>269</c:v>
                </c:pt>
                <c:pt idx="2">
                  <c:v>269</c:v>
                </c:pt>
                <c:pt idx="3">
                  <c:v>269</c:v>
                </c:pt>
              </c:numCache>
            </c:numRef>
          </c:val>
          <c:extLst xmlns:c16r2="http://schemas.microsoft.com/office/drawing/2015/06/chart">
            <c:ext xmlns:c16="http://schemas.microsoft.com/office/drawing/2014/chart" uri="{C3380CC4-5D6E-409C-BE32-E72D297353CC}">
              <c16:uniqueId val="{00000004-2A14-402E-B93B-B5B355FBA67F}"/>
            </c:ext>
          </c:extLst>
        </c:ser>
        <c:ser>
          <c:idx val="8"/>
          <c:order val="5"/>
          <c:tx>
            <c:strRef>
              <c:f>'Other Graphs'!$B$192:$C$192</c:f>
              <c:strCache>
                <c:ptCount val="1"/>
                <c:pt idx="0">
                  <c:v>Wind</c:v>
                </c:pt>
              </c:strCache>
            </c:strRef>
          </c:tx>
          <c:spPr>
            <a:solidFill>
              <a:srgbClr val="00CCFF"/>
            </a:solidFill>
          </c:spPr>
          <c:cat>
            <c:strRef>
              <c:f>'Other Graphs'!$D$186:$G$186</c:f>
              <c:strCache>
                <c:ptCount val="4"/>
                <c:pt idx="0">
                  <c:v>2013</c:v>
                </c:pt>
                <c:pt idx="1">
                  <c:v>2024NoTax</c:v>
                </c:pt>
                <c:pt idx="2">
                  <c:v>2024Tax#1</c:v>
                </c:pt>
                <c:pt idx="3">
                  <c:v>2024Tax#2</c:v>
                </c:pt>
              </c:strCache>
            </c:strRef>
          </c:cat>
          <c:val>
            <c:numRef>
              <c:f>'Other Graphs'!$D$192:$G$192</c:f>
              <c:numCache>
                <c:formatCode>0</c:formatCode>
                <c:ptCount val="4"/>
                <c:pt idx="0">
                  <c:v>168</c:v>
                </c:pt>
                <c:pt idx="1">
                  <c:v>287</c:v>
                </c:pt>
                <c:pt idx="2">
                  <c:v>710</c:v>
                </c:pt>
                <c:pt idx="3">
                  <c:v>392</c:v>
                </c:pt>
              </c:numCache>
            </c:numRef>
          </c:val>
          <c:extLst xmlns:c16r2="http://schemas.microsoft.com/office/drawing/2015/06/chart">
            <c:ext xmlns:c16="http://schemas.microsoft.com/office/drawing/2014/chart" uri="{C3380CC4-5D6E-409C-BE32-E72D297353CC}">
              <c16:uniqueId val="{00000005-2A14-402E-B93B-B5B355FBA67F}"/>
            </c:ext>
          </c:extLst>
        </c:ser>
        <c:ser>
          <c:idx val="3"/>
          <c:order val="6"/>
          <c:tx>
            <c:strRef>
              <c:f>'Other Graphs'!$B$193:$C$193</c:f>
              <c:strCache>
                <c:ptCount val="1"/>
                <c:pt idx="0">
                  <c:v>Solar</c:v>
                </c:pt>
              </c:strCache>
            </c:strRef>
          </c:tx>
          <c:spPr>
            <a:solidFill>
              <a:srgbClr val="FFFF00"/>
            </a:solidFill>
          </c:spPr>
          <c:cat>
            <c:strRef>
              <c:f>'Other Graphs'!$D$186:$G$186</c:f>
              <c:strCache>
                <c:ptCount val="4"/>
                <c:pt idx="0">
                  <c:v>2013</c:v>
                </c:pt>
                <c:pt idx="1">
                  <c:v>2024NoTax</c:v>
                </c:pt>
                <c:pt idx="2">
                  <c:v>2024Tax#1</c:v>
                </c:pt>
                <c:pt idx="3">
                  <c:v>2024Tax#2</c:v>
                </c:pt>
              </c:strCache>
            </c:strRef>
          </c:cat>
          <c:val>
            <c:numRef>
              <c:f>'Other Graphs'!$D$193:$G$193</c:f>
              <c:numCache>
                <c:formatCode>0</c:formatCode>
                <c:ptCount val="4"/>
                <c:pt idx="0">
                  <c:v>9.25</c:v>
                </c:pt>
                <c:pt idx="1">
                  <c:v>32</c:v>
                </c:pt>
                <c:pt idx="2">
                  <c:v>152</c:v>
                </c:pt>
                <c:pt idx="3">
                  <c:v>473</c:v>
                </c:pt>
              </c:numCache>
            </c:numRef>
          </c:val>
          <c:extLst xmlns:c16r2="http://schemas.microsoft.com/office/drawing/2015/06/chart">
            <c:ext xmlns:c16="http://schemas.microsoft.com/office/drawing/2014/chart" uri="{C3380CC4-5D6E-409C-BE32-E72D297353CC}">
              <c16:uniqueId val="{00000006-2A14-402E-B93B-B5B355FBA67F}"/>
            </c:ext>
          </c:extLst>
        </c:ser>
        <c:dLbls/>
        <c:overlap val="100"/>
        <c:axId val="171492864"/>
        <c:axId val="171494400"/>
      </c:barChart>
      <c:catAx>
        <c:axId val="171492864"/>
        <c:scaling>
          <c:orientation val="minMax"/>
        </c:scaling>
        <c:axPos val="b"/>
        <c:numFmt formatCode="General" sourceLinked="1"/>
        <c:tickLblPos val="nextTo"/>
        <c:spPr>
          <a:ln w="3175">
            <a:solidFill>
              <a:srgbClr val="000000"/>
            </a:solidFill>
            <a:prstDash val="solid"/>
          </a:ln>
        </c:spPr>
        <c:txPr>
          <a:bodyPr rot="0" vert="horz"/>
          <a:lstStyle/>
          <a:p>
            <a:pPr>
              <a:defRPr sz="1000" b="1" i="0" u="none" strike="noStrike" baseline="0">
                <a:solidFill>
                  <a:srgbClr val="000000"/>
                </a:solidFill>
                <a:latin typeface="Arial"/>
                <a:ea typeface="Arial"/>
                <a:cs typeface="Arial"/>
              </a:defRPr>
            </a:pPr>
            <a:endParaRPr lang="en-US"/>
          </a:p>
        </c:txPr>
        <c:crossAx val="171494400"/>
        <c:crosses val="autoZero"/>
        <c:auto val="1"/>
        <c:lblAlgn val="ctr"/>
        <c:lblOffset val="100"/>
        <c:tickLblSkip val="1"/>
        <c:tickMarkSkip val="1"/>
      </c:catAx>
      <c:valAx>
        <c:axId val="171494400"/>
        <c:scaling>
          <c:orientation val="minMax"/>
        </c:scaling>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en-US"/>
                  <a:t>TWh</a:t>
                </a:r>
              </a:p>
            </c:rich>
          </c:tx>
          <c:layout>
            <c:manualLayout>
              <c:xMode val="edge"/>
              <c:yMode val="edge"/>
              <c:x val="7.5342326395247934E-3"/>
              <c:y val="0.45986909043776902"/>
            </c:manualLayout>
          </c:layout>
          <c:spPr>
            <a:noFill/>
            <a:ln w="25400">
              <a:noFill/>
            </a:ln>
          </c:spPr>
        </c:title>
        <c:numFmt formatCode="#,##0" sourceLinked="0"/>
        <c:tickLblPos val="nextTo"/>
        <c:spPr>
          <a:ln w="3175">
            <a:solidFill>
              <a:srgbClr val="000000"/>
            </a:solidFill>
            <a:prstDash val="solid"/>
          </a:ln>
        </c:spPr>
        <c:txPr>
          <a:bodyPr rot="0" vert="horz"/>
          <a:lstStyle/>
          <a:p>
            <a:pPr>
              <a:defRPr sz="850" b="1" i="0" u="none" strike="noStrike" baseline="0">
                <a:solidFill>
                  <a:srgbClr val="000000"/>
                </a:solidFill>
                <a:latin typeface="Arial"/>
                <a:ea typeface="Arial"/>
                <a:cs typeface="Arial"/>
              </a:defRPr>
            </a:pPr>
            <a:endParaRPr lang="en-US"/>
          </a:p>
        </c:txPr>
        <c:crossAx val="171492864"/>
        <c:crosses val="autoZero"/>
        <c:crossBetween val="between"/>
      </c:valAx>
      <c:spPr>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c:spPr>
    </c:plotArea>
    <c:legend>
      <c:legendPos val="r"/>
      <c:layout>
        <c:manualLayout>
          <c:xMode val="edge"/>
          <c:yMode val="edge"/>
          <c:x val="0.82572150785983356"/>
          <c:y val="0.16720574260114004"/>
          <c:w val="0.15736086112902661"/>
          <c:h val="0.68642382794823098"/>
        </c:manualLayout>
      </c:layout>
      <c:overlay val="1"/>
      <c:spPr>
        <a:solidFill>
          <a:schemeClr val="bg1"/>
        </a:solidFill>
        <a:ln w="3175">
          <a:solidFill>
            <a:srgbClr val="000000"/>
          </a:solidFill>
          <a:prstDash val="solid"/>
        </a:ln>
      </c:spPr>
      <c:txPr>
        <a:bodyPr/>
        <a:lstStyle/>
        <a:p>
          <a:pPr>
            <a:defRPr sz="925" b="1" i="0" u="none" strike="noStrike" baseline="0">
              <a:solidFill>
                <a:srgbClr val="000000"/>
              </a:solidFill>
              <a:latin typeface="Calibri"/>
              <a:ea typeface="Calibri"/>
              <a:cs typeface="Calibri"/>
            </a:defRPr>
          </a:pPr>
          <a:endParaRPr lang="en-US"/>
        </a:p>
      </c:txPr>
    </c:legend>
    <c:plotVisOnly val="1"/>
    <c:dispBlanksAs val="gap"/>
  </c:chart>
  <c:spPr>
    <a:solidFill>
      <a:srgbClr val="FFFFFF"/>
    </a:solidFill>
    <a:ln w="3175">
      <a:solidFill>
        <a:srgbClr val="000000"/>
      </a:solidFill>
      <a:prstDash val="solid"/>
    </a:ln>
  </c:spPr>
  <c:txPr>
    <a:bodyPr/>
    <a:lstStyle/>
    <a:p>
      <a:pPr>
        <a:defRPr sz="925" b="0" i="0" u="none" strike="noStrike" baseline="0">
          <a:solidFill>
            <a:srgbClr val="000000"/>
          </a:solidFill>
          <a:latin typeface="Arial"/>
          <a:ea typeface="Arial"/>
          <a:cs typeface="Arial"/>
        </a:defRPr>
      </a:pPr>
      <a:endParaRPr lang="en-US"/>
    </a:p>
  </c:txPr>
  <c:printSettings>
    <c:headerFooter alignWithMargins="0"/>
    <c:pageMargins b="1" l="0.75000000000001565" r="0.75000000000001565" t="1" header="0.5" footer="0.5"/>
    <c:pageSetup orientation="landscape" horizontalDpi="300" verticalDpi="300"/>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b="1" i="0" u="none" strike="noStrike" baseline="0">
                <a:solidFill>
                  <a:srgbClr val="000000"/>
                </a:solidFill>
                <a:latin typeface="Calibri"/>
                <a:ea typeface="Calibri"/>
                <a:cs typeface="Calibri"/>
              </a:defRPr>
            </a:pPr>
            <a:r>
              <a:rPr lang="en-US"/>
              <a:t>10th-Yr McDermott Tax Impact, Electricity Sector</a:t>
            </a:r>
          </a:p>
        </c:rich>
      </c:tx>
      <c:layout>
        <c:manualLayout>
          <c:xMode val="edge"/>
          <c:yMode val="edge"/>
          <c:x val="0.11348861880069661"/>
          <c:y val="4.9400247382870313E-2"/>
        </c:manualLayout>
      </c:layout>
    </c:title>
    <c:plotArea>
      <c:layout>
        <c:manualLayout>
          <c:layoutTarget val="inner"/>
          <c:xMode val="edge"/>
          <c:yMode val="edge"/>
          <c:x val="7.853609091702593E-2"/>
          <c:y val="0.29603152631857599"/>
          <c:w val="0.30643494371388452"/>
          <c:h val="0.55284031859131133"/>
        </c:manualLayout>
      </c:layout>
      <c:barChart>
        <c:barDir val="col"/>
        <c:grouping val="stacked"/>
        <c:ser>
          <c:idx val="1"/>
          <c:order val="0"/>
          <c:tx>
            <c:v>CO2 Emissions with Carbon Tax</c:v>
          </c:tx>
          <c:spPr>
            <a:solidFill>
              <a:srgbClr val="FF0000"/>
            </a:solidFill>
          </c:spPr>
          <c:dLbls>
            <c:dLbl>
              <c:idx val="0"/>
              <c:layout>
                <c:manualLayout>
                  <c:x val="0"/>
                  <c:y val="-8.1126744402851298E-3"/>
                </c:manualLayout>
              </c:layout>
              <c:tx>
                <c:rich>
                  <a:bodyPr/>
                  <a:lstStyle/>
                  <a:p>
                    <a:pPr>
                      <a:defRPr sz="1600" b="1" i="0" u="none" strike="noStrike" baseline="0">
                        <a:solidFill>
                          <a:srgbClr val="000000"/>
                        </a:solidFill>
                        <a:latin typeface="Calibri"/>
                        <a:ea typeface="Calibri"/>
                        <a:cs typeface="Calibri"/>
                      </a:defRPr>
                    </a:pPr>
                    <a:r>
                      <a:rPr lang="en-US"/>
                      <a:t> 980 </a:t>
                    </a:r>
                  </a:p>
                </c:rich>
              </c:tx>
              <c:spPr/>
              <c:dLblPos val="ctr"/>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873C-49DC-B351-97E5FF345B3E}"/>
                </c:ext>
              </c:extLst>
            </c:dLbl>
            <c:spPr>
              <a:noFill/>
              <a:ln>
                <a:noFill/>
              </a:ln>
              <a:effectLst/>
            </c:spPr>
            <c:txPr>
              <a:bodyPr/>
              <a:lstStyle/>
              <a:p>
                <a:pPr>
                  <a:defRPr sz="1100" b="0" i="0" u="none" strike="noStrike" baseline="0">
                    <a:solidFill>
                      <a:srgbClr val="000000"/>
                    </a:solidFill>
                    <a:latin typeface="Calibri"/>
                    <a:ea typeface="Calibri"/>
                    <a:cs typeface="Calibri"/>
                  </a:defRPr>
                </a:pPr>
                <a:endParaRPr lang="en-US"/>
              </a:p>
            </c:txPr>
            <c:showVal val="1"/>
            <c:extLst xmlns:c16r2="http://schemas.microsoft.com/office/drawing/2015/06/chart">
              <c:ext xmlns:c15="http://schemas.microsoft.com/office/drawing/2012/chart" uri="{CE6537A1-D6FC-4f65-9D91-7224C49458BB}">
                <c15:showLeaderLines val="0"/>
              </c:ext>
            </c:extLst>
          </c:dLbls>
          <c:cat>
            <c:numRef>
              <c:f>'Other Graphs'!$B$250</c:f>
              <c:numCache>
                <c:formatCode>General</c:formatCode>
                <c:ptCount val="1"/>
              </c:numCache>
            </c:numRef>
          </c:cat>
          <c:val>
            <c:numRef>
              <c:f>Graph_CO2!$AC$69</c:f>
              <c:numCache>
                <c:formatCode>_(* #,##0_);_(* \(#,##0\);_(* "-"??_);_(@_)</c:formatCode>
                <c:ptCount val="1"/>
                <c:pt idx="0">
                  <c:v>902.56768671022394</c:v>
                </c:pt>
              </c:numCache>
            </c:numRef>
          </c:val>
          <c:extLst xmlns:c16r2="http://schemas.microsoft.com/office/drawing/2015/06/chart">
            <c:ext xmlns:c16="http://schemas.microsoft.com/office/drawing/2014/chart" uri="{C3380CC4-5D6E-409C-BE32-E72D297353CC}">
              <c16:uniqueId val="{00000001-873C-49DC-B351-97E5FF345B3E}"/>
            </c:ext>
          </c:extLst>
        </c:ser>
        <c:ser>
          <c:idx val="0"/>
          <c:order val="1"/>
          <c:tx>
            <c:v>Reductions from Conservation</c:v>
          </c:tx>
          <c:spPr>
            <a:solidFill>
              <a:srgbClr val="00FF00"/>
            </a:solidFill>
          </c:spPr>
          <c:dLbls>
            <c:dLbl>
              <c:idx val="0"/>
              <c:layout>
                <c:manualLayout>
                  <c:x val="-1.6315817665649153E-3"/>
                  <c:y val="1.6224712857968262E-3"/>
                </c:manualLayout>
              </c:layout>
              <c:tx>
                <c:rich>
                  <a:bodyPr/>
                  <a:lstStyle/>
                  <a:p>
                    <a:pPr>
                      <a:defRPr sz="1600" b="1" i="0" u="none" strike="noStrike" baseline="0">
                        <a:solidFill>
                          <a:srgbClr val="000000"/>
                        </a:solidFill>
                        <a:latin typeface="Calibri"/>
                        <a:ea typeface="Calibri"/>
                        <a:cs typeface="Calibri"/>
                      </a:defRPr>
                    </a:pPr>
                    <a:r>
                      <a:rPr lang="fi-FI"/>
                      <a:t>318</a:t>
                    </a:r>
                  </a:p>
                </c:rich>
              </c:tx>
              <c:spPr/>
              <c:dLblPos val="ctr"/>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73C-49DC-B351-97E5FF345B3E}"/>
                </c:ext>
              </c:extLst>
            </c:dLbl>
            <c:dLbl>
              <c:idx val="3"/>
              <c:layout>
                <c:manualLayout>
                  <c:x val="0"/>
                  <c:y val="-9.7087378640776708E-3"/>
                </c:manualLayout>
              </c:layout>
              <c:dLblPos val="ctr"/>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73C-49DC-B351-97E5FF345B3E}"/>
                </c:ext>
              </c:extLst>
            </c:dLbl>
            <c:spPr>
              <a:noFill/>
              <a:ln>
                <a:noFill/>
              </a:ln>
              <a:effectLst/>
            </c:spPr>
            <c:txPr>
              <a:bodyPr/>
              <a:lstStyle/>
              <a:p>
                <a:pPr>
                  <a:defRPr sz="1100" b="0" i="0" u="none" strike="noStrike" baseline="0">
                    <a:solidFill>
                      <a:srgbClr val="000000"/>
                    </a:solidFill>
                    <a:latin typeface="Calibri"/>
                    <a:ea typeface="Calibri"/>
                    <a:cs typeface="Calibri"/>
                  </a:defRPr>
                </a:pPr>
                <a:endParaRPr lang="en-US"/>
              </a:p>
            </c:txPr>
            <c:showVal val="1"/>
            <c:extLst xmlns:c16r2="http://schemas.microsoft.com/office/drawing/2015/06/chart">
              <c:ext xmlns:c15="http://schemas.microsoft.com/office/drawing/2012/chart" uri="{CE6537A1-D6FC-4f65-9D91-7224C49458BB}">
                <c15:showLeaderLines val="0"/>
              </c:ext>
            </c:extLst>
          </c:dLbls>
          <c:cat>
            <c:numRef>
              <c:f>'Other Graphs'!$B$250</c:f>
              <c:numCache>
                <c:formatCode>General</c:formatCode>
                <c:ptCount val="1"/>
              </c:numCache>
            </c:numRef>
          </c:cat>
          <c:val>
            <c:numRef>
              <c:f>'Other Graphs'!$E$246</c:f>
              <c:numCache>
                <c:formatCode>0</c:formatCode>
                <c:ptCount val="1"/>
                <c:pt idx="0">
                  <c:v>253.48461280210265</c:v>
                </c:pt>
              </c:numCache>
            </c:numRef>
          </c:val>
          <c:extLst xmlns:c16r2="http://schemas.microsoft.com/office/drawing/2015/06/chart">
            <c:ext xmlns:c16="http://schemas.microsoft.com/office/drawing/2014/chart" uri="{C3380CC4-5D6E-409C-BE32-E72D297353CC}">
              <c16:uniqueId val="{00000004-873C-49DC-B351-97E5FF345B3E}"/>
            </c:ext>
          </c:extLst>
        </c:ser>
        <c:ser>
          <c:idx val="2"/>
          <c:order val="2"/>
          <c:tx>
            <c:v>Reductions from Decarbonization</c:v>
          </c:tx>
          <c:spPr>
            <a:solidFill>
              <a:srgbClr val="FFFF00"/>
            </a:solidFill>
          </c:spPr>
          <c:dLbls>
            <c:dLbl>
              <c:idx val="0"/>
              <c:layout>
                <c:manualLayout>
                  <c:x val="3.4100596760443312E-3"/>
                  <c:y val="0"/>
                </c:manualLayout>
              </c:layout>
              <c:tx>
                <c:rich>
                  <a:bodyPr/>
                  <a:lstStyle/>
                  <a:p>
                    <a:pPr>
                      <a:defRPr sz="1600" b="1" i="0" u="none" strike="noStrike" baseline="0">
                        <a:solidFill>
                          <a:srgbClr val="000000"/>
                        </a:solidFill>
                        <a:latin typeface="Calibri"/>
                        <a:ea typeface="Calibri"/>
                        <a:cs typeface="Calibri"/>
                      </a:defRPr>
                    </a:pPr>
                    <a:r>
                      <a:rPr lang="is-IS"/>
                      <a:t>662</a:t>
                    </a:r>
                  </a:p>
                </c:rich>
              </c:tx>
              <c:spPr/>
              <c:dLblPos val="ctr"/>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873C-49DC-B351-97E5FF345B3E}"/>
                </c:ext>
              </c:extLst>
            </c:dLbl>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showVal val="1"/>
            <c:extLst xmlns:c16r2="http://schemas.microsoft.com/office/drawing/2015/06/chart">
              <c:ext xmlns:c15="http://schemas.microsoft.com/office/drawing/2012/chart" uri="{CE6537A1-D6FC-4f65-9D91-7224C49458BB}">
                <c15:showLeaderLines val="0"/>
              </c:ext>
            </c:extLst>
          </c:dLbls>
          <c:cat>
            <c:numRef>
              <c:f>'Other Graphs'!$B$250</c:f>
              <c:numCache>
                <c:formatCode>General</c:formatCode>
                <c:ptCount val="1"/>
              </c:numCache>
            </c:numRef>
          </c:cat>
          <c:val>
            <c:numRef>
              <c:f>'Other Graphs'!$E$245</c:f>
              <c:numCache>
                <c:formatCode>0</c:formatCode>
                <c:ptCount val="1"/>
                <c:pt idx="0">
                  <c:v>607.59605963981187</c:v>
                </c:pt>
              </c:numCache>
            </c:numRef>
          </c:val>
          <c:extLst xmlns:c16r2="http://schemas.microsoft.com/office/drawing/2015/06/chart">
            <c:ext xmlns:c16="http://schemas.microsoft.com/office/drawing/2014/chart" uri="{C3380CC4-5D6E-409C-BE32-E72D297353CC}">
              <c16:uniqueId val="{00000006-873C-49DC-B351-97E5FF345B3E}"/>
            </c:ext>
          </c:extLst>
        </c:ser>
        <c:dLbls>
          <c:showVal val="1"/>
        </c:dLbls>
        <c:gapWidth val="95"/>
        <c:overlap val="100"/>
        <c:axId val="172918656"/>
        <c:axId val="172920192"/>
      </c:barChart>
      <c:catAx>
        <c:axId val="172918656"/>
        <c:scaling>
          <c:orientation val="minMax"/>
        </c:scaling>
        <c:axPos val="b"/>
        <c:numFmt formatCode="General" sourceLinked="1"/>
        <c:majorTickMark val="none"/>
        <c:tickLblPos val="nextTo"/>
        <c:txPr>
          <a:bodyPr rot="0" vert="horz"/>
          <a:lstStyle/>
          <a:p>
            <a:pPr>
              <a:defRPr sz="1400" b="1" i="0" u="none" strike="noStrike" baseline="0">
                <a:solidFill>
                  <a:srgbClr val="000000"/>
                </a:solidFill>
                <a:latin typeface="Calibri"/>
                <a:ea typeface="Calibri"/>
                <a:cs typeface="Calibri"/>
              </a:defRPr>
            </a:pPr>
            <a:endParaRPr lang="en-US"/>
          </a:p>
        </c:txPr>
        <c:crossAx val="172920192"/>
        <c:crosses val="autoZero"/>
        <c:auto val="1"/>
        <c:lblAlgn val="ctr"/>
        <c:lblOffset val="100"/>
      </c:catAx>
      <c:valAx>
        <c:axId val="172920192"/>
        <c:scaling>
          <c:orientation val="minMax"/>
          <c:max val="2000"/>
        </c:scaling>
        <c:axPos val="l"/>
        <c:numFmt formatCode="_(* #,##0_);_(* \(#,##0\);_(* &quot;-&quot;??_);_(@_)" sourceLinked="1"/>
        <c:tickLblPos val="nextTo"/>
        <c:spPr>
          <a:ln w="9525">
            <a:noFill/>
          </a:ln>
        </c:spPr>
        <c:txPr>
          <a:bodyPr rot="0" vert="horz"/>
          <a:lstStyle/>
          <a:p>
            <a:pPr>
              <a:defRPr sz="1000" b="1" i="0" u="none" strike="noStrike" baseline="0">
                <a:solidFill>
                  <a:srgbClr val="000000"/>
                </a:solidFill>
                <a:latin typeface="Calibri"/>
                <a:ea typeface="Calibri"/>
                <a:cs typeface="Calibri"/>
              </a:defRPr>
            </a:pPr>
            <a:endParaRPr lang="en-US"/>
          </a:p>
        </c:txPr>
        <c:crossAx val="172918656"/>
        <c:crosses val="autoZero"/>
        <c:crossBetween val="between"/>
        <c:majorUnit val="1000"/>
      </c:valAx>
    </c:plotArea>
    <c:legend>
      <c:legendPos val="r"/>
      <c:legendEntry>
        <c:idx val="0"/>
        <c:txPr>
          <a:bodyPr/>
          <a:lstStyle/>
          <a:p>
            <a:pPr>
              <a:defRPr sz="925" b="1" i="0" u="none" strike="noStrike" baseline="0">
                <a:solidFill>
                  <a:srgbClr val="000000"/>
                </a:solidFill>
                <a:latin typeface="Calibri"/>
                <a:ea typeface="Calibri"/>
                <a:cs typeface="Calibri"/>
              </a:defRPr>
            </a:pPr>
            <a:endParaRPr lang="en-US"/>
          </a:p>
        </c:txPr>
      </c:legendEntry>
      <c:legendEntry>
        <c:idx val="1"/>
        <c:txPr>
          <a:bodyPr/>
          <a:lstStyle/>
          <a:p>
            <a:pPr>
              <a:defRPr sz="925" b="1" i="0" u="none" strike="noStrike" baseline="0">
                <a:solidFill>
                  <a:srgbClr val="000000"/>
                </a:solidFill>
                <a:latin typeface="Calibri"/>
                <a:ea typeface="Calibri"/>
                <a:cs typeface="Calibri"/>
              </a:defRPr>
            </a:pPr>
            <a:endParaRPr lang="en-US"/>
          </a:p>
        </c:txPr>
      </c:legendEntry>
      <c:layout>
        <c:manualLayout>
          <c:xMode val="edge"/>
          <c:yMode val="edge"/>
          <c:x val="0.49848024316110034"/>
          <c:y val="0.23486703634595121"/>
          <c:w val="0.46504559270516699"/>
          <c:h val="0.61501265187496157"/>
        </c:manualLayout>
      </c:layout>
      <c:txPr>
        <a:bodyPr/>
        <a:lstStyle/>
        <a:p>
          <a:pPr>
            <a:defRPr sz="925" b="1" i="0" u="none" strike="noStrike" baseline="0">
              <a:solidFill>
                <a:srgbClr val="000000"/>
              </a:solidFill>
              <a:latin typeface="Calibri"/>
              <a:ea typeface="Calibri"/>
              <a:cs typeface="Calibri"/>
            </a:defRPr>
          </a:pPr>
          <a:endParaRPr lang="en-US"/>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033" l="0.70000000000000162" r="0.70000000000000162" t="0.75000000000001033" header="0.30000000000000032" footer="0.30000000000000032"/>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600" b="1" i="0" u="none" strike="noStrike" baseline="0">
                <a:solidFill>
                  <a:srgbClr val="000000"/>
                </a:solidFill>
                <a:latin typeface="Arial"/>
                <a:ea typeface="Arial"/>
                <a:cs typeface="Arial"/>
              </a:defRPr>
            </a:pPr>
            <a:r>
              <a:rPr lang="en-US"/>
              <a:t>U.S. Electricity Generation, 2024</a:t>
            </a:r>
          </a:p>
        </c:rich>
      </c:tx>
      <c:layout>
        <c:manualLayout>
          <c:xMode val="edge"/>
          <c:yMode val="edge"/>
          <c:x val="0.230851195683873"/>
          <c:y val="3.1416746887830201E-2"/>
        </c:manualLayout>
      </c:layout>
      <c:spPr>
        <a:noFill/>
        <a:ln w="25400">
          <a:noFill/>
        </a:ln>
      </c:spPr>
    </c:title>
    <c:plotArea>
      <c:layout>
        <c:manualLayout>
          <c:layoutTarget val="inner"/>
          <c:xMode val="edge"/>
          <c:yMode val="edge"/>
          <c:x val="0.13697064029787001"/>
          <c:y val="3.5013771426720817E-2"/>
          <c:w val="0.81560084401214605"/>
          <c:h val="0.87481448175523957"/>
        </c:manualLayout>
      </c:layout>
      <c:barChart>
        <c:barDir val="col"/>
        <c:grouping val="stacked"/>
        <c:ser>
          <c:idx val="1"/>
          <c:order val="0"/>
          <c:tx>
            <c:strRef>
              <c:f>'Other Graphs'!$B$263:$D$263</c:f>
              <c:strCache>
                <c:ptCount val="1"/>
                <c:pt idx="0">
                  <c:v>Coal</c:v>
                </c:pt>
              </c:strCache>
            </c:strRef>
          </c:tx>
          <c:spPr>
            <a:solidFill>
              <a:schemeClr val="tx1"/>
            </a:solidFill>
          </c:spPr>
          <c:cat>
            <c:strRef>
              <c:f>'Other Graphs'!$E$262:$G$262</c:f>
              <c:strCache>
                <c:ptCount val="3"/>
                <c:pt idx="0">
                  <c:v>No Tax</c:v>
                </c:pt>
                <c:pt idx="1">
                  <c:v>Tax #1</c:v>
                </c:pt>
                <c:pt idx="2">
                  <c:v>Tax #2</c:v>
                </c:pt>
              </c:strCache>
            </c:strRef>
          </c:cat>
          <c:val>
            <c:numRef>
              <c:f>'Other Graphs'!$E$263:$G$263</c:f>
              <c:numCache>
                <c:formatCode>0</c:formatCode>
                <c:ptCount val="3"/>
                <c:pt idx="0">
                  <c:v>1320</c:v>
                </c:pt>
                <c:pt idx="1">
                  <c:v>500</c:v>
                </c:pt>
                <c:pt idx="2">
                  <c:v>520</c:v>
                </c:pt>
              </c:numCache>
            </c:numRef>
          </c:val>
          <c:extLst xmlns:c16r2="http://schemas.microsoft.com/office/drawing/2015/06/chart">
            <c:ext xmlns:c16="http://schemas.microsoft.com/office/drawing/2014/chart" uri="{C3380CC4-5D6E-409C-BE32-E72D297353CC}">
              <c16:uniqueId val="{00000000-6497-4493-BA8D-580FE2AE1834}"/>
            </c:ext>
          </c:extLst>
        </c:ser>
        <c:ser>
          <c:idx val="9"/>
          <c:order val="1"/>
          <c:tx>
            <c:strRef>
              <c:f>'Other Graphs'!$B$264:$D$264</c:f>
              <c:strCache>
                <c:ptCount val="1"/>
                <c:pt idx="0">
                  <c:v>Methane</c:v>
                </c:pt>
              </c:strCache>
            </c:strRef>
          </c:tx>
          <c:spPr>
            <a:solidFill>
              <a:schemeClr val="accent6">
                <a:lumMod val="50000"/>
              </a:schemeClr>
            </a:solidFill>
          </c:spPr>
          <c:cat>
            <c:strRef>
              <c:f>'Other Graphs'!$E$262:$G$262</c:f>
              <c:strCache>
                <c:ptCount val="3"/>
                <c:pt idx="0">
                  <c:v>No Tax</c:v>
                </c:pt>
                <c:pt idx="1">
                  <c:v>Tax #1</c:v>
                </c:pt>
                <c:pt idx="2">
                  <c:v>Tax #2</c:v>
                </c:pt>
              </c:strCache>
            </c:strRef>
          </c:cat>
          <c:val>
            <c:numRef>
              <c:f>'Other Graphs'!$E$264:$G$264</c:f>
              <c:numCache>
                <c:formatCode>0</c:formatCode>
                <c:ptCount val="3"/>
                <c:pt idx="0">
                  <c:v>1880</c:v>
                </c:pt>
                <c:pt idx="1">
                  <c:v>1150</c:v>
                </c:pt>
                <c:pt idx="2">
                  <c:v>1110</c:v>
                </c:pt>
              </c:numCache>
            </c:numRef>
          </c:val>
          <c:extLst xmlns:c16r2="http://schemas.microsoft.com/office/drawing/2015/06/chart">
            <c:ext xmlns:c16="http://schemas.microsoft.com/office/drawing/2014/chart" uri="{C3380CC4-5D6E-409C-BE32-E72D297353CC}">
              <c16:uniqueId val="{00000001-6497-4493-BA8D-580FE2AE1834}"/>
            </c:ext>
          </c:extLst>
        </c:ser>
        <c:ser>
          <c:idx val="7"/>
          <c:order val="2"/>
          <c:tx>
            <c:strRef>
              <c:f>'Other Graphs'!$B$265:$D$265</c:f>
              <c:strCache>
                <c:ptCount val="1"/>
                <c:pt idx="0">
                  <c:v>Nuke</c:v>
                </c:pt>
              </c:strCache>
            </c:strRef>
          </c:tx>
          <c:spPr>
            <a:solidFill>
              <a:srgbClr val="FF0000"/>
            </a:solidFill>
          </c:spPr>
          <c:cat>
            <c:strRef>
              <c:f>'Other Graphs'!$E$262:$G$262</c:f>
              <c:strCache>
                <c:ptCount val="3"/>
                <c:pt idx="0">
                  <c:v>No Tax</c:v>
                </c:pt>
                <c:pt idx="1">
                  <c:v>Tax #1</c:v>
                </c:pt>
                <c:pt idx="2">
                  <c:v>Tax #2</c:v>
                </c:pt>
              </c:strCache>
            </c:strRef>
          </c:cat>
          <c:val>
            <c:numRef>
              <c:f>'Other Graphs'!$E$265:$G$265</c:f>
              <c:numCache>
                <c:formatCode>0</c:formatCode>
                <c:ptCount val="3"/>
                <c:pt idx="0">
                  <c:v>673</c:v>
                </c:pt>
                <c:pt idx="1">
                  <c:v>673</c:v>
                </c:pt>
                <c:pt idx="2">
                  <c:v>673</c:v>
                </c:pt>
              </c:numCache>
            </c:numRef>
          </c:val>
          <c:extLst xmlns:c16r2="http://schemas.microsoft.com/office/drawing/2015/06/chart">
            <c:ext xmlns:c16="http://schemas.microsoft.com/office/drawing/2014/chart" uri="{C3380CC4-5D6E-409C-BE32-E72D297353CC}">
              <c16:uniqueId val="{00000002-6497-4493-BA8D-580FE2AE1834}"/>
            </c:ext>
          </c:extLst>
        </c:ser>
        <c:ser>
          <c:idx val="6"/>
          <c:order val="3"/>
          <c:tx>
            <c:strRef>
              <c:f>'Other Graphs'!$B$266:$D$266</c:f>
              <c:strCache>
                <c:ptCount val="1"/>
                <c:pt idx="0">
                  <c:v>Other</c:v>
                </c:pt>
              </c:strCache>
            </c:strRef>
          </c:tx>
          <c:spPr>
            <a:solidFill>
              <a:srgbClr val="7030A0"/>
            </a:solidFill>
          </c:spPr>
          <c:cat>
            <c:strRef>
              <c:f>'Other Graphs'!$E$262:$G$262</c:f>
              <c:strCache>
                <c:ptCount val="3"/>
                <c:pt idx="0">
                  <c:v>No Tax</c:v>
                </c:pt>
                <c:pt idx="1">
                  <c:v>Tax #1</c:v>
                </c:pt>
                <c:pt idx="2">
                  <c:v>Tax #2</c:v>
                </c:pt>
              </c:strCache>
            </c:strRef>
          </c:cat>
          <c:val>
            <c:numRef>
              <c:f>'Other Graphs'!$E$266:$G$266</c:f>
              <c:numCache>
                <c:formatCode>0</c:formatCode>
                <c:ptCount val="3"/>
                <c:pt idx="0">
                  <c:v>125</c:v>
                </c:pt>
                <c:pt idx="1">
                  <c:v>125</c:v>
                </c:pt>
                <c:pt idx="2">
                  <c:v>125</c:v>
                </c:pt>
              </c:numCache>
            </c:numRef>
          </c:val>
          <c:extLst xmlns:c16r2="http://schemas.microsoft.com/office/drawing/2015/06/chart">
            <c:ext xmlns:c16="http://schemas.microsoft.com/office/drawing/2014/chart" uri="{C3380CC4-5D6E-409C-BE32-E72D297353CC}">
              <c16:uniqueId val="{00000003-6497-4493-BA8D-580FE2AE1834}"/>
            </c:ext>
          </c:extLst>
        </c:ser>
        <c:ser>
          <c:idx val="0"/>
          <c:order val="4"/>
          <c:tx>
            <c:strRef>
              <c:f>'Other Graphs'!$B$267:$D$267</c:f>
              <c:strCache>
                <c:ptCount val="1"/>
                <c:pt idx="0">
                  <c:v>Hydro</c:v>
                </c:pt>
              </c:strCache>
            </c:strRef>
          </c:tx>
          <c:spPr>
            <a:solidFill>
              <a:srgbClr val="00FF00"/>
            </a:solidFill>
            <a:ln w="25400">
              <a:noFill/>
            </a:ln>
          </c:spPr>
          <c:cat>
            <c:strRef>
              <c:f>'Other Graphs'!$E$262:$G$262</c:f>
              <c:strCache>
                <c:ptCount val="3"/>
                <c:pt idx="0">
                  <c:v>No Tax</c:v>
                </c:pt>
                <c:pt idx="1">
                  <c:v>Tax #1</c:v>
                </c:pt>
                <c:pt idx="2">
                  <c:v>Tax #2</c:v>
                </c:pt>
              </c:strCache>
            </c:strRef>
          </c:cat>
          <c:val>
            <c:numRef>
              <c:f>'Other Graphs'!$E$267:$G$267</c:f>
              <c:numCache>
                <c:formatCode>0</c:formatCode>
                <c:ptCount val="3"/>
                <c:pt idx="0">
                  <c:v>269</c:v>
                </c:pt>
                <c:pt idx="1">
                  <c:v>269</c:v>
                </c:pt>
                <c:pt idx="2">
                  <c:v>269</c:v>
                </c:pt>
              </c:numCache>
            </c:numRef>
          </c:val>
          <c:extLst xmlns:c16r2="http://schemas.microsoft.com/office/drawing/2015/06/chart">
            <c:ext xmlns:c16="http://schemas.microsoft.com/office/drawing/2014/chart" uri="{C3380CC4-5D6E-409C-BE32-E72D297353CC}">
              <c16:uniqueId val="{00000004-6497-4493-BA8D-580FE2AE1834}"/>
            </c:ext>
          </c:extLst>
        </c:ser>
        <c:ser>
          <c:idx val="8"/>
          <c:order val="5"/>
          <c:tx>
            <c:strRef>
              <c:f>'Other Graphs'!$B$268:$D$268</c:f>
              <c:strCache>
                <c:ptCount val="1"/>
                <c:pt idx="0">
                  <c:v>Wind</c:v>
                </c:pt>
              </c:strCache>
            </c:strRef>
          </c:tx>
          <c:spPr>
            <a:solidFill>
              <a:srgbClr val="00CCFF"/>
            </a:solidFill>
          </c:spPr>
          <c:cat>
            <c:strRef>
              <c:f>'Other Graphs'!$E$262:$G$262</c:f>
              <c:strCache>
                <c:ptCount val="3"/>
                <c:pt idx="0">
                  <c:v>No Tax</c:v>
                </c:pt>
                <c:pt idx="1">
                  <c:v>Tax #1</c:v>
                </c:pt>
                <c:pt idx="2">
                  <c:v>Tax #2</c:v>
                </c:pt>
              </c:strCache>
            </c:strRef>
          </c:cat>
          <c:val>
            <c:numRef>
              <c:f>'Other Graphs'!$E$268:$G$268</c:f>
              <c:numCache>
                <c:formatCode>0</c:formatCode>
                <c:ptCount val="3"/>
                <c:pt idx="0">
                  <c:v>287</c:v>
                </c:pt>
                <c:pt idx="1">
                  <c:v>710</c:v>
                </c:pt>
                <c:pt idx="2">
                  <c:v>392</c:v>
                </c:pt>
              </c:numCache>
            </c:numRef>
          </c:val>
          <c:extLst xmlns:c16r2="http://schemas.microsoft.com/office/drawing/2015/06/chart">
            <c:ext xmlns:c16="http://schemas.microsoft.com/office/drawing/2014/chart" uri="{C3380CC4-5D6E-409C-BE32-E72D297353CC}">
              <c16:uniqueId val="{00000005-6497-4493-BA8D-580FE2AE1834}"/>
            </c:ext>
          </c:extLst>
        </c:ser>
        <c:ser>
          <c:idx val="3"/>
          <c:order val="6"/>
          <c:tx>
            <c:strRef>
              <c:f>'Other Graphs'!$B$269:$D$269</c:f>
              <c:strCache>
                <c:ptCount val="1"/>
                <c:pt idx="0">
                  <c:v>Solar</c:v>
                </c:pt>
              </c:strCache>
            </c:strRef>
          </c:tx>
          <c:spPr>
            <a:solidFill>
              <a:srgbClr val="FFFF00"/>
            </a:solidFill>
          </c:spPr>
          <c:cat>
            <c:strRef>
              <c:f>'Other Graphs'!$E$262:$G$262</c:f>
              <c:strCache>
                <c:ptCount val="3"/>
                <c:pt idx="0">
                  <c:v>No Tax</c:v>
                </c:pt>
                <c:pt idx="1">
                  <c:v>Tax #1</c:v>
                </c:pt>
                <c:pt idx="2">
                  <c:v>Tax #2</c:v>
                </c:pt>
              </c:strCache>
            </c:strRef>
          </c:cat>
          <c:val>
            <c:numRef>
              <c:f>'Other Graphs'!$E$269:$G$269</c:f>
              <c:numCache>
                <c:formatCode>0</c:formatCode>
                <c:ptCount val="3"/>
                <c:pt idx="0">
                  <c:v>32</c:v>
                </c:pt>
                <c:pt idx="1">
                  <c:v>152</c:v>
                </c:pt>
                <c:pt idx="2">
                  <c:v>473</c:v>
                </c:pt>
              </c:numCache>
            </c:numRef>
          </c:val>
          <c:extLst xmlns:c16r2="http://schemas.microsoft.com/office/drawing/2015/06/chart">
            <c:ext xmlns:c16="http://schemas.microsoft.com/office/drawing/2014/chart" uri="{C3380CC4-5D6E-409C-BE32-E72D297353CC}">
              <c16:uniqueId val="{00000006-6497-4493-BA8D-580FE2AE1834}"/>
            </c:ext>
          </c:extLst>
        </c:ser>
        <c:dLbls/>
        <c:overlap val="100"/>
        <c:axId val="172841216"/>
        <c:axId val="172847104"/>
      </c:barChart>
      <c:catAx>
        <c:axId val="172841216"/>
        <c:scaling>
          <c:orientation val="minMax"/>
        </c:scaling>
        <c:axPos val="b"/>
        <c:numFmt formatCode="General" sourceLinked="1"/>
        <c:tickLblPos val="nextTo"/>
        <c:spPr>
          <a:ln w="3175">
            <a:solidFill>
              <a:srgbClr val="000000"/>
            </a:solidFill>
            <a:prstDash val="solid"/>
          </a:ln>
        </c:spPr>
        <c:txPr>
          <a:bodyPr rot="0" vert="horz"/>
          <a:lstStyle/>
          <a:p>
            <a:pPr>
              <a:defRPr sz="1050" b="1" i="0" u="none" strike="noStrike" baseline="0">
                <a:solidFill>
                  <a:srgbClr val="000000"/>
                </a:solidFill>
                <a:latin typeface="Arial"/>
                <a:ea typeface="Arial"/>
                <a:cs typeface="Arial"/>
              </a:defRPr>
            </a:pPr>
            <a:endParaRPr lang="en-US"/>
          </a:p>
        </c:txPr>
        <c:crossAx val="172847104"/>
        <c:crosses val="autoZero"/>
        <c:auto val="1"/>
        <c:lblAlgn val="ctr"/>
        <c:lblOffset val="100"/>
        <c:tickLblSkip val="1"/>
        <c:tickMarkSkip val="1"/>
      </c:catAx>
      <c:valAx>
        <c:axId val="172847104"/>
        <c:scaling>
          <c:orientation val="minMax"/>
        </c:scaling>
        <c:axPos val="l"/>
        <c:majorGridlines>
          <c:spPr>
            <a:ln w="3175">
              <a:solidFill>
                <a:srgbClr val="000000"/>
              </a:solidFill>
              <a:prstDash val="solid"/>
            </a:ln>
          </c:spPr>
        </c:majorGridlines>
        <c:numFmt formatCode="#,##0" sourceLinked="0"/>
        <c:tickLblPos val="nextTo"/>
        <c:spPr>
          <a:ln w="3175">
            <a:solidFill>
              <a:srgbClr val="000000"/>
            </a:solidFill>
            <a:prstDash val="solid"/>
          </a:ln>
        </c:spPr>
        <c:txPr>
          <a:bodyPr rot="0" vert="horz"/>
          <a:lstStyle/>
          <a:p>
            <a:pPr>
              <a:defRPr sz="850" b="1" i="0" u="none" strike="noStrike" baseline="0">
                <a:solidFill>
                  <a:srgbClr val="000000"/>
                </a:solidFill>
                <a:latin typeface="Arial"/>
                <a:ea typeface="Arial"/>
                <a:cs typeface="Arial"/>
              </a:defRPr>
            </a:pPr>
            <a:endParaRPr lang="en-US"/>
          </a:p>
        </c:txPr>
        <c:crossAx val="172841216"/>
        <c:crosses val="autoZero"/>
        <c:crossBetween val="between"/>
      </c:valAx>
      <c:spPr>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c:spPr>
    </c:plotArea>
    <c:plotVisOnly val="1"/>
    <c:dispBlanksAs val="gap"/>
  </c:chart>
  <c:spPr>
    <a:solidFill>
      <a:srgbClr val="FFFFFF"/>
    </a:solidFill>
    <a:ln w="3175">
      <a:solidFill>
        <a:srgbClr val="000000"/>
      </a:solidFill>
      <a:prstDash val="solid"/>
    </a:ln>
  </c:spPr>
  <c:txPr>
    <a:bodyPr/>
    <a:lstStyle/>
    <a:p>
      <a:pPr>
        <a:defRPr sz="925" b="0" i="0" u="none" strike="noStrike" baseline="0">
          <a:solidFill>
            <a:srgbClr val="000000"/>
          </a:solidFill>
          <a:latin typeface="Arial"/>
          <a:ea typeface="Arial"/>
          <a:cs typeface="Arial"/>
        </a:defRPr>
      </a:pPr>
      <a:endParaRPr lang="en-US"/>
    </a:p>
  </c:txPr>
  <c:printSettings>
    <c:headerFooter alignWithMargins="0"/>
    <c:pageMargins b="1" l="0.75000000000001565" r="0.75000000000001565" t="1" header="0.5" footer="0.5"/>
    <c:pageSetup orientation="landscape" horizontalDpi="300" verticalDpi="300"/>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100" b="1" i="0" u="none" strike="noStrike" baseline="0">
                <a:solidFill>
                  <a:srgbClr val="000000"/>
                </a:solidFill>
                <a:latin typeface="Arial"/>
                <a:ea typeface="Arial"/>
                <a:cs typeface="Arial"/>
              </a:defRPr>
            </a:pPr>
            <a:r>
              <a:rPr lang="en-US"/>
              <a:t>Annual Carbon Tax Revenues</a:t>
            </a:r>
          </a:p>
        </c:rich>
      </c:tx>
      <c:layout>
        <c:manualLayout>
          <c:xMode val="edge"/>
          <c:yMode val="edge"/>
          <c:x val="0.34540781384227776"/>
          <c:y val="3.1402985419774557E-2"/>
        </c:manualLayout>
      </c:layout>
      <c:spPr>
        <a:noFill/>
        <a:ln w="25400">
          <a:noFill/>
        </a:ln>
      </c:spPr>
    </c:title>
    <c:plotArea>
      <c:layout>
        <c:manualLayout>
          <c:layoutTarget val="inner"/>
          <c:xMode val="edge"/>
          <c:yMode val="edge"/>
          <c:x val="0.16259884581735382"/>
          <c:y val="0.17612538998662924"/>
          <c:w val="0.79976149311886291"/>
          <c:h val="0.70184903184271863"/>
        </c:manualLayout>
      </c:layout>
      <c:lineChart>
        <c:grouping val="standard"/>
        <c:ser>
          <c:idx val="0"/>
          <c:order val="0"/>
          <c:tx>
            <c:v>Carbon Tax Revenue, Millions</c:v>
          </c:tx>
          <c:spPr>
            <a:ln w="12700">
              <a:solidFill>
                <a:srgbClr val="000080"/>
              </a:solidFill>
              <a:prstDash val="solid"/>
            </a:ln>
          </c:spPr>
          <c:marker>
            <c:symbol val="diamond"/>
            <c:size val="7"/>
            <c:spPr>
              <a:solidFill>
                <a:srgbClr val="FF0000"/>
              </a:solidFill>
              <a:ln>
                <a:solidFill>
                  <a:srgbClr val="000080"/>
                </a:solidFill>
                <a:prstDash val="solid"/>
              </a:ln>
            </c:spPr>
          </c:marker>
          <c:cat>
            <c:numRef>
              <c:f>Graph_Revenue!$I$5:$AE$5</c:f>
              <c:numCache>
                <c:formatCode>0</c:formatCode>
                <c:ptCount val="23"/>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numCache>
            </c:numRef>
          </c:cat>
          <c:val>
            <c:numRef>
              <c:f>Graph_Revenue!$I$7:$AE$7</c:f>
              <c:numCache>
                <c:formatCode>"$"#,##0_);\("$"#,##0\)</c:formatCode>
                <c:ptCount val="23"/>
                <c:pt idx="0">
                  <c:v>59.996132853372941</c:v>
                </c:pt>
                <c:pt idx="1">
                  <c:v>116.75998131258092</c:v>
                </c:pt>
                <c:pt idx="2">
                  <c:v>170.82843867265058</c:v>
                </c:pt>
                <c:pt idx="3">
                  <c:v>222.7906789024224</c:v>
                </c:pt>
                <c:pt idx="4">
                  <c:v>273.09212622721429</c:v>
                </c:pt>
                <c:pt idx="5">
                  <c:v>322.57248738535253</c:v>
                </c:pt>
                <c:pt idx="6">
                  <c:v>371.29547672226118</c:v>
                </c:pt>
                <c:pt idx="7">
                  <c:v>419.60012416608771</c:v>
                </c:pt>
                <c:pt idx="8">
                  <c:v>466.99795493506213</c:v>
                </c:pt>
                <c:pt idx="9">
                  <c:v>513.77963688741124</c:v>
                </c:pt>
                <c:pt idx="10">
                  <c:v>558.91978723207546</c:v>
                </c:pt>
                <c:pt idx="11">
                  <c:v>603.68051331492813</c:v>
                </c:pt>
                <c:pt idx="12">
                  <c:v>648.41406438622255</c:v>
                </c:pt>
                <c:pt idx="13">
                  <c:v>692.96484719041143</c:v>
                </c:pt>
                <c:pt idx="14">
                  <c:v>737.92214924942868</c:v>
                </c:pt>
                <c:pt idx="15">
                  <c:v>782.77669010037948</c:v>
                </c:pt>
                <c:pt idx="16">
                  <c:v>827.87755177920371</c:v>
                </c:pt>
                <c:pt idx="17">
                  <c:v>872.94823231278428</c:v>
                </c:pt>
                <c:pt idx="18">
                  <c:v>918.10957557551615</c:v>
                </c:pt>
                <c:pt idx="19">
                  <c:v>963.78021025388421</c:v>
                </c:pt>
                <c:pt idx="20">
                  <c:v>1009.6769106526688</c:v>
                </c:pt>
                <c:pt idx="21">
                  <c:v>1055.8148949774481</c:v>
                </c:pt>
                <c:pt idx="22">
                  <c:v>1102.4080731622867</c:v>
                </c:pt>
              </c:numCache>
            </c:numRef>
          </c:val>
          <c:extLst xmlns:c16r2="http://schemas.microsoft.com/office/drawing/2015/06/chart">
            <c:ext xmlns:c16="http://schemas.microsoft.com/office/drawing/2014/chart" uri="{C3380CC4-5D6E-409C-BE32-E72D297353CC}">
              <c16:uniqueId val="{00000000-124C-4DEC-9BC3-BD6CC845BFE7}"/>
            </c:ext>
          </c:extLst>
        </c:ser>
        <c:ser>
          <c:idx val="1"/>
          <c:order val="1"/>
          <c:tx>
            <c:v>Per-Household Dividend</c:v>
          </c:tx>
          <c:marker>
            <c:symbol val="square"/>
            <c:size val="6"/>
            <c:spPr>
              <a:solidFill>
                <a:srgbClr val="00B0F0"/>
              </a:solidFill>
            </c:spPr>
          </c:marker>
          <c:val>
            <c:numRef>
              <c:f>Graph_Revenue!$I$9:$AE$9</c:f>
              <c:numCache>
                <c:formatCode>"$"#,##0_);\("$"#,##0\)</c:formatCode>
                <c:ptCount val="23"/>
                <c:pt idx="0">
                  <c:v>481.45639272944624</c:v>
                </c:pt>
                <c:pt idx="1">
                  <c:v>929.42984150897473</c:v>
                </c:pt>
                <c:pt idx="2">
                  <c:v>1348.9623288532071</c:v>
                </c:pt>
                <c:pt idx="3">
                  <c:v>1745.3561037781219</c:v>
                </c:pt>
                <c:pt idx="4">
                  <c:v>2122.670135068317</c:v>
                </c:pt>
                <c:pt idx="5">
                  <c:v>2487.8851267747723</c:v>
                </c:pt>
                <c:pt idx="6">
                  <c:v>2841.8425762821066</c:v>
                </c:pt>
                <c:pt idx="7">
                  <c:v>3187.4540134802014</c:v>
                </c:pt>
                <c:pt idx="8">
                  <c:v>3521.3033195611588</c:v>
                </c:pt>
                <c:pt idx="9">
                  <c:v>3845.9327620518211</c:v>
                </c:pt>
                <c:pt idx="10">
                  <c:v>4154.0407139646459</c:v>
                </c:pt>
                <c:pt idx="11">
                  <c:v>4455.4470284199633</c:v>
                </c:pt>
                <c:pt idx="12">
                  <c:v>4752.9914671190099</c:v>
                </c:pt>
                <c:pt idx="13">
                  <c:v>5045.7710403616902</c:v>
                </c:pt>
                <c:pt idx="14">
                  <c:v>5338.3052627656898</c:v>
                </c:pt>
                <c:pt idx="15">
                  <c:v>5627.0494885355683</c:v>
                </c:pt>
                <c:pt idx="16">
                  <c:v>5914.7110206252182</c:v>
                </c:pt>
                <c:pt idx="17">
                  <c:v>6199.476118974394</c:v>
                </c:pt>
                <c:pt idx="18">
                  <c:v>6482.3104568585723</c:v>
                </c:pt>
                <c:pt idx="19">
                  <c:v>6766.328453089066</c:v>
                </c:pt>
                <c:pt idx="20">
                  <c:v>7049.4910381506998</c:v>
                </c:pt>
                <c:pt idx="21">
                  <c:v>7332.0282983789175</c:v>
                </c:pt>
                <c:pt idx="22">
                  <c:v>7615.4393629277856</c:v>
                </c:pt>
              </c:numCache>
            </c:numRef>
          </c:val>
          <c:extLst xmlns:c16r2="http://schemas.microsoft.com/office/drawing/2015/06/chart">
            <c:ext xmlns:c16="http://schemas.microsoft.com/office/drawing/2014/chart" uri="{C3380CC4-5D6E-409C-BE32-E72D297353CC}">
              <c16:uniqueId val="{00000001-124C-4DEC-9BC3-BD6CC845BFE7}"/>
            </c:ext>
          </c:extLst>
        </c:ser>
        <c:dLbls/>
        <c:marker val="1"/>
        <c:axId val="158762880"/>
        <c:axId val="158764416"/>
      </c:lineChart>
      <c:catAx>
        <c:axId val="158762880"/>
        <c:scaling>
          <c:orientation val="minMax"/>
        </c:scaling>
        <c:axPos val="b"/>
        <c:minorGridlines/>
        <c:numFmt formatCode="0" sourceLinked="1"/>
        <c:tickLblPos val="nextTo"/>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en-US"/>
          </a:p>
        </c:txPr>
        <c:crossAx val="158764416"/>
        <c:crosses val="autoZero"/>
        <c:auto val="1"/>
        <c:lblAlgn val="ctr"/>
        <c:lblOffset val="100"/>
        <c:tickLblSkip val="4"/>
        <c:tickMarkSkip val="4"/>
      </c:catAx>
      <c:valAx>
        <c:axId val="158764416"/>
        <c:scaling>
          <c:orientation val="minMax"/>
        </c:scaling>
        <c:axPos val="l"/>
        <c:majorGridlines>
          <c:spPr>
            <a:ln w="3175">
              <a:solidFill>
                <a:srgbClr val="000000"/>
              </a:solidFill>
              <a:prstDash val="solid"/>
            </a:ln>
          </c:spPr>
        </c:majorGridlines>
        <c:numFmt formatCode="\$#,##0" sourceLinked="0"/>
        <c:tickLblPos val="nextTo"/>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en-US"/>
          </a:p>
        </c:txPr>
        <c:crossAx val="158762880"/>
        <c:crosses val="autoZero"/>
        <c:crossBetween val="midCat"/>
      </c:valAx>
      <c:spPr>
        <a:solidFill>
          <a:srgbClr val="C0C0C0"/>
        </a:solidFill>
        <a:ln w="12700">
          <a:solidFill>
            <a:srgbClr val="808080"/>
          </a:solidFill>
          <a:prstDash val="solid"/>
        </a:ln>
      </c:spPr>
    </c:plotArea>
    <c:legend>
      <c:legendPos val="r"/>
      <c:layout>
        <c:manualLayout>
          <c:xMode val="edge"/>
          <c:yMode val="edge"/>
          <c:x val="0.195132925457489"/>
          <c:y val="0.20853142764737573"/>
          <c:w val="0.35459591941251201"/>
          <c:h val="0.23501162024350467"/>
        </c:manualLayout>
      </c:layout>
      <c:spPr>
        <a:solidFill>
          <a:srgbClr val="FFFF00"/>
        </a:solidFill>
        <a:ln w="3175">
          <a:solidFill>
            <a:srgbClr val="000000"/>
          </a:solidFill>
          <a:prstDash val="solid"/>
        </a:ln>
      </c:spPr>
      <c:txPr>
        <a:bodyPr/>
        <a:lstStyle/>
        <a:p>
          <a:pPr>
            <a:defRPr sz="800" b="1"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sz="2400"/>
              <a:t>U.S. CO2 Emissions by Sector</a:t>
            </a:r>
          </a:p>
        </c:rich>
      </c:tx>
      <c:layout>
        <c:manualLayout>
          <c:xMode val="edge"/>
          <c:yMode val="edge"/>
          <c:x val="0.17635046113307001"/>
          <c:y val="2.6881720430107652E-2"/>
        </c:manualLayout>
      </c:layout>
    </c:title>
    <c:plotArea>
      <c:layout/>
      <c:barChart>
        <c:barDir val="col"/>
        <c:grouping val="stacked"/>
        <c:ser>
          <c:idx val="0"/>
          <c:order val="0"/>
          <c:tx>
            <c:strRef>
              <c:f>'Other Graphs'!$K$51</c:f>
              <c:strCache>
                <c:ptCount val="1"/>
                <c:pt idx="0">
                  <c:v>Electricity</c:v>
                </c:pt>
              </c:strCache>
            </c:strRef>
          </c:tx>
          <c:spPr>
            <a:solidFill>
              <a:srgbClr val="00FF00"/>
            </a:solidFill>
          </c:spPr>
          <c:cat>
            <c:strRef>
              <c:f>'Other Graphs'!$J$52:$J$56</c:f>
              <c:strCache>
                <c:ptCount val="5"/>
                <c:pt idx="0">
                  <c:v>2005</c:v>
                </c:pt>
                <c:pt idx="1">
                  <c:v>2015</c:v>
                </c:pt>
                <c:pt idx="2">
                  <c:v>2030 w/
no action</c:v>
                </c:pt>
                <c:pt idx="3">
                  <c:v>2030 w/
Clean Power Plan</c:v>
                </c:pt>
                <c:pt idx="4">
                  <c:v>2030 w/
CO2 tax</c:v>
                </c:pt>
              </c:strCache>
            </c:strRef>
          </c:cat>
          <c:val>
            <c:numRef>
              <c:f>'Other Graphs'!$K$52:$K$56</c:f>
              <c:numCache>
                <c:formatCode>_(* #,##0_);_(* \(#,##0\);_(* "-"??_);_(@_)</c:formatCode>
                <c:ptCount val="5"/>
                <c:pt idx="0">
                  <c:v>2413</c:v>
                </c:pt>
                <c:pt idx="1">
                  <c:v>1895.3696778233411</c:v>
                </c:pt>
                <c:pt idx="2">
                  <c:v>1718.2987778961697</c:v>
                </c:pt>
                <c:pt idx="3">
                  <c:v>1640.8400000000001</c:v>
                </c:pt>
                <c:pt idx="4">
                  <c:v>714.56113670244486</c:v>
                </c:pt>
              </c:numCache>
            </c:numRef>
          </c:val>
          <c:extLst xmlns:c16r2="http://schemas.microsoft.com/office/drawing/2015/06/chart">
            <c:ext xmlns:c16="http://schemas.microsoft.com/office/drawing/2014/chart" uri="{C3380CC4-5D6E-409C-BE32-E72D297353CC}">
              <c16:uniqueId val="{00000000-B87E-4FFB-A52A-22F08CFA1042}"/>
            </c:ext>
          </c:extLst>
        </c:ser>
        <c:ser>
          <c:idx val="1"/>
          <c:order val="1"/>
          <c:tx>
            <c:strRef>
              <c:f>'Other Graphs'!$L$51</c:f>
              <c:strCache>
                <c:ptCount val="1"/>
                <c:pt idx="0">
                  <c:v>Personal Ground Travel</c:v>
                </c:pt>
              </c:strCache>
            </c:strRef>
          </c:tx>
          <c:spPr>
            <a:solidFill>
              <a:srgbClr val="FF33CC"/>
            </a:solidFill>
          </c:spPr>
          <c:cat>
            <c:strRef>
              <c:f>'Other Graphs'!$J$52:$J$56</c:f>
              <c:strCache>
                <c:ptCount val="5"/>
                <c:pt idx="0">
                  <c:v>2005</c:v>
                </c:pt>
                <c:pt idx="1">
                  <c:v>2015</c:v>
                </c:pt>
                <c:pt idx="2">
                  <c:v>2030 w/
no action</c:v>
                </c:pt>
                <c:pt idx="3">
                  <c:v>2030 w/
Clean Power Plan</c:v>
                </c:pt>
                <c:pt idx="4">
                  <c:v>2030 w/
CO2 tax</c:v>
                </c:pt>
              </c:strCache>
            </c:strRef>
          </c:cat>
          <c:val>
            <c:numRef>
              <c:f>'Other Graphs'!$L$52:$L$56</c:f>
              <c:numCache>
                <c:formatCode>_(* #,##0_);_(* \(#,##0\);_(* "-"??_);_(@_)</c:formatCode>
                <c:ptCount val="5"/>
                <c:pt idx="0">
                  <c:v>1193.0849999999996</c:v>
                </c:pt>
                <c:pt idx="1">
                  <c:v>1098.7398093222546</c:v>
                </c:pt>
                <c:pt idx="2">
                  <c:v>1090.9403816097897</c:v>
                </c:pt>
                <c:pt idx="3">
                  <c:v>1090.9403816097897</c:v>
                </c:pt>
                <c:pt idx="4">
                  <c:v>858.15810712319012</c:v>
                </c:pt>
              </c:numCache>
            </c:numRef>
          </c:val>
          <c:extLst xmlns:c16r2="http://schemas.microsoft.com/office/drawing/2015/06/chart">
            <c:ext xmlns:c16="http://schemas.microsoft.com/office/drawing/2014/chart" uri="{C3380CC4-5D6E-409C-BE32-E72D297353CC}">
              <c16:uniqueId val="{00000001-B87E-4FFB-A52A-22F08CFA1042}"/>
            </c:ext>
          </c:extLst>
        </c:ser>
        <c:ser>
          <c:idx val="2"/>
          <c:order val="2"/>
          <c:tx>
            <c:strRef>
              <c:f>'Other Graphs'!$M$51</c:f>
              <c:strCache>
                <c:ptCount val="1"/>
                <c:pt idx="0">
                  <c:v>Goods Movement</c:v>
                </c:pt>
              </c:strCache>
            </c:strRef>
          </c:tx>
          <c:spPr>
            <a:solidFill>
              <a:srgbClr val="FF0000"/>
            </a:solidFill>
          </c:spPr>
          <c:cat>
            <c:strRef>
              <c:f>'Other Graphs'!$J$52:$J$56</c:f>
              <c:strCache>
                <c:ptCount val="5"/>
                <c:pt idx="0">
                  <c:v>2005</c:v>
                </c:pt>
                <c:pt idx="1">
                  <c:v>2015</c:v>
                </c:pt>
                <c:pt idx="2">
                  <c:v>2030 w/
no action</c:v>
                </c:pt>
                <c:pt idx="3">
                  <c:v>2030 w/
Clean Power Plan</c:v>
                </c:pt>
                <c:pt idx="4">
                  <c:v>2030 w/
CO2 tax</c:v>
                </c:pt>
              </c:strCache>
            </c:strRef>
          </c:cat>
          <c:val>
            <c:numRef>
              <c:f>'Other Graphs'!$M$52:$M$56</c:f>
              <c:numCache>
                <c:formatCode>_(* #,##0_);_(* \(#,##0\);_(* "-"??_);_(@_)</c:formatCode>
                <c:ptCount val="5"/>
                <c:pt idx="0">
                  <c:v>510.21500000000003</c:v>
                </c:pt>
                <c:pt idx="1">
                  <c:v>480.08011596161907</c:v>
                </c:pt>
                <c:pt idx="2">
                  <c:v>492.23641928366033</c:v>
                </c:pt>
                <c:pt idx="3">
                  <c:v>492.23641928366033</c:v>
                </c:pt>
                <c:pt idx="4">
                  <c:v>309.21952241145436</c:v>
                </c:pt>
              </c:numCache>
            </c:numRef>
          </c:val>
          <c:extLst xmlns:c16r2="http://schemas.microsoft.com/office/drawing/2015/06/chart">
            <c:ext xmlns:c16="http://schemas.microsoft.com/office/drawing/2014/chart" uri="{C3380CC4-5D6E-409C-BE32-E72D297353CC}">
              <c16:uniqueId val="{00000002-B87E-4FFB-A52A-22F08CFA1042}"/>
            </c:ext>
          </c:extLst>
        </c:ser>
        <c:ser>
          <c:idx val="3"/>
          <c:order val="3"/>
          <c:tx>
            <c:strRef>
              <c:f>'Other Graphs'!$N$51</c:f>
              <c:strCache>
                <c:ptCount val="1"/>
                <c:pt idx="0">
                  <c:v>Air Travel</c:v>
                </c:pt>
              </c:strCache>
            </c:strRef>
          </c:tx>
          <c:spPr>
            <a:solidFill>
              <a:srgbClr val="66FFFF"/>
            </a:solidFill>
          </c:spPr>
          <c:cat>
            <c:strRef>
              <c:f>'Other Graphs'!$J$52:$J$56</c:f>
              <c:strCache>
                <c:ptCount val="5"/>
                <c:pt idx="0">
                  <c:v>2005</c:v>
                </c:pt>
                <c:pt idx="1">
                  <c:v>2015</c:v>
                </c:pt>
                <c:pt idx="2">
                  <c:v>2030 w/
no action</c:v>
                </c:pt>
                <c:pt idx="3">
                  <c:v>2030 w/
Clean Power Plan</c:v>
                </c:pt>
                <c:pt idx="4">
                  <c:v>2030 w/
CO2 tax</c:v>
                </c:pt>
              </c:strCache>
            </c:strRef>
          </c:cat>
          <c:val>
            <c:numRef>
              <c:f>'Other Graphs'!$N$52:$N$56</c:f>
              <c:numCache>
                <c:formatCode>_(* #,##0_);_(* \(#,##0\);_(* "-"??_);_(@_)</c:formatCode>
                <c:ptCount val="5"/>
                <c:pt idx="0">
                  <c:v>232.5</c:v>
                </c:pt>
                <c:pt idx="1">
                  <c:v>213.45843074940368</c:v>
                </c:pt>
                <c:pt idx="2">
                  <c:v>204.43890994159619</c:v>
                </c:pt>
                <c:pt idx="3">
                  <c:v>204.43890994159619</c:v>
                </c:pt>
                <c:pt idx="4">
                  <c:v>120.16533399574932</c:v>
                </c:pt>
              </c:numCache>
            </c:numRef>
          </c:val>
          <c:extLst xmlns:c16r2="http://schemas.microsoft.com/office/drawing/2015/06/chart">
            <c:ext xmlns:c16="http://schemas.microsoft.com/office/drawing/2014/chart" uri="{C3380CC4-5D6E-409C-BE32-E72D297353CC}">
              <c16:uniqueId val="{00000003-B87E-4FFB-A52A-22F08CFA1042}"/>
            </c:ext>
          </c:extLst>
        </c:ser>
        <c:ser>
          <c:idx val="4"/>
          <c:order val="4"/>
          <c:tx>
            <c:strRef>
              <c:f>'Other Graphs'!$O$51</c:f>
              <c:strCache>
                <c:ptCount val="1"/>
                <c:pt idx="0">
                  <c:v>Oil Refining</c:v>
                </c:pt>
              </c:strCache>
            </c:strRef>
          </c:tx>
          <c:spPr>
            <a:solidFill>
              <a:schemeClr val="accent6">
                <a:lumMod val="75000"/>
              </a:schemeClr>
            </a:solidFill>
          </c:spPr>
          <c:cat>
            <c:strRef>
              <c:f>'Other Graphs'!$J$52:$J$56</c:f>
              <c:strCache>
                <c:ptCount val="5"/>
                <c:pt idx="0">
                  <c:v>2005</c:v>
                </c:pt>
                <c:pt idx="1">
                  <c:v>2015</c:v>
                </c:pt>
                <c:pt idx="2">
                  <c:v>2030 w/
no action</c:v>
                </c:pt>
                <c:pt idx="3">
                  <c:v>2030 w/
Clean Power Plan</c:v>
                </c:pt>
                <c:pt idx="4">
                  <c:v>2030 w/
CO2 tax</c:v>
                </c:pt>
              </c:strCache>
            </c:strRef>
          </c:cat>
          <c:val>
            <c:numRef>
              <c:f>'Other Graphs'!$O$52:$O$56</c:f>
              <c:numCache>
                <c:formatCode>_(* #,##0_);_(* \(#,##0\);_(* "-"??_);_(@_)</c:formatCode>
                <c:ptCount val="5"/>
                <c:pt idx="0">
                  <c:v>306.0851541962794</c:v>
                </c:pt>
                <c:pt idx="1">
                  <c:v>325.31630738964878</c:v>
                </c:pt>
                <c:pt idx="2">
                  <c:v>310.83633942636078</c:v>
                </c:pt>
                <c:pt idx="3">
                  <c:v>310.83633942636078</c:v>
                </c:pt>
                <c:pt idx="4">
                  <c:v>274.00366198953856</c:v>
                </c:pt>
              </c:numCache>
            </c:numRef>
          </c:val>
          <c:extLst xmlns:c16r2="http://schemas.microsoft.com/office/drawing/2015/06/chart">
            <c:ext xmlns:c16="http://schemas.microsoft.com/office/drawing/2014/chart" uri="{C3380CC4-5D6E-409C-BE32-E72D297353CC}">
              <c16:uniqueId val="{00000004-B87E-4FFB-A52A-22F08CFA1042}"/>
            </c:ext>
          </c:extLst>
        </c:ser>
        <c:ser>
          <c:idx val="5"/>
          <c:order val="5"/>
          <c:tx>
            <c:strRef>
              <c:f>'Other Graphs'!$P$51</c:f>
              <c:strCache>
                <c:ptCount val="1"/>
                <c:pt idx="0">
                  <c:v>Other Petroleum</c:v>
                </c:pt>
              </c:strCache>
            </c:strRef>
          </c:tx>
          <c:spPr>
            <a:solidFill>
              <a:srgbClr val="FFFF00"/>
            </a:solidFill>
          </c:spPr>
          <c:cat>
            <c:strRef>
              <c:f>'Other Graphs'!$J$52:$J$56</c:f>
              <c:strCache>
                <c:ptCount val="5"/>
                <c:pt idx="0">
                  <c:v>2005</c:v>
                </c:pt>
                <c:pt idx="1">
                  <c:v>2015</c:v>
                </c:pt>
                <c:pt idx="2">
                  <c:v>2030 w/
no action</c:v>
                </c:pt>
                <c:pt idx="3">
                  <c:v>2030 w/
Clean Power Plan</c:v>
                </c:pt>
                <c:pt idx="4">
                  <c:v>2030 w/
CO2 tax</c:v>
                </c:pt>
              </c:strCache>
            </c:strRef>
          </c:cat>
          <c:val>
            <c:numRef>
              <c:f>'Other Graphs'!$P$52:$P$56</c:f>
              <c:numCache>
                <c:formatCode>_(* #,##0_);_(* \(#,##0\);_(* "-"??_);_(@_)</c:formatCode>
                <c:ptCount val="5"/>
                <c:pt idx="0">
                  <c:v>282.31135569455722</c:v>
                </c:pt>
                <c:pt idx="1">
                  <c:v>282.16515385959826</c:v>
                </c:pt>
                <c:pt idx="2">
                  <c:v>296.39489845932144</c:v>
                </c:pt>
                <c:pt idx="3">
                  <c:v>296.39489845932144</c:v>
                </c:pt>
                <c:pt idx="4">
                  <c:v>210.17090156199413</c:v>
                </c:pt>
              </c:numCache>
            </c:numRef>
          </c:val>
          <c:extLst xmlns:c16r2="http://schemas.microsoft.com/office/drawing/2015/06/chart">
            <c:ext xmlns:c16="http://schemas.microsoft.com/office/drawing/2014/chart" uri="{C3380CC4-5D6E-409C-BE32-E72D297353CC}">
              <c16:uniqueId val="{00000005-B87E-4FFB-A52A-22F08CFA1042}"/>
            </c:ext>
          </c:extLst>
        </c:ser>
        <c:ser>
          <c:idx val="6"/>
          <c:order val="6"/>
          <c:tx>
            <c:strRef>
              <c:f>'Other Graphs'!$Q$51</c:f>
              <c:strCache>
                <c:ptCount val="1"/>
                <c:pt idx="0">
                  <c:v>Other "Natural" Gas</c:v>
                </c:pt>
              </c:strCache>
            </c:strRef>
          </c:tx>
          <c:cat>
            <c:strRef>
              <c:f>'Other Graphs'!$J$52:$J$56</c:f>
              <c:strCache>
                <c:ptCount val="5"/>
                <c:pt idx="0">
                  <c:v>2005</c:v>
                </c:pt>
                <c:pt idx="1">
                  <c:v>2015</c:v>
                </c:pt>
                <c:pt idx="2">
                  <c:v>2030 w/
no action</c:v>
                </c:pt>
                <c:pt idx="3">
                  <c:v>2030 w/
Clean Power Plan</c:v>
                </c:pt>
                <c:pt idx="4">
                  <c:v>2030 w/
CO2 tax</c:v>
                </c:pt>
              </c:strCache>
            </c:strRef>
          </c:cat>
          <c:val>
            <c:numRef>
              <c:f>'Other Graphs'!$Q$52:$Q$56</c:f>
              <c:numCache>
                <c:formatCode>_(* #,##0_);_(* \(#,##0\);_(* "-"??_);_(@_)</c:formatCode>
                <c:ptCount val="5"/>
                <c:pt idx="0">
                  <c:v>559.00938167437994</c:v>
                </c:pt>
                <c:pt idx="1">
                  <c:v>577.86226030945033</c:v>
                </c:pt>
                <c:pt idx="2">
                  <c:v>596.98230111625082</c:v>
                </c:pt>
                <c:pt idx="3">
                  <c:v>596.98230111625082</c:v>
                </c:pt>
                <c:pt idx="4">
                  <c:v>354.78263129171239</c:v>
                </c:pt>
              </c:numCache>
            </c:numRef>
          </c:val>
          <c:extLst xmlns:c16r2="http://schemas.microsoft.com/office/drawing/2015/06/chart">
            <c:ext xmlns:c16="http://schemas.microsoft.com/office/drawing/2014/chart" uri="{C3380CC4-5D6E-409C-BE32-E72D297353CC}">
              <c16:uniqueId val="{00000006-B87E-4FFB-A52A-22F08CFA1042}"/>
            </c:ext>
          </c:extLst>
        </c:ser>
        <c:ser>
          <c:idx val="7"/>
          <c:order val="7"/>
          <c:tx>
            <c:strRef>
              <c:f>'Other Graphs'!$R$51</c:f>
              <c:strCache>
                <c:ptCount val="1"/>
                <c:pt idx="0">
                  <c:v>Miscellany</c:v>
                </c:pt>
              </c:strCache>
            </c:strRef>
          </c:tx>
          <c:cat>
            <c:strRef>
              <c:f>'Other Graphs'!$J$52:$J$56</c:f>
              <c:strCache>
                <c:ptCount val="5"/>
                <c:pt idx="0">
                  <c:v>2005</c:v>
                </c:pt>
                <c:pt idx="1">
                  <c:v>2015</c:v>
                </c:pt>
                <c:pt idx="2">
                  <c:v>2030 w/
no action</c:v>
                </c:pt>
                <c:pt idx="3">
                  <c:v>2030 w/
Clean Power Plan</c:v>
                </c:pt>
                <c:pt idx="4">
                  <c:v>2030 w/
CO2 tax</c:v>
                </c:pt>
              </c:strCache>
            </c:strRef>
          </c:cat>
          <c:val>
            <c:numRef>
              <c:f>'Other Graphs'!$R$52:$R$56</c:f>
              <c:numCache>
                <c:formatCode>_(* #,##0_);_(* \(#,##0\);_(* "-"??_);_(@_)</c:formatCode>
                <c:ptCount val="5"/>
                <c:pt idx="0">
                  <c:v>315.5</c:v>
                </c:pt>
                <c:pt idx="1">
                  <c:v>231.54700342092116</c:v>
                </c:pt>
                <c:pt idx="2">
                  <c:v>226.44285143102002</c:v>
                </c:pt>
                <c:pt idx="3">
                  <c:v>226.44285143102002</c:v>
                </c:pt>
                <c:pt idx="4">
                  <c:v>177.94932096142472</c:v>
                </c:pt>
              </c:numCache>
            </c:numRef>
          </c:val>
          <c:extLst xmlns:c16r2="http://schemas.microsoft.com/office/drawing/2015/06/chart">
            <c:ext xmlns:c16="http://schemas.microsoft.com/office/drawing/2014/chart" uri="{C3380CC4-5D6E-409C-BE32-E72D297353CC}">
              <c16:uniqueId val="{00000000-8C72-4ECE-BF26-BFECDE0CA1E0}"/>
            </c:ext>
          </c:extLst>
        </c:ser>
        <c:dLbls/>
        <c:overlap val="100"/>
        <c:axId val="172968960"/>
        <c:axId val="172974848"/>
      </c:barChart>
      <c:catAx>
        <c:axId val="172968960"/>
        <c:scaling>
          <c:orientation val="minMax"/>
        </c:scaling>
        <c:axPos val="b"/>
        <c:numFmt formatCode="General" sourceLinked="1"/>
        <c:tickLblPos val="nextTo"/>
        <c:txPr>
          <a:bodyPr/>
          <a:lstStyle/>
          <a:p>
            <a:pPr>
              <a:defRPr sz="1000" b="1" i="0" baseline="0"/>
            </a:pPr>
            <a:endParaRPr lang="en-US"/>
          </a:p>
        </c:txPr>
        <c:crossAx val="172974848"/>
        <c:crosses val="autoZero"/>
        <c:auto val="1"/>
        <c:lblAlgn val="ctr"/>
        <c:lblOffset val="100"/>
      </c:catAx>
      <c:valAx>
        <c:axId val="172974848"/>
        <c:scaling>
          <c:orientation val="minMax"/>
          <c:max val="6500"/>
          <c:min val="0"/>
        </c:scaling>
        <c:axPos val="l"/>
        <c:majorGridlines/>
        <c:title>
          <c:tx>
            <c:rich>
              <a:bodyPr rot="-5400000" vert="horz"/>
              <a:lstStyle/>
              <a:p>
                <a:pPr>
                  <a:defRPr sz="1400"/>
                </a:pPr>
                <a:r>
                  <a:rPr lang="en-US" sz="1400"/>
                  <a:t>Million tonnes</a:t>
                </a:r>
              </a:p>
            </c:rich>
          </c:tx>
          <c:layout>
            <c:manualLayout>
              <c:xMode val="edge"/>
              <c:yMode val="edge"/>
              <c:x val="1.3175230566534898E-2"/>
              <c:y val="0.37935293370587486"/>
            </c:manualLayout>
          </c:layout>
        </c:title>
        <c:numFmt formatCode="_(* #,##0_);_(* \(#,##0\);_(* &quot;-&quot;??_);_(@_)" sourceLinked="1"/>
        <c:tickLblPos val="nextTo"/>
        <c:txPr>
          <a:bodyPr/>
          <a:lstStyle/>
          <a:p>
            <a:pPr>
              <a:defRPr sz="900" b="1" i="0" baseline="0"/>
            </a:pPr>
            <a:endParaRPr lang="en-US"/>
          </a:p>
        </c:txPr>
        <c:crossAx val="172968960"/>
        <c:crosses val="autoZero"/>
        <c:crossBetween val="between"/>
      </c:valAx>
      <c:spPr>
        <a:solidFill>
          <a:schemeClr val="tx1"/>
        </a:solidFill>
      </c:spPr>
    </c:plotArea>
    <c:legend>
      <c:legendPos val="r"/>
      <c:layout>
        <c:manualLayout>
          <c:xMode val="edge"/>
          <c:yMode val="edge"/>
          <c:x val="0.735200861749989"/>
          <c:y val="0.21840498264330202"/>
          <c:w val="0.25162390768347631"/>
          <c:h val="0.48609982219964465"/>
        </c:manualLayout>
      </c:layout>
      <c:txPr>
        <a:bodyPr/>
        <a:lstStyle/>
        <a:p>
          <a:pPr>
            <a:defRPr b="1" i="0" baseline="0"/>
          </a:pPr>
          <a:endParaRPr lang="en-US"/>
        </a:p>
      </c:txPr>
    </c:legend>
    <c:plotVisOnly val="1"/>
    <c:dispBlanksAs val="gap"/>
  </c:chart>
  <c:spPr>
    <a:solidFill>
      <a:srgbClr val="FFCC66"/>
    </a:solidFill>
  </c:spPr>
  <c:printSettings>
    <c:headerFooter/>
    <c:pageMargins b="0.75000000000000833" l="0.70000000000000162" r="0.70000000000000162" t="0.75000000000000833" header="0.30000000000000032" footer="0.30000000000000032"/>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sz="2400"/>
              <a:t>U.S. CO2 Emissions by Sectors</a:t>
            </a:r>
          </a:p>
        </c:rich>
      </c:tx>
      <c:layout>
        <c:manualLayout>
          <c:xMode val="edge"/>
          <c:yMode val="edge"/>
          <c:x val="0.16835748792270541"/>
          <c:y val="1.6801075268817786E-2"/>
        </c:manualLayout>
      </c:layout>
    </c:title>
    <c:plotArea>
      <c:layout>
        <c:manualLayout>
          <c:layoutTarget val="inner"/>
          <c:xMode val="edge"/>
          <c:yMode val="edge"/>
          <c:x val="0.14398140943844673"/>
          <c:y val="0.26980860003387175"/>
          <c:w val="0.56706486293956404"/>
          <c:h val="0.64601245660825468"/>
        </c:manualLayout>
      </c:layout>
      <c:barChart>
        <c:barDir val="col"/>
        <c:grouping val="stacked"/>
        <c:ser>
          <c:idx val="0"/>
          <c:order val="0"/>
          <c:tx>
            <c:strRef>
              <c:f>'Other Graphs'!$K$92</c:f>
              <c:strCache>
                <c:ptCount val="1"/>
                <c:pt idx="0">
                  <c:v>Electricity</c:v>
                </c:pt>
              </c:strCache>
            </c:strRef>
          </c:tx>
          <c:spPr>
            <a:solidFill>
              <a:srgbClr val="00FF00"/>
            </a:solidFill>
          </c:spPr>
          <c:cat>
            <c:strRef>
              <c:f>'Other Graphs'!$J$93:$J$95</c:f>
              <c:strCache>
                <c:ptCount val="3"/>
                <c:pt idx="0">
                  <c:v>2005 actual</c:v>
                </c:pt>
                <c:pt idx="1">
                  <c:v>2014 actual</c:v>
                </c:pt>
                <c:pt idx="2">
                  <c:v>2025 target</c:v>
                </c:pt>
              </c:strCache>
            </c:strRef>
          </c:cat>
          <c:val>
            <c:numRef>
              <c:f>'Other Graphs'!$K$93:$K$95</c:f>
              <c:numCache>
                <c:formatCode>_(* #,##0_);_(* \(#,##0\);_(* "-"??_);_(@_)</c:formatCode>
                <c:ptCount val="3"/>
                <c:pt idx="0">
                  <c:v>2413</c:v>
                </c:pt>
                <c:pt idx="1">
                  <c:v>1895.3696778233411</c:v>
                </c:pt>
                <c:pt idx="2">
                  <c:v>1801.35</c:v>
                </c:pt>
              </c:numCache>
            </c:numRef>
          </c:val>
          <c:extLst xmlns:c16r2="http://schemas.microsoft.com/office/drawing/2015/06/chart">
            <c:ext xmlns:c16="http://schemas.microsoft.com/office/drawing/2014/chart" uri="{C3380CC4-5D6E-409C-BE32-E72D297353CC}">
              <c16:uniqueId val="{00000000-20C7-4358-BF93-B0AE5C4A9C96}"/>
            </c:ext>
          </c:extLst>
        </c:ser>
        <c:ser>
          <c:idx val="1"/>
          <c:order val="1"/>
          <c:tx>
            <c:strRef>
              <c:f>'Other Graphs'!$L$92</c:f>
              <c:strCache>
                <c:ptCount val="1"/>
                <c:pt idx="0">
                  <c:v>Personal Ground Travel</c:v>
                </c:pt>
              </c:strCache>
            </c:strRef>
          </c:tx>
          <c:spPr>
            <a:solidFill>
              <a:srgbClr val="FF33CC"/>
            </a:solidFill>
          </c:spPr>
          <c:cat>
            <c:strRef>
              <c:f>'Other Graphs'!$J$93:$J$95</c:f>
              <c:strCache>
                <c:ptCount val="3"/>
                <c:pt idx="0">
                  <c:v>2005 actual</c:v>
                </c:pt>
                <c:pt idx="1">
                  <c:v>2014 actual</c:v>
                </c:pt>
                <c:pt idx="2">
                  <c:v>2025 target</c:v>
                </c:pt>
              </c:strCache>
            </c:strRef>
          </c:cat>
          <c:val>
            <c:numRef>
              <c:f>'Other Graphs'!$L$93:$L$95</c:f>
              <c:numCache>
                <c:formatCode>_(* #,##0_);_(* \(#,##0\);_(* "-"??_);_(@_)</c:formatCode>
                <c:ptCount val="3"/>
                <c:pt idx="0">
                  <c:v>1193.0849999999996</c:v>
                </c:pt>
                <c:pt idx="1">
                  <c:v>1098.7398093222546</c:v>
                </c:pt>
                <c:pt idx="2">
                  <c:v>859.42084625334451</c:v>
                </c:pt>
              </c:numCache>
            </c:numRef>
          </c:val>
          <c:extLst xmlns:c16r2="http://schemas.microsoft.com/office/drawing/2015/06/chart">
            <c:ext xmlns:c16="http://schemas.microsoft.com/office/drawing/2014/chart" uri="{C3380CC4-5D6E-409C-BE32-E72D297353CC}">
              <c16:uniqueId val="{00000001-20C7-4358-BF93-B0AE5C4A9C96}"/>
            </c:ext>
          </c:extLst>
        </c:ser>
        <c:ser>
          <c:idx val="2"/>
          <c:order val="2"/>
          <c:tx>
            <c:strRef>
              <c:f>'Other Graphs'!$M$92</c:f>
              <c:strCache>
                <c:ptCount val="1"/>
                <c:pt idx="0">
                  <c:v>Goods Movement</c:v>
                </c:pt>
              </c:strCache>
            </c:strRef>
          </c:tx>
          <c:spPr>
            <a:solidFill>
              <a:srgbClr val="FF0000"/>
            </a:solidFill>
          </c:spPr>
          <c:cat>
            <c:strRef>
              <c:f>'Other Graphs'!$J$93:$J$95</c:f>
              <c:strCache>
                <c:ptCount val="3"/>
                <c:pt idx="0">
                  <c:v>2005 actual</c:v>
                </c:pt>
                <c:pt idx="1">
                  <c:v>2014 actual</c:v>
                </c:pt>
                <c:pt idx="2">
                  <c:v>2025 target</c:v>
                </c:pt>
              </c:strCache>
            </c:strRef>
          </c:cat>
          <c:val>
            <c:numRef>
              <c:f>'Other Graphs'!$M$93:$M$95</c:f>
              <c:numCache>
                <c:formatCode>_(* #,##0_);_(* \(#,##0\);_(* "-"??_);_(@_)</c:formatCode>
                <c:ptCount val="3"/>
                <c:pt idx="0">
                  <c:v>510.21500000000003</c:v>
                </c:pt>
                <c:pt idx="1">
                  <c:v>480.08011596161907</c:v>
                </c:pt>
                <c:pt idx="2">
                  <c:v>387.19695277583327</c:v>
                </c:pt>
              </c:numCache>
            </c:numRef>
          </c:val>
          <c:extLst xmlns:c16r2="http://schemas.microsoft.com/office/drawing/2015/06/chart">
            <c:ext xmlns:c16="http://schemas.microsoft.com/office/drawing/2014/chart" uri="{C3380CC4-5D6E-409C-BE32-E72D297353CC}">
              <c16:uniqueId val="{00000002-20C7-4358-BF93-B0AE5C4A9C96}"/>
            </c:ext>
          </c:extLst>
        </c:ser>
        <c:ser>
          <c:idx val="3"/>
          <c:order val="3"/>
          <c:tx>
            <c:strRef>
              <c:f>'Other Graphs'!$N$92</c:f>
              <c:strCache>
                <c:ptCount val="1"/>
                <c:pt idx="0">
                  <c:v>Air Travel</c:v>
                </c:pt>
              </c:strCache>
            </c:strRef>
          </c:tx>
          <c:spPr>
            <a:solidFill>
              <a:srgbClr val="66FFFF"/>
            </a:solidFill>
          </c:spPr>
          <c:cat>
            <c:strRef>
              <c:f>'Other Graphs'!$J$93:$J$95</c:f>
              <c:strCache>
                <c:ptCount val="3"/>
                <c:pt idx="0">
                  <c:v>2005 actual</c:v>
                </c:pt>
                <c:pt idx="1">
                  <c:v>2014 actual</c:v>
                </c:pt>
                <c:pt idx="2">
                  <c:v>2025 target</c:v>
                </c:pt>
              </c:strCache>
            </c:strRef>
          </c:cat>
          <c:val>
            <c:numRef>
              <c:f>'Other Graphs'!$N$93:$N$95</c:f>
              <c:numCache>
                <c:formatCode>_(* #,##0_);_(* \(#,##0\);_(* "-"??_);_(@_)</c:formatCode>
                <c:ptCount val="3"/>
                <c:pt idx="0">
                  <c:v>232.5</c:v>
                </c:pt>
                <c:pt idx="1">
                  <c:v>213.45843074940368</c:v>
                </c:pt>
                <c:pt idx="2">
                  <c:v>163.77104324269771</c:v>
                </c:pt>
              </c:numCache>
            </c:numRef>
          </c:val>
          <c:extLst xmlns:c16r2="http://schemas.microsoft.com/office/drawing/2015/06/chart">
            <c:ext xmlns:c16="http://schemas.microsoft.com/office/drawing/2014/chart" uri="{C3380CC4-5D6E-409C-BE32-E72D297353CC}">
              <c16:uniqueId val="{00000003-20C7-4358-BF93-B0AE5C4A9C96}"/>
            </c:ext>
          </c:extLst>
        </c:ser>
        <c:ser>
          <c:idx val="4"/>
          <c:order val="4"/>
          <c:tx>
            <c:strRef>
              <c:f>'Other Graphs'!$O$92</c:f>
              <c:strCache>
                <c:ptCount val="1"/>
                <c:pt idx="0">
                  <c:v>Other Petroleum</c:v>
                </c:pt>
              </c:strCache>
            </c:strRef>
          </c:tx>
          <c:spPr>
            <a:solidFill>
              <a:srgbClr val="FFFF00"/>
            </a:solidFill>
          </c:spPr>
          <c:cat>
            <c:strRef>
              <c:f>'Other Graphs'!$J$93:$J$95</c:f>
              <c:strCache>
                <c:ptCount val="3"/>
                <c:pt idx="0">
                  <c:v>2005 actual</c:v>
                </c:pt>
                <c:pt idx="1">
                  <c:v>2014 actual</c:v>
                </c:pt>
                <c:pt idx="2">
                  <c:v>2025 target</c:v>
                </c:pt>
              </c:strCache>
            </c:strRef>
          </c:cat>
          <c:val>
            <c:numRef>
              <c:f>'Other Graphs'!$O$93:$O$95</c:f>
              <c:numCache>
                <c:formatCode>_(* #,##0_);_(* \(#,##0\);_(* "-"??_);_(@_)</c:formatCode>
                <c:ptCount val="3"/>
                <c:pt idx="0">
                  <c:v>282.31135569455722</c:v>
                </c:pt>
                <c:pt idx="1">
                  <c:v>282.16515385959826</c:v>
                </c:pt>
                <c:pt idx="2">
                  <c:v>270.8400639681347</c:v>
                </c:pt>
              </c:numCache>
            </c:numRef>
          </c:val>
          <c:extLst xmlns:c16r2="http://schemas.microsoft.com/office/drawing/2015/06/chart">
            <c:ext xmlns:c16="http://schemas.microsoft.com/office/drawing/2014/chart" uri="{C3380CC4-5D6E-409C-BE32-E72D297353CC}">
              <c16:uniqueId val="{00000004-20C7-4358-BF93-B0AE5C4A9C96}"/>
            </c:ext>
          </c:extLst>
        </c:ser>
        <c:ser>
          <c:idx val="5"/>
          <c:order val="5"/>
          <c:tx>
            <c:strRef>
              <c:f>'Other Graphs'!$P$92</c:f>
              <c:strCache>
                <c:ptCount val="1"/>
                <c:pt idx="0">
                  <c:v>Other "Natural" Gas</c:v>
                </c:pt>
              </c:strCache>
            </c:strRef>
          </c:tx>
          <c:cat>
            <c:strRef>
              <c:f>'Other Graphs'!$J$93:$J$95</c:f>
              <c:strCache>
                <c:ptCount val="3"/>
                <c:pt idx="0">
                  <c:v>2005 actual</c:v>
                </c:pt>
                <c:pt idx="1">
                  <c:v>2014 actual</c:v>
                </c:pt>
                <c:pt idx="2">
                  <c:v>2025 target</c:v>
                </c:pt>
              </c:strCache>
            </c:strRef>
          </c:cat>
          <c:val>
            <c:numRef>
              <c:f>'Other Graphs'!$P$93:$P$95</c:f>
              <c:numCache>
                <c:formatCode>_(* #,##0_);_(* \(#,##0\);_(* "-"??_);_(@_)</c:formatCode>
                <c:ptCount val="3"/>
                <c:pt idx="0">
                  <c:v>559.00938167437994</c:v>
                </c:pt>
                <c:pt idx="1">
                  <c:v>577.86226030945033</c:v>
                </c:pt>
                <c:pt idx="2">
                  <c:v>457.99102078787666</c:v>
                </c:pt>
              </c:numCache>
            </c:numRef>
          </c:val>
          <c:extLst xmlns:c16r2="http://schemas.microsoft.com/office/drawing/2015/06/chart">
            <c:ext xmlns:c16="http://schemas.microsoft.com/office/drawing/2014/chart" uri="{C3380CC4-5D6E-409C-BE32-E72D297353CC}">
              <c16:uniqueId val="{00000005-20C7-4358-BF93-B0AE5C4A9C96}"/>
            </c:ext>
          </c:extLst>
        </c:ser>
        <c:ser>
          <c:idx val="6"/>
          <c:order val="6"/>
          <c:tx>
            <c:strRef>
              <c:f>'Other Graphs'!$Q$92</c:f>
              <c:strCache>
                <c:ptCount val="1"/>
                <c:pt idx="0">
                  <c:v>Miscellany</c:v>
                </c:pt>
              </c:strCache>
            </c:strRef>
          </c:tx>
          <c:cat>
            <c:strRef>
              <c:f>'Other Graphs'!$J$93:$J$95</c:f>
              <c:strCache>
                <c:ptCount val="3"/>
                <c:pt idx="0">
                  <c:v>2005 actual</c:v>
                </c:pt>
                <c:pt idx="1">
                  <c:v>2014 actual</c:v>
                </c:pt>
                <c:pt idx="2">
                  <c:v>2025 target</c:v>
                </c:pt>
              </c:strCache>
            </c:strRef>
          </c:cat>
          <c:val>
            <c:numRef>
              <c:f>'Other Graphs'!$Q$93:$Q$95</c:f>
              <c:numCache>
                <c:formatCode>_(* #,##0_);_(* \(#,##0\);_(* "-"??_);_(@_)</c:formatCode>
                <c:ptCount val="3"/>
                <c:pt idx="0">
                  <c:v>315.5</c:v>
                </c:pt>
                <c:pt idx="1">
                  <c:v>231.54700342092116</c:v>
                </c:pt>
                <c:pt idx="2">
                  <c:v>188.64562599881546</c:v>
                </c:pt>
              </c:numCache>
            </c:numRef>
          </c:val>
          <c:extLst xmlns:c16r2="http://schemas.microsoft.com/office/drawing/2015/06/chart">
            <c:ext xmlns:c16="http://schemas.microsoft.com/office/drawing/2014/chart" uri="{C3380CC4-5D6E-409C-BE32-E72D297353CC}">
              <c16:uniqueId val="{00000006-20C7-4358-BF93-B0AE5C4A9C96}"/>
            </c:ext>
          </c:extLst>
        </c:ser>
        <c:dLbls/>
        <c:overlap val="100"/>
        <c:axId val="173239680"/>
        <c:axId val="173245568"/>
      </c:barChart>
      <c:catAx>
        <c:axId val="173239680"/>
        <c:scaling>
          <c:orientation val="minMax"/>
        </c:scaling>
        <c:axPos val="b"/>
        <c:numFmt formatCode="General" sourceLinked="1"/>
        <c:tickLblPos val="nextTo"/>
        <c:txPr>
          <a:bodyPr/>
          <a:lstStyle/>
          <a:p>
            <a:pPr>
              <a:defRPr sz="1000" b="1" i="0" baseline="0"/>
            </a:pPr>
            <a:endParaRPr lang="en-US"/>
          </a:p>
        </c:txPr>
        <c:crossAx val="173245568"/>
        <c:crosses val="autoZero"/>
        <c:auto val="1"/>
        <c:lblAlgn val="ctr"/>
        <c:lblOffset val="100"/>
      </c:catAx>
      <c:valAx>
        <c:axId val="173245568"/>
        <c:scaling>
          <c:orientation val="minMax"/>
          <c:max val="6000"/>
        </c:scaling>
        <c:axPos val="l"/>
        <c:majorGridlines/>
        <c:title>
          <c:tx>
            <c:rich>
              <a:bodyPr rot="-5400000" vert="horz"/>
              <a:lstStyle/>
              <a:p>
                <a:pPr>
                  <a:defRPr sz="1400"/>
                </a:pPr>
                <a:r>
                  <a:rPr lang="en-US" sz="1400"/>
                  <a:t>Million tonnes</a:t>
                </a:r>
              </a:p>
            </c:rich>
          </c:tx>
          <c:layout>
            <c:manualLayout>
              <c:xMode val="edge"/>
              <c:yMode val="edge"/>
              <c:x val="1.7566974088713223E-2"/>
              <c:y val="0.31886906273812632"/>
            </c:manualLayout>
          </c:layout>
        </c:title>
        <c:numFmt formatCode="_(* #,##0_);_(* \(#,##0\);_(* &quot;-&quot;??_);_(@_)" sourceLinked="1"/>
        <c:tickLblPos val="nextTo"/>
        <c:txPr>
          <a:bodyPr/>
          <a:lstStyle/>
          <a:p>
            <a:pPr>
              <a:defRPr sz="900" b="1" i="0" baseline="0"/>
            </a:pPr>
            <a:endParaRPr lang="en-US"/>
          </a:p>
        </c:txPr>
        <c:crossAx val="173239680"/>
        <c:crosses val="autoZero"/>
        <c:crossBetween val="between"/>
      </c:valAx>
    </c:plotArea>
    <c:legend>
      <c:legendPos val="r"/>
      <c:layout>
        <c:manualLayout>
          <c:xMode val="edge"/>
          <c:yMode val="edge"/>
          <c:x val="0.735200861749989"/>
          <c:y val="0.31585121920244563"/>
          <c:w val="0.25162390768347631"/>
          <c:h val="0.62695024765051066"/>
        </c:manualLayout>
      </c:layout>
      <c:txPr>
        <a:bodyPr/>
        <a:lstStyle/>
        <a:p>
          <a:pPr>
            <a:defRPr b="1" i="0" baseline="0"/>
          </a:pPr>
          <a:endParaRPr lang="en-US"/>
        </a:p>
      </c:txPr>
    </c:legend>
    <c:plotVisOnly val="1"/>
    <c:dispBlanksAs val="gap"/>
  </c:chart>
  <c:printSettings>
    <c:headerFooter/>
    <c:pageMargins b="0.75000000000000833" l="0.70000000000000162" r="0.70000000000000162" t="0.75000000000000833" header="0.30000000000000032" footer="0.30000000000000032"/>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2400" b="0" i="0" u="none" strike="noStrike" baseline="0">
                <a:solidFill>
                  <a:srgbClr val="000000"/>
                </a:solidFill>
                <a:latin typeface="Arial"/>
                <a:ea typeface="Arial"/>
                <a:cs typeface="Arial"/>
              </a:defRPr>
            </a:pPr>
            <a:r>
              <a:rPr lang="en-US" sz="2200" b="1" i="0" u="none" strike="noStrike" baseline="0">
                <a:solidFill>
                  <a:srgbClr val="000000"/>
                </a:solidFill>
                <a:latin typeface="Arial"/>
                <a:cs typeface="Arial"/>
              </a:rPr>
              <a:t>U.S. CO2 Emissions from Fossil Fuels</a:t>
            </a:r>
            <a:r>
              <a:rPr lang="en-US" sz="2200" b="1" i="0" u="none" strike="noStrike" baseline="0"/>
              <a:t> </a:t>
            </a:r>
            <a:endParaRPr lang="en-US" sz="2200" b="1" i="0" u="none" strike="noStrike" baseline="0">
              <a:solidFill>
                <a:srgbClr val="000000"/>
              </a:solidFill>
              <a:latin typeface="Arial"/>
              <a:cs typeface="Arial"/>
            </a:endParaRPr>
          </a:p>
          <a:p>
            <a:pPr>
              <a:defRPr sz="2400" b="0" i="0" u="none" strike="noStrike" baseline="0">
                <a:solidFill>
                  <a:srgbClr val="000000"/>
                </a:solidFill>
                <a:latin typeface="Arial"/>
                <a:ea typeface="Arial"/>
                <a:cs typeface="Arial"/>
              </a:defRPr>
            </a:pPr>
            <a:endParaRPr lang="en-US" sz="2400" b="1" i="0" u="none" strike="noStrike" baseline="0">
              <a:solidFill>
                <a:srgbClr val="000000"/>
              </a:solidFill>
              <a:latin typeface="Arial"/>
              <a:cs typeface="Arial"/>
            </a:endParaRPr>
          </a:p>
        </c:rich>
      </c:tx>
      <c:layout>
        <c:manualLayout>
          <c:xMode val="edge"/>
          <c:yMode val="edge"/>
          <c:x val="0.12335987864998098"/>
          <c:y val="6.0168471720818933E-2"/>
        </c:manualLayout>
      </c:layout>
      <c:spPr>
        <a:noFill/>
        <a:ln w="25400">
          <a:noFill/>
        </a:ln>
      </c:spPr>
    </c:title>
    <c:plotArea>
      <c:layout>
        <c:manualLayout>
          <c:layoutTarget val="inner"/>
          <c:xMode val="edge"/>
          <c:yMode val="edge"/>
          <c:x val="0.16000361302959987"/>
          <c:y val="0.21365824308062761"/>
          <c:w val="0.76525706190049503"/>
          <c:h val="0.66754668978651999"/>
        </c:manualLayout>
      </c:layout>
      <c:lineChart>
        <c:grouping val="standard"/>
        <c:ser>
          <c:idx val="0"/>
          <c:order val="0"/>
          <c:tx>
            <c:v>No Carbon Tax</c:v>
          </c:tx>
          <c:spPr>
            <a:ln w="12700">
              <a:solidFill>
                <a:srgbClr val="000080"/>
              </a:solidFill>
              <a:prstDash val="solid"/>
            </a:ln>
          </c:spPr>
          <c:marker>
            <c:symbol val="diamond"/>
            <c:size val="8"/>
            <c:spPr>
              <a:solidFill>
                <a:srgbClr val="FF0000"/>
              </a:solidFill>
              <a:ln>
                <a:solidFill>
                  <a:srgbClr val="000080"/>
                </a:solidFill>
                <a:prstDash val="solid"/>
              </a:ln>
            </c:spPr>
          </c:marker>
          <c:cat>
            <c:numRef>
              <c:f>Graph_CO2!$I$44:$AN$44</c:f>
              <c:numCache>
                <c:formatCode>0</c:formatCode>
                <c:ptCount val="32"/>
                <c:pt idx="0">
                  <c:v>2005</c:v>
                </c:pt>
                <c:pt idx="1">
                  <c:v>2006</c:v>
                </c:pt>
                <c:pt idx="2">
                  <c:v>2007</c:v>
                </c:pt>
                <c:pt idx="3">
                  <c:v>2008</c:v>
                </c:pt>
                <c:pt idx="4">
                  <c:v>2009</c:v>
                </c:pt>
                <c:pt idx="5">
                  <c:v>2010</c:v>
                </c:pt>
                <c:pt idx="6">
                  <c:v>2011</c:v>
                </c:pt>
                <c:pt idx="7">
                  <c:v>2012</c:v>
                </c:pt>
                <c:pt idx="8">
                  <c:v>2013</c:v>
                </c:pt>
                <c:pt idx="9">
                  <c:v>2014</c:v>
                </c:pt>
                <c:pt idx="10">
                  <c:v>2015</c:v>
                </c:pt>
                <c:pt idx="11">
                  <c:v>2017</c:v>
                </c:pt>
                <c:pt idx="12">
                  <c:v>2018</c:v>
                </c:pt>
                <c:pt idx="13">
                  <c:v>2019</c:v>
                </c:pt>
                <c:pt idx="14">
                  <c:v>2020</c:v>
                </c:pt>
                <c:pt idx="15">
                  <c:v>2021</c:v>
                </c:pt>
                <c:pt idx="16">
                  <c:v>2022</c:v>
                </c:pt>
                <c:pt idx="17">
                  <c:v>2023</c:v>
                </c:pt>
                <c:pt idx="18">
                  <c:v>2024</c:v>
                </c:pt>
                <c:pt idx="19">
                  <c:v>2025</c:v>
                </c:pt>
                <c:pt idx="20">
                  <c:v>2026</c:v>
                </c:pt>
                <c:pt idx="21">
                  <c:v>2027</c:v>
                </c:pt>
                <c:pt idx="22">
                  <c:v>2028</c:v>
                </c:pt>
                <c:pt idx="23">
                  <c:v>2029</c:v>
                </c:pt>
                <c:pt idx="24">
                  <c:v>2030</c:v>
                </c:pt>
                <c:pt idx="25">
                  <c:v>2031</c:v>
                </c:pt>
                <c:pt idx="26">
                  <c:v>2032</c:v>
                </c:pt>
                <c:pt idx="27">
                  <c:v>2033</c:v>
                </c:pt>
                <c:pt idx="28">
                  <c:v>2034</c:v>
                </c:pt>
                <c:pt idx="29">
                  <c:v>2035</c:v>
                </c:pt>
                <c:pt idx="30">
                  <c:v>2036</c:v>
                </c:pt>
                <c:pt idx="31">
                  <c:v>2037</c:v>
                </c:pt>
              </c:numCache>
            </c:numRef>
          </c:cat>
          <c:val>
            <c:numRef>
              <c:f>Graph_CO2!$I$45:$AN$45</c:f>
              <c:numCache>
                <c:formatCode>_(* #,##0_);_(* \(#,##0\);_(* "-"??_);_(@_)</c:formatCode>
                <c:ptCount val="32"/>
                <c:pt idx="0">
                  <c:v>5811.705891565216</c:v>
                </c:pt>
                <c:pt idx="1">
                  <c:v>5741.3947512468221</c:v>
                </c:pt>
                <c:pt idx="2">
                  <c:v>5831.6621575089175</c:v>
                </c:pt>
                <c:pt idx="3">
                  <c:v>5629.4402855458411</c:v>
                </c:pt>
                <c:pt idx="4">
                  <c:v>5237.9790874120499</c:v>
                </c:pt>
                <c:pt idx="5">
                  <c:v>5421.3546132287674</c:v>
                </c:pt>
                <c:pt idx="6">
                  <c:v>5271.9587835203365</c:v>
                </c:pt>
                <c:pt idx="7">
                  <c:v>5061.796514329073</c:v>
                </c:pt>
                <c:pt idx="8">
                  <c:v>5210.4666515024519</c:v>
                </c:pt>
                <c:pt idx="9">
                  <c:v>5265.4112730987672</c:v>
                </c:pt>
                <c:pt idx="10">
                  <c:v>5104.5387588362364</c:v>
                </c:pt>
                <c:pt idx="11">
                  <c:v>5046.5655113504927</c:v>
                </c:pt>
                <c:pt idx="12">
                  <c:v>5029.0196091770758</c:v>
                </c:pt>
                <c:pt idx="13">
                  <c:v>5011.7661930732556</c:v>
                </c:pt>
                <c:pt idx="14">
                  <c:v>4996.6967853840397</c:v>
                </c:pt>
                <c:pt idx="15">
                  <c:v>4982.1862657830388</c:v>
                </c:pt>
                <c:pt idx="16">
                  <c:v>4977.2427579819168</c:v>
                </c:pt>
                <c:pt idx="17">
                  <c:v>4977.9278678765377</c:v>
                </c:pt>
                <c:pt idx="18">
                  <c:v>4978.6434462421412</c:v>
                </c:pt>
                <c:pt idx="19">
                  <c:v>4977.8611055325591</c:v>
                </c:pt>
                <c:pt idx="20">
                  <c:v>4975.5375122650157</c:v>
                </c:pt>
                <c:pt idx="21">
                  <c:v>4965.5608677201562</c:v>
                </c:pt>
                <c:pt idx="22">
                  <c:v>4955.7415341154447</c:v>
                </c:pt>
                <c:pt idx="23">
                  <c:v>4946.0785287498356</c:v>
                </c:pt>
                <c:pt idx="24">
                  <c:v>4936.5708791641691</c:v>
                </c:pt>
                <c:pt idx="25">
                  <c:v>4936.3511241774959</c:v>
                </c:pt>
                <c:pt idx="26">
                  <c:v>4935.6671283251453</c:v>
                </c:pt>
                <c:pt idx="27">
                  <c:v>4935.0429486801213</c:v>
                </c:pt>
                <c:pt idx="28">
                  <c:v>4934.4805393085126</c:v>
                </c:pt>
                <c:pt idx="29">
                  <c:v>4933.9818621789072</c:v>
                </c:pt>
                <c:pt idx="30">
                  <c:v>4933.5488869980691</c:v>
                </c:pt>
                <c:pt idx="31">
                  <c:v>4933.1835910508898</c:v>
                </c:pt>
              </c:numCache>
            </c:numRef>
          </c:val>
          <c:extLst xmlns:c16r2="http://schemas.microsoft.com/office/drawing/2015/06/chart">
            <c:ext xmlns:c16="http://schemas.microsoft.com/office/drawing/2014/chart" uri="{C3380CC4-5D6E-409C-BE32-E72D297353CC}">
              <c16:uniqueId val="{00000000-D142-40A2-B69B-FDD5AD707A3C}"/>
            </c:ext>
          </c:extLst>
        </c:ser>
        <c:ser>
          <c:idx val="2"/>
          <c:order val="1"/>
          <c:tx>
            <c:v>McDermott Carbon Tax</c:v>
          </c:tx>
          <c:marker>
            <c:symbol val="triangle"/>
            <c:size val="7"/>
            <c:spPr>
              <a:solidFill>
                <a:srgbClr val="00FF00"/>
              </a:solidFill>
              <a:ln>
                <a:noFill/>
              </a:ln>
            </c:spPr>
          </c:marker>
          <c:cat>
            <c:numRef>
              <c:f>Graph_CO2!$I$44:$AN$44</c:f>
              <c:numCache>
                <c:formatCode>0</c:formatCode>
                <c:ptCount val="32"/>
                <c:pt idx="0">
                  <c:v>2005</c:v>
                </c:pt>
                <c:pt idx="1">
                  <c:v>2006</c:v>
                </c:pt>
                <c:pt idx="2">
                  <c:v>2007</c:v>
                </c:pt>
                <c:pt idx="3">
                  <c:v>2008</c:v>
                </c:pt>
                <c:pt idx="4">
                  <c:v>2009</c:v>
                </c:pt>
                <c:pt idx="5">
                  <c:v>2010</c:v>
                </c:pt>
                <c:pt idx="6">
                  <c:v>2011</c:v>
                </c:pt>
                <c:pt idx="7">
                  <c:v>2012</c:v>
                </c:pt>
                <c:pt idx="8">
                  <c:v>2013</c:v>
                </c:pt>
                <c:pt idx="9">
                  <c:v>2014</c:v>
                </c:pt>
                <c:pt idx="10">
                  <c:v>2015</c:v>
                </c:pt>
                <c:pt idx="11">
                  <c:v>2017</c:v>
                </c:pt>
                <c:pt idx="12">
                  <c:v>2018</c:v>
                </c:pt>
                <c:pt idx="13">
                  <c:v>2019</c:v>
                </c:pt>
                <c:pt idx="14">
                  <c:v>2020</c:v>
                </c:pt>
                <c:pt idx="15">
                  <c:v>2021</c:v>
                </c:pt>
                <c:pt idx="16">
                  <c:v>2022</c:v>
                </c:pt>
                <c:pt idx="17">
                  <c:v>2023</c:v>
                </c:pt>
                <c:pt idx="18">
                  <c:v>2024</c:v>
                </c:pt>
                <c:pt idx="19">
                  <c:v>2025</c:v>
                </c:pt>
                <c:pt idx="20">
                  <c:v>2026</c:v>
                </c:pt>
                <c:pt idx="21">
                  <c:v>2027</c:v>
                </c:pt>
                <c:pt idx="22">
                  <c:v>2028</c:v>
                </c:pt>
                <c:pt idx="23">
                  <c:v>2029</c:v>
                </c:pt>
                <c:pt idx="24">
                  <c:v>2030</c:v>
                </c:pt>
                <c:pt idx="25">
                  <c:v>2031</c:v>
                </c:pt>
                <c:pt idx="26">
                  <c:v>2032</c:v>
                </c:pt>
                <c:pt idx="27">
                  <c:v>2033</c:v>
                </c:pt>
                <c:pt idx="28">
                  <c:v>2034</c:v>
                </c:pt>
                <c:pt idx="29">
                  <c:v>2035</c:v>
                </c:pt>
                <c:pt idx="30">
                  <c:v>2036</c:v>
                </c:pt>
                <c:pt idx="31">
                  <c:v>2037</c:v>
                </c:pt>
              </c:numCache>
            </c:numRef>
          </c:cat>
          <c:val>
            <c:numRef>
              <c:f>Graph_CO2!$I$47:$AN$47</c:f>
              <c:numCache>
                <c:formatCode>_(* #,##0_);_(* \(#,##0\);_(* "-"??_);_(@_)</c:formatCode>
                <c:ptCount val="32"/>
                <c:pt idx="0">
                  <c:v>5811.705891565216</c:v>
                </c:pt>
                <c:pt idx="1">
                  <c:v>5741.3947512468221</c:v>
                </c:pt>
                <c:pt idx="2">
                  <c:v>5831.6621575089175</c:v>
                </c:pt>
                <c:pt idx="3">
                  <c:v>5629.4402855458411</c:v>
                </c:pt>
                <c:pt idx="4">
                  <c:v>5237.9790874120499</c:v>
                </c:pt>
                <c:pt idx="5">
                  <c:v>5421.3546132287674</c:v>
                </c:pt>
                <c:pt idx="6">
                  <c:v>5271.9587835203365</c:v>
                </c:pt>
                <c:pt idx="7">
                  <c:v>5061.796514329073</c:v>
                </c:pt>
                <c:pt idx="8">
                  <c:v>5210.4666515024519</c:v>
                </c:pt>
                <c:pt idx="9">
                  <c:v>5265.4112730987672</c:v>
                </c:pt>
                <c:pt idx="10">
                  <c:v>5104.5387588362364</c:v>
                </c:pt>
                <c:pt idx="11">
                  <c:v>4804.5672943417485</c:v>
                </c:pt>
                <c:pt idx="12">
                  <c:v>4571.5969475236061</c:v>
                </c:pt>
                <c:pt idx="13">
                  <c:v>4366.3671264869035</c:v>
                </c:pt>
                <c:pt idx="14">
                  <c:v>4185.3280177723309</c:v>
                </c:pt>
                <c:pt idx="15">
                  <c:v>4018.9809123075147</c:v>
                </c:pt>
                <c:pt idx="16">
                  <c:v>3873.4183585679589</c:v>
                </c:pt>
                <c:pt idx="17">
                  <c:v>3744.3933367446161</c:v>
                </c:pt>
                <c:pt idx="18">
                  <c:v>3625.0125223660971</c:v>
                </c:pt>
                <c:pt idx="19">
                  <c:v>3512.6285343834284</c:v>
                </c:pt>
                <c:pt idx="20">
                  <c:v>3406.2137623870713</c:v>
                </c:pt>
                <c:pt idx="21">
                  <c:v>3299.819374038455</c:v>
                </c:pt>
                <c:pt idx="22">
                  <c:v>3200.0306182053191</c:v>
                </c:pt>
                <c:pt idx="23">
                  <c:v>3106.648941185776</c:v>
                </c:pt>
                <c:pt idx="24">
                  <c:v>3019.010616037508</c:v>
                </c:pt>
                <c:pt idx="25">
                  <c:v>2938.6126092781701</c:v>
                </c:pt>
                <c:pt idx="26">
                  <c:v>2862.1350350781963</c:v>
                </c:pt>
                <c:pt idx="27">
                  <c:v>2789.6677011175238</c:v>
                </c:pt>
                <c:pt idx="28">
                  <c:v>2720.8691597313632</c:v>
                </c:pt>
                <c:pt idx="29">
                  <c:v>2655.4384955128794</c:v>
                </c:pt>
                <c:pt idx="30">
                  <c:v>2593.1716197677424</c:v>
                </c:pt>
                <c:pt idx="31">
                  <c:v>2533.7775462375603</c:v>
                </c:pt>
              </c:numCache>
            </c:numRef>
          </c:val>
          <c:extLst xmlns:c16r2="http://schemas.microsoft.com/office/drawing/2015/06/chart">
            <c:ext xmlns:c16="http://schemas.microsoft.com/office/drawing/2014/chart" uri="{C3380CC4-5D6E-409C-BE32-E72D297353CC}">
              <c16:uniqueId val="{00000001-D142-40A2-B69B-FDD5AD707A3C}"/>
            </c:ext>
          </c:extLst>
        </c:ser>
        <c:ser>
          <c:idx val="1"/>
          <c:order val="2"/>
          <c:tx>
            <c:v>Tax pegged to 'social cost of carbon' ($45/ton) + 2%/y</c:v>
          </c:tx>
          <c:marker>
            <c:symbol val="square"/>
            <c:size val="6"/>
            <c:spPr>
              <a:solidFill>
                <a:srgbClr val="FFFF00"/>
              </a:solidFill>
            </c:spPr>
          </c:marker>
          <c:cat>
            <c:numRef>
              <c:f>Graph_CO2!$I$44:$AN$44</c:f>
              <c:numCache>
                <c:formatCode>0</c:formatCode>
                <c:ptCount val="32"/>
                <c:pt idx="0">
                  <c:v>2005</c:v>
                </c:pt>
                <c:pt idx="1">
                  <c:v>2006</c:v>
                </c:pt>
                <c:pt idx="2">
                  <c:v>2007</c:v>
                </c:pt>
                <c:pt idx="3">
                  <c:v>2008</c:v>
                </c:pt>
                <c:pt idx="4">
                  <c:v>2009</c:v>
                </c:pt>
                <c:pt idx="5">
                  <c:v>2010</c:v>
                </c:pt>
                <c:pt idx="6">
                  <c:v>2011</c:v>
                </c:pt>
                <c:pt idx="7">
                  <c:v>2012</c:v>
                </c:pt>
                <c:pt idx="8">
                  <c:v>2013</c:v>
                </c:pt>
                <c:pt idx="9">
                  <c:v>2014</c:v>
                </c:pt>
                <c:pt idx="10">
                  <c:v>2015</c:v>
                </c:pt>
                <c:pt idx="11">
                  <c:v>2017</c:v>
                </c:pt>
                <c:pt idx="12">
                  <c:v>2018</c:v>
                </c:pt>
                <c:pt idx="13">
                  <c:v>2019</c:v>
                </c:pt>
                <c:pt idx="14">
                  <c:v>2020</c:v>
                </c:pt>
                <c:pt idx="15">
                  <c:v>2021</c:v>
                </c:pt>
                <c:pt idx="16">
                  <c:v>2022</c:v>
                </c:pt>
                <c:pt idx="17">
                  <c:v>2023</c:v>
                </c:pt>
                <c:pt idx="18">
                  <c:v>2024</c:v>
                </c:pt>
                <c:pt idx="19">
                  <c:v>2025</c:v>
                </c:pt>
                <c:pt idx="20">
                  <c:v>2026</c:v>
                </c:pt>
                <c:pt idx="21">
                  <c:v>2027</c:v>
                </c:pt>
                <c:pt idx="22">
                  <c:v>2028</c:v>
                </c:pt>
                <c:pt idx="23">
                  <c:v>2029</c:v>
                </c:pt>
                <c:pt idx="24">
                  <c:v>2030</c:v>
                </c:pt>
                <c:pt idx="25">
                  <c:v>2031</c:v>
                </c:pt>
                <c:pt idx="26">
                  <c:v>2032</c:v>
                </c:pt>
                <c:pt idx="27">
                  <c:v>2033</c:v>
                </c:pt>
                <c:pt idx="28">
                  <c:v>2034</c:v>
                </c:pt>
                <c:pt idx="29">
                  <c:v>2035</c:v>
                </c:pt>
                <c:pt idx="30">
                  <c:v>2036</c:v>
                </c:pt>
                <c:pt idx="31">
                  <c:v>2037</c:v>
                </c:pt>
              </c:numCache>
            </c:numRef>
          </c:cat>
          <c:val>
            <c:numRef>
              <c:f>Graph_CO2!$I$49:$AN$49</c:f>
              <c:numCache>
                <c:formatCode>_(* #,##0_);_(* \(#,##0\);_(* "-"??_);_(@_)</c:formatCode>
                <c:ptCount val="32"/>
                <c:pt idx="0">
                  <c:v>5811.705891565216</c:v>
                </c:pt>
                <c:pt idx="1">
                  <c:v>5741.3947512468221</c:v>
                </c:pt>
                <c:pt idx="2">
                  <c:v>5831.6621575089175</c:v>
                </c:pt>
                <c:pt idx="3">
                  <c:v>5629.4402855458411</c:v>
                </c:pt>
                <c:pt idx="4">
                  <c:v>5237.9790874120499</c:v>
                </c:pt>
                <c:pt idx="5">
                  <c:v>5421.3546132287674</c:v>
                </c:pt>
                <c:pt idx="6">
                  <c:v>5271.9587835203365</c:v>
                </c:pt>
                <c:pt idx="7">
                  <c:v>5061.796514329073</c:v>
                </c:pt>
                <c:pt idx="8">
                  <c:v>5210.4666515024519</c:v>
                </c:pt>
                <c:pt idx="9">
                  <c:v>5265.4112730987672</c:v>
                </c:pt>
                <c:pt idx="10">
                  <c:v>5104.5387588362364</c:v>
                </c:pt>
                <c:pt idx="11">
                  <c:v>4770.5827902297196</c:v>
                </c:pt>
                <c:pt idx="12">
                  <c:v>4512.2446956721797</c:v>
                </c:pt>
                <c:pt idx="13">
                  <c:v>4287.5424072075602</c:v>
                </c:pt>
                <c:pt idx="14">
                  <c:v>4150.7265817380603</c:v>
                </c:pt>
                <c:pt idx="15">
                  <c:v>4123.0337829501796</c:v>
                </c:pt>
                <c:pt idx="16">
                  <c:v>4102.5165275321197</c:v>
                </c:pt>
                <c:pt idx="17">
                  <c:v>4087.22792466295</c:v>
                </c:pt>
                <c:pt idx="18">
                  <c:v>4071.86017613281</c:v>
                </c:pt>
                <c:pt idx="19">
                  <c:v>4054.9907476711001</c:v>
                </c:pt>
                <c:pt idx="20">
                  <c:v>4036.59910366843</c:v>
                </c:pt>
                <c:pt idx="21">
                  <c:v>4011.0683738666098</c:v>
                </c:pt>
                <c:pt idx="22">
                  <c:v>3986.39578150229</c:v>
                </c:pt>
                <c:pt idx="23">
                  <c:v>3963.0517730197798</c:v>
                </c:pt>
                <c:pt idx="24">
                  <c:v>3940.8931568129101</c:v>
                </c:pt>
                <c:pt idx="25">
                  <c:v>3924.28814330873</c:v>
                </c:pt>
                <c:pt idx="26">
                  <c:v>3906.9890245390998</c:v>
                </c:pt>
                <c:pt idx="27">
                  <c:v>3889.6031884109302</c:v>
                </c:pt>
                <c:pt idx="28">
                  <c:v>3872.1303466447098</c:v>
                </c:pt>
                <c:pt idx="29">
                  <c:v>3854.5702132793699</c:v>
                </c:pt>
                <c:pt idx="30">
                  <c:v>3837.0209748242801</c:v>
                </c:pt>
                <c:pt idx="31">
                  <c:v>3819.4007015513898</c:v>
                </c:pt>
              </c:numCache>
            </c:numRef>
          </c:val>
          <c:extLst xmlns:c16r2="http://schemas.microsoft.com/office/drawing/2015/06/chart">
            <c:ext xmlns:c16="http://schemas.microsoft.com/office/drawing/2014/chart" uri="{C3380CC4-5D6E-409C-BE32-E72D297353CC}">
              <c16:uniqueId val="{00000002-D142-40A2-B69B-FDD5AD707A3C}"/>
            </c:ext>
          </c:extLst>
        </c:ser>
        <c:dLbls/>
        <c:marker val="1"/>
        <c:axId val="168105088"/>
        <c:axId val="168106624"/>
      </c:lineChart>
      <c:catAx>
        <c:axId val="168105088"/>
        <c:scaling>
          <c:orientation val="minMax"/>
        </c:scaling>
        <c:axPos val="b"/>
        <c:minorGridlines>
          <c:spPr>
            <a:ln>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a:ln>
          </c:spPr>
        </c:minorGridlines>
        <c:numFmt formatCode="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8106624"/>
        <c:crosses val="autoZero"/>
        <c:auto val="1"/>
        <c:lblAlgn val="ctr"/>
        <c:lblOffset val="100"/>
        <c:tickLblSkip val="4"/>
        <c:tickMarkSkip val="1"/>
      </c:catAx>
      <c:valAx>
        <c:axId val="168106624"/>
        <c:scaling>
          <c:orientation val="minMax"/>
          <c:max val="6000"/>
        </c:scaling>
        <c:axPos val="l"/>
        <c:majorGridlines>
          <c:spPr>
            <a:ln w="3175">
              <a:solidFill>
                <a:srgbClr val="000000"/>
              </a:solidFill>
              <a:prstDash val="solid"/>
            </a:ln>
          </c:spPr>
        </c:majorGridlines>
        <c:title>
          <c:tx>
            <c:rich>
              <a:bodyPr/>
              <a:lstStyle/>
              <a:p>
                <a:pPr>
                  <a:defRPr sz="1600" b="1" i="0" u="none" strike="noStrike" baseline="0">
                    <a:solidFill>
                      <a:srgbClr val="000000"/>
                    </a:solidFill>
                    <a:latin typeface="Arial"/>
                    <a:ea typeface="Arial"/>
                    <a:cs typeface="Arial"/>
                  </a:defRPr>
                </a:pPr>
                <a:r>
                  <a:rPr lang="en-US" sz="1600" baseline="0"/>
                  <a:t>Million Tonnes</a:t>
                </a:r>
              </a:p>
            </c:rich>
          </c:tx>
          <c:layout>
            <c:manualLayout>
              <c:xMode val="edge"/>
              <c:yMode val="edge"/>
              <c:x val="2.2111120193020951E-2"/>
              <c:y val="0.32930844158921568"/>
            </c:manualLayout>
          </c:layout>
          <c:spPr>
            <a:noFill/>
            <a:ln w="25400">
              <a:noFill/>
            </a:ln>
          </c:spPr>
        </c:title>
        <c:numFmt formatCode="#,##0" sourceLinked="0"/>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168105088"/>
        <c:crosses val="autoZero"/>
        <c:crossBetween val="midCat"/>
        <c:minorUnit val="500"/>
      </c:valAx>
      <c:spPr>
        <a:solidFill>
          <a:srgbClr val="C0C0C0"/>
        </a:solidFill>
        <a:ln w="12700">
          <a:solidFill>
            <a:srgbClr val="808080"/>
          </a:solidFill>
          <a:prstDash val="solid"/>
        </a:ln>
      </c:spPr>
    </c:plotArea>
    <c:legend>
      <c:legendPos val="r"/>
      <c:layout>
        <c:manualLayout>
          <c:xMode val="edge"/>
          <c:yMode val="edge"/>
          <c:x val="0.55230323172060758"/>
          <c:y val="0.59807460890493358"/>
          <c:w val="0.32104664391353832"/>
          <c:h val="0.22262950434444767"/>
        </c:manualLayout>
      </c:layout>
      <c:spPr>
        <a:solidFill>
          <a:srgbClr val="FFCC66"/>
        </a:solidFill>
        <a:ln w="3175">
          <a:solidFill>
            <a:srgbClr val="000000"/>
          </a:solidFill>
          <a:prstDash val="solid"/>
        </a:ln>
      </c:spPr>
      <c:txPr>
        <a:bodyPr/>
        <a:lstStyle/>
        <a:p>
          <a:pPr>
            <a:defRPr sz="1000" b="1" i="0" u="none" strike="noStrike" baseline="0">
              <a:solidFill>
                <a:srgbClr val="000000"/>
              </a:solidFill>
              <a:latin typeface="Arial"/>
              <a:ea typeface="Arial"/>
              <a:cs typeface="Arial"/>
            </a:defRPr>
          </a:pPr>
          <a:endParaRPr lang="en-US"/>
        </a:p>
      </c:txPr>
    </c:legend>
    <c:plotVisOnly val="1"/>
    <c:dispBlanksAs val="gap"/>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sz="2400"/>
              <a:t>U.S. CO2 Emissions by Sector</a:t>
            </a:r>
          </a:p>
        </c:rich>
      </c:tx>
      <c:layout>
        <c:manualLayout>
          <c:xMode val="edge"/>
          <c:yMode val="edge"/>
          <c:x val="0.17635046113307001"/>
          <c:y val="2.6881720430107652E-2"/>
        </c:manualLayout>
      </c:layout>
    </c:title>
    <c:plotArea>
      <c:layout/>
      <c:barChart>
        <c:barDir val="col"/>
        <c:grouping val="stacked"/>
        <c:ser>
          <c:idx val="0"/>
          <c:order val="0"/>
          <c:tx>
            <c:strRef>
              <c:f>'Other Graphs'!$K$51</c:f>
              <c:strCache>
                <c:ptCount val="1"/>
                <c:pt idx="0">
                  <c:v>Electricity</c:v>
                </c:pt>
              </c:strCache>
            </c:strRef>
          </c:tx>
          <c:spPr>
            <a:solidFill>
              <a:srgbClr val="00FF00"/>
            </a:solidFill>
          </c:spPr>
          <c:cat>
            <c:strRef>
              <c:f>'Other Graphs'!$J$52:$J$55</c:f>
              <c:strCache>
                <c:ptCount val="4"/>
                <c:pt idx="0">
                  <c:v>2005</c:v>
                </c:pt>
                <c:pt idx="1">
                  <c:v>2015</c:v>
                </c:pt>
                <c:pt idx="2">
                  <c:v>2030 w/
no action</c:v>
                </c:pt>
                <c:pt idx="3">
                  <c:v>2030 w/
Clean Power Plan</c:v>
                </c:pt>
              </c:strCache>
            </c:strRef>
          </c:cat>
          <c:val>
            <c:numRef>
              <c:f>'Other Graphs'!$K$52:$K$55</c:f>
              <c:numCache>
                <c:formatCode>_(* #,##0_);_(* \(#,##0\);_(* "-"??_);_(@_)</c:formatCode>
                <c:ptCount val="4"/>
                <c:pt idx="0">
                  <c:v>2413</c:v>
                </c:pt>
                <c:pt idx="1">
                  <c:v>1895.3696778233411</c:v>
                </c:pt>
                <c:pt idx="2">
                  <c:v>1718.2987778961697</c:v>
                </c:pt>
                <c:pt idx="3">
                  <c:v>1640.8400000000001</c:v>
                </c:pt>
              </c:numCache>
            </c:numRef>
          </c:val>
          <c:extLst xmlns:c16r2="http://schemas.microsoft.com/office/drawing/2015/06/chart">
            <c:ext xmlns:c16="http://schemas.microsoft.com/office/drawing/2014/chart" uri="{C3380CC4-5D6E-409C-BE32-E72D297353CC}">
              <c16:uniqueId val="{00000000-EC1C-4F38-8C92-025EA91CC130}"/>
            </c:ext>
          </c:extLst>
        </c:ser>
        <c:ser>
          <c:idx val="1"/>
          <c:order val="1"/>
          <c:tx>
            <c:strRef>
              <c:f>'Other Graphs'!$L$51</c:f>
              <c:strCache>
                <c:ptCount val="1"/>
                <c:pt idx="0">
                  <c:v>Personal Ground Travel</c:v>
                </c:pt>
              </c:strCache>
            </c:strRef>
          </c:tx>
          <c:spPr>
            <a:solidFill>
              <a:srgbClr val="FF33CC"/>
            </a:solidFill>
          </c:spPr>
          <c:cat>
            <c:strRef>
              <c:f>'Other Graphs'!$J$52:$J$55</c:f>
              <c:strCache>
                <c:ptCount val="4"/>
                <c:pt idx="0">
                  <c:v>2005</c:v>
                </c:pt>
                <c:pt idx="1">
                  <c:v>2015</c:v>
                </c:pt>
                <c:pt idx="2">
                  <c:v>2030 w/
no action</c:v>
                </c:pt>
                <c:pt idx="3">
                  <c:v>2030 w/
Clean Power Plan</c:v>
                </c:pt>
              </c:strCache>
            </c:strRef>
          </c:cat>
          <c:val>
            <c:numRef>
              <c:f>'Other Graphs'!$L$52:$L$55</c:f>
              <c:numCache>
                <c:formatCode>_(* #,##0_);_(* \(#,##0\);_(* "-"??_);_(@_)</c:formatCode>
                <c:ptCount val="4"/>
                <c:pt idx="0">
                  <c:v>1193.0849999999996</c:v>
                </c:pt>
                <c:pt idx="1">
                  <c:v>1098.7398093222546</c:v>
                </c:pt>
                <c:pt idx="2">
                  <c:v>1090.9403816097897</c:v>
                </c:pt>
                <c:pt idx="3">
                  <c:v>1090.9403816097897</c:v>
                </c:pt>
              </c:numCache>
            </c:numRef>
          </c:val>
          <c:extLst xmlns:c16r2="http://schemas.microsoft.com/office/drawing/2015/06/chart">
            <c:ext xmlns:c16="http://schemas.microsoft.com/office/drawing/2014/chart" uri="{C3380CC4-5D6E-409C-BE32-E72D297353CC}">
              <c16:uniqueId val="{00000001-EC1C-4F38-8C92-025EA91CC130}"/>
            </c:ext>
          </c:extLst>
        </c:ser>
        <c:ser>
          <c:idx val="2"/>
          <c:order val="2"/>
          <c:tx>
            <c:strRef>
              <c:f>'Other Graphs'!$M$51</c:f>
              <c:strCache>
                <c:ptCount val="1"/>
                <c:pt idx="0">
                  <c:v>Goods Movement</c:v>
                </c:pt>
              </c:strCache>
            </c:strRef>
          </c:tx>
          <c:spPr>
            <a:solidFill>
              <a:srgbClr val="FF0000"/>
            </a:solidFill>
          </c:spPr>
          <c:cat>
            <c:strRef>
              <c:f>'Other Graphs'!$J$52:$J$55</c:f>
              <c:strCache>
                <c:ptCount val="4"/>
                <c:pt idx="0">
                  <c:v>2005</c:v>
                </c:pt>
                <c:pt idx="1">
                  <c:v>2015</c:v>
                </c:pt>
                <c:pt idx="2">
                  <c:v>2030 w/
no action</c:v>
                </c:pt>
                <c:pt idx="3">
                  <c:v>2030 w/
Clean Power Plan</c:v>
                </c:pt>
              </c:strCache>
            </c:strRef>
          </c:cat>
          <c:val>
            <c:numRef>
              <c:f>'Other Graphs'!$M$52:$M$55</c:f>
              <c:numCache>
                <c:formatCode>_(* #,##0_);_(* \(#,##0\);_(* "-"??_);_(@_)</c:formatCode>
                <c:ptCount val="4"/>
                <c:pt idx="0">
                  <c:v>510.21500000000003</c:v>
                </c:pt>
                <c:pt idx="1">
                  <c:v>480.08011596161907</c:v>
                </c:pt>
                <c:pt idx="2">
                  <c:v>492.23641928366033</c:v>
                </c:pt>
                <c:pt idx="3">
                  <c:v>492.23641928366033</c:v>
                </c:pt>
              </c:numCache>
            </c:numRef>
          </c:val>
          <c:extLst xmlns:c16r2="http://schemas.microsoft.com/office/drawing/2015/06/chart">
            <c:ext xmlns:c16="http://schemas.microsoft.com/office/drawing/2014/chart" uri="{C3380CC4-5D6E-409C-BE32-E72D297353CC}">
              <c16:uniqueId val="{00000002-EC1C-4F38-8C92-025EA91CC130}"/>
            </c:ext>
          </c:extLst>
        </c:ser>
        <c:ser>
          <c:idx val="3"/>
          <c:order val="3"/>
          <c:tx>
            <c:strRef>
              <c:f>'Other Graphs'!$N$51</c:f>
              <c:strCache>
                <c:ptCount val="1"/>
                <c:pt idx="0">
                  <c:v>Air Travel</c:v>
                </c:pt>
              </c:strCache>
            </c:strRef>
          </c:tx>
          <c:spPr>
            <a:solidFill>
              <a:srgbClr val="66FFFF"/>
            </a:solidFill>
          </c:spPr>
          <c:cat>
            <c:strRef>
              <c:f>'Other Graphs'!$J$52:$J$55</c:f>
              <c:strCache>
                <c:ptCount val="4"/>
                <c:pt idx="0">
                  <c:v>2005</c:v>
                </c:pt>
                <c:pt idx="1">
                  <c:v>2015</c:v>
                </c:pt>
                <c:pt idx="2">
                  <c:v>2030 w/
no action</c:v>
                </c:pt>
                <c:pt idx="3">
                  <c:v>2030 w/
Clean Power Plan</c:v>
                </c:pt>
              </c:strCache>
            </c:strRef>
          </c:cat>
          <c:val>
            <c:numRef>
              <c:f>'Other Graphs'!$N$52:$N$55</c:f>
              <c:numCache>
                <c:formatCode>_(* #,##0_);_(* \(#,##0\);_(* "-"??_);_(@_)</c:formatCode>
                <c:ptCount val="4"/>
                <c:pt idx="0">
                  <c:v>232.5</c:v>
                </c:pt>
                <c:pt idx="1">
                  <c:v>213.45843074940368</c:v>
                </c:pt>
                <c:pt idx="2">
                  <c:v>204.43890994159619</c:v>
                </c:pt>
                <c:pt idx="3">
                  <c:v>204.43890994159619</c:v>
                </c:pt>
              </c:numCache>
            </c:numRef>
          </c:val>
          <c:extLst xmlns:c16r2="http://schemas.microsoft.com/office/drawing/2015/06/chart">
            <c:ext xmlns:c16="http://schemas.microsoft.com/office/drawing/2014/chart" uri="{C3380CC4-5D6E-409C-BE32-E72D297353CC}">
              <c16:uniqueId val="{00000003-EC1C-4F38-8C92-025EA91CC130}"/>
            </c:ext>
          </c:extLst>
        </c:ser>
        <c:ser>
          <c:idx val="4"/>
          <c:order val="4"/>
          <c:tx>
            <c:strRef>
              <c:f>'Other Graphs'!$O$51</c:f>
              <c:strCache>
                <c:ptCount val="1"/>
                <c:pt idx="0">
                  <c:v>Oil Refining</c:v>
                </c:pt>
              </c:strCache>
            </c:strRef>
          </c:tx>
          <c:spPr>
            <a:solidFill>
              <a:srgbClr val="FFFF00"/>
            </a:solidFill>
          </c:spPr>
          <c:cat>
            <c:strRef>
              <c:f>'Other Graphs'!$J$52:$J$55</c:f>
              <c:strCache>
                <c:ptCount val="4"/>
                <c:pt idx="0">
                  <c:v>2005</c:v>
                </c:pt>
                <c:pt idx="1">
                  <c:v>2015</c:v>
                </c:pt>
                <c:pt idx="2">
                  <c:v>2030 w/
no action</c:v>
                </c:pt>
                <c:pt idx="3">
                  <c:v>2030 w/
Clean Power Plan</c:v>
                </c:pt>
              </c:strCache>
            </c:strRef>
          </c:cat>
          <c:val>
            <c:numRef>
              <c:f>'Other Graphs'!$O$52:$O$55</c:f>
              <c:numCache>
                <c:formatCode>_(* #,##0_);_(* \(#,##0\);_(* "-"??_);_(@_)</c:formatCode>
                <c:ptCount val="4"/>
                <c:pt idx="0">
                  <c:v>306.0851541962794</c:v>
                </c:pt>
                <c:pt idx="1">
                  <c:v>325.31630738964878</c:v>
                </c:pt>
                <c:pt idx="2">
                  <c:v>310.83633942636078</c:v>
                </c:pt>
                <c:pt idx="3">
                  <c:v>310.83633942636078</c:v>
                </c:pt>
              </c:numCache>
            </c:numRef>
          </c:val>
          <c:extLst xmlns:c16r2="http://schemas.microsoft.com/office/drawing/2015/06/chart">
            <c:ext xmlns:c16="http://schemas.microsoft.com/office/drawing/2014/chart" uri="{C3380CC4-5D6E-409C-BE32-E72D297353CC}">
              <c16:uniqueId val="{00000004-EC1C-4F38-8C92-025EA91CC130}"/>
            </c:ext>
          </c:extLst>
        </c:ser>
        <c:ser>
          <c:idx val="5"/>
          <c:order val="5"/>
          <c:tx>
            <c:strRef>
              <c:f>'Other Graphs'!$P$51</c:f>
              <c:strCache>
                <c:ptCount val="1"/>
                <c:pt idx="0">
                  <c:v>Other Petroleum</c:v>
                </c:pt>
              </c:strCache>
            </c:strRef>
          </c:tx>
          <c:cat>
            <c:strRef>
              <c:f>'Other Graphs'!$J$52:$J$55</c:f>
              <c:strCache>
                <c:ptCount val="4"/>
                <c:pt idx="0">
                  <c:v>2005</c:v>
                </c:pt>
                <c:pt idx="1">
                  <c:v>2015</c:v>
                </c:pt>
                <c:pt idx="2">
                  <c:v>2030 w/
no action</c:v>
                </c:pt>
                <c:pt idx="3">
                  <c:v>2030 w/
Clean Power Plan</c:v>
                </c:pt>
              </c:strCache>
            </c:strRef>
          </c:cat>
          <c:val>
            <c:numRef>
              <c:f>'Other Graphs'!$P$52:$P$55</c:f>
              <c:numCache>
                <c:formatCode>_(* #,##0_);_(* \(#,##0\);_(* "-"??_);_(@_)</c:formatCode>
                <c:ptCount val="4"/>
                <c:pt idx="0">
                  <c:v>282.31135569455722</c:v>
                </c:pt>
                <c:pt idx="1">
                  <c:v>282.16515385959826</c:v>
                </c:pt>
                <c:pt idx="2">
                  <c:v>296.39489845932144</c:v>
                </c:pt>
                <c:pt idx="3">
                  <c:v>296.39489845932144</c:v>
                </c:pt>
              </c:numCache>
            </c:numRef>
          </c:val>
          <c:extLst xmlns:c16r2="http://schemas.microsoft.com/office/drawing/2015/06/chart">
            <c:ext xmlns:c16="http://schemas.microsoft.com/office/drawing/2014/chart" uri="{C3380CC4-5D6E-409C-BE32-E72D297353CC}">
              <c16:uniqueId val="{00000005-EC1C-4F38-8C92-025EA91CC130}"/>
            </c:ext>
          </c:extLst>
        </c:ser>
        <c:ser>
          <c:idx val="6"/>
          <c:order val="6"/>
          <c:tx>
            <c:strRef>
              <c:f>'Other Graphs'!$Q$51</c:f>
              <c:strCache>
                <c:ptCount val="1"/>
                <c:pt idx="0">
                  <c:v>Other "Natural" Gas</c:v>
                </c:pt>
              </c:strCache>
            </c:strRef>
          </c:tx>
          <c:cat>
            <c:strRef>
              <c:f>'Other Graphs'!$J$52:$J$55</c:f>
              <c:strCache>
                <c:ptCount val="4"/>
                <c:pt idx="0">
                  <c:v>2005</c:v>
                </c:pt>
                <c:pt idx="1">
                  <c:v>2015</c:v>
                </c:pt>
                <c:pt idx="2">
                  <c:v>2030 w/
no action</c:v>
                </c:pt>
                <c:pt idx="3">
                  <c:v>2030 w/
Clean Power Plan</c:v>
                </c:pt>
              </c:strCache>
            </c:strRef>
          </c:cat>
          <c:val>
            <c:numRef>
              <c:f>'Other Graphs'!$Q$52:$Q$55</c:f>
              <c:numCache>
                <c:formatCode>_(* #,##0_);_(* \(#,##0\);_(* "-"??_);_(@_)</c:formatCode>
                <c:ptCount val="4"/>
                <c:pt idx="0">
                  <c:v>559.00938167437994</c:v>
                </c:pt>
                <c:pt idx="1">
                  <c:v>577.86226030945033</c:v>
                </c:pt>
                <c:pt idx="2">
                  <c:v>596.98230111625082</c:v>
                </c:pt>
                <c:pt idx="3">
                  <c:v>596.98230111625082</c:v>
                </c:pt>
              </c:numCache>
            </c:numRef>
          </c:val>
          <c:extLst xmlns:c16r2="http://schemas.microsoft.com/office/drawing/2015/06/chart">
            <c:ext xmlns:c16="http://schemas.microsoft.com/office/drawing/2014/chart" uri="{C3380CC4-5D6E-409C-BE32-E72D297353CC}">
              <c16:uniqueId val="{00000006-EC1C-4F38-8C92-025EA91CC130}"/>
            </c:ext>
          </c:extLst>
        </c:ser>
        <c:ser>
          <c:idx val="7"/>
          <c:order val="7"/>
          <c:tx>
            <c:strRef>
              <c:f>'Other Graphs'!$R$51</c:f>
              <c:strCache>
                <c:ptCount val="1"/>
                <c:pt idx="0">
                  <c:v>Miscellany</c:v>
                </c:pt>
              </c:strCache>
            </c:strRef>
          </c:tx>
          <c:cat>
            <c:strRef>
              <c:f>'Other Graphs'!$J$52:$J$55</c:f>
              <c:strCache>
                <c:ptCount val="4"/>
                <c:pt idx="0">
                  <c:v>2005</c:v>
                </c:pt>
                <c:pt idx="1">
                  <c:v>2015</c:v>
                </c:pt>
                <c:pt idx="2">
                  <c:v>2030 w/
no action</c:v>
                </c:pt>
                <c:pt idx="3">
                  <c:v>2030 w/
Clean Power Plan</c:v>
                </c:pt>
              </c:strCache>
            </c:strRef>
          </c:cat>
          <c:val>
            <c:numRef>
              <c:f>'Other Graphs'!$R$52:$R$55</c:f>
              <c:numCache>
                <c:formatCode>_(* #,##0_);_(* \(#,##0\);_(* "-"??_);_(@_)</c:formatCode>
                <c:ptCount val="4"/>
                <c:pt idx="0">
                  <c:v>315.5</c:v>
                </c:pt>
                <c:pt idx="1">
                  <c:v>231.54700342092116</c:v>
                </c:pt>
                <c:pt idx="2">
                  <c:v>226.44285143102002</c:v>
                </c:pt>
                <c:pt idx="3">
                  <c:v>226.44285143102002</c:v>
                </c:pt>
              </c:numCache>
            </c:numRef>
          </c:val>
          <c:extLst xmlns:c16r2="http://schemas.microsoft.com/office/drawing/2015/06/chart">
            <c:ext xmlns:c16="http://schemas.microsoft.com/office/drawing/2014/chart" uri="{C3380CC4-5D6E-409C-BE32-E72D297353CC}">
              <c16:uniqueId val="{00000000-0640-4A59-A065-436A6EA030AE}"/>
            </c:ext>
          </c:extLst>
        </c:ser>
        <c:dLbls/>
        <c:overlap val="100"/>
        <c:axId val="173353600"/>
        <c:axId val="173392256"/>
      </c:barChart>
      <c:catAx>
        <c:axId val="173353600"/>
        <c:scaling>
          <c:orientation val="minMax"/>
        </c:scaling>
        <c:axPos val="b"/>
        <c:numFmt formatCode="General" sourceLinked="1"/>
        <c:tickLblPos val="nextTo"/>
        <c:txPr>
          <a:bodyPr/>
          <a:lstStyle/>
          <a:p>
            <a:pPr>
              <a:defRPr sz="1000" b="1" i="0" baseline="0"/>
            </a:pPr>
            <a:endParaRPr lang="en-US"/>
          </a:p>
        </c:txPr>
        <c:crossAx val="173392256"/>
        <c:crosses val="autoZero"/>
        <c:auto val="1"/>
        <c:lblAlgn val="ctr"/>
        <c:lblOffset val="100"/>
      </c:catAx>
      <c:valAx>
        <c:axId val="173392256"/>
        <c:scaling>
          <c:orientation val="minMax"/>
          <c:max val="6500"/>
          <c:min val="0"/>
        </c:scaling>
        <c:axPos val="l"/>
        <c:majorGridlines/>
        <c:title>
          <c:tx>
            <c:rich>
              <a:bodyPr rot="-5400000" vert="horz"/>
              <a:lstStyle/>
              <a:p>
                <a:pPr>
                  <a:defRPr sz="1400"/>
                </a:pPr>
                <a:r>
                  <a:rPr lang="en-US" sz="1400"/>
                  <a:t>Million tonnes</a:t>
                </a:r>
              </a:p>
            </c:rich>
          </c:tx>
          <c:layout>
            <c:manualLayout>
              <c:xMode val="edge"/>
              <c:yMode val="edge"/>
              <c:x val="1.3175230566534898E-2"/>
              <c:y val="0.37935293370587569"/>
            </c:manualLayout>
          </c:layout>
        </c:title>
        <c:numFmt formatCode="_(* #,##0_);_(* \(#,##0\);_(* &quot;-&quot;??_);_(@_)" sourceLinked="1"/>
        <c:tickLblPos val="nextTo"/>
        <c:txPr>
          <a:bodyPr/>
          <a:lstStyle/>
          <a:p>
            <a:pPr>
              <a:defRPr sz="900" b="1" i="0" baseline="0"/>
            </a:pPr>
            <a:endParaRPr lang="en-US"/>
          </a:p>
        </c:txPr>
        <c:crossAx val="173353600"/>
        <c:crosses val="autoZero"/>
        <c:crossBetween val="between"/>
      </c:valAx>
      <c:spPr>
        <a:solidFill>
          <a:schemeClr val="tx1"/>
        </a:solidFill>
      </c:spPr>
    </c:plotArea>
    <c:legend>
      <c:legendPos val="r"/>
      <c:layout>
        <c:manualLayout>
          <c:xMode val="edge"/>
          <c:yMode val="edge"/>
          <c:x val="0.72422150294454568"/>
          <c:y val="0.21840498264330202"/>
          <c:w val="0.25162390768347631"/>
          <c:h val="0.48609982219964465"/>
        </c:manualLayout>
      </c:layout>
      <c:txPr>
        <a:bodyPr/>
        <a:lstStyle/>
        <a:p>
          <a:pPr>
            <a:defRPr b="1" i="0" baseline="0"/>
          </a:pPr>
          <a:endParaRPr lang="en-US"/>
        </a:p>
      </c:txPr>
    </c:legend>
    <c:plotVisOnly val="1"/>
    <c:dispBlanksAs val="gap"/>
  </c:chart>
  <c:spPr>
    <a:solidFill>
      <a:srgbClr val="FFCC66"/>
    </a:solidFill>
  </c:spPr>
  <c:printSettings>
    <c:headerFooter/>
    <c:pageMargins b="0.75000000000000833" l="0.70000000000000162" r="0.70000000000000162" t="0.75000000000000833" header="0.30000000000000032" footer="0.30000000000000032"/>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800"/>
            </a:pPr>
            <a:r>
              <a:rPr lang="en-US" sz="1800"/>
              <a:t>U.S. Electricity Sector is On Track to Hit </a:t>
            </a:r>
          </a:p>
          <a:p>
            <a:pPr>
              <a:defRPr sz="1800"/>
            </a:pPr>
            <a:r>
              <a:rPr lang="en-US" sz="1800"/>
              <a:t>Clean Power Plan Target Nearly a Decade Early</a:t>
            </a:r>
          </a:p>
        </c:rich>
      </c:tx>
      <c:layout>
        <c:manualLayout>
          <c:xMode val="edge"/>
          <c:yMode val="edge"/>
          <c:x val="0.12553573005209212"/>
          <c:y val="2.5586042251047731E-2"/>
        </c:manualLayout>
      </c:layout>
    </c:title>
    <c:plotArea>
      <c:layout>
        <c:manualLayout>
          <c:layoutTarget val="inner"/>
          <c:xMode val="edge"/>
          <c:yMode val="edge"/>
          <c:x val="9.7970455948509741E-2"/>
          <c:y val="0.19189436763442544"/>
          <c:w val="0.82459611877068162"/>
          <c:h val="0.69666481563222316"/>
        </c:manualLayout>
      </c:layout>
      <c:lineChart>
        <c:grouping val="standard"/>
        <c:ser>
          <c:idx val="0"/>
          <c:order val="0"/>
          <c:tx>
            <c:v>CO2 emissions from electricity</c:v>
          </c:tx>
          <c:spPr>
            <a:ln w="22225">
              <a:solidFill>
                <a:schemeClr val="accent1">
                  <a:shade val="95000"/>
                  <a:satMod val="105000"/>
                  <a:alpha val="75000"/>
                </a:schemeClr>
              </a:solidFill>
            </a:ln>
            <a:effectLst>
              <a:glow rad="12700">
                <a:srgbClr val="FF0000"/>
              </a:glow>
            </a:effectLst>
          </c:spPr>
          <c:marker>
            <c:symbol val="none"/>
          </c:marker>
          <c:dLbls>
            <c:spPr>
              <a:noFill/>
              <a:ln>
                <a:noFill/>
              </a:ln>
              <a:effectLst/>
            </c:spPr>
            <c:txPr>
              <a:bodyPr wrap="square" lIns="38100" tIns="19050" rIns="38100" bIns="19050" anchor="ctr">
                <a:spAutoFit/>
              </a:bodyPr>
              <a:lstStyle/>
              <a:p>
                <a:pPr>
                  <a:defRPr sz="1000" b="1" baseline="10000"/>
                </a:pPr>
                <a:endParaRPr lang="en-US"/>
              </a:p>
            </c:txPr>
            <c:dLblPos val="b"/>
            <c:showVal val="1"/>
            <c:extLst xmlns:c16r2="http://schemas.microsoft.com/office/drawing/2015/06/chart">
              <c:ext xmlns:c15="http://schemas.microsoft.com/office/drawing/2012/chart" uri="{CE6537A1-D6FC-4f65-9D91-7224C49458BB}">
                <c15:showLeaderLines val="0"/>
              </c:ext>
            </c:extLst>
          </c:dLbls>
          <c:trendline>
            <c:trendlineType val="linear"/>
          </c:trendline>
          <c:trendline>
            <c:spPr>
              <a:ln w="25400">
                <a:solidFill>
                  <a:srgbClr val="FF66FF"/>
                </a:solidFill>
              </a:ln>
            </c:spPr>
            <c:trendlineType val="linear"/>
            <c:dispEq val="1"/>
            <c:trendlineLbl>
              <c:layout>
                <c:manualLayout>
                  <c:x val="4.7355369124302979E-2"/>
                  <c:y val="-0.30824878630889341"/>
                </c:manualLayout>
              </c:layout>
              <c:tx>
                <c:rich>
                  <a:bodyPr/>
                  <a:lstStyle/>
                  <a:p>
                    <a:pPr>
                      <a:defRPr/>
                    </a:pPr>
                    <a:r>
                      <a:rPr lang="en-US" sz="1200" b="1" baseline="0">
                        <a:solidFill>
                          <a:srgbClr val="FF66FF"/>
                        </a:solidFill>
                      </a:rPr>
                      <a:t>Trendline: Emissions fell </a:t>
                    </a:r>
                    <a:r>
                      <a:rPr lang="en-US" sz="1200" b="1" i="0" u="none" strike="noStrike" baseline="0">
                        <a:solidFill>
                          <a:srgbClr val="FF66FF"/>
                        </a:solidFill>
                      </a:rPr>
                      <a:t>51 </a:t>
                    </a:r>
                  </a:p>
                  <a:p>
                    <a:pPr>
                      <a:defRPr/>
                    </a:pPr>
                    <a:r>
                      <a:rPr lang="en-US" sz="1200" b="1" i="0" u="none" strike="noStrike" baseline="0">
                        <a:solidFill>
                          <a:srgbClr val="FF66FF"/>
                        </a:solidFill>
                      </a:rPr>
                      <a:t>million metric tons per yr </a:t>
                    </a:r>
                    <a:endParaRPr lang="en-US" sz="1200" b="1">
                      <a:solidFill>
                        <a:srgbClr val="FF66FF"/>
                      </a:solidFill>
                    </a:endParaRPr>
                  </a:p>
                </c:rich>
              </c:tx>
              <c:numFmt formatCode="General" sourceLinked="0"/>
              <c:spPr>
                <a:solidFill>
                  <a:sysClr val="window" lastClr="FFFFFF"/>
                </a:solidFill>
              </c:spPr>
            </c:trendlineLbl>
          </c:trendline>
          <c:cat>
            <c:numRef>
              <c:f>Electricity!$H$121:$AE$121</c:f>
              <c:numCache>
                <c:formatCode>General</c:formatCode>
                <c:ptCount val="2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numCache>
              <c:extLst xmlns:c16r2="http://schemas.microsoft.com/office/drawing/2015/06/chart">
                <c:ext xmlns:c15="http://schemas.microsoft.com/office/drawing/2012/chart" uri="{02D57815-91ED-43cb-92C2-25804820EDAC}">
                  <c15:fullRef>
                    <c15:sqref>Electricity!$H$121:$AE$121</c15:sqref>
                  </c15:fullRef>
                </c:ext>
              </c:extLst>
            </c:numRef>
          </c:cat>
          <c:val>
            <c:numRef>
              <c:f>Electricity!$I$50:$S$50</c:f>
              <c:numCache>
                <c:formatCode>_(* #,##0_);_(* \(#,##0\);_(* "-"??_);_(@_)</c:formatCode>
                <c:ptCount val="11"/>
                <c:pt idx="0">
                  <c:v>2413</c:v>
                </c:pt>
                <c:pt idx="1">
                  <c:v>2358.6</c:v>
                </c:pt>
                <c:pt idx="2">
                  <c:v>2425.1999999999998</c:v>
                </c:pt>
                <c:pt idx="3">
                  <c:v>2372.4</c:v>
                </c:pt>
                <c:pt idx="4">
                  <c:v>2156.9999999999995</c:v>
                </c:pt>
                <c:pt idx="5">
                  <c:v>2269</c:v>
                </c:pt>
                <c:pt idx="6">
                  <c:v>2167.8000000000002</c:v>
                </c:pt>
                <c:pt idx="7">
                  <c:v>2032.1000000000001</c:v>
                </c:pt>
                <c:pt idx="8">
                  <c:v>2048.7000000000003</c:v>
                </c:pt>
                <c:pt idx="9">
                  <c:v>2048.3000000000002</c:v>
                </c:pt>
                <c:pt idx="10">
                  <c:v>1895.3696778233411</c:v>
                </c:pt>
              </c:numCache>
              <c:extLst xmlns:c16r2="http://schemas.microsoft.com/office/drawing/2015/06/chart">
                <c:ext xmlns:c15="http://schemas.microsoft.com/office/drawing/2012/chart" uri="{02D57815-91ED-43cb-92C2-25804820EDAC}">
                  <c15:fullRef>
                    <c15:sqref>Electricity!$I$50:$S$50</c15:sqref>
                  </c15:fullRef>
                </c:ext>
              </c:extLst>
            </c:numRef>
          </c:val>
          <c:extLst xmlns:c16r2="http://schemas.microsoft.com/office/drawing/2015/06/chart">
            <c:ext xmlns:c16="http://schemas.microsoft.com/office/drawing/2014/chart" uri="{C3380CC4-5D6E-409C-BE32-E72D297353CC}">
              <c16:uniqueId val="{00000000-4D2E-4240-9DB6-847231AE9A13}"/>
            </c:ext>
          </c:extLst>
        </c:ser>
        <c:ser>
          <c:idx val="1"/>
          <c:order val="1"/>
          <c:tx>
            <c:v>Clean Power Plan Goal for 2030</c:v>
          </c:tx>
          <c:spPr>
            <a:ln>
              <a:solidFill>
                <a:srgbClr val="0000FF"/>
              </a:solidFill>
              <a:prstDash val="sysDash"/>
            </a:ln>
          </c:spPr>
          <c:marker>
            <c:symbol val="none"/>
          </c:marker>
          <c:cat>
            <c:numRef>
              <c:f>Electricity!$H$121:$AE$121</c:f>
              <c:numCache>
                <c:formatCode>General</c:formatCode>
                <c:ptCount val="2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numCache>
              <c:extLst xmlns:c16r2="http://schemas.microsoft.com/office/drawing/2015/06/chart">
                <c:ext xmlns:c15="http://schemas.microsoft.com/office/drawing/2012/chart" uri="{02D57815-91ED-43cb-92C2-25804820EDAC}">
                  <c15:fullRef>
                    <c15:sqref>Electricity!$H$121:$AE$121</c15:sqref>
                  </c15:fullRef>
                </c:ext>
              </c:extLst>
            </c:numRef>
          </c:cat>
          <c:val>
            <c:numRef>
              <c:f>Electricity!$H$125:$AD$125</c:f>
              <c:numCache>
                <c:formatCode>_(* #,##0_);_(* \(#,##0\);_(* "-"??_);_(@_)</c:formatCode>
                <c:ptCount val="23"/>
                <c:pt idx="0">
                  <c:v>1640.8400000000001</c:v>
                </c:pt>
                <c:pt idx="1">
                  <c:v>1640.8400000000001</c:v>
                </c:pt>
                <c:pt idx="2">
                  <c:v>1640.8400000000001</c:v>
                </c:pt>
                <c:pt idx="3">
                  <c:v>1640.8400000000001</c:v>
                </c:pt>
                <c:pt idx="4">
                  <c:v>1640.8400000000001</c:v>
                </c:pt>
                <c:pt idx="5">
                  <c:v>1640.8400000000001</c:v>
                </c:pt>
                <c:pt idx="6">
                  <c:v>1640.8400000000001</c:v>
                </c:pt>
                <c:pt idx="7">
                  <c:v>1640.8400000000001</c:v>
                </c:pt>
                <c:pt idx="8">
                  <c:v>1640.8400000000001</c:v>
                </c:pt>
                <c:pt idx="9">
                  <c:v>1640.8400000000001</c:v>
                </c:pt>
                <c:pt idx="10">
                  <c:v>1640.8400000000001</c:v>
                </c:pt>
                <c:pt idx="11">
                  <c:v>1640.8400000000001</c:v>
                </c:pt>
                <c:pt idx="12">
                  <c:v>1640.8400000000001</c:v>
                </c:pt>
                <c:pt idx="13">
                  <c:v>1640.8400000000001</c:v>
                </c:pt>
                <c:pt idx="14">
                  <c:v>1640.8400000000001</c:v>
                </c:pt>
                <c:pt idx="15">
                  <c:v>1640.8400000000001</c:v>
                </c:pt>
                <c:pt idx="16">
                  <c:v>1640.8400000000001</c:v>
                </c:pt>
                <c:pt idx="17">
                  <c:v>1640.8400000000001</c:v>
                </c:pt>
                <c:pt idx="18">
                  <c:v>1640.8400000000001</c:v>
                </c:pt>
                <c:pt idx="19">
                  <c:v>1640.8400000000001</c:v>
                </c:pt>
                <c:pt idx="20">
                  <c:v>1640.8400000000001</c:v>
                </c:pt>
                <c:pt idx="21">
                  <c:v>1640.8400000000001</c:v>
                </c:pt>
                <c:pt idx="22">
                  <c:v>1640.8400000000001</c:v>
                </c:pt>
              </c:numCache>
              <c:extLst xmlns:c16r2="http://schemas.microsoft.com/office/drawing/2015/06/chart">
                <c:ext xmlns:c15="http://schemas.microsoft.com/office/drawing/2012/chart" uri="{02D57815-91ED-43cb-92C2-25804820EDAC}">
                  <c15:fullRef>
                    <c15:sqref>Electricity!$H$125:$AD$125</c15:sqref>
                  </c15:fullRef>
                </c:ext>
              </c:extLst>
            </c:numRef>
          </c:val>
          <c:extLst xmlns:c16r2="http://schemas.microsoft.com/office/drawing/2015/06/chart">
            <c:ext xmlns:c16="http://schemas.microsoft.com/office/drawing/2014/chart" uri="{C3380CC4-5D6E-409C-BE32-E72D297353CC}">
              <c16:uniqueId val="{00000001-4D2E-4240-9DB6-847231AE9A13}"/>
            </c:ext>
          </c:extLst>
        </c:ser>
        <c:dLbls/>
        <c:marker val="1"/>
        <c:axId val="173759488"/>
        <c:axId val="173769472"/>
      </c:lineChart>
      <c:catAx>
        <c:axId val="173759488"/>
        <c:scaling>
          <c:orientation val="minMax"/>
        </c:scaling>
        <c:axPos val="b"/>
        <c:numFmt formatCode="General" sourceLinked="1"/>
        <c:tickLblPos val="nextTo"/>
        <c:txPr>
          <a:bodyPr rot="2580000"/>
          <a:lstStyle/>
          <a:p>
            <a:pPr>
              <a:defRPr sz="1000" b="1" i="0" baseline="0"/>
            </a:pPr>
            <a:endParaRPr lang="en-US"/>
          </a:p>
        </c:txPr>
        <c:crossAx val="173769472"/>
        <c:crosses val="autoZero"/>
        <c:auto val="1"/>
        <c:lblAlgn val="ctr"/>
        <c:lblOffset val="100"/>
        <c:tickLblSkip val="5"/>
        <c:tickMarkSkip val="5"/>
      </c:catAx>
      <c:valAx>
        <c:axId val="173769472"/>
        <c:scaling>
          <c:orientation val="minMax"/>
          <c:max val="2600"/>
          <c:min val="1400"/>
        </c:scaling>
        <c:axPos val="r"/>
        <c:majorGridlines/>
        <c:title>
          <c:tx>
            <c:rich>
              <a:bodyPr rot="-5400000" vert="horz"/>
              <a:lstStyle/>
              <a:p>
                <a:pPr>
                  <a:defRPr sz="1200" b="1"/>
                </a:pPr>
                <a:r>
                  <a:rPr lang="en-US" sz="1200" b="1"/>
                  <a:t>Power Sector Emissions, million metric tons</a:t>
                </a:r>
              </a:p>
            </c:rich>
          </c:tx>
          <c:layout>
            <c:manualLayout>
              <c:xMode val="edge"/>
              <c:yMode val="edge"/>
              <c:x val="3.052164351015756E-2"/>
              <c:y val="0.20119557840080118"/>
            </c:manualLayout>
          </c:layout>
        </c:title>
        <c:numFmt formatCode="_(* #,##0_);_(* \(#,##0\);_(* &quot;-&quot;??_);_(@_)" sourceLinked="1"/>
        <c:tickLblPos val="high"/>
        <c:txPr>
          <a:bodyPr/>
          <a:lstStyle/>
          <a:p>
            <a:pPr>
              <a:defRPr b="1" i="0" baseline="0"/>
            </a:pPr>
            <a:endParaRPr lang="en-US"/>
          </a:p>
        </c:txPr>
        <c:crossAx val="173759488"/>
        <c:crosses val="max"/>
        <c:crossBetween val="between"/>
        <c:majorUnit val="200"/>
      </c:valAx>
      <c:spPr>
        <a:solidFill>
          <a:srgbClr val="FFFF00">
            <a:alpha val="53000"/>
          </a:srgbClr>
        </a:solidFill>
      </c:spPr>
    </c:plotArea>
    <c:plotVisOnly val="1"/>
    <c:dispBlanksAs val="gap"/>
  </c:chart>
  <c:spPr>
    <a:solidFill>
      <a:srgbClr val="66FFFF"/>
    </a:solidFill>
  </c:spPr>
  <c:printSettings>
    <c:headerFooter/>
    <c:pageMargins b="0.75000000000000011" l="0.70000000000000007" r="0.70000000000000007" t="0.75000000000000011" header="0.30000000000000004" footer="0.30000000000000004"/>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U.S.  CO2 Emissions in Carbon </a:t>
            </a:r>
          </a:p>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Tax's 10th Year, details</a:t>
            </a:r>
          </a:p>
        </c:rich>
      </c:tx>
      <c:layout>
        <c:manualLayout>
          <c:xMode val="edge"/>
          <c:yMode val="edge"/>
          <c:x val="0.20777666700364267"/>
          <c:y val="3.9428909655085803E-2"/>
        </c:manualLayout>
      </c:layout>
    </c:title>
    <c:plotArea>
      <c:layout>
        <c:manualLayout>
          <c:layoutTarget val="inner"/>
          <c:xMode val="edge"/>
          <c:yMode val="edge"/>
          <c:x val="0.109603898196936"/>
          <c:y val="0.12964637232845888"/>
          <c:w val="0.60614446220540008"/>
          <c:h val="0.74191296400450002"/>
        </c:manualLayout>
      </c:layout>
      <c:barChart>
        <c:barDir val="col"/>
        <c:grouping val="stacked"/>
        <c:ser>
          <c:idx val="1"/>
          <c:order val="0"/>
          <c:tx>
            <c:v>CO2 Emissions Remaining with Carbon Tax</c:v>
          </c:tx>
          <c:spPr>
            <a:solidFill>
              <a:srgbClr val="FF0000"/>
            </a:solidFill>
          </c:spPr>
          <c:dLbls>
            <c:dLbl>
              <c:idx val="0"/>
              <c:layout>
                <c:manualLayout>
                  <c:x val="-2.0885547201336834E-3"/>
                  <c:y val="-1.2780043119610203E-2"/>
                </c:manualLayout>
              </c:layout>
              <c:dLblPos val="ctr"/>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10FA-49FD-9591-9D134C7C97D6}"/>
                </c:ext>
              </c:extLst>
            </c:dLbl>
            <c:spPr>
              <a:noFill/>
              <a:ln>
                <a:noFill/>
              </a:ln>
              <a:effectLst/>
            </c:spPr>
            <c:txPr>
              <a:bodyPr/>
              <a:lstStyle/>
              <a:p>
                <a:pPr>
                  <a:defRPr sz="1100" b="1" i="0" u="none" strike="noStrike" baseline="0">
                    <a:solidFill>
                      <a:srgbClr val="000000"/>
                    </a:solidFill>
                    <a:latin typeface="Calibri"/>
                    <a:ea typeface="Calibri"/>
                    <a:cs typeface="Calibri"/>
                  </a:defRPr>
                </a:pPr>
                <a:endParaRPr lang="en-US"/>
              </a:p>
            </c:txPr>
            <c:showVal val="1"/>
            <c:extLst xmlns:c16r2="http://schemas.microsoft.com/office/drawing/2015/06/chart">
              <c:ext xmlns:c15="http://schemas.microsoft.com/office/drawing/2012/chart" uri="{CE6537A1-D6FC-4f65-9D91-7224C49458BB}">
                <c15:showLeaderLines val="0"/>
              </c:ext>
            </c:extLst>
          </c:dLbls>
          <c:cat>
            <c:strRef>
              <c:f>Graph_CO2!$B$90:$B$91</c:f>
              <c:strCache>
                <c:ptCount val="2"/>
                <c:pt idx="0">
                  <c:v>Electricity</c:v>
                </c:pt>
                <c:pt idx="1">
                  <c:v>Other Sectors Combined</c:v>
                </c:pt>
              </c:strCache>
            </c:strRef>
          </c:cat>
          <c:val>
            <c:numRef>
              <c:f>Graph_CO2!$AC$90:$AC$91</c:f>
              <c:numCache>
                <c:formatCode>_(* #,##0_);_(* \(#,##0\);_(* "-"??_);_(@_)</c:formatCode>
                <c:ptCount val="2"/>
                <c:pt idx="0">
                  <c:v>902.56768671022394</c:v>
                </c:pt>
                <c:pt idx="1">
                  <c:v>2503.6460756768474</c:v>
                </c:pt>
              </c:numCache>
            </c:numRef>
          </c:val>
          <c:extLst xmlns:c16r2="http://schemas.microsoft.com/office/drawing/2015/06/chart">
            <c:ext xmlns:c16="http://schemas.microsoft.com/office/drawing/2014/chart" uri="{C3380CC4-5D6E-409C-BE32-E72D297353CC}">
              <c16:uniqueId val="{00000001-10FA-49FD-9591-9D134C7C97D6}"/>
            </c:ext>
          </c:extLst>
        </c:ser>
        <c:ser>
          <c:idx val="0"/>
          <c:order val="1"/>
          <c:tx>
            <c:v>CO2 Reductions relative to No-tax Trajectory</c:v>
          </c:tx>
          <c:spPr>
            <a:solidFill>
              <a:srgbClr val="00FF00"/>
            </a:solidFill>
          </c:spPr>
          <c:dLbls>
            <c:dLbl>
              <c:idx val="0"/>
              <c:layout>
                <c:manualLayout>
                  <c:x val="-4.2997914734344235E-3"/>
                  <c:y val="-5.5380577427822132E-2"/>
                </c:manualLayout>
              </c:layout>
              <c:dLblPos val="ctr"/>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10FA-49FD-9591-9D134C7C97D6}"/>
                </c:ext>
              </c:extLst>
            </c:dLbl>
            <c:dLbl>
              <c:idx val="3"/>
              <c:layout>
                <c:manualLayout>
                  <c:x val="0"/>
                  <c:y val="-9.7087378640776708E-3"/>
                </c:manualLayout>
              </c:layout>
              <c:dLblPos val="ctr"/>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0FA-49FD-9591-9D134C7C97D6}"/>
                </c:ext>
              </c:extLst>
            </c:dLbl>
            <c:spPr>
              <a:noFill/>
              <a:ln>
                <a:noFill/>
              </a:ln>
              <a:effectLst/>
            </c:spPr>
            <c:txPr>
              <a:bodyPr/>
              <a:lstStyle/>
              <a:p>
                <a:pPr>
                  <a:defRPr sz="1100" b="1" i="0" u="none" strike="noStrike" baseline="0">
                    <a:solidFill>
                      <a:srgbClr val="000000"/>
                    </a:solidFill>
                    <a:latin typeface="Calibri"/>
                    <a:ea typeface="Calibri"/>
                    <a:cs typeface="Calibri"/>
                  </a:defRPr>
                </a:pPr>
                <a:endParaRPr lang="en-US"/>
              </a:p>
            </c:txPr>
            <c:showVal val="1"/>
            <c:extLst xmlns:c16r2="http://schemas.microsoft.com/office/drawing/2015/06/chart">
              <c:ext xmlns:c15="http://schemas.microsoft.com/office/drawing/2012/chart" uri="{CE6537A1-D6FC-4f65-9D91-7224C49458BB}">
                <c15:showLeaderLines val="0"/>
              </c:ext>
            </c:extLst>
          </c:dLbls>
          <c:cat>
            <c:strRef>
              <c:f>Graph_CO2!$B$90:$B$91</c:f>
              <c:strCache>
                <c:ptCount val="2"/>
                <c:pt idx="0">
                  <c:v>Electricity</c:v>
                </c:pt>
                <c:pt idx="1">
                  <c:v>Other Sectors Combined</c:v>
                </c:pt>
              </c:strCache>
            </c:strRef>
          </c:cat>
          <c:val>
            <c:numRef>
              <c:f>Graph_CO2!$AC$94:$AC$95</c:f>
              <c:numCache>
                <c:formatCode>_(* #,##0_);_(* \(#,##0\);_(* "-"??_);_(@_)</c:formatCode>
                <c:ptCount val="2"/>
                <c:pt idx="0">
                  <c:v>861.08067244191454</c:v>
                </c:pt>
                <c:pt idx="1">
                  <c:v>708.2430774360306</c:v>
                </c:pt>
              </c:numCache>
            </c:numRef>
          </c:val>
          <c:extLst xmlns:c16r2="http://schemas.microsoft.com/office/drawing/2015/06/chart">
            <c:ext xmlns:c16="http://schemas.microsoft.com/office/drawing/2014/chart" uri="{C3380CC4-5D6E-409C-BE32-E72D297353CC}">
              <c16:uniqueId val="{00000004-10FA-49FD-9591-9D134C7C97D6}"/>
            </c:ext>
          </c:extLst>
        </c:ser>
        <c:dLbls>
          <c:showVal val="1"/>
        </c:dLbls>
        <c:gapWidth val="95"/>
        <c:overlap val="100"/>
        <c:axId val="130848256"/>
        <c:axId val="130849792"/>
      </c:barChart>
      <c:catAx>
        <c:axId val="130848256"/>
        <c:scaling>
          <c:orientation val="minMax"/>
        </c:scaling>
        <c:axPos val="b"/>
        <c:numFmt formatCode="General" sourceLinked="1"/>
        <c:majorTickMark val="none"/>
        <c:tickLblPos val="nextTo"/>
        <c:txPr>
          <a:bodyPr rot="0" vert="horz"/>
          <a:lstStyle/>
          <a:p>
            <a:pPr>
              <a:defRPr sz="1400" b="1" i="0" u="none" strike="noStrike" baseline="0">
                <a:solidFill>
                  <a:srgbClr val="000000"/>
                </a:solidFill>
                <a:latin typeface="Calibri"/>
                <a:ea typeface="Calibri"/>
                <a:cs typeface="Calibri"/>
              </a:defRPr>
            </a:pPr>
            <a:endParaRPr lang="en-US"/>
          </a:p>
        </c:txPr>
        <c:crossAx val="130849792"/>
        <c:crosses val="autoZero"/>
        <c:auto val="1"/>
        <c:lblAlgn val="ctr"/>
        <c:lblOffset val="100"/>
      </c:catAx>
      <c:valAx>
        <c:axId val="130849792"/>
        <c:scaling>
          <c:orientation val="minMax"/>
        </c:scaling>
        <c:axPos val="l"/>
        <c:numFmt formatCode="_(* #,##0_);_(* \(#,##0\);_(* &quot;-&quot;??_);_(@_)" sourceLinked="1"/>
        <c:tickLblPos val="nextTo"/>
        <c:spPr>
          <a:ln w="9525">
            <a:noFill/>
          </a:ln>
        </c:spPr>
        <c:txPr>
          <a:bodyPr rot="0" vert="horz"/>
          <a:lstStyle/>
          <a:p>
            <a:pPr>
              <a:defRPr sz="1200" b="1" i="0" u="none" strike="noStrike" baseline="0">
                <a:solidFill>
                  <a:srgbClr val="000000"/>
                </a:solidFill>
                <a:latin typeface="Calibri"/>
                <a:ea typeface="Calibri"/>
                <a:cs typeface="Calibri"/>
              </a:defRPr>
            </a:pPr>
            <a:endParaRPr lang="en-US"/>
          </a:p>
        </c:txPr>
        <c:crossAx val="130848256"/>
        <c:crosses val="autoZero"/>
        <c:crossBetween val="between"/>
        <c:majorUnit val="1000"/>
      </c:valAx>
      <c:spPr>
        <a:solidFill>
          <a:srgbClr val="FFCCFF"/>
        </a:solidFill>
      </c:spPr>
    </c:plotArea>
    <c:legend>
      <c:legendPos val="r"/>
      <c:legendEntry>
        <c:idx val="0"/>
        <c:txPr>
          <a:bodyPr/>
          <a:lstStyle/>
          <a:p>
            <a:pPr>
              <a:defRPr sz="1150" b="1" i="0" u="none" strike="noStrike" baseline="0">
                <a:solidFill>
                  <a:srgbClr val="000000"/>
                </a:solidFill>
                <a:latin typeface="Calibri"/>
                <a:ea typeface="Calibri"/>
                <a:cs typeface="Calibri"/>
              </a:defRPr>
            </a:pPr>
            <a:endParaRPr lang="en-US"/>
          </a:p>
        </c:txPr>
      </c:legendEntry>
      <c:legendEntry>
        <c:idx val="1"/>
        <c:txPr>
          <a:bodyPr/>
          <a:lstStyle/>
          <a:p>
            <a:pPr>
              <a:defRPr sz="1150" b="1" i="0" u="none" strike="noStrike" baseline="0">
                <a:solidFill>
                  <a:srgbClr val="000000"/>
                </a:solidFill>
                <a:latin typeface="Calibri"/>
                <a:ea typeface="Calibri"/>
                <a:cs typeface="Calibri"/>
              </a:defRPr>
            </a:pPr>
            <a:endParaRPr lang="en-US"/>
          </a:p>
        </c:txPr>
      </c:legendEntry>
      <c:layout>
        <c:manualLayout>
          <c:xMode val="edge"/>
          <c:yMode val="edge"/>
          <c:x val="0.73323823109844133"/>
          <c:y val="0.50113943046414156"/>
          <c:w val="0.20542082738944401"/>
          <c:h val="0.33029660586277204"/>
        </c:manualLayout>
      </c:layout>
      <c:spPr>
        <a:solidFill>
          <a:srgbClr val="FFFF00"/>
        </a:solidFill>
        <a:ln>
          <a:solidFill>
            <a:schemeClr val="tx1"/>
          </a:solidFill>
        </a:ln>
      </c:spPr>
      <c:txPr>
        <a:bodyPr/>
        <a:lstStyle/>
        <a:p>
          <a:pPr>
            <a:defRPr sz="1150" b="1" i="0" u="none" strike="noStrike" baseline="0">
              <a:solidFill>
                <a:srgbClr val="000000"/>
              </a:solidFill>
              <a:latin typeface="Calibri"/>
              <a:ea typeface="Calibri"/>
              <a:cs typeface="Calibri"/>
            </a:defRPr>
          </a:pPr>
          <a:endParaRPr lang="en-US"/>
        </a:p>
      </c:txPr>
    </c:legend>
    <c:plotVisOnly val="1"/>
    <c:dispBlanksAs val="gap"/>
  </c:chart>
  <c:spPr>
    <a:solidFill>
      <a:srgbClr val="FFCCFF"/>
    </a:solidFill>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033" l="0.70000000000000162" r="0.70000000000000162" t="0.75000000000001033" header="0.30000000000000032" footer="0.30000000000000032"/>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2400" b="0" i="0" u="none" strike="noStrike" baseline="0">
                <a:solidFill>
                  <a:srgbClr val="000000"/>
                </a:solidFill>
                <a:latin typeface="Arial"/>
                <a:ea typeface="Arial"/>
                <a:cs typeface="Arial"/>
              </a:defRPr>
            </a:pPr>
            <a:r>
              <a:rPr lang="en-US" sz="2200" b="1" i="0" u="none" strike="noStrike" baseline="0">
                <a:solidFill>
                  <a:srgbClr val="000000"/>
                </a:solidFill>
                <a:latin typeface="Arial"/>
                <a:cs typeface="Arial"/>
              </a:rPr>
              <a:t>U.S. CO2 Emissions from Fossil Fuels</a:t>
            </a:r>
            <a:r>
              <a:rPr lang="en-US" sz="2200" b="1" i="0" u="none" strike="noStrike" baseline="0"/>
              <a:t> </a:t>
            </a:r>
            <a:endParaRPr lang="en-US" sz="2200" b="1" i="0" u="none" strike="noStrike" baseline="0">
              <a:solidFill>
                <a:srgbClr val="000000"/>
              </a:solidFill>
              <a:latin typeface="Arial"/>
              <a:cs typeface="Arial"/>
            </a:endParaRPr>
          </a:p>
          <a:p>
            <a:pPr>
              <a:defRPr sz="2400" b="0" i="0" u="none" strike="noStrike" baseline="0">
                <a:solidFill>
                  <a:srgbClr val="000000"/>
                </a:solidFill>
                <a:latin typeface="Arial"/>
                <a:ea typeface="Arial"/>
                <a:cs typeface="Arial"/>
              </a:defRPr>
            </a:pPr>
            <a:endParaRPr lang="en-US" sz="2400" b="1" i="0" u="none" strike="noStrike" baseline="0">
              <a:solidFill>
                <a:srgbClr val="000000"/>
              </a:solidFill>
              <a:latin typeface="Arial"/>
              <a:cs typeface="Arial"/>
            </a:endParaRPr>
          </a:p>
        </c:rich>
      </c:tx>
      <c:layout>
        <c:manualLayout>
          <c:xMode val="edge"/>
          <c:yMode val="edge"/>
          <c:x val="0.12335987864998098"/>
          <c:y val="6.0168471720818933E-2"/>
        </c:manualLayout>
      </c:layout>
      <c:spPr>
        <a:noFill/>
        <a:ln w="25400">
          <a:noFill/>
        </a:ln>
      </c:spPr>
    </c:title>
    <c:plotArea>
      <c:layout>
        <c:manualLayout>
          <c:layoutTarget val="inner"/>
          <c:xMode val="edge"/>
          <c:yMode val="edge"/>
          <c:x val="0.16000361302959987"/>
          <c:y val="0.21365824308062761"/>
          <c:w val="0.76525706190049503"/>
          <c:h val="0.66754668978651999"/>
        </c:manualLayout>
      </c:layout>
      <c:lineChart>
        <c:grouping val="standard"/>
        <c:ser>
          <c:idx val="0"/>
          <c:order val="0"/>
          <c:tx>
            <c:v>No Carbon Tax</c:v>
          </c:tx>
          <c:spPr>
            <a:ln w="12700">
              <a:solidFill>
                <a:srgbClr val="000080"/>
              </a:solidFill>
              <a:prstDash val="solid"/>
            </a:ln>
          </c:spPr>
          <c:marker>
            <c:symbol val="diamond"/>
            <c:size val="9"/>
            <c:spPr>
              <a:solidFill>
                <a:srgbClr val="FF0000"/>
              </a:solidFill>
              <a:ln>
                <a:solidFill>
                  <a:srgbClr val="000080"/>
                </a:solidFill>
                <a:prstDash val="solid"/>
              </a:ln>
            </c:spPr>
          </c:marker>
          <c:cat>
            <c:numRef>
              <c:f>Graph_CO2!$I$44:$AN$44</c:f>
              <c:numCache>
                <c:formatCode>0</c:formatCode>
                <c:ptCount val="32"/>
                <c:pt idx="0">
                  <c:v>2005</c:v>
                </c:pt>
                <c:pt idx="1">
                  <c:v>2006</c:v>
                </c:pt>
                <c:pt idx="2">
                  <c:v>2007</c:v>
                </c:pt>
                <c:pt idx="3">
                  <c:v>2008</c:v>
                </c:pt>
                <c:pt idx="4">
                  <c:v>2009</c:v>
                </c:pt>
                <c:pt idx="5">
                  <c:v>2010</c:v>
                </c:pt>
                <c:pt idx="6">
                  <c:v>2011</c:v>
                </c:pt>
                <c:pt idx="7">
                  <c:v>2012</c:v>
                </c:pt>
                <c:pt idx="8">
                  <c:v>2013</c:v>
                </c:pt>
                <c:pt idx="9">
                  <c:v>2014</c:v>
                </c:pt>
                <c:pt idx="10">
                  <c:v>2015</c:v>
                </c:pt>
                <c:pt idx="11">
                  <c:v>2017</c:v>
                </c:pt>
                <c:pt idx="12">
                  <c:v>2018</c:v>
                </c:pt>
                <c:pt idx="13">
                  <c:v>2019</c:v>
                </c:pt>
                <c:pt idx="14">
                  <c:v>2020</c:v>
                </c:pt>
                <c:pt idx="15">
                  <c:v>2021</c:v>
                </c:pt>
                <c:pt idx="16">
                  <c:v>2022</c:v>
                </c:pt>
                <c:pt idx="17">
                  <c:v>2023</c:v>
                </c:pt>
                <c:pt idx="18">
                  <c:v>2024</c:v>
                </c:pt>
                <c:pt idx="19">
                  <c:v>2025</c:v>
                </c:pt>
                <c:pt idx="20">
                  <c:v>2026</c:v>
                </c:pt>
                <c:pt idx="21">
                  <c:v>2027</c:v>
                </c:pt>
                <c:pt idx="22">
                  <c:v>2028</c:v>
                </c:pt>
                <c:pt idx="23">
                  <c:v>2029</c:v>
                </c:pt>
                <c:pt idx="24">
                  <c:v>2030</c:v>
                </c:pt>
                <c:pt idx="25">
                  <c:v>2031</c:v>
                </c:pt>
                <c:pt idx="26">
                  <c:v>2032</c:v>
                </c:pt>
                <c:pt idx="27">
                  <c:v>2033</c:v>
                </c:pt>
                <c:pt idx="28">
                  <c:v>2034</c:v>
                </c:pt>
                <c:pt idx="29">
                  <c:v>2035</c:v>
                </c:pt>
                <c:pt idx="30">
                  <c:v>2036</c:v>
                </c:pt>
                <c:pt idx="31">
                  <c:v>2037</c:v>
                </c:pt>
              </c:numCache>
            </c:numRef>
          </c:cat>
          <c:val>
            <c:numRef>
              <c:f>Graph_CO2!$I$45:$AN$45</c:f>
              <c:numCache>
                <c:formatCode>_(* #,##0_);_(* \(#,##0\);_(* "-"??_);_(@_)</c:formatCode>
                <c:ptCount val="32"/>
                <c:pt idx="0">
                  <c:v>5811.705891565216</c:v>
                </c:pt>
                <c:pt idx="1">
                  <c:v>5741.3947512468221</c:v>
                </c:pt>
                <c:pt idx="2">
                  <c:v>5831.6621575089175</c:v>
                </c:pt>
                <c:pt idx="3">
                  <c:v>5629.4402855458411</c:v>
                </c:pt>
                <c:pt idx="4">
                  <c:v>5237.9790874120499</c:v>
                </c:pt>
                <c:pt idx="5">
                  <c:v>5421.3546132287674</c:v>
                </c:pt>
                <c:pt idx="6">
                  <c:v>5271.9587835203365</c:v>
                </c:pt>
                <c:pt idx="7">
                  <c:v>5061.796514329073</c:v>
                </c:pt>
                <c:pt idx="8">
                  <c:v>5210.4666515024519</c:v>
                </c:pt>
                <c:pt idx="9">
                  <c:v>5265.4112730987672</c:v>
                </c:pt>
                <c:pt idx="10">
                  <c:v>5104.5387588362364</c:v>
                </c:pt>
                <c:pt idx="11">
                  <c:v>5046.5655113504927</c:v>
                </c:pt>
                <c:pt idx="12">
                  <c:v>5029.0196091770758</c:v>
                </c:pt>
                <c:pt idx="13">
                  <c:v>5011.7661930732556</c:v>
                </c:pt>
                <c:pt idx="14">
                  <c:v>4996.6967853840397</c:v>
                </c:pt>
                <c:pt idx="15">
                  <c:v>4982.1862657830388</c:v>
                </c:pt>
                <c:pt idx="16">
                  <c:v>4977.2427579819168</c:v>
                </c:pt>
                <c:pt idx="17">
                  <c:v>4977.9278678765377</c:v>
                </c:pt>
                <c:pt idx="18">
                  <c:v>4978.6434462421412</c:v>
                </c:pt>
                <c:pt idx="19">
                  <c:v>4977.8611055325591</c:v>
                </c:pt>
                <c:pt idx="20">
                  <c:v>4975.5375122650157</c:v>
                </c:pt>
                <c:pt idx="21">
                  <c:v>4965.5608677201562</c:v>
                </c:pt>
                <c:pt idx="22">
                  <c:v>4955.7415341154447</c:v>
                </c:pt>
                <c:pt idx="23">
                  <c:v>4946.0785287498356</c:v>
                </c:pt>
                <c:pt idx="24">
                  <c:v>4936.5708791641691</c:v>
                </c:pt>
                <c:pt idx="25">
                  <c:v>4936.3511241774959</c:v>
                </c:pt>
                <c:pt idx="26">
                  <c:v>4935.6671283251453</c:v>
                </c:pt>
                <c:pt idx="27">
                  <c:v>4935.0429486801213</c:v>
                </c:pt>
                <c:pt idx="28">
                  <c:v>4934.4805393085126</c:v>
                </c:pt>
                <c:pt idx="29">
                  <c:v>4933.9818621789072</c:v>
                </c:pt>
                <c:pt idx="30">
                  <c:v>4933.5488869980691</c:v>
                </c:pt>
                <c:pt idx="31">
                  <c:v>4933.1835910508898</c:v>
                </c:pt>
              </c:numCache>
            </c:numRef>
          </c:val>
          <c:extLst xmlns:c16r2="http://schemas.microsoft.com/office/drawing/2015/06/chart">
            <c:ext xmlns:c16="http://schemas.microsoft.com/office/drawing/2014/chart" uri="{C3380CC4-5D6E-409C-BE32-E72D297353CC}">
              <c16:uniqueId val="{00000000-4A8B-420B-843A-8543775A3363}"/>
            </c:ext>
          </c:extLst>
        </c:ser>
        <c:ser>
          <c:idx val="2"/>
          <c:order val="1"/>
          <c:tx>
            <c:v>User-Selected Tax</c:v>
          </c:tx>
          <c:marker>
            <c:symbol val="triangle"/>
            <c:size val="10"/>
            <c:spPr>
              <a:solidFill>
                <a:srgbClr val="00FF00"/>
              </a:solidFill>
              <a:ln>
                <a:noFill/>
              </a:ln>
            </c:spPr>
          </c:marker>
          <c:cat>
            <c:numRef>
              <c:f>Graph_CO2!$I$44:$AN$44</c:f>
              <c:numCache>
                <c:formatCode>0</c:formatCode>
                <c:ptCount val="32"/>
                <c:pt idx="0">
                  <c:v>2005</c:v>
                </c:pt>
                <c:pt idx="1">
                  <c:v>2006</c:v>
                </c:pt>
                <c:pt idx="2">
                  <c:v>2007</c:v>
                </c:pt>
                <c:pt idx="3">
                  <c:v>2008</c:v>
                </c:pt>
                <c:pt idx="4">
                  <c:v>2009</c:v>
                </c:pt>
                <c:pt idx="5">
                  <c:v>2010</c:v>
                </c:pt>
                <c:pt idx="6">
                  <c:v>2011</c:v>
                </c:pt>
                <c:pt idx="7">
                  <c:v>2012</c:v>
                </c:pt>
                <c:pt idx="8">
                  <c:v>2013</c:v>
                </c:pt>
                <c:pt idx="9">
                  <c:v>2014</c:v>
                </c:pt>
                <c:pt idx="10">
                  <c:v>2015</c:v>
                </c:pt>
                <c:pt idx="11">
                  <c:v>2017</c:v>
                </c:pt>
                <c:pt idx="12">
                  <c:v>2018</c:v>
                </c:pt>
                <c:pt idx="13">
                  <c:v>2019</c:v>
                </c:pt>
                <c:pt idx="14">
                  <c:v>2020</c:v>
                </c:pt>
                <c:pt idx="15">
                  <c:v>2021</c:v>
                </c:pt>
                <c:pt idx="16">
                  <c:v>2022</c:v>
                </c:pt>
                <c:pt idx="17">
                  <c:v>2023</c:v>
                </c:pt>
                <c:pt idx="18">
                  <c:v>2024</c:v>
                </c:pt>
                <c:pt idx="19">
                  <c:v>2025</c:v>
                </c:pt>
                <c:pt idx="20">
                  <c:v>2026</c:v>
                </c:pt>
                <c:pt idx="21">
                  <c:v>2027</c:v>
                </c:pt>
                <c:pt idx="22">
                  <c:v>2028</c:v>
                </c:pt>
                <c:pt idx="23">
                  <c:v>2029</c:v>
                </c:pt>
                <c:pt idx="24">
                  <c:v>2030</c:v>
                </c:pt>
                <c:pt idx="25">
                  <c:v>2031</c:v>
                </c:pt>
                <c:pt idx="26">
                  <c:v>2032</c:v>
                </c:pt>
                <c:pt idx="27">
                  <c:v>2033</c:v>
                </c:pt>
                <c:pt idx="28">
                  <c:v>2034</c:v>
                </c:pt>
                <c:pt idx="29">
                  <c:v>2035</c:v>
                </c:pt>
                <c:pt idx="30">
                  <c:v>2036</c:v>
                </c:pt>
                <c:pt idx="31">
                  <c:v>2037</c:v>
                </c:pt>
              </c:numCache>
            </c:numRef>
          </c:cat>
          <c:val>
            <c:numRef>
              <c:f>Graph_CO2!$I$47:$AN$47</c:f>
              <c:numCache>
                <c:formatCode>_(* #,##0_);_(* \(#,##0\);_(* "-"??_);_(@_)</c:formatCode>
                <c:ptCount val="32"/>
                <c:pt idx="0">
                  <c:v>5811.705891565216</c:v>
                </c:pt>
                <c:pt idx="1">
                  <c:v>5741.3947512468221</c:v>
                </c:pt>
                <c:pt idx="2">
                  <c:v>5831.6621575089175</c:v>
                </c:pt>
                <c:pt idx="3">
                  <c:v>5629.4402855458411</c:v>
                </c:pt>
                <c:pt idx="4">
                  <c:v>5237.9790874120499</c:v>
                </c:pt>
                <c:pt idx="5">
                  <c:v>5421.3546132287674</c:v>
                </c:pt>
                <c:pt idx="6">
                  <c:v>5271.9587835203365</c:v>
                </c:pt>
                <c:pt idx="7">
                  <c:v>5061.796514329073</c:v>
                </c:pt>
                <c:pt idx="8">
                  <c:v>5210.4666515024519</c:v>
                </c:pt>
                <c:pt idx="9">
                  <c:v>5265.4112730987672</c:v>
                </c:pt>
                <c:pt idx="10">
                  <c:v>5104.5387588362364</c:v>
                </c:pt>
                <c:pt idx="11">
                  <c:v>4804.5672943417485</c:v>
                </c:pt>
                <c:pt idx="12">
                  <c:v>4571.5969475236061</c:v>
                </c:pt>
                <c:pt idx="13">
                  <c:v>4366.3671264869035</c:v>
                </c:pt>
                <c:pt idx="14">
                  <c:v>4185.3280177723309</c:v>
                </c:pt>
                <c:pt idx="15">
                  <c:v>4018.9809123075147</c:v>
                </c:pt>
                <c:pt idx="16">
                  <c:v>3873.4183585679589</c:v>
                </c:pt>
                <c:pt idx="17">
                  <c:v>3744.3933367446161</c:v>
                </c:pt>
                <c:pt idx="18">
                  <c:v>3625.0125223660971</c:v>
                </c:pt>
                <c:pt idx="19">
                  <c:v>3512.6285343834284</c:v>
                </c:pt>
                <c:pt idx="20">
                  <c:v>3406.2137623870713</c:v>
                </c:pt>
                <c:pt idx="21">
                  <c:v>3299.819374038455</c:v>
                </c:pt>
                <c:pt idx="22">
                  <c:v>3200.0306182053191</c:v>
                </c:pt>
                <c:pt idx="23">
                  <c:v>3106.648941185776</c:v>
                </c:pt>
                <c:pt idx="24">
                  <c:v>3019.010616037508</c:v>
                </c:pt>
                <c:pt idx="25">
                  <c:v>2938.6126092781701</c:v>
                </c:pt>
                <c:pt idx="26">
                  <c:v>2862.1350350781963</c:v>
                </c:pt>
                <c:pt idx="27">
                  <c:v>2789.6677011175238</c:v>
                </c:pt>
                <c:pt idx="28">
                  <c:v>2720.8691597313632</c:v>
                </c:pt>
                <c:pt idx="29">
                  <c:v>2655.4384955128794</c:v>
                </c:pt>
                <c:pt idx="30">
                  <c:v>2593.1716197677424</c:v>
                </c:pt>
                <c:pt idx="31">
                  <c:v>2533.7775462375603</c:v>
                </c:pt>
              </c:numCache>
            </c:numRef>
          </c:val>
          <c:extLst xmlns:c16r2="http://schemas.microsoft.com/office/drawing/2015/06/chart">
            <c:ext xmlns:c16="http://schemas.microsoft.com/office/drawing/2014/chart" uri="{C3380CC4-5D6E-409C-BE32-E72D297353CC}">
              <c16:uniqueId val="{00000001-4A8B-420B-843A-8543775A3363}"/>
            </c:ext>
          </c:extLst>
        </c:ser>
        <c:ser>
          <c:idx val="1"/>
          <c:order val="2"/>
          <c:tx>
            <c:v>Tax pegged to 'social cost of carbon' ($45/ton) + 2%/y</c:v>
          </c:tx>
          <c:marker>
            <c:symbol val="square"/>
            <c:size val="6"/>
            <c:spPr>
              <a:solidFill>
                <a:srgbClr val="FFFF00"/>
              </a:solidFill>
            </c:spPr>
          </c:marker>
          <c:cat>
            <c:numRef>
              <c:f>Graph_CO2!$I$44:$AN$44</c:f>
              <c:numCache>
                <c:formatCode>0</c:formatCode>
                <c:ptCount val="32"/>
                <c:pt idx="0">
                  <c:v>2005</c:v>
                </c:pt>
                <c:pt idx="1">
                  <c:v>2006</c:v>
                </c:pt>
                <c:pt idx="2">
                  <c:v>2007</c:v>
                </c:pt>
                <c:pt idx="3">
                  <c:v>2008</c:v>
                </c:pt>
                <c:pt idx="4">
                  <c:v>2009</c:v>
                </c:pt>
                <c:pt idx="5">
                  <c:v>2010</c:v>
                </c:pt>
                <c:pt idx="6">
                  <c:v>2011</c:v>
                </c:pt>
                <c:pt idx="7">
                  <c:v>2012</c:v>
                </c:pt>
                <c:pt idx="8">
                  <c:v>2013</c:v>
                </c:pt>
                <c:pt idx="9">
                  <c:v>2014</c:v>
                </c:pt>
                <c:pt idx="10">
                  <c:v>2015</c:v>
                </c:pt>
                <c:pt idx="11">
                  <c:v>2017</c:v>
                </c:pt>
                <c:pt idx="12">
                  <c:v>2018</c:v>
                </c:pt>
                <c:pt idx="13">
                  <c:v>2019</c:v>
                </c:pt>
                <c:pt idx="14">
                  <c:v>2020</c:v>
                </c:pt>
                <c:pt idx="15">
                  <c:v>2021</c:v>
                </c:pt>
                <c:pt idx="16">
                  <c:v>2022</c:v>
                </c:pt>
                <c:pt idx="17">
                  <c:v>2023</c:v>
                </c:pt>
                <c:pt idx="18">
                  <c:v>2024</c:v>
                </c:pt>
                <c:pt idx="19">
                  <c:v>2025</c:v>
                </c:pt>
                <c:pt idx="20">
                  <c:v>2026</c:v>
                </c:pt>
                <c:pt idx="21">
                  <c:v>2027</c:v>
                </c:pt>
                <c:pt idx="22">
                  <c:v>2028</c:v>
                </c:pt>
                <c:pt idx="23">
                  <c:v>2029</c:v>
                </c:pt>
                <c:pt idx="24">
                  <c:v>2030</c:v>
                </c:pt>
                <c:pt idx="25">
                  <c:v>2031</c:v>
                </c:pt>
                <c:pt idx="26">
                  <c:v>2032</c:v>
                </c:pt>
                <c:pt idx="27">
                  <c:v>2033</c:v>
                </c:pt>
                <c:pt idx="28">
                  <c:v>2034</c:v>
                </c:pt>
                <c:pt idx="29">
                  <c:v>2035</c:v>
                </c:pt>
                <c:pt idx="30">
                  <c:v>2036</c:v>
                </c:pt>
                <c:pt idx="31">
                  <c:v>2037</c:v>
                </c:pt>
              </c:numCache>
            </c:numRef>
          </c:cat>
          <c:val>
            <c:numRef>
              <c:f>Graph_CO2!$I$49:$AN$49</c:f>
              <c:numCache>
                <c:formatCode>_(* #,##0_);_(* \(#,##0\);_(* "-"??_);_(@_)</c:formatCode>
                <c:ptCount val="32"/>
                <c:pt idx="0">
                  <c:v>5811.705891565216</c:v>
                </c:pt>
                <c:pt idx="1">
                  <c:v>5741.3947512468221</c:v>
                </c:pt>
                <c:pt idx="2">
                  <c:v>5831.6621575089175</c:v>
                </c:pt>
                <c:pt idx="3">
                  <c:v>5629.4402855458411</c:v>
                </c:pt>
                <c:pt idx="4">
                  <c:v>5237.9790874120499</c:v>
                </c:pt>
                <c:pt idx="5">
                  <c:v>5421.3546132287674</c:v>
                </c:pt>
                <c:pt idx="6">
                  <c:v>5271.9587835203365</c:v>
                </c:pt>
                <c:pt idx="7">
                  <c:v>5061.796514329073</c:v>
                </c:pt>
                <c:pt idx="8">
                  <c:v>5210.4666515024519</c:v>
                </c:pt>
                <c:pt idx="9">
                  <c:v>5265.4112730987672</c:v>
                </c:pt>
                <c:pt idx="10">
                  <c:v>5104.5387588362364</c:v>
                </c:pt>
                <c:pt idx="11">
                  <c:v>4770.5827902297196</c:v>
                </c:pt>
                <c:pt idx="12">
                  <c:v>4512.2446956721797</c:v>
                </c:pt>
                <c:pt idx="13">
                  <c:v>4287.5424072075602</c:v>
                </c:pt>
                <c:pt idx="14">
                  <c:v>4150.7265817380603</c:v>
                </c:pt>
                <c:pt idx="15">
                  <c:v>4123.0337829501796</c:v>
                </c:pt>
                <c:pt idx="16">
                  <c:v>4102.5165275321197</c:v>
                </c:pt>
                <c:pt idx="17">
                  <c:v>4087.22792466295</c:v>
                </c:pt>
                <c:pt idx="18">
                  <c:v>4071.86017613281</c:v>
                </c:pt>
                <c:pt idx="19">
                  <c:v>4054.9907476711001</c:v>
                </c:pt>
                <c:pt idx="20">
                  <c:v>4036.59910366843</c:v>
                </c:pt>
                <c:pt idx="21">
                  <c:v>4011.0683738666098</c:v>
                </c:pt>
                <c:pt idx="22">
                  <c:v>3986.39578150229</c:v>
                </c:pt>
                <c:pt idx="23">
                  <c:v>3963.0517730197798</c:v>
                </c:pt>
                <c:pt idx="24">
                  <c:v>3940.8931568129101</c:v>
                </c:pt>
                <c:pt idx="25">
                  <c:v>3924.28814330873</c:v>
                </c:pt>
                <c:pt idx="26">
                  <c:v>3906.9890245390998</c:v>
                </c:pt>
                <c:pt idx="27">
                  <c:v>3889.6031884109302</c:v>
                </c:pt>
                <c:pt idx="28">
                  <c:v>3872.1303466447098</c:v>
                </c:pt>
                <c:pt idx="29">
                  <c:v>3854.5702132793699</c:v>
                </c:pt>
                <c:pt idx="30">
                  <c:v>3837.0209748242801</c:v>
                </c:pt>
                <c:pt idx="31">
                  <c:v>3819.4007015513898</c:v>
                </c:pt>
              </c:numCache>
            </c:numRef>
          </c:val>
          <c:extLst xmlns:c16r2="http://schemas.microsoft.com/office/drawing/2015/06/chart">
            <c:ext xmlns:c16="http://schemas.microsoft.com/office/drawing/2014/chart" uri="{C3380CC4-5D6E-409C-BE32-E72D297353CC}">
              <c16:uniqueId val="{00000002-4A8B-420B-843A-8543775A3363}"/>
            </c:ext>
          </c:extLst>
        </c:ser>
        <c:dLbls/>
        <c:marker val="1"/>
        <c:axId val="130882944"/>
        <c:axId val="130917504"/>
      </c:lineChart>
      <c:catAx>
        <c:axId val="130882944"/>
        <c:scaling>
          <c:orientation val="minMax"/>
        </c:scaling>
        <c:axPos val="b"/>
        <c:minorGridlines>
          <c:spPr>
            <a:ln>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a:ln>
          </c:spPr>
        </c:minorGridlines>
        <c:numFmt formatCode="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30917504"/>
        <c:crosses val="autoZero"/>
        <c:auto val="1"/>
        <c:lblAlgn val="ctr"/>
        <c:lblOffset val="100"/>
        <c:tickLblSkip val="4"/>
        <c:tickMarkSkip val="1"/>
      </c:catAx>
      <c:valAx>
        <c:axId val="130917504"/>
        <c:scaling>
          <c:orientation val="minMax"/>
          <c:max val="6000"/>
        </c:scaling>
        <c:axPos val="l"/>
        <c:majorGridlines>
          <c:spPr>
            <a:ln w="3175">
              <a:solidFill>
                <a:srgbClr val="000000"/>
              </a:solidFill>
              <a:prstDash val="solid"/>
            </a:ln>
          </c:spPr>
        </c:majorGridlines>
        <c:title>
          <c:tx>
            <c:rich>
              <a:bodyPr/>
              <a:lstStyle/>
              <a:p>
                <a:pPr>
                  <a:defRPr sz="1500" b="1" i="0" u="none" strike="noStrike" baseline="0">
                    <a:solidFill>
                      <a:srgbClr val="000000"/>
                    </a:solidFill>
                    <a:latin typeface="Arial"/>
                    <a:ea typeface="Arial"/>
                    <a:cs typeface="Arial"/>
                  </a:defRPr>
                </a:pPr>
                <a:r>
                  <a:rPr lang="en-US" sz="1400" baseline="0"/>
                  <a:t>Million Tonnes</a:t>
                </a:r>
              </a:p>
            </c:rich>
          </c:tx>
          <c:layout>
            <c:manualLayout>
              <c:xMode val="edge"/>
              <c:yMode val="edge"/>
              <c:x val="2.2111120193020951E-2"/>
              <c:y val="0.32930844158921568"/>
            </c:manualLayout>
          </c:layout>
          <c:spPr>
            <a:noFill/>
            <a:ln w="25400">
              <a:noFill/>
            </a:ln>
          </c:spPr>
        </c:title>
        <c:numFmt formatCode="#,##0" sourceLinked="0"/>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130882944"/>
        <c:crosses val="autoZero"/>
        <c:crossBetween val="midCat"/>
        <c:minorUnit val="500"/>
      </c:valAx>
      <c:spPr>
        <a:solidFill>
          <a:srgbClr val="C0C0C0"/>
        </a:solidFill>
        <a:ln w="12700">
          <a:solidFill>
            <a:srgbClr val="808080"/>
          </a:solidFill>
          <a:prstDash val="solid"/>
        </a:ln>
      </c:spPr>
    </c:plotArea>
    <c:legend>
      <c:legendPos val="r"/>
      <c:layout>
        <c:manualLayout>
          <c:xMode val="edge"/>
          <c:yMode val="edge"/>
          <c:x val="0.55230323172060758"/>
          <c:y val="0.59807460890493358"/>
          <c:w val="0.32104664391353832"/>
          <c:h val="0.22262950434444767"/>
        </c:manualLayout>
      </c:layout>
      <c:spPr>
        <a:solidFill>
          <a:srgbClr val="FFCC66"/>
        </a:solidFill>
        <a:ln w="3175">
          <a:solidFill>
            <a:srgbClr val="000000"/>
          </a:solidFill>
          <a:prstDash val="solid"/>
        </a:ln>
      </c:spPr>
      <c:txPr>
        <a:bodyPr/>
        <a:lstStyle/>
        <a:p>
          <a:pPr>
            <a:defRPr sz="1000" b="1" i="0" u="none" strike="noStrike" baseline="0">
              <a:solidFill>
                <a:srgbClr val="000000"/>
              </a:solidFill>
              <a:latin typeface="Arial"/>
              <a:ea typeface="Arial"/>
              <a:cs typeface="Arial"/>
            </a:defRPr>
          </a:pPr>
          <a:endParaRPr lang="en-US"/>
        </a:p>
      </c:txPr>
    </c:legend>
    <c:plotVisOnly val="1"/>
    <c:dispBlanksAs val="gap"/>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033" r="0.75000000000001033" t="1" header="0.5" footer="0.5"/>
    <c:pageSetup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b="1" i="0" u="none" strike="noStrike" baseline="0">
                <a:solidFill>
                  <a:srgbClr val="000000"/>
                </a:solidFill>
                <a:latin typeface="Calibri"/>
                <a:ea typeface="Calibri"/>
                <a:cs typeface="Calibri"/>
              </a:defRPr>
            </a:pPr>
            <a:r>
              <a:rPr lang="en-US" sz="2000"/>
              <a:t>U.S. CO2 Emissions and Reductions in </a:t>
            </a:r>
          </a:p>
          <a:p>
            <a:pPr>
              <a:defRPr sz="1400" b="1" i="0" u="none" strike="noStrike" baseline="0">
                <a:solidFill>
                  <a:srgbClr val="000000"/>
                </a:solidFill>
                <a:latin typeface="Calibri"/>
                <a:ea typeface="Calibri"/>
                <a:cs typeface="Calibri"/>
              </a:defRPr>
            </a:pPr>
            <a:r>
              <a:rPr lang="en-US" sz="2000"/>
              <a:t>10th Year of Carbon Tax, by Sector</a:t>
            </a:r>
            <a:endParaRPr lang="en-US" sz="1800"/>
          </a:p>
        </c:rich>
      </c:tx>
      <c:layout>
        <c:manualLayout>
          <c:xMode val="edge"/>
          <c:yMode val="edge"/>
          <c:x val="0.20123276913220661"/>
          <c:y val="3.0484063811442801E-2"/>
        </c:manualLayout>
      </c:layout>
    </c:title>
    <c:plotArea>
      <c:layout>
        <c:manualLayout>
          <c:layoutTarget val="inner"/>
          <c:xMode val="edge"/>
          <c:yMode val="edge"/>
          <c:x val="0.12193129669200298"/>
          <c:y val="0.16480391176148401"/>
          <c:w val="0.7911019719189365"/>
          <c:h val="0.56307667757502256"/>
        </c:manualLayout>
      </c:layout>
      <c:barChart>
        <c:barDir val="col"/>
        <c:grouping val="stacked"/>
        <c:ser>
          <c:idx val="1"/>
          <c:order val="0"/>
          <c:tx>
            <c:v>CO2 Emissions Remaining with Carbon Tax</c:v>
          </c:tx>
          <c:spPr>
            <a:solidFill>
              <a:srgbClr val="FF0000"/>
            </a:solidFill>
          </c:spPr>
          <c:dLbls>
            <c:dLbl>
              <c:idx val="0"/>
              <c:layout>
                <c:manualLayout>
                  <c:x val="-4.1982941108739324E-3"/>
                  <c:y val="-4.4628949511982395E-2"/>
                </c:manualLayout>
              </c:layout>
              <c:dLblPos val="ctr"/>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83DF-418F-9A4E-371F99FD7641}"/>
                </c:ext>
              </c:extLst>
            </c:dLbl>
            <c:dLbl>
              <c:idx val="1"/>
              <c:layout>
                <c:manualLayout>
                  <c:x val="-3.4370306613330263E-17"/>
                  <c:y val="-3.3272837265577816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3DF-418F-9A4E-371F99FD7641}"/>
                </c:ext>
              </c:extLst>
            </c:dLbl>
            <c:spPr>
              <a:noFill/>
              <a:ln>
                <a:noFill/>
              </a:ln>
              <a:effectLst/>
            </c:spPr>
            <c:txPr>
              <a:bodyPr/>
              <a:lstStyle/>
              <a:p>
                <a:pPr>
                  <a:defRPr sz="1000" b="1" i="0" u="none" strike="noStrike" baseline="0">
                    <a:solidFill>
                      <a:srgbClr val="000000"/>
                    </a:solidFill>
                    <a:latin typeface="Calibri"/>
                    <a:ea typeface="Calibri"/>
                    <a:cs typeface="Calibri"/>
                  </a:defRPr>
                </a:pPr>
                <a:endParaRPr lang="en-US"/>
              </a:p>
            </c:txPr>
            <c:showVal val="1"/>
            <c:extLst xmlns:c16r2="http://schemas.microsoft.com/office/drawing/2015/06/chart">
              <c:ext xmlns:c15="http://schemas.microsoft.com/office/drawing/2012/chart" uri="{CE6537A1-D6FC-4f65-9D91-7224C49458BB}">
                <c15:showLeaderLines val="0"/>
              </c:ext>
            </c:extLst>
          </c:dLbls>
          <c:cat>
            <c:strRef>
              <c:f>Graph_Oil!$B$76:$B$83</c:f>
              <c:strCache>
                <c:ptCount val="8"/>
                <c:pt idx="0">
                  <c:v>Electricity Generation</c:v>
                </c:pt>
                <c:pt idx="1">
                  <c:v>Personal Ground Travel (driving, boating, rec vehicles, etc.)</c:v>
                </c:pt>
                <c:pt idx="2">
                  <c:v>Freight (goods movement by road, rail, ship, air)</c:v>
                </c:pt>
                <c:pt idx="3">
                  <c:v>Aviation (passenger only)</c:v>
                </c:pt>
                <c:pt idx="4">
                  <c:v>Oil Refining</c:v>
                </c:pt>
                <c:pt idx="5">
                  <c:v>"Other" Petroleum (heating, construxn, industry, etc.)</c:v>
                </c:pt>
                <c:pt idx="6">
                  <c:v>"Other" Natural Gas (industry, heat/hot water, etc.)</c:v>
                </c:pt>
                <c:pt idx="7">
                  <c:v>Misc. (non-electric coal, non-energy FF's, U.S. territories)</c:v>
                </c:pt>
              </c:strCache>
            </c:strRef>
          </c:cat>
          <c:val>
            <c:numRef>
              <c:f>Graph_CO2!$AC$69:$AC$76</c:f>
              <c:numCache>
                <c:formatCode>_(* #,##0_);_(* \(#,##0\);_(* "-"??_);_(@_)</c:formatCode>
                <c:ptCount val="8"/>
                <c:pt idx="0">
                  <c:v>902.56768671022394</c:v>
                </c:pt>
                <c:pt idx="1">
                  <c:v>943.75323775500249</c:v>
                </c:pt>
                <c:pt idx="2">
                  <c:v>340.50013682499349</c:v>
                </c:pt>
                <c:pt idx="3">
                  <c:v>132.93529293538171</c:v>
                </c:pt>
                <c:pt idx="4">
                  <c:v>289.01264834488057</c:v>
                </c:pt>
                <c:pt idx="5">
                  <c:v>220.17046137699671</c:v>
                </c:pt>
                <c:pt idx="6">
                  <c:v>387.32411671439286</c:v>
                </c:pt>
                <c:pt idx="7">
                  <c:v>189.95018172519949</c:v>
                </c:pt>
              </c:numCache>
            </c:numRef>
          </c:val>
          <c:extLst xmlns:c16r2="http://schemas.microsoft.com/office/drawing/2015/06/chart">
            <c:ext xmlns:c16="http://schemas.microsoft.com/office/drawing/2014/chart" uri="{C3380CC4-5D6E-409C-BE32-E72D297353CC}">
              <c16:uniqueId val="{00000002-83DF-418F-9A4E-371F99FD7641}"/>
            </c:ext>
          </c:extLst>
        </c:ser>
        <c:ser>
          <c:idx val="0"/>
          <c:order val="1"/>
          <c:tx>
            <c:v>CO2 Reductions vis-à-vis No-Tax Trajectory</c:v>
          </c:tx>
          <c:spPr>
            <a:solidFill>
              <a:srgbClr val="00FF00"/>
            </a:solidFill>
          </c:spPr>
          <c:dLbls>
            <c:dLbl>
              <c:idx val="0"/>
              <c:layout>
                <c:manualLayout>
                  <c:x val="-2.2111373357927644E-3"/>
                  <c:y val="-5.6525049753396207E-2"/>
                </c:manualLayout>
              </c:layout>
              <c:dLblPos val="ctr"/>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3DF-418F-9A4E-371F99FD7641}"/>
                </c:ext>
              </c:extLst>
            </c:dLbl>
            <c:spPr>
              <a:noFill/>
              <a:ln>
                <a:noFill/>
              </a:ln>
              <a:effectLst/>
            </c:spPr>
            <c:txPr>
              <a:bodyPr/>
              <a:lstStyle/>
              <a:p>
                <a:pPr>
                  <a:defRPr sz="1000" b="1" i="0" u="none" strike="noStrike" baseline="0">
                    <a:solidFill>
                      <a:srgbClr val="000000"/>
                    </a:solidFill>
                    <a:latin typeface="Calibri"/>
                    <a:ea typeface="Calibri"/>
                    <a:cs typeface="Calibri"/>
                  </a:defRPr>
                </a:pPr>
                <a:endParaRPr lang="en-US"/>
              </a:p>
            </c:txPr>
            <c:showVal val="1"/>
            <c:extLst xmlns:c16r2="http://schemas.microsoft.com/office/drawing/2015/06/chart">
              <c:ext xmlns:c15="http://schemas.microsoft.com/office/drawing/2012/chart" uri="{CE6537A1-D6FC-4f65-9D91-7224C49458BB}">
                <c15:showLeaderLines val="0"/>
              </c:ext>
            </c:extLst>
          </c:dLbls>
          <c:cat>
            <c:strRef>
              <c:f>Graph_Oil!$B$76:$B$83</c:f>
              <c:strCache>
                <c:ptCount val="8"/>
                <c:pt idx="0">
                  <c:v>Electricity Generation</c:v>
                </c:pt>
                <c:pt idx="1">
                  <c:v>Personal Ground Travel (driving, boating, rec vehicles, etc.)</c:v>
                </c:pt>
                <c:pt idx="2">
                  <c:v>Freight (goods movement by road, rail, ship, air)</c:v>
                </c:pt>
                <c:pt idx="3">
                  <c:v>Aviation (passenger only)</c:v>
                </c:pt>
                <c:pt idx="4">
                  <c:v>Oil Refining</c:v>
                </c:pt>
                <c:pt idx="5">
                  <c:v>"Other" Petroleum (heating, construxn, industry, etc.)</c:v>
                </c:pt>
                <c:pt idx="6">
                  <c:v>"Other" Natural Gas (industry, heat/hot water, etc.)</c:v>
                </c:pt>
                <c:pt idx="7">
                  <c:v>Misc. (non-electric coal, non-energy FF's, U.S. territories)</c:v>
                </c:pt>
              </c:strCache>
            </c:strRef>
          </c:cat>
          <c:val>
            <c:numRef>
              <c:f>Graph_CO2!$AC$80:$AC$87</c:f>
              <c:numCache>
                <c:formatCode>_(* #,##0_);_(* \(#,##0\);_(* "-"??_);_(@_)</c:formatCode>
                <c:ptCount val="8"/>
                <c:pt idx="0">
                  <c:v>861.08067244191454</c:v>
                </c:pt>
                <c:pt idx="1">
                  <c:v>168.77541556378003</c:v>
                </c:pt>
                <c:pt idx="2">
                  <c:v>146.04540016125628</c:v>
                </c:pt>
                <c:pt idx="3">
                  <c:v>67.978851354075402</c:v>
                </c:pt>
                <c:pt idx="4">
                  <c:v>28.262169428267157</c:v>
                </c:pt>
                <c:pt idx="5">
                  <c:v>67.438661270597123</c:v>
                </c:pt>
                <c:pt idx="6">
                  <c:v>191.68975550554478</c:v>
                </c:pt>
                <c:pt idx="7">
                  <c:v>38.052824152509828</c:v>
                </c:pt>
              </c:numCache>
            </c:numRef>
          </c:val>
          <c:extLst xmlns:c16r2="http://schemas.microsoft.com/office/drawing/2015/06/chart">
            <c:ext xmlns:c16="http://schemas.microsoft.com/office/drawing/2014/chart" uri="{C3380CC4-5D6E-409C-BE32-E72D297353CC}">
              <c16:uniqueId val="{00000004-83DF-418F-9A4E-371F99FD7641}"/>
            </c:ext>
          </c:extLst>
        </c:ser>
        <c:dLbls>
          <c:showVal val="1"/>
        </c:dLbls>
        <c:gapWidth val="95"/>
        <c:overlap val="100"/>
        <c:axId val="130929408"/>
        <c:axId val="130930944"/>
      </c:barChart>
      <c:catAx>
        <c:axId val="130929408"/>
        <c:scaling>
          <c:orientation val="minMax"/>
        </c:scaling>
        <c:axPos val="b"/>
        <c:numFmt formatCode="General" sourceLinked="1"/>
        <c:majorTickMark val="none"/>
        <c:tickLblPos val="nextTo"/>
        <c:txPr>
          <a:bodyPr rot="0" vert="horz"/>
          <a:lstStyle/>
          <a:p>
            <a:pPr>
              <a:defRPr sz="900" b="1" i="0" u="none" strike="noStrike" baseline="0">
                <a:solidFill>
                  <a:srgbClr val="000000"/>
                </a:solidFill>
                <a:latin typeface="Calibri"/>
                <a:ea typeface="Calibri"/>
                <a:cs typeface="Calibri"/>
              </a:defRPr>
            </a:pPr>
            <a:endParaRPr lang="en-US"/>
          </a:p>
        </c:txPr>
        <c:crossAx val="130930944"/>
        <c:crosses val="autoZero"/>
        <c:auto val="1"/>
        <c:lblAlgn val="ctr"/>
        <c:lblOffset val="100"/>
      </c:catAx>
      <c:valAx>
        <c:axId val="130930944"/>
        <c:scaling>
          <c:orientation val="minMax"/>
        </c:scaling>
        <c:axPos val="l"/>
        <c:numFmt formatCode="_(* #,##0_);_(* \(#,##0\);_(* &quot;-&quot;??_);_(@_)" sourceLinked="1"/>
        <c:tickLblPos val="nextTo"/>
        <c:spPr>
          <a:ln w="9525">
            <a:noFill/>
          </a:ln>
        </c:spPr>
        <c:txPr>
          <a:bodyPr rot="0" vert="horz"/>
          <a:lstStyle/>
          <a:p>
            <a:pPr>
              <a:defRPr sz="950" b="1" i="0" u="none" strike="noStrike" baseline="0">
                <a:solidFill>
                  <a:srgbClr val="000000"/>
                </a:solidFill>
                <a:latin typeface="Calibri"/>
                <a:ea typeface="Calibri"/>
                <a:cs typeface="Calibri"/>
              </a:defRPr>
            </a:pPr>
            <a:endParaRPr lang="en-US"/>
          </a:p>
        </c:txPr>
        <c:crossAx val="130929408"/>
        <c:crosses val="autoZero"/>
        <c:crossBetween val="between"/>
      </c:valAx>
      <c:spPr>
        <a:noFill/>
        <a:ln w="25400">
          <a:noFill/>
        </a:ln>
      </c:spPr>
    </c:plotArea>
    <c:legend>
      <c:legendPos val="b"/>
      <c:legendEntry>
        <c:idx val="0"/>
        <c:txPr>
          <a:bodyPr/>
          <a:lstStyle/>
          <a:p>
            <a:pPr>
              <a:defRPr sz="1300" b="1" i="0" u="none" strike="noStrike" baseline="0">
                <a:solidFill>
                  <a:srgbClr val="000000"/>
                </a:solidFill>
                <a:latin typeface="Calibri"/>
                <a:ea typeface="Calibri"/>
                <a:cs typeface="Calibri"/>
              </a:defRPr>
            </a:pPr>
            <a:endParaRPr lang="en-US"/>
          </a:p>
        </c:txPr>
      </c:legendEntry>
      <c:legendEntry>
        <c:idx val="1"/>
        <c:txPr>
          <a:bodyPr/>
          <a:lstStyle/>
          <a:p>
            <a:pPr>
              <a:defRPr sz="1300" b="1" i="0" u="none" strike="noStrike" baseline="0">
                <a:solidFill>
                  <a:srgbClr val="000000"/>
                </a:solidFill>
                <a:latin typeface="Calibri"/>
                <a:ea typeface="Calibri"/>
                <a:cs typeface="Calibri"/>
              </a:defRPr>
            </a:pPr>
            <a:endParaRPr lang="en-US"/>
          </a:p>
        </c:txPr>
      </c:legendEntry>
      <c:layout>
        <c:manualLayout>
          <c:xMode val="edge"/>
          <c:yMode val="edge"/>
          <c:x val="0.33437050683625863"/>
          <c:y val="0.26739285765322901"/>
          <c:w val="0.51622690864429299"/>
          <c:h val="0.13490646926847424"/>
        </c:manualLayout>
      </c:layout>
      <c:spPr>
        <a:solidFill>
          <a:srgbClr val="FFFF00"/>
        </a:solidFill>
      </c:spPr>
      <c:txPr>
        <a:bodyPr/>
        <a:lstStyle/>
        <a:p>
          <a:pPr>
            <a:defRPr sz="1300" b="1" i="0" u="none" strike="noStrike" baseline="0">
              <a:solidFill>
                <a:srgbClr val="000000"/>
              </a:solidFill>
              <a:latin typeface="Calibri"/>
              <a:ea typeface="Calibri"/>
              <a:cs typeface="Calibri"/>
            </a:defRPr>
          </a:pPr>
          <a:endParaRPr lang="en-US"/>
        </a:p>
      </c:txPr>
    </c:legend>
    <c:plotVisOnly val="1"/>
    <c:dispBlanksAs val="gap"/>
  </c:chart>
  <c:spPr>
    <a:solidFill>
      <a:srgbClr val="FFCC66"/>
    </a:solidFill>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033" l="0.70000000000000162" r="0.70000000000000162" t="0.75000000000001033" header="0.30000000000000032" footer="0.30000000000000032"/>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2400" b="0" i="0" u="none" strike="noStrike" baseline="0">
                <a:solidFill>
                  <a:srgbClr val="000000"/>
                </a:solidFill>
                <a:latin typeface="Arial"/>
                <a:ea typeface="Arial"/>
                <a:cs typeface="Arial"/>
              </a:defRPr>
            </a:pPr>
            <a:r>
              <a:rPr lang="en-US" sz="1900" b="1" i="0" u="none" strike="noStrike" baseline="0">
                <a:solidFill>
                  <a:srgbClr val="000000"/>
                </a:solidFill>
                <a:latin typeface="Arial"/>
                <a:cs typeface="Arial"/>
              </a:rPr>
              <a:t>U.S. CO2 Emissions from Fossil Fuels</a:t>
            </a:r>
          </a:p>
          <a:p>
            <a:pPr>
              <a:defRPr sz="2400" b="0" i="0" u="none" strike="noStrike" baseline="0">
                <a:solidFill>
                  <a:srgbClr val="000000"/>
                </a:solidFill>
                <a:latin typeface="Arial"/>
                <a:ea typeface="Arial"/>
                <a:cs typeface="Arial"/>
              </a:defRPr>
            </a:pPr>
            <a:r>
              <a:rPr lang="en-US" sz="1900" b="1" i="0" u="none" strike="noStrike" baseline="0">
                <a:solidFill>
                  <a:srgbClr val="000000"/>
                </a:solidFill>
                <a:latin typeface="Arial"/>
                <a:cs typeface="Arial"/>
              </a:rPr>
              <a:t>With and without a </a:t>
            </a:r>
            <a:r>
              <a:rPr lang="en-US" sz="1900" b="1" i="0" u="none" strike="noStrike" baseline="0"/>
              <a:t>Carbon Tax </a:t>
            </a:r>
            <a:endParaRPr lang="en-US" sz="1900" b="1" i="0" u="none" strike="noStrike" baseline="0">
              <a:solidFill>
                <a:srgbClr val="000000"/>
              </a:solidFill>
              <a:latin typeface="Arial"/>
              <a:cs typeface="Arial"/>
            </a:endParaRPr>
          </a:p>
          <a:p>
            <a:pPr>
              <a:defRPr sz="2400" b="0" i="0" u="none" strike="noStrike" baseline="0">
                <a:solidFill>
                  <a:srgbClr val="000000"/>
                </a:solidFill>
                <a:latin typeface="Arial"/>
                <a:ea typeface="Arial"/>
                <a:cs typeface="Arial"/>
              </a:defRPr>
            </a:pPr>
            <a:endParaRPr lang="en-US" sz="2400" b="1" i="0" u="none" strike="noStrike" baseline="0">
              <a:solidFill>
                <a:srgbClr val="000000"/>
              </a:solidFill>
              <a:latin typeface="Arial"/>
              <a:cs typeface="Arial"/>
            </a:endParaRPr>
          </a:p>
        </c:rich>
      </c:tx>
      <c:layout>
        <c:manualLayout>
          <c:xMode val="edge"/>
          <c:yMode val="edge"/>
          <c:x val="0.16955501669557738"/>
          <c:y val="3.6101125067314881E-2"/>
        </c:manualLayout>
      </c:layout>
      <c:spPr>
        <a:noFill/>
        <a:ln w="25400">
          <a:noFill/>
        </a:ln>
      </c:spPr>
    </c:title>
    <c:plotArea>
      <c:layout>
        <c:manualLayout>
          <c:layoutTarget val="inner"/>
          <c:xMode val="edge"/>
          <c:yMode val="edge"/>
          <c:x val="0.16189970211427501"/>
          <c:y val="0.21365824308062861"/>
          <c:w val="0.76525706190049503"/>
          <c:h val="0.66754668978651999"/>
        </c:manualLayout>
      </c:layout>
      <c:lineChart>
        <c:grouping val="standard"/>
        <c:ser>
          <c:idx val="0"/>
          <c:order val="0"/>
          <c:tx>
            <c:v>No Carbon Tax</c:v>
          </c:tx>
          <c:spPr>
            <a:ln w="12700">
              <a:solidFill>
                <a:srgbClr val="000080"/>
              </a:solidFill>
              <a:prstDash val="solid"/>
            </a:ln>
          </c:spPr>
          <c:marker>
            <c:symbol val="diamond"/>
            <c:size val="9"/>
            <c:spPr>
              <a:solidFill>
                <a:srgbClr val="FF0000"/>
              </a:solidFill>
              <a:ln>
                <a:solidFill>
                  <a:srgbClr val="000080"/>
                </a:solidFill>
                <a:prstDash val="solid"/>
              </a:ln>
            </c:spPr>
          </c:marker>
          <c:cat>
            <c:numRef>
              <c:f>Graph_CO2!$I$44:$AN$44</c:f>
              <c:numCache>
                <c:formatCode>0</c:formatCode>
                <c:ptCount val="32"/>
                <c:pt idx="0">
                  <c:v>2005</c:v>
                </c:pt>
                <c:pt idx="1">
                  <c:v>2006</c:v>
                </c:pt>
                <c:pt idx="2">
                  <c:v>2007</c:v>
                </c:pt>
                <c:pt idx="3">
                  <c:v>2008</c:v>
                </c:pt>
                <c:pt idx="4">
                  <c:v>2009</c:v>
                </c:pt>
                <c:pt idx="5">
                  <c:v>2010</c:v>
                </c:pt>
                <c:pt idx="6">
                  <c:v>2011</c:v>
                </c:pt>
                <c:pt idx="7">
                  <c:v>2012</c:v>
                </c:pt>
                <c:pt idx="8">
                  <c:v>2013</c:v>
                </c:pt>
                <c:pt idx="9">
                  <c:v>2014</c:v>
                </c:pt>
                <c:pt idx="10">
                  <c:v>2015</c:v>
                </c:pt>
                <c:pt idx="11">
                  <c:v>2017</c:v>
                </c:pt>
                <c:pt idx="12">
                  <c:v>2018</c:v>
                </c:pt>
                <c:pt idx="13">
                  <c:v>2019</c:v>
                </c:pt>
                <c:pt idx="14">
                  <c:v>2020</c:v>
                </c:pt>
                <c:pt idx="15">
                  <c:v>2021</c:v>
                </c:pt>
                <c:pt idx="16">
                  <c:v>2022</c:v>
                </c:pt>
                <c:pt idx="17">
                  <c:v>2023</c:v>
                </c:pt>
                <c:pt idx="18">
                  <c:v>2024</c:v>
                </c:pt>
                <c:pt idx="19">
                  <c:v>2025</c:v>
                </c:pt>
                <c:pt idx="20">
                  <c:v>2026</c:v>
                </c:pt>
                <c:pt idx="21">
                  <c:v>2027</c:v>
                </c:pt>
                <c:pt idx="22">
                  <c:v>2028</c:v>
                </c:pt>
                <c:pt idx="23">
                  <c:v>2029</c:v>
                </c:pt>
                <c:pt idx="24">
                  <c:v>2030</c:v>
                </c:pt>
                <c:pt idx="25">
                  <c:v>2031</c:v>
                </c:pt>
                <c:pt idx="26">
                  <c:v>2032</c:v>
                </c:pt>
                <c:pt idx="27">
                  <c:v>2033</c:v>
                </c:pt>
                <c:pt idx="28">
                  <c:v>2034</c:v>
                </c:pt>
                <c:pt idx="29">
                  <c:v>2035</c:v>
                </c:pt>
                <c:pt idx="30">
                  <c:v>2036</c:v>
                </c:pt>
                <c:pt idx="31">
                  <c:v>2037</c:v>
                </c:pt>
              </c:numCache>
            </c:numRef>
          </c:cat>
          <c:val>
            <c:numRef>
              <c:f>Graph_CO2!$I$45:$AN$45</c:f>
              <c:numCache>
                <c:formatCode>_(* #,##0_);_(* \(#,##0\);_(* "-"??_);_(@_)</c:formatCode>
                <c:ptCount val="32"/>
                <c:pt idx="0">
                  <c:v>5811.705891565216</c:v>
                </c:pt>
                <c:pt idx="1">
                  <c:v>5741.3947512468221</c:v>
                </c:pt>
                <c:pt idx="2">
                  <c:v>5831.6621575089175</c:v>
                </c:pt>
                <c:pt idx="3">
                  <c:v>5629.4402855458411</c:v>
                </c:pt>
                <c:pt idx="4">
                  <c:v>5237.9790874120499</c:v>
                </c:pt>
                <c:pt idx="5">
                  <c:v>5421.3546132287674</c:v>
                </c:pt>
                <c:pt idx="6">
                  <c:v>5271.9587835203365</c:v>
                </c:pt>
                <c:pt idx="7">
                  <c:v>5061.796514329073</c:v>
                </c:pt>
                <c:pt idx="8">
                  <c:v>5210.4666515024519</c:v>
                </c:pt>
                <c:pt idx="9">
                  <c:v>5265.4112730987672</c:v>
                </c:pt>
                <c:pt idx="10">
                  <c:v>5104.5387588362364</c:v>
                </c:pt>
                <c:pt idx="11">
                  <c:v>5046.5655113504927</c:v>
                </c:pt>
                <c:pt idx="12">
                  <c:v>5029.0196091770758</c:v>
                </c:pt>
                <c:pt idx="13">
                  <c:v>5011.7661930732556</c:v>
                </c:pt>
                <c:pt idx="14">
                  <c:v>4996.6967853840397</c:v>
                </c:pt>
                <c:pt idx="15">
                  <c:v>4982.1862657830388</c:v>
                </c:pt>
                <c:pt idx="16">
                  <c:v>4977.2427579819168</c:v>
                </c:pt>
                <c:pt idx="17">
                  <c:v>4977.9278678765377</c:v>
                </c:pt>
                <c:pt idx="18">
                  <c:v>4978.6434462421412</c:v>
                </c:pt>
                <c:pt idx="19">
                  <c:v>4977.8611055325591</c:v>
                </c:pt>
                <c:pt idx="20">
                  <c:v>4975.5375122650157</c:v>
                </c:pt>
                <c:pt idx="21">
                  <c:v>4965.5608677201562</c:v>
                </c:pt>
                <c:pt idx="22">
                  <c:v>4955.7415341154447</c:v>
                </c:pt>
                <c:pt idx="23">
                  <c:v>4946.0785287498356</c:v>
                </c:pt>
                <c:pt idx="24">
                  <c:v>4936.5708791641691</c:v>
                </c:pt>
                <c:pt idx="25">
                  <c:v>4936.3511241774959</c:v>
                </c:pt>
                <c:pt idx="26">
                  <c:v>4935.6671283251453</c:v>
                </c:pt>
                <c:pt idx="27">
                  <c:v>4935.0429486801213</c:v>
                </c:pt>
                <c:pt idx="28">
                  <c:v>4934.4805393085126</c:v>
                </c:pt>
                <c:pt idx="29">
                  <c:v>4933.9818621789072</c:v>
                </c:pt>
                <c:pt idx="30">
                  <c:v>4933.5488869980691</c:v>
                </c:pt>
                <c:pt idx="31">
                  <c:v>4933.1835910508898</c:v>
                </c:pt>
              </c:numCache>
            </c:numRef>
          </c:val>
          <c:extLst xmlns:c16r2="http://schemas.microsoft.com/office/drawing/2015/06/chart">
            <c:ext xmlns:c16="http://schemas.microsoft.com/office/drawing/2014/chart" uri="{C3380CC4-5D6E-409C-BE32-E72D297353CC}">
              <c16:uniqueId val="{00000000-5199-4967-AB6A-E74344F3EBB4}"/>
            </c:ext>
          </c:extLst>
        </c:ser>
        <c:ser>
          <c:idx val="2"/>
          <c:order val="1"/>
          <c:tx>
            <c:v>McDermott Carbon Tax</c:v>
          </c:tx>
          <c:marker>
            <c:symbol val="triangle"/>
            <c:size val="9"/>
            <c:spPr>
              <a:solidFill>
                <a:srgbClr val="00FF00"/>
              </a:solidFill>
              <a:ln>
                <a:noFill/>
              </a:ln>
            </c:spPr>
          </c:marker>
          <c:cat>
            <c:numRef>
              <c:f>Graph_CO2!$I$44:$AN$44</c:f>
              <c:numCache>
                <c:formatCode>0</c:formatCode>
                <c:ptCount val="32"/>
                <c:pt idx="0">
                  <c:v>2005</c:v>
                </c:pt>
                <c:pt idx="1">
                  <c:v>2006</c:v>
                </c:pt>
                <c:pt idx="2">
                  <c:v>2007</c:v>
                </c:pt>
                <c:pt idx="3">
                  <c:v>2008</c:v>
                </c:pt>
                <c:pt idx="4">
                  <c:v>2009</c:v>
                </c:pt>
                <c:pt idx="5">
                  <c:v>2010</c:v>
                </c:pt>
                <c:pt idx="6">
                  <c:v>2011</c:v>
                </c:pt>
                <c:pt idx="7">
                  <c:v>2012</c:v>
                </c:pt>
                <c:pt idx="8">
                  <c:v>2013</c:v>
                </c:pt>
                <c:pt idx="9">
                  <c:v>2014</c:v>
                </c:pt>
                <c:pt idx="10">
                  <c:v>2015</c:v>
                </c:pt>
                <c:pt idx="11">
                  <c:v>2017</c:v>
                </c:pt>
                <c:pt idx="12">
                  <c:v>2018</c:v>
                </c:pt>
                <c:pt idx="13">
                  <c:v>2019</c:v>
                </c:pt>
                <c:pt idx="14">
                  <c:v>2020</c:v>
                </c:pt>
                <c:pt idx="15">
                  <c:v>2021</c:v>
                </c:pt>
                <c:pt idx="16">
                  <c:v>2022</c:v>
                </c:pt>
                <c:pt idx="17">
                  <c:v>2023</c:v>
                </c:pt>
                <c:pt idx="18">
                  <c:v>2024</c:v>
                </c:pt>
                <c:pt idx="19">
                  <c:v>2025</c:v>
                </c:pt>
                <c:pt idx="20">
                  <c:v>2026</c:v>
                </c:pt>
                <c:pt idx="21">
                  <c:v>2027</c:v>
                </c:pt>
                <c:pt idx="22">
                  <c:v>2028</c:v>
                </c:pt>
                <c:pt idx="23">
                  <c:v>2029</c:v>
                </c:pt>
                <c:pt idx="24">
                  <c:v>2030</c:v>
                </c:pt>
                <c:pt idx="25">
                  <c:v>2031</c:v>
                </c:pt>
                <c:pt idx="26">
                  <c:v>2032</c:v>
                </c:pt>
                <c:pt idx="27">
                  <c:v>2033</c:v>
                </c:pt>
                <c:pt idx="28">
                  <c:v>2034</c:v>
                </c:pt>
                <c:pt idx="29">
                  <c:v>2035</c:v>
                </c:pt>
                <c:pt idx="30">
                  <c:v>2036</c:v>
                </c:pt>
                <c:pt idx="31">
                  <c:v>2037</c:v>
                </c:pt>
              </c:numCache>
            </c:numRef>
          </c:cat>
          <c:val>
            <c:numRef>
              <c:f>Graph_CO2!$I$47:$AN$47</c:f>
              <c:numCache>
                <c:formatCode>_(* #,##0_);_(* \(#,##0\);_(* "-"??_);_(@_)</c:formatCode>
                <c:ptCount val="32"/>
                <c:pt idx="0">
                  <c:v>5811.705891565216</c:v>
                </c:pt>
                <c:pt idx="1">
                  <c:v>5741.3947512468221</c:v>
                </c:pt>
                <c:pt idx="2">
                  <c:v>5831.6621575089175</c:v>
                </c:pt>
                <c:pt idx="3">
                  <c:v>5629.4402855458411</c:v>
                </c:pt>
                <c:pt idx="4">
                  <c:v>5237.9790874120499</c:v>
                </c:pt>
                <c:pt idx="5">
                  <c:v>5421.3546132287674</c:v>
                </c:pt>
                <c:pt idx="6">
                  <c:v>5271.9587835203365</c:v>
                </c:pt>
                <c:pt idx="7">
                  <c:v>5061.796514329073</c:v>
                </c:pt>
                <c:pt idx="8">
                  <c:v>5210.4666515024519</c:v>
                </c:pt>
                <c:pt idx="9">
                  <c:v>5265.4112730987672</c:v>
                </c:pt>
                <c:pt idx="10">
                  <c:v>5104.5387588362364</c:v>
                </c:pt>
                <c:pt idx="11">
                  <c:v>4804.5672943417485</c:v>
                </c:pt>
                <c:pt idx="12">
                  <c:v>4571.5969475236061</c:v>
                </c:pt>
                <c:pt idx="13">
                  <c:v>4366.3671264869035</c:v>
                </c:pt>
                <c:pt idx="14">
                  <c:v>4185.3280177723309</c:v>
                </c:pt>
                <c:pt idx="15">
                  <c:v>4018.9809123075147</c:v>
                </c:pt>
                <c:pt idx="16">
                  <c:v>3873.4183585679589</c:v>
                </c:pt>
                <c:pt idx="17">
                  <c:v>3744.3933367446161</c:v>
                </c:pt>
                <c:pt idx="18">
                  <c:v>3625.0125223660971</c:v>
                </c:pt>
                <c:pt idx="19">
                  <c:v>3512.6285343834284</c:v>
                </c:pt>
                <c:pt idx="20">
                  <c:v>3406.2137623870713</c:v>
                </c:pt>
                <c:pt idx="21">
                  <c:v>3299.819374038455</c:v>
                </c:pt>
                <c:pt idx="22">
                  <c:v>3200.0306182053191</c:v>
                </c:pt>
                <c:pt idx="23">
                  <c:v>3106.648941185776</c:v>
                </c:pt>
                <c:pt idx="24">
                  <c:v>3019.010616037508</c:v>
                </c:pt>
                <c:pt idx="25">
                  <c:v>2938.6126092781701</c:v>
                </c:pt>
                <c:pt idx="26">
                  <c:v>2862.1350350781963</c:v>
                </c:pt>
                <c:pt idx="27">
                  <c:v>2789.6677011175238</c:v>
                </c:pt>
                <c:pt idx="28">
                  <c:v>2720.8691597313632</c:v>
                </c:pt>
                <c:pt idx="29">
                  <c:v>2655.4384955128794</c:v>
                </c:pt>
                <c:pt idx="30">
                  <c:v>2593.1716197677424</c:v>
                </c:pt>
                <c:pt idx="31">
                  <c:v>2533.7775462375603</c:v>
                </c:pt>
              </c:numCache>
            </c:numRef>
          </c:val>
          <c:extLst xmlns:c16r2="http://schemas.microsoft.com/office/drawing/2015/06/chart">
            <c:ext xmlns:c16="http://schemas.microsoft.com/office/drawing/2014/chart" uri="{C3380CC4-5D6E-409C-BE32-E72D297353CC}">
              <c16:uniqueId val="{00000001-5199-4967-AB6A-E74344F3EBB4}"/>
            </c:ext>
          </c:extLst>
        </c:ser>
        <c:dLbls/>
        <c:marker val="1"/>
        <c:axId val="130946560"/>
        <c:axId val="130948096"/>
      </c:lineChart>
      <c:catAx>
        <c:axId val="130946560"/>
        <c:scaling>
          <c:orientation val="minMax"/>
        </c:scaling>
        <c:axPos val="b"/>
        <c:minorGridlines>
          <c:spPr>
            <a:ln>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a:ln>
          </c:spPr>
        </c:minorGridlines>
        <c:numFmt formatCode="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30948096"/>
        <c:crosses val="autoZero"/>
        <c:auto val="1"/>
        <c:lblAlgn val="ctr"/>
        <c:lblOffset val="100"/>
        <c:tickLblSkip val="4"/>
        <c:tickMarkSkip val="1"/>
      </c:catAx>
      <c:valAx>
        <c:axId val="130948096"/>
        <c:scaling>
          <c:orientation val="minMax"/>
          <c:max val="6000"/>
        </c:scaling>
        <c:axPos val="l"/>
        <c:majorGridlines>
          <c:spPr>
            <a:ln w="3175">
              <a:solidFill>
                <a:srgbClr val="000000"/>
              </a:solidFill>
              <a:prstDash val="solid"/>
            </a:ln>
          </c:spPr>
        </c:majorGridlines>
        <c:title>
          <c:tx>
            <c:rich>
              <a:bodyPr/>
              <a:lstStyle/>
              <a:p>
                <a:pPr>
                  <a:defRPr sz="1500" b="1" i="0" u="none" strike="noStrike" baseline="0">
                    <a:solidFill>
                      <a:srgbClr val="000000"/>
                    </a:solidFill>
                    <a:latin typeface="Arial"/>
                    <a:ea typeface="Arial"/>
                    <a:cs typeface="Arial"/>
                  </a:defRPr>
                </a:pPr>
                <a:r>
                  <a:rPr lang="en-US" sz="1400" baseline="0"/>
                  <a:t>Million Tonnes</a:t>
                </a:r>
              </a:p>
            </c:rich>
          </c:tx>
          <c:layout>
            <c:manualLayout>
              <c:xMode val="edge"/>
              <c:yMode val="edge"/>
              <c:x val="2.2111120193020951E-2"/>
              <c:y val="0.32930844158921568"/>
            </c:manualLayout>
          </c:layout>
          <c:spPr>
            <a:noFill/>
            <a:ln w="25400">
              <a:noFill/>
            </a:ln>
          </c:spPr>
        </c:title>
        <c:numFmt formatCode="#,##0" sourceLinked="0"/>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130946560"/>
        <c:crosses val="autoZero"/>
        <c:crossBetween val="midCat"/>
        <c:minorUnit val="500"/>
      </c:valAx>
      <c:spPr>
        <a:solidFill>
          <a:srgbClr val="C0C0C0"/>
        </a:solidFill>
        <a:ln w="12700">
          <a:solidFill>
            <a:srgbClr val="808080"/>
          </a:solidFill>
          <a:prstDash val="solid"/>
        </a:ln>
      </c:spPr>
    </c:plotArea>
    <c:legend>
      <c:legendPos val="r"/>
      <c:layout>
        <c:manualLayout>
          <c:xMode val="edge"/>
          <c:yMode val="edge"/>
          <c:x val="0.45828588035492146"/>
          <c:y val="0.5869084178710563"/>
          <c:w val="0.31564828185404248"/>
          <c:h val="0.12797749865370342"/>
        </c:manualLayout>
      </c:layout>
      <c:spPr>
        <a:solidFill>
          <a:srgbClr val="FFC000"/>
        </a:solidFill>
        <a:ln w="3175">
          <a:solidFill>
            <a:srgbClr val="000000"/>
          </a:solidFill>
          <a:prstDash val="solid"/>
        </a:ln>
      </c:spPr>
      <c:txPr>
        <a:bodyPr/>
        <a:lstStyle/>
        <a:p>
          <a:pPr>
            <a:defRPr sz="1050" b="1" i="0" u="none" strike="noStrike" baseline="0">
              <a:solidFill>
                <a:srgbClr val="000000"/>
              </a:solidFill>
              <a:latin typeface="Arial"/>
              <a:ea typeface="Arial"/>
              <a:cs typeface="Arial"/>
            </a:defRPr>
          </a:pPr>
          <a:endParaRPr lang="en-US"/>
        </a:p>
      </c:txPr>
    </c:legend>
    <c:plotVisOnly val="1"/>
    <c:dispBlanksAs val="gap"/>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2400" b="0" i="0" u="none" strike="noStrike" baseline="0">
                <a:solidFill>
                  <a:srgbClr val="000000"/>
                </a:solidFill>
                <a:latin typeface="Arial"/>
                <a:ea typeface="Arial"/>
                <a:cs typeface="Arial"/>
              </a:defRPr>
            </a:pPr>
            <a:r>
              <a:rPr lang="en-US" sz="2000" b="1" i="0" u="none" strike="noStrike" baseline="0">
                <a:solidFill>
                  <a:srgbClr val="000000"/>
                </a:solidFill>
                <a:latin typeface="Arial"/>
                <a:cs typeface="Arial"/>
              </a:rPr>
              <a:t>U.S. CO2 Emissions: 3 Scenarios</a:t>
            </a:r>
            <a:r>
              <a:rPr lang="en-US" sz="2000" b="1" i="0" u="none" strike="noStrike" baseline="0"/>
              <a:t> </a:t>
            </a:r>
            <a:endParaRPr lang="en-US" sz="2000" b="1" i="0" u="none" strike="noStrike" baseline="0">
              <a:solidFill>
                <a:srgbClr val="000000"/>
              </a:solidFill>
              <a:latin typeface="Arial"/>
              <a:cs typeface="Arial"/>
            </a:endParaRPr>
          </a:p>
          <a:p>
            <a:pPr>
              <a:defRPr sz="2400" b="0" i="0" u="none" strike="noStrike" baseline="0">
                <a:solidFill>
                  <a:srgbClr val="000000"/>
                </a:solidFill>
                <a:latin typeface="Arial"/>
                <a:ea typeface="Arial"/>
                <a:cs typeface="Arial"/>
              </a:defRPr>
            </a:pPr>
            <a:endParaRPr lang="en-US" sz="2400" b="1" i="0" u="none" strike="noStrike" baseline="0">
              <a:solidFill>
                <a:srgbClr val="000000"/>
              </a:solidFill>
              <a:latin typeface="Arial"/>
              <a:cs typeface="Arial"/>
            </a:endParaRPr>
          </a:p>
        </c:rich>
      </c:tx>
      <c:layout>
        <c:manualLayout>
          <c:xMode val="edge"/>
          <c:yMode val="edge"/>
          <c:x val="0.19161926431550988"/>
          <c:y val="7.2202166064982018E-2"/>
        </c:manualLayout>
      </c:layout>
      <c:spPr>
        <a:noFill/>
        <a:ln w="25400">
          <a:noFill/>
        </a:ln>
      </c:spPr>
    </c:title>
    <c:plotArea>
      <c:layout>
        <c:manualLayout>
          <c:layoutTarget val="inner"/>
          <c:xMode val="edge"/>
          <c:yMode val="edge"/>
          <c:x val="0.16189970211427501"/>
          <c:y val="0.21365824308062861"/>
          <c:w val="0.76525706190049503"/>
          <c:h val="0.66754668978651999"/>
        </c:manualLayout>
      </c:layout>
      <c:lineChart>
        <c:grouping val="standard"/>
        <c:ser>
          <c:idx val="0"/>
          <c:order val="0"/>
          <c:tx>
            <c:v>No Action</c:v>
          </c:tx>
          <c:spPr>
            <a:ln w="12700">
              <a:solidFill>
                <a:srgbClr val="000080"/>
              </a:solidFill>
              <a:prstDash val="solid"/>
            </a:ln>
          </c:spPr>
          <c:marker>
            <c:symbol val="diamond"/>
            <c:size val="9"/>
            <c:spPr>
              <a:solidFill>
                <a:srgbClr val="FF0000"/>
              </a:solidFill>
              <a:ln>
                <a:solidFill>
                  <a:srgbClr val="000080"/>
                </a:solidFill>
                <a:prstDash val="solid"/>
              </a:ln>
            </c:spPr>
          </c:marker>
          <c:cat>
            <c:numRef>
              <c:f>Graph_CO2!$T$44:$AI$44</c:f>
              <c:numCache>
                <c:formatCode>0</c:formatCode>
                <c:ptCount val="16"/>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numCache>
            </c:numRef>
          </c:cat>
          <c:val>
            <c:numRef>
              <c:f>Graph_CO2!$T$45:$AH$45</c:f>
              <c:numCache>
                <c:formatCode>_(* #,##0_);_(* \(#,##0\);_(* "-"??_);_(@_)</c:formatCode>
                <c:ptCount val="15"/>
                <c:pt idx="0">
                  <c:v>5046.5655113504927</c:v>
                </c:pt>
                <c:pt idx="1">
                  <c:v>5029.0196091770758</c:v>
                </c:pt>
                <c:pt idx="2">
                  <c:v>5011.7661930732556</c:v>
                </c:pt>
                <c:pt idx="3">
                  <c:v>4996.6967853840397</c:v>
                </c:pt>
                <c:pt idx="4">
                  <c:v>4982.1862657830388</c:v>
                </c:pt>
                <c:pt idx="5">
                  <c:v>4977.2427579819168</c:v>
                </c:pt>
                <c:pt idx="6">
                  <c:v>4977.9278678765377</c:v>
                </c:pt>
                <c:pt idx="7">
                  <c:v>4978.6434462421412</c:v>
                </c:pt>
                <c:pt idx="8">
                  <c:v>4977.8611055325591</c:v>
                </c:pt>
                <c:pt idx="9">
                  <c:v>4975.5375122650157</c:v>
                </c:pt>
                <c:pt idx="10">
                  <c:v>4965.5608677201562</c:v>
                </c:pt>
                <c:pt idx="11">
                  <c:v>4955.7415341154447</c:v>
                </c:pt>
                <c:pt idx="12">
                  <c:v>4946.0785287498356</c:v>
                </c:pt>
                <c:pt idx="13">
                  <c:v>4936.5708791641691</c:v>
                </c:pt>
                <c:pt idx="14">
                  <c:v>4936.3511241774959</c:v>
                </c:pt>
              </c:numCache>
            </c:numRef>
          </c:val>
          <c:extLst xmlns:c16r2="http://schemas.microsoft.com/office/drawing/2015/06/chart">
            <c:ext xmlns:c16="http://schemas.microsoft.com/office/drawing/2014/chart" uri="{C3380CC4-5D6E-409C-BE32-E72D297353CC}">
              <c16:uniqueId val="{00000000-36EF-4F43-87E7-0D0D274D61D0}"/>
            </c:ext>
          </c:extLst>
        </c:ser>
        <c:ser>
          <c:idx val="1"/>
          <c:order val="1"/>
          <c:tx>
            <c:v>Obama Climate Plan</c:v>
          </c:tx>
          <c:marker>
            <c:spPr>
              <a:solidFill>
                <a:srgbClr val="FFFF00"/>
              </a:solidFill>
            </c:spPr>
          </c:marker>
          <c:cat>
            <c:numRef>
              <c:f>Graph_CO2!$T$44:$AI$44</c:f>
              <c:numCache>
                <c:formatCode>0</c:formatCode>
                <c:ptCount val="16"/>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numCache>
            </c:numRef>
          </c:cat>
          <c:val>
            <c:numRef>
              <c:f>Graph_CO2!$T$64:$AH$64</c:f>
              <c:numCache>
                <c:formatCode>_(* #,##0_);_(* \(#,##0\);_(* "-"??_);_(@_)</c:formatCode>
                <c:ptCount val="15"/>
                <c:pt idx="0">
                  <c:v>5045.0662498589872</c:v>
                </c:pt>
                <c:pt idx="1">
                  <c:v>4985.5937408817381</c:v>
                </c:pt>
                <c:pt idx="2">
                  <c:v>4926.1212319044889</c:v>
                </c:pt>
                <c:pt idx="3">
                  <c:v>4866.6487229272398</c:v>
                </c:pt>
                <c:pt idx="4">
                  <c:v>4807.1762139499906</c:v>
                </c:pt>
                <c:pt idx="5">
                  <c:v>4747.7037049727414</c:v>
                </c:pt>
                <c:pt idx="6">
                  <c:v>4688.2311959954923</c:v>
                </c:pt>
                <c:pt idx="7">
                  <c:v>4628.7586870182431</c:v>
                </c:pt>
                <c:pt idx="8">
                  <c:v>4569.2861780409939</c:v>
                </c:pt>
                <c:pt idx="9">
                  <c:v>4509.8136690637448</c:v>
                </c:pt>
                <c:pt idx="10">
                  <c:v>4450.3411600864956</c:v>
                </c:pt>
                <c:pt idx="11">
                  <c:v>4390.8686511092465</c:v>
                </c:pt>
                <c:pt idx="12">
                  <c:v>4331.3961421319973</c:v>
                </c:pt>
                <c:pt idx="13">
                  <c:v>4271.9236331547481</c:v>
                </c:pt>
                <c:pt idx="14">
                  <c:v>4212.4511241774962</c:v>
                </c:pt>
              </c:numCache>
            </c:numRef>
          </c:val>
          <c:extLst xmlns:c16r2="http://schemas.microsoft.com/office/drawing/2015/06/chart">
            <c:ext xmlns:c16="http://schemas.microsoft.com/office/drawing/2014/chart" uri="{C3380CC4-5D6E-409C-BE32-E72D297353CC}">
              <c16:uniqueId val="{00000001-36EF-4F43-87E7-0D0D274D61D0}"/>
            </c:ext>
          </c:extLst>
        </c:ser>
        <c:ser>
          <c:idx val="2"/>
          <c:order val="2"/>
          <c:tx>
            <c:v>McDermott Carbon Tax</c:v>
          </c:tx>
          <c:marker>
            <c:symbol val="triangle"/>
            <c:size val="9"/>
            <c:spPr>
              <a:solidFill>
                <a:srgbClr val="00FF00"/>
              </a:solidFill>
              <a:ln>
                <a:noFill/>
              </a:ln>
            </c:spPr>
          </c:marker>
          <c:cat>
            <c:numRef>
              <c:f>Graph_CO2!$T$44:$AI$44</c:f>
              <c:numCache>
                <c:formatCode>0</c:formatCode>
                <c:ptCount val="16"/>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numCache>
            </c:numRef>
          </c:cat>
          <c:val>
            <c:numRef>
              <c:f>Graph_CO2!$T$47:$AH$47</c:f>
              <c:numCache>
                <c:formatCode>_(* #,##0_);_(* \(#,##0\);_(* "-"??_);_(@_)</c:formatCode>
                <c:ptCount val="15"/>
                <c:pt idx="0">
                  <c:v>4804.5672943417485</c:v>
                </c:pt>
                <c:pt idx="1">
                  <c:v>4571.5969475236061</c:v>
                </c:pt>
                <c:pt idx="2">
                  <c:v>4366.3671264869035</c:v>
                </c:pt>
                <c:pt idx="3">
                  <c:v>4185.3280177723309</c:v>
                </c:pt>
                <c:pt idx="4">
                  <c:v>4018.9809123075147</c:v>
                </c:pt>
                <c:pt idx="5">
                  <c:v>3873.4183585679589</c:v>
                </c:pt>
                <c:pt idx="6">
                  <c:v>3744.3933367446161</c:v>
                </c:pt>
                <c:pt idx="7">
                  <c:v>3625.0125223660971</c:v>
                </c:pt>
                <c:pt idx="8">
                  <c:v>3512.6285343834284</c:v>
                </c:pt>
                <c:pt idx="9">
                  <c:v>3406.2137623870713</c:v>
                </c:pt>
                <c:pt idx="10">
                  <c:v>3299.819374038455</c:v>
                </c:pt>
                <c:pt idx="11">
                  <c:v>3200.0306182053191</c:v>
                </c:pt>
                <c:pt idx="12">
                  <c:v>3106.648941185776</c:v>
                </c:pt>
                <c:pt idx="13">
                  <c:v>3019.010616037508</c:v>
                </c:pt>
                <c:pt idx="14">
                  <c:v>2938.6126092781701</c:v>
                </c:pt>
              </c:numCache>
            </c:numRef>
          </c:val>
          <c:extLst xmlns:c16r2="http://schemas.microsoft.com/office/drawing/2015/06/chart">
            <c:ext xmlns:c16="http://schemas.microsoft.com/office/drawing/2014/chart" uri="{C3380CC4-5D6E-409C-BE32-E72D297353CC}">
              <c16:uniqueId val="{00000002-36EF-4F43-87E7-0D0D274D61D0}"/>
            </c:ext>
          </c:extLst>
        </c:ser>
        <c:dLbls/>
        <c:marker val="1"/>
        <c:axId val="149904384"/>
        <c:axId val="149922560"/>
      </c:lineChart>
      <c:catAx>
        <c:axId val="149904384"/>
        <c:scaling>
          <c:orientation val="minMax"/>
        </c:scaling>
        <c:axPos val="b"/>
        <c:minorGridlines>
          <c:spPr>
            <a:ln>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a:ln>
          </c:spPr>
        </c:minorGridlines>
        <c:numFmt formatCode="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49922560"/>
        <c:crosses val="autoZero"/>
        <c:auto val="1"/>
        <c:lblAlgn val="ctr"/>
        <c:lblOffset val="100"/>
        <c:tickLblSkip val="2"/>
        <c:tickMarkSkip val="1"/>
      </c:catAx>
      <c:valAx>
        <c:axId val="149922560"/>
        <c:scaling>
          <c:orientation val="minMax"/>
        </c:scaling>
        <c:axPos val="l"/>
        <c:majorGridlines>
          <c:spPr>
            <a:ln w="3175">
              <a:solidFill>
                <a:srgbClr val="000000"/>
              </a:solidFill>
              <a:prstDash val="solid"/>
            </a:ln>
          </c:spPr>
        </c:majorGridlines>
        <c:title>
          <c:tx>
            <c:rich>
              <a:bodyPr/>
              <a:lstStyle/>
              <a:p>
                <a:pPr>
                  <a:defRPr sz="1500" b="1" i="0" u="none" strike="noStrike" baseline="0">
                    <a:solidFill>
                      <a:srgbClr val="000000"/>
                    </a:solidFill>
                    <a:latin typeface="Arial"/>
                    <a:ea typeface="Arial"/>
                    <a:cs typeface="Arial"/>
                  </a:defRPr>
                </a:pPr>
                <a:r>
                  <a:rPr lang="en-US" sz="1400" baseline="0"/>
                  <a:t>Million Tonnes</a:t>
                </a:r>
              </a:p>
            </c:rich>
          </c:tx>
          <c:layout>
            <c:manualLayout>
              <c:xMode val="edge"/>
              <c:yMode val="edge"/>
              <c:x val="2.2111143956834806E-2"/>
              <c:y val="0.38346006613795169"/>
            </c:manualLayout>
          </c:layout>
          <c:spPr>
            <a:noFill/>
            <a:ln w="25400">
              <a:noFill/>
            </a:ln>
          </c:spPr>
        </c:title>
        <c:numFmt formatCode="#,##0" sourceLinked="0"/>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149904384"/>
        <c:crosses val="autoZero"/>
        <c:crossBetween val="midCat"/>
        <c:minorUnit val="500"/>
      </c:valAx>
      <c:spPr>
        <a:solidFill>
          <a:srgbClr val="C0C0C0"/>
        </a:solidFill>
        <a:ln w="12700">
          <a:solidFill>
            <a:srgbClr val="808080"/>
          </a:solidFill>
          <a:prstDash val="solid"/>
        </a:ln>
      </c:spPr>
    </c:plotArea>
    <c:legend>
      <c:legendPos val="r"/>
      <c:layout>
        <c:manualLayout>
          <c:xMode val="edge"/>
          <c:yMode val="edge"/>
          <c:x val="0.40061575348064232"/>
          <c:y val="0.54993983152829262"/>
          <c:w val="0.28637663892696552"/>
          <c:h val="0.16396216492794041"/>
        </c:manualLayout>
      </c:layout>
      <c:spPr>
        <a:solidFill>
          <a:srgbClr val="FFFFFF"/>
        </a:solidFill>
        <a:ln w="3175">
          <a:solidFill>
            <a:srgbClr val="000000"/>
          </a:solidFill>
          <a:prstDash val="solid"/>
        </a:ln>
      </c:spPr>
      <c:txPr>
        <a:bodyPr/>
        <a:lstStyle/>
        <a:p>
          <a:pPr>
            <a:defRPr sz="1100" b="1" i="0" u="none" strike="noStrike" baseline="0">
              <a:solidFill>
                <a:srgbClr val="000000"/>
              </a:solidFill>
              <a:latin typeface="Arial"/>
              <a:ea typeface="Arial"/>
              <a:cs typeface="Arial"/>
            </a:defRPr>
          </a:pPr>
          <a:endParaRPr lang="en-US"/>
        </a:p>
      </c:txPr>
    </c:legend>
    <c:plotVisOnly val="1"/>
    <c:dispBlanksAs val="gap"/>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2400" b="0" i="0" u="none" strike="noStrike" baseline="0">
                <a:solidFill>
                  <a:srgbClr val="000000"/>
                </a:solidFill>
                <a:latin typeface="Arial"/>
                <a:ea typeface="Arial"/>
                <a:cs typeface="Arial"/>
              </a:defRPr>
            </a:pPr>
            <a:r>
              <a:rPr lang="en-US" sz="2000" b="1" i="0" u="none" strike="noStrike" baseline="0">
                <a:solidFill>
                  <a:srgbClr val="000000"/>
                </a:solidFill>
                <a:latin typeface="Arial"/>
                <a:cs typeface="Arial"/>
              </a:rPr>
              <a:t>U.S. CO2 Emissions: 3 Scenarios</a:t>
            </a:r>
            <a:r>
              <a:rPr lang="en-US" sz="2000" b="1" i="0" u="none" strike="noStrike" baseline="0"/>
              <a:t> </a:t>
            </a:r>
            <a:endParaRPr lang="en-US" sz="2000" b="1" i="0" u="none" strike="noStrike" baseline="0">
              <a:solidFill>
                <a:srgbClr val="000000"/>
              </a:solidFill>
              <a:latin typeface="Arial"/>
              <a:cs typeface="Arial"/>
            </a:endParaRPr>
          </a:p>
          <a:p>
            <a:pPr>
              <a:defRPr sz="2400" b="0" i="0" u="none" strike="noStrike" baseline="0">
                <a:solidFill>
                  <a:srgbClr val="000000"/>
                </a:solidFill>
                <a:latin typeface="Arial"/>
                <a:ea typeface="Arial"/>
                <a:cs typeface="Arial"/>
              </a:defRPr>
            </a:pPr>
            <a:endParaRPr lang="en-US" sz="2400" b="1" i="0" u="none" strike="noStrike" baseline="0">
              <a:solidFill>
                <a:srgbClr val="000000"/>
              </a:solidFill>
              <a:latin typeface="Arial"/>
              <a:cs typeface="Arial"/>
            </a:endParaRPr>
          </a:p>
        </c:rich>
      </c:tx>
      <c:layout>
        <c:manualLayout>
          <c:xMode val="edge"/>
          <c:yMode val="edge"/>
          <c:x val="0.19161926431550988"/>
          <c:y val="7.2202166064982018E-2"/>
        </c:manualLayout>
      </c:layout>
      <c:spPr>
        <a:noFill/>
        <a:ln w="25400">
          <a:noFill/>
        </a:ln>
      </c:spPr>
    </c:title>
    <c:plotArea>
      <c:layout>
        <c:manualLayout>
          <c:layoutTarget val="inner"/>
          <c:xMode val="edge"/>
          <c:yMode val="edge"/>
          <c:x val="0.16189970211427501"/>
          <c:y val="0.21365824308062861"/>
          <c:w val="0.76525706190049503"/>
          <c:h val="0.66754668978651999"/>
        </c:manualLayout>
      </c:layout>
      <c:lineChart>
        <c:grouping val="standard"/>
        <c:ser>
          <c:idx val="0"/>
          <c:order val="0"/>
          <c:tx>
            <c:v>No Action</c:v>
          </c:tx>
          <c:spPr>
            <a:ln w="12700">
              <a:solidFill>
                <a:srgbClr val="000080"/>
              </a:solidFill>
              <a:prstDash val="solid"/>
            </a:ln>
          </c:spPr>
          <c:marker>
            <c:symbol val="diamond"/>
            <c:size val="9"/>
            <c:spPr>
              <a:solidFill>
                <a:srgbClr val="FF0000"/>
              </a:solidFill>
              <a:ln>
                <a:solidFill>
                  <a:srgbClr val="000080"/>
                </a:solidFill>
                <a:prstDash val="solid"/>
              </a:ln>
            </c:spPr>
          </c:marker>
          <c:cat>
            <c:numRef>
              <c:f>Graph_CO2!$I$44:$AJ$44</c:f>
              <c:numCache>
                <c:formatCode>0</c:formatCode>
                <c:ptCount val="28"/>
                <c:pt idx="0">
                  <c:v>2005</c:v>
                </c:pt>
                <c:pt idx="1">
                  <c:v>2006</c:v>
                </c:pt>
                <c:pt idx="2">
                  <c:v>2007</c:v>
                </c:pt>
                <c:pt idx="3">
                  <c:v>2008</c:v>
                </c:pt>
                <c:pt idx="4">
                  <c:v>2009</c:v>
                </c:pt>
                <c:pt idx="5">
                  <c:v>2010</c:v>
                </c:pt>
                <c:pt idx="6">
                  <c:v>2011</c:v>
                </c:pt>
                <c:pt idx="7">
                  <c:v>2012</c:v>
                </c:pt>
                <c:pt idx="8">
                  <c:v>2013</c:v>
                </c:pt>
                <c:pt idx="9">
                  <c:v>2014</c:v>
                </c:pt>
                <c:pt idx="10">
                  <c:v>2015</c:v>
                </c:pt>
                <c:pt idx="11">
                  <c:v>2017</c:v>
                </c:pt>
                <c:pt idx="12">
                  <c:v>2018</c:v>
                </c:pt>
                <c:pt idx="13">
                  <c:v>2019</c:v>
                </c:pt>
                <c:pt idx="14">
                  <c:v>2020</c:v>
                </c:pt>
                <c:pt idx="15">
                  <c:v>2021</c:v>
                </c:pt>
                <c:pt idx="16">
                  <c:v>2022</c:v>
                </c:pt>
                <c:pt idx="17">
                  <c:v>2023</c:v>
                </c:pt>
                <c:pt idx="18">
                  <c:v>2024</c:v>
                </c:pt>
                <c:pt idx="19">
                  <c:v>2025</c:v>
                </c:pt>
                <c:pt idx="20">
                  <c:v>2026</c:v>
                </c:pt>
                <c:pt idx="21">
                  <c:v>2027</c:v>
                </c:pt>
                <c:pt idx="22">
                  <c:v>2028</c:v>
                </c:pt>
                <c:pt idx="23">
                  <c:v>2029</c:v>
                </c:pt>
                <c:pt idx="24">
                  <c:v>2030</c:v>
                </c:pt>
                <c:pt idx="25">
                  <c:v>2031</c:v>
                </c:pt>
                <c:pt idx="26">
                  <c:v>2032</c:v>
                </c:pt>
                <c:pt idx="27">
                  <c:v>2033</c:v>
                </c:pt>
              </c:numCache>
            </c:numRef>
          </c:cat>
          <c:val>
            <c:numRef>
              <c:f>Graph_CO2!$I$45:$AH$45</c:f>
              <c:numCache>
                <c:formatCode>_(* #,##0_);_(* \(#,##0\);_(* "-"??_);_(@_)</c:formatCode>
                <c:ptCount val="26"/>
                <c:pt idx="0">
                  <c:v>5811.705891565216</c:v>
                </c:pt>
                <c:pt idx="1">
                  <c:v>5741.3947512468221</c:v>
                </c:pt>
                <c:pt idx="2">
                  <c:v>5831.6621575089175</c:v>
                </c:pt>
                <c:pt idx="3">
                  <c:v>5629.4402855458411</c:v>
                </c:pt>
                <c:pt idx="4">
                  <c:v>5237.9790874120499</c:v>
                </c:pt>
                <c:pt idx="5">
                  <c:v>5421.3546132287674</c:v>
                </c:pt>
                <c:pt idx="6">
                  <c:v>5271.9587835203365</c:v>
                </c:pt>
                <c:pt idx="7">
                  <c:v>5061.796514329073</c:v>
                </c:pt>
                <c:pt idx="8">
                  <c:v>5210.4666515024519</c:v>
                </c:pt>
                <c:pt idx="9">
                  <c:v>5265.4112730987672</c:v>
                </c:pt>
                <c:pt idx="10">
                  <c:v>5104.5387588362364</c:v>
                </c:pt>
                <c:pt idx="11">
                  <c:v>5046.5655113504927</c:v>
                </c:pt>
                <c:pt idx="12">
                  <c:v>5029.0196091770758</c:v>
                </c:pt>
                <c:pt idx="13">
                  <c:v>5011.7661930732556</c:v>
                </c:pt>
                <c:pt idx="14">
                  <c:v>4996.6967853840397</c:v>
                </c:pt>
                <c:pt idx="15">
                  <c:v>4982.1862657830388</c:v>
                </c:pt>
                <c:pt idx="16">
                  <c:v>4977.2427579819168</c:v>
                </c:pt>
                <c:pt idx="17">
                  <c:v>4977.9278678765377</c:v>
                </c:pt>
                <c:pt idx="18">
                  <c:v>4978.6434462421412</c:v>
                </c:pt>
                <c:pt idx="19">
                  <c:v>4977.8611055325591</c:v>
                </c:pt>
                <c:pt idx="20">
                  <c:v>4975.5375122650157</c:v>
                </c:pt>
                <c:pt idx="21">
                  <c:v>4965.5608677201562</c:v>
                </c:pt>
                <c:pt idx="22">
                  <c:v>4955.7415341154447</c:v>
                </c:pt>
                <c:pt idx="23">
                  <c:v>4946.0785287498356</c:v>
                </c:pt>
                <c:pt idx="24">
                  <c:v>4936.5708791641691</c:v>
                </c:pt>
                <c:pt idx="25">
                  <c:v>4936.3511241774959</c:v>
                </c:pt>
              </c:numCache>
            </c:numRef>
          </c:val>
          <c:extLst xmlns:c16r2="http://schemas.microsoft.com/office/drawing/2015/06/chart">
            <c:ext xmlns:c16="http://schemas.microsoft.com/office/drawing/2014/chart" uri="{C3380CC4-5D6E-409C-BE32-E72D297353CC}">
              <c16:uniqueId val="{00000000-CDD7-4DA8-8345-6B4661F0C8B5}"/>
            </c:ext>
          </c:extLst>
        </c:ser>
        <c:ser>
          <c:idx val="1"/>
          <c:order val="1"/>
          <c:tx>
            <c:v>Obama Climate Plan</c:v>
          </c:tx>
          <c:spPr>
            <a:ln>
              <a:solidFill>
                <a:srgbClr val="000000"/>
              </a:solidFill>
            </a:ln>
          </c:spPr>
          <c:marker>
            <c:spPr>
              <a:solidFill>
                <a:srgbClr val="FFFF00"/>
              </a:solidFill>
            </c:spPr>
          </c:marker>
          <c:cat>
            <c:numRef>
              <c:f>Graph_CO2!$I$44:$AJ$44</c:f>
              <c:numCache>
                <c:formatCode>0</c:formatCode>
                <c:ptCount val="28"/>
                <c:pt idx="0">
                  <c:v>2005</c:v>
                </c:pt>
                <c:pt idx="1">
                  <c:v>2006</c:v>
                </c:pt>
                <c:pt idx="2">
                  <c:v>2007</c:v>
                </c:pt>
                <c:pt idx="3">
                  <c:v>2008</c:v>
                </c:pt>
                <c:pt idx="4">
                  <c:v>2009</c:v>
                </c:pt>
                <c:pt idx="5">
                  <c:v>2010</c:v>
                </c:pt>
                <c:pt idx="6">
                  <c:v>2011</c:v>
                </c:pt>
                <c:pt idx="7">
                  <c:v>2012</c:v>
                </c:pt>
                <c:pt idx="8">
                  <c:v>2013</c:v>
                </c:pt>
                <c:pt idx="9">
                  <c:v>2014</c:v>
                </c:pt>
                <c:pt idx="10">
                  <c:v>2015</c:v>
                </c:pt>
                <c:pt idx="11">
                  <c:v>2017</c:v>
                </c:pt>
                <c:pt idx="12">
                  <c:v>2018</c:v>
                </c:pt>
                <c:pt idx="13">
                  <c:v>2019</c:v>
                </c:pt>
                <c:pt idx="14">
                  <c:v>2020</c:v>
                </c:pt>
                <c:pt idx="15">
                  <c:v>2021</c:v>
                </c:pt>
                <c:pt idx="16">
                  <c:v>2022</c:v>
                </c:pt>
                <c:pt idx="17">
                  <c:v>2023</c:v>
                </c:pt>
                <c:pt idx="18">
                  <c:v>2024</c:v>
                </c:pt>
                <c:pt idx="19">
                  <c:v>2025</c:v>
                </c:pt>
                <c:pt idx="20">
                  <c:v>2026</c:v>
                </c:pt>
                <c:pt idx="21">
                  <c:v>2027</c:v>
                </c:pt>
                <c:pt idx="22">
                  <c:v>2028</c:v>
                </c:pt>
                <c:pt idx="23">
                  <c:v>2029</c:v>
                </c:pt>
                <c:pt idx="24">
                  <c:v>2030</c:v>
                </c:pt>
                <c:pt idx="25">
                  <c:v>2031</c:v>
                </c:pt>
                <c:pt idx="26">
                  <c:v>2032</c:v>
                </c:pt>
                <c:pt idx="27">
                  <c:v>2033</c:v>
                </c:pt>
              </c:numCache>
            </c:numRef>
          </c:cat>
          <c:val>
            <c:numRef>
              <c:f>Graph_CO2!$I$64:$AH$64</c:f>
              <c:numCache>
                <c:formatCode>General</c:formatCode>
                <c:ptCount val="26"/>
                <c:pt idx="10" formatCode="_(* #,##0_);_(* \(#,##0\);_(* &quot;-&quot;??_);_(@_)">
                  <c:v>5104.5387588362364</c:v>
                </c:pt>
                <c:pt idx="11" formatCode="_(* #,##0_);_(* \(#,##0\);_(* &quot;-&quot;??_);_(@_)">
                  <c:v>5045.0662498589872</c:v>
                </c:pt>
                <c:pt idx="12" formatCode="_(* #,##0_);_(* \(#,##0\);_(* &quot;-&quot;??_);_(@_)">
                  <c:v>4985.5937408817381</c:v>
                </c:pt>
                <c:pt idx="13" formatCode="_(* #,##0_);_(* \(#,##0\);_(* &quot;-&quot;??_);_(@_)">
                  <c:v>4926.1212319044889</c:v>
                </c:pt>
                <c:pt idx="14" formatCode="_(* #,##0_);_(* \(#,##0\);_(* &quot;-&quot;??_);_(@_)">
                  <c:v>4866.6487229272398</c:v>
                </c:pt>
                <c:pt idx="15" formatCode="_(* #,##0_);_(* \(#,##0\);_(* &quot;-&quot;??_);_(@_)">
                  <c:v>4807.1762139499906</c:v>
                </c:pt>
                <c:pt idx="16" formatCode="_(* #,##0_);_(* \(#,##0\);_(* &quot;-&quot;??_);_(@_)">
                  <c:v>4747.7037049727414</c:v>
                </c:pt>
                <c:pt idx="17" formatCode="_(* #,##0_);_(* \(#,##0\);_(* &quot;-&quot;??_);_(@_)">
                  <c:v>4688.2311959954923</c:v>
                </c:pt>
                <c:pt idx="18" formatCode="_(* #,##0_);_(* \(#,##0\);_(* &quot;-&quot;??_);_(@_)">
                  <c:v>4628.7586870182431</c:v>
                </c:pt>
                <c:pt idx="19" formatCode="_(* #,##0_);_(* \(#,##0\);_(* &quot;-&quot;??_);_(@_)">
                  <c:v>4569.2861780409939</c:v>
                </c:pt>
                <c:pt idx="20" formatCode="_(* #,##0_);_(* \(#,##0\);_(* &quot;-&quot;??_);_(@_)">
                  <c:v>4509.8136690637448</c:v>
                </c:pt>
                <c:pt idx="21" formatCode="_(* #,##0_);_(* \(#,##0\);_(* &quot;-&quot;??_);_(@_)">
                  <c:v>4450.3411600864956</c:v>
                </c:pt>
                <c:pt idx="22" formatCode="_(* #,##0_);_(* \(#,##0\);_(* &quot;-&quot;??_);_(@_)">
                  <c:v>4390.8686511092465</c:v>
                </c:pt>
                <c:pt idx="23" formatCode="_(* #,##0_);_(* \(#,##0\);_(* &quot;-&quot;??_);_(@_)">
                  <c:v>4331.3961421319973</c:v>
                </c:pt>
                <c:pt idx="24" formatCode="_(* #,##0_);_(* \(#,##0\);_(* &quot;-&quot;??_);_(@_)">
                  <c:v>4271.9236331547481</c:v>
                </c:pt>
                <c:pt idx="25" formatCode="_(* #,##0_);_(* \(#,##0\);_(* &quot;-&quot;??_);_(@_)">
                  <c:v>4212.4511241774962</c:v>
                </c:pt>
              </c:numCache>
            </c:numRef>
          </c:val>
          <c:extLst xmlns:c16r2="http://schemas.microsoft.com/office/drawing/2015/06/chart">
            <c:ext xmlns:c16="http://schemas.microsoft.com/office/drawing/2014/chart" uri="{C3380CC4-5D6E-409C-BE32-E72D297353CC}">
              <c16:uniqueId val="{00000001-CDD7-4DA8-8345-6B4661F0C8B5}"/>
            </c:ext>
          </c:extLst>
        </c:ser>
        <c:ser>
          <c:idx val="2"/>
          <c:order val="2"/>
          <c:tx>
            <c:v>McDermott Carbon Tax</c:v>
          </c:tx>
          <c:marker>
            <c:symbol val="triangle"/>
            <c:size val="9"/>
            <c:spPr>
              <a:solidFill>
                <a:srgbClr val="00FF00"/>
              </a:solidFill>
              <a:ln>
                <a:noFill/>
              </a:ln>
            </c:spPr>
          </c:marker>
          <c:cat>
            <c:numRef>
              <c:f>Graph_CO2!$I$44:$AJ$44</c:f>
              <c:numCache>
                <c:formatCode>0</c:formatCode>
                <c:ptCount val="28"/>
                <c:pt idx="0">
                  <c:v>2005</c:v>
                </c:pt>
                <c:pt idx="1">
                  <c:v>2006</c:v>
                </c:pt>
                <c:pt idx="2">
                  <c:v>2007</c:v>
                </c:pt>
                <c:pt idx="3">
                  <c:v>2008</c:v>
                </c:pt>
                <c:pt idx="4">
                  <c:v>2009</c:v>
                </c:pt>
                <c:pt idx="5">
                  <c:v>2010</c:v>
                </c:pt>
                <c:pt idx="6">
                  <c:v>2011</c:v>
                </c:pt>
                <c:pt idx="7">
                  <c:v>2012</c:v>
                </c:pt>
                <c:pt idx="8">
                  <c:v>2013</c:v>
                </c:pt>
                <c:pt idx="9">
                  <c:v>2014</c:v>
                </c:pt>
                <c:pt idx="10">
                  <c:v>2015</c:v>
                </c:pt>
                <c:pt idx="11">
                  <c:v>2017</c:v>
                </c:pt>
                <c:pt idx="12">
                  <c:v>2018</c:v>
                </c:pt>
                <c:pt idx="13">
                  <c:v>2019</c:v>
                </c:pt>
                <c:pt idx="14">
                  <c:v>2020</c:v>
                </c:pt>
                <c:pt idx="15">
                  <c:v>2021</c:v>
                </c:pt>
                <c:pt idx="16">
                  <c:v>2022</c:v>
                </c:pt>
                <c:pt idx="17">
                  <c:v>2023</c:v>
                </c:pt>
                <c:pt idx="18">
                  <c:v>2024</c:v>
                </c:pt>
                <c:pt idx="19">
                  <c:v>2025</c:v>
                </c:pt>
                <c:pt idx="20">
                  <c:v>2026</c:v>
                </c:pt>
                <c:pt idx="21">
                  <c:v>2027</c:v>
                </c:pt>
                <c:pt idx="22">
                  <c:v>2028</c:v>
                </c:pt>
                <c:pt idx="23">
                  <c:v>2029</c:v>
                </c:pt>
                <c:pt idx="24">
                  <c:v>2030</c:v>
                </c:pt>
                <c:pt idx="25">
                  <c:v>2031</c:v>
                </c:pt>
                <c:pt idx="26">
                  <c:v>2032</c:v>
                </c:pt>
                <c:pt idx="27">
                  <c:v>2033</c:v>
                </c:pt>
              </c:numCache>
            </c:numRef>
          </c:cat>
          <c:val>
            <c:numRef>
              <c:f>Graph_CO2!$I$47:$AH$47</c:f>
              <c:numCache>
                <c:formatCode>_(* #,##0_);_(* \(#,##0\);_(* "-"??_);_(@_)</c:formatCode>
                <c:ptCount val="26"/>
                <c:pt idx="0">
                  <c:v>5811.705891565216</c:v>
                </c:pt>
                <c:pt idx="1">
                  <c:v>5741.3947512468221</c:v>
                </c:pt>
                <c:pt idx="2">
                  <c:v>5831.6621575089175</c:v>
                </c:pt>
                <c:pt idx="3">
                  <c:v>5629.4402855458411</c:v>
                </c:pt>
                <c:pt idx="4">
                  <c:v>5237.9790874120499</c:v>
                </c:pt>
                <c:pt idx="5">
                  <c:v>5421.3546132287674</c:v>
                </c:pt>
                <c:pt idx="6">
                  <c:v>5271.9587835203365</c:v>
                </c:pt>
                <c:pt idx="7">
                  <c:v>5061.796514329073</c:v>
                </c:pt>
                <c:pt idx="8">
                  <c:v>5210.4666515024519</c:v>
                </c:pt>
                <c:pt idx="9">
                  <c:v>5265.4112730987672</c:v>
                </c:pt>
                <c:pt idx="10">
                  <c:v>5104.5387588362364</c:v>
                </c:pt>
                <c:pt idx="11">
                  <c:v>4804.5672943417485</c:v>
                </c:pt>
                <c:pt idx="12">
                  <c:v>4571.5969475236061</c:v>
                </c:pt>
                <c:pt idx="13">
                  <c:v>4366.3671264869035</c:v>
                </c:pt>
                <c:pt idx="14">
                  <c:v>4185.3280177723309</c:v>
                </c:pt>
                <c:pt idx="15">
                  <c:v>4018.9809123075147</c:v>
                </c:pt>
                <c:pt idx="16">
                  <c:v>3873.4183585679589</c:v>
                </c:pt>
                <c:pt idx="17">
                  <c:v>3744.3933367446161</c:v>
                </c:pt>
                <c:pt idx="18">
                  <c:v>3625.0125223660971</c:v>
                </c:pt>
                <c:pt idx="19">
                  <c:v>3512.6285343834284</c:v>
                </c:pt>
                <c:pt idx="20">
                  <c:v>3406.2137623870713</c:v>
                </c:pt>
                <c:pt idx="21">
                  <c:v>3299.819374038455</c:v>
                </c:pt>
                <c:pt idx="22">
                  <c:v>3200.0306182053191</c:v>
                </c:pt>
                <c:pt idx="23">
                  <c:v>3106.648941185776</c:v>
                </c:pt>
                <c:pt idx="24">
                  <c:v>3019.010616037508</c:v>
                </c:pt>
                <c:pt idx="25">
                  <c:v>2938.6126092781701</c:v>
                </c:pt>
              </c:numCache>
            </c:numRef>
          </c:val>
          <c:extLst xmlns:c16r2="http://schemas.microsoft.com/office/drawing/2015/06/chart">
            <c:ext xmlns:c16="http://schemas.microsoft.com/office/drawing/2014/chart" uri="{C3380CC4-5D6E-409C-BE32-E72D297353CC}">
              <c16:uniqueId val="{00000002-CDD7-4DA8-8345-6B4661F0C8B5}"/>
            </c:ext>
          </c:extLst>
        </c:ser>
        <c:dLbls/>
        <c:marker val="1"/>
        <c:axId val="131248512"/>
        <c:axId val="131250048"/>
      </c:lineChart>
      <c:catAx>
        <c:axId val="131248512"/>
        <c:scaling>
          <c:orientation val="minMax"/>
        </c:scaling>
        <c:axPos val="b"/>
        <c:minorGridlines>
          <c:spPr>
            <a:ln>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a:ln>
          </c:spPr>
        </c:minorGridlines>
        <c:numFmt formatCode="0" sourceLinked="1"/>
        <c:tickLblPos val="nextTo"/>
        <c:spPr>
          <a:ln w="3175">
            <a:solidFill>
              <a:schemeClr val="accent1"/>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31250048"/>
        <c:crosses val="autoZero"/>
        <c:auto val="1"/>
        <c:lblAlgn val="ctr"/>
        <c:lblOffset val="100"/>
        <c:tickLblSkip val="2"/>
        <c:tickMarkSkip val="1"/>
      </c:catAx>
      <c:valAx>
        <c:axId val="131250048"/>
        <c:scaling>
          <c:orientation val="minMax"/>
        </c:scaling>
        <c:axPos val="l"/>
        <c:majorGridlines>
          <c:spPr>
            <a:ln w="3175">
              <a:solidFill>
                <a:srgbClr val="000000"/>
              </a:solidFill>
              <a:prstDash val="solid"/>
            </a:ln>
          </c:spPr>
        </c:majorGridlines>
        <c:title>
          <c:tx>
            <c:rich>
              <a:bodyPr/>
              <a:lstStyle/>
              <a:p>
                <a:pPr>
                  <a:defRPr sz="1500" b="1" i="0" u="none" strike="noStrike" baseline="0">
                    <a:solidFill>
                      <a:srgbClr val="000000"/>
                    </a:solidFill>
                    <a:latin typeface="Arial"/>
                    <a:ea typeface="Arial"/>
                    <a:cs typeface="Arial"/>
                  </a:defRPr>
                </a:pPr>
                <a:r>
                  <a:rPr lang="en-US" sz="1400" baseline="0"/>
                  <a:t>Million Tonnes</a:t>
                </a:r>
              </a:p>
            </c:rich>
          </c:tx>
          <c:layout>
            <c:manualLayout>
              <c:xMode val="edge"/>
              <c:yMode val="edge"/>
              <c:x val="2.2111143956834806E-2"/>
              <c:y val="0.38346006613795269"/>
            </c:manualLayout>
          </c:layout>
          <c:spPr>
            <a:noFill/>
            <a:ln w="25400">
              <a:noFill/>
            </a:ln>
          </c:spPr>
        </c:title>
        <c:numFmt formatCode="#,##0" sourceLinked="0"/>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131248512"/>
        <c:crossesAt val="1"/>
        <c:crossBetween val="midCat"/>
        <c:minorUnit val="500"/>
      </c:valAx>
      <c:spPr>
        <a:solidFill>
          <a:srgbClr val="C0C0C0"/>
        </a:solidFill>
        <a:ln w="12700">
          <a:solidFill>
            <a:srgbClr val="808080"/>
          </a:solidFill>
          <a:prstDash val="solid"/>
        </a:ln>
      </c:spPr>
    </c:plotArea>
    <c:legend>
      <c:legendPos val="r"/>
      <c:layout>
        <c:manualLayout>
          <c:xMode val="edge"/>
          <c:yMode val="edge"/>
          <c:x val="0.40061575348064232"/>
          <c:y val="0.54993983152829362"/>
          <c:w val="0.28637663892696552"/>
          <c:h val="0.16396216492794041"/>
        </c:manualLayout>
      </c:layout>
      <c:spPr>
        <a:solidFill>
          <a:srgbClr val="FFFFFF"/>
        </a:solidFill>
        <a:ln w="3175">
          <a:solidFill>
            <a:srgbClr val="000000"/>
          </a:solidFill>
          <a:prstDash val="solid"/>
        </a:ln>
      </c:spPr>
      <c:txPr>
        <a:bodyPr/>
        <a:lstStyle/>
        <a:p>
          <a:pPr>
            <a:defRPr sz="1100" b="1" i="0" u="none" strike="noStrike" baseline="0">
              <a:solidFill>
                <a:srgbClr val="000000"/>
              </a:solidFill>
              <a:latin typeface="Arial"/>
              <a:ea typeface="Arial"/>
              <a:cs typeface="Arial"/>
            </a:defRPr>
          </a:pPr>
          <a:endParaRPr lang="en-US"/>
        </a:p>
      </c:txPr>
    </c:legend>
    <c:plotVisOnly val="1"/>
    <c:dispBlanksAs val="gap"/>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2400" b="0" i="0" u="none" strike="noStrike" baseline="0">
                <a:solidFill>
                  <a:srgbClr val="000000"/>
                </a:solidFill>
                <a:latin typeface="Arial"/>
                <a:ea typeface="Arial"/>
                <a:cs typeface="Arial"/>
              </a:defRPr>
            </a:pPr>
            <a:r>
              <a:rPr lang="en-US" sz="1800" b="1" i="0" u="none" strike="noStrike" baseline="0">
                <a:solidFill>
                  <a:srgbClr val="000000"/>
                </a:solidFill>
                <a:latin typeface="Arial"/>
                <a:cs typeface="Arial"/>
              </a:rPr>
              <a:t>U.S. Petroleum Consumption with </a:t>
            </a:r>
          </a:p>
          <a:p>
            <a:pPr>
              <a:defRPr sz="2400" b="0" i="0" u="none" strike="noStrike" baseline="0">
                <a:solidFill>
                  <a:srgbClr val="000000"/>
                </a:solidFill>
                <a:latin typeface="Arial"/>
                <a:ea typeface="Arial"/>
                <a:cs typeface="Arial"/>
              </a:defRPr>
            </a:pPr>
            <a:r>
              <a:rPr lang="en-US" sz="1800" b="1" i="0" u="none" strike="noStrike" baseline="0">
                <a:solidFill>
                  <a:srgbClr val="000000"/>
                </a:solidFill>
                <a:latin typeface="Arial"/>
                <a:cs typeface="Arial"/>
              </a:rPr>
              <a:t>and without a </a:t>
            </a:r>
            <a:r>
              <a:rPr lang="en-US" sz="1800" b="1" i="0" u="none" strike="noStrike" baseline="0"/>
              <a:t>Carbon Tax </a:t>
            </a:r>
            <a:endParaRPr lang="en-US" sz="1800" b="1" i="0" u="none" strike="noStrike" baseline="0">
              <a:solidFill>
                <a:srgbClr val="000000"/>
              </a:solidFill>
              <a:latin typeface="Arial"/>
              <a:cs typeface="Arial"/>
            </a:endParaRPr>
          </a:p>
          <a:p>
            <a:pPr>
              <a:defRPr sz="2400" b="0" i="0" u="none" strike="noStrike" baseline="0">
                <a:solidFill>
                  <a:srgbClr val="000000"/>
                </a:solidFill>
                <a:latin typeface="Arial"/>
                <a:ea typeface="Arial"/>
                <a:cs typeface="Arial"/>
              </a:defRPr>
            </a:pPr>
            <a:endParaRPr lang="en-US" sz="2400" b="1" i="0" u="none" strike="noStrike" baseline="0">
              <a:solidFill>
                <a:srgbClr val="000000"/>
              </a:solidFill>
              <a:latin typeface="Arial"/>
              <a:cs typeface="Arial"/>
            </a:endParaRPr>
          </a:p>
        </c:rich>
      </c:tx>
      <c:layout>
        <c:manualLayout>
          <c:xMode val="edge"/>
          <c:yMode val="edge"/>
          <c:x val="0.21184644307005196"/>
          <c:y val="3.6101083032491002E-2"/>
        </c:manualLayout>
      </c:layout>
      <c:spPr>
        <a:noFill/>
        <a:ln w="25400">
          <a:noFill/>
        </a:ln>
      </c:spPr>
    </c:title>
    <c:plotArea>
      <c:layout>
        <c:manualLayout>
          <c:layoutTarget val="inner"/>
          <c:xMode val="edge"/>
          <c:yMode val="edge"/>
          <c:x val="0.16189970211427501"/>
          <c:y val="0.21365824308062761"/>
          <c:w val="0.76525706190049503"/>
          <c:h val="0.66754668978651999"/>
        </c:manualLayout>
      </c:layout>
      <c:lineChart>
        <c:grouping val="standard"/>
        <c:ser>
          <c:idx val="0"/>
          <c:order val="0"/>
          <c:tx>
            <c:v>No Carbon Tax</c:v>
          </c:tx>
          <c:spPr>
            <a:ln w="12700">
              <a:solidFill>
                <a:srgbClr val="000080"/>
              </a:solidFill>
              <a:prstDash val="solid"/>
            </a:ln>
          </c:spPr>
          <c:marker>
            <c:symbol val="diamond"/>
            <c:size val="9"/>
            <c:spPr>
              <a:solidFill>
                <a:srgbClr val="000080"/>
              </a:solidFill>
              <a:ln>
                <a:solidFill>
                  <a:srgbClr val="000080"/>
                </a:solidFill>
                <a:prstDash val="solid"/>
              </a:ln>
            </c:spPr>
          </c:marker>
          <c:cat>
            <c:numRef>
              <c:f>Graph_Oil!$J$42:$AP$42</c:f>
              <c:numCache>
                <c:formatCode>0</c:formatCode>
                <c:ptCount val="33"/>
                <c:pt idx="0">
                  <c:v>2006</c:v>
                </c:pt>
                <c:pt idx="1">
                  <c:v>2007</c:v>
                </c:pt>
                <c:pt idx="2">
                  <c:v>2008</c:v>
                </c:pt>
                <c:pt idx="3">
                  <c:v>2009</c:v>
                </c:pt>
                <c:pt idx="4">
                  <c:v>2010</c:v>
                </c:pt>
                <c:pt idx="5">
                  <c:v>2011</c:v>
                </c:pt>
                <c:pt idx="6">
                  <c:v>2012</c:v>
                </c:pt>
                <c:pt idx="7">
                  <c:v>2013</c:v>
                </c:pt>
                <c:pt idx="8">
                  <c:v>2014</c:v>
                </c:pt>
                <c:pt idx="9">
                  <c:v>2015</c:v>
                </c:pt>
                <c:pt idx="10">
                  <c:v>2017</c:v>
                </c:pt>
                <c:pt idx="11">
                  <c:v>2018</c:v>
                </c:pt>
                <c:pt idx="12">
                  <c:v>2019</c:v>
                </c:pt>
                <c:pt idx="13">
                  <c:v>2020</c:v>
                </c:pt>
                <c:pt idx="14">
                  <c:v>2021</c:v>
                </c:pt>
                <c:pt idx="15">
                  <c:v>2022</c:v>
                </c:pt>
                <c:pt idx="16">
                  <c:v>2023</c:v>
                </c:pt>
                <c:pt idx="17">
                  <c:v>2024</c:v>
                </c:pt>
                <c:pt idx="18">
                  <c:v>2025</c:v>
                </c:pt>
                <c:pt idx="19">
                  <c:v>2026</c:v>
                </c:pt>
                <c:pt idx="20">
                  <c:v>2027</c:v>
                </c:pt>
                <c:pt idx="21">
                  <c:v>2028</c:v>
                </c:pt>
                <c:pt idx="22">
                  <c:v>2029</c:v>
                </c:pt>
                <c:pt idx="23">
                  <c:v>2030</c:v>
                </c:pt>
                <c:pt idx="24">
                  <c:v>2031</c:v>
                </c:pt>
                <c:pt idx="25">
                  <c:v>2032</c:v>
                </c:pt>
                <c:pt idx="26">
                  <c:v>2033</c:v>
                </c:pt>
                <c:pt idx="27">
                  <c:v>2034</c:v>
                </c:pt>
                <c:pt idx="28">
                  <c:v>2035</c:v>
                </c:pt>
                <c:pt idx="29">
                  <c:v>2036</c:v>
                </c:pt>
                <c:pt idx="30">
                  <c:v>2037</c:v>
                </c:pt>
                <c:pt idx="31">
                  <c:v>2038</c:v>
                </c:pt>
                <c:pt idx="32">
                  <c:v>2039</c:v>
                </c:pt>
              </c:numCache>
            </c:numRef>
          </c:cat>
          <c:val>
            <c:numRef>
              <c:f>Graph_Oil!$I$53:$AQ$53</c:f>
              <c:numCache>
                <c:formatCode>_(* #,##0_);_(* \(#,##0\);_(* "-"??_);_(@_)</c:formatCode>
                <c:ptCount val="35"/>
                <c:pt idx="0">
                  <c:v>20809.074968038592</c:v>
                </c:pt>
                <c:pt idx="1">
                  <c:v>20646.492886113178</c:v>
                </c:pt>
                <c:pt idx="2">
                  <c:v>20633.371620679645</c:v>
                </c:pt>
                <c:pt idx="3">
                  <c:v>19474.810521627416</c:v>
                </c:pt>
                <c:pt idx="4">
                  <c:v>18813.671223260968</c:v>
                </c:pt>
                <c:pt idx="5">
                  <c:v>19217.346527940364</c:v>
                </c:pt>
                <c:pt idx="6">
                  <c:v>18832.165529220609</c:v>
                </c:pt>
                <c:pt idx="7">
                  <c:v>18428.844368881586</c:v>
                </c:pt>
                <c:pt idx="8">
                  <c:v>18991.811424089072</c:v>
                </c:pt>
                <c:pt idx="9">
                  <c:v>19117.750295724691</c:v>
                </c:pt>
                <c:pt idx="10">
                  <c:v>19028.450611360709</c:v>
                </c:pt>
                <c:pt idx="11">
                  <c:v>18944.404258451574</c:v>
                </c:pt>
                <c:pt idx="12">
                  <c:v>18933.512240197011</c:v>
                </c:pt>
                <c:pt idx="13">
                  <c:v>18929.615752255038</c:v>
                </c:pt>
                <c:pt idx="14">
                  <c:v>18946.542327705647</c:v>
                </c:pt>
                <c:pt idx="15">
                  <c:v>18901.577082147705</c:v>
                </c:pt>
                <c:pt idx="16">
                  <c:v>18929.546669923628</c:v>
                </c:pt>
                <c:pt idx="17">
                  <c:v>18998.244188524324</c:v>
                </c:pt>
                <c:pt idx="18">
                  <c:v>19066.470380210543</c:v>
                </c:pt>
                <c:pt idx="19">
                  <c:v>19122.979503680152</c:v>
                </c:pt>
                <c:pt idx="20">
                  <c:v>19167.455836912952</c:v>
                </c:pt>
                <c:pt idx="21">
                  <c:v>19154.919631676232</c:v>
                </c:pt>
                <c:pt idx="22">
                  <c:v>19142.85850157879</c:v>
                </c:pt>
                <c:pt idx="23">
                  <c:v>19131.268406317897</c:v>
                </c:pt>
                <c:pt idx="24">
                  <c:v>19120.145373847594</c:v>
                </c:pt>
                <c:pt idx="25">
                  <c:v>19100.647619106981</c:v>
                </c:pt>
                <c:pt idx="26">
                  <c:v>19079.63189766898</c:v>
                </c:pt>
                <c:pt idx="27">
                  <c:v>19058.434297950073</c:v>
                </c:pt>
                <c:pt idx="28">
                  <c:v>19037.062537218331</c:v>
                </c:pt>
                <c:pt idx="29">
                  <c:v>19015.524335510716</c:v>
                </c:pt>
                <c:pt idx="30">
                  <c:v>18993.827413613431</c:v>
                </c:pt>
                <c:pt idx="31">
                  <c:v>18971.979491059894</c:v>
                </c:pt>
                <c:pt idx="32">
                  <c:v>18949.988284146944</c:v>
                </c:pt>
                <c:pt idx="33">
                  <c:v>18927.861503970085</c:v>
                </c:pt>
                <c:pt idx="34">
                  <c:v>19154.424648148284</c:v>
                </c:pt>
              </c:numCache>
            </c:numRef>
          </c:val>
          <c:extLst xmlns:c16r2="http://schemas.microsoft.com/office/drawing/2015/06/chart">
            <c:ext xmlns:c16="http://schemas.microsoft.com/office/drawing/2014/chart" uri="{C3380CC4-5D6E-409C-BE32-E72D297353CC}">
              <c16:uniqueId val="{00000000-DBEB-43F2-9ADA-B8325F81A7A0}"/>
            </c:ext>
          </c:extLst>
        </c:ser>
        <c:ser>
          <c:idx val="2"/>
          <c:order val="1"/>
          <c:tx>
            <c:v>User-Selected Tax</c:v>
          </c:tx>
          <c:marker>
            <c:symbol val="triangle"/>
            <c:size val="9"/>
            <c:spPr>
              <a:solidFill>
                <a:srgbClr val="00FF00"/>
              </a:solidFill>
              <a:ln>
                <a:noFill/>
              </a:ln>
            </c:spPr>
          </c:marker>
          <c:cat>
            <c:numRef>
              <c:f>Graph_Oil!$J$42:$AP$42</c:f>
              <c:numCache>
                <c:formatCode>0</c:formatCode>
                <c:ptCount val="33"/>
                <c:pt idx="0">
                  <c:v>2006</c:v>
                </c:pt>
                <c:pt idx="1">
                  <c:v>2007</c:v>
                </c:pt>
                <c:pt idx="2">
                  <c:v>2008</c:v>
                </c:pt>
                <c:pt idx="3">
                  <c:v>2009</c:v>
                </c:pt>
                <c:pt idx="4">
                  <c:v>2010</c:v>
                </c:pt>
                <c:pt idx="5">
                  <c:v>2011</c:v>
                </c:pt>
                <c:pt idx="6">
                  <c:v>2012</c:v>
                </c:pt>
                <c:pt idx="7">
                  <c:v>2013</c:v>
                </c:pt>
                <c:pt idx="8">
                  <c:v>2014</c:v>
                </c:pt>
                <c:pt idx="9">
                  <c:v>2015</c:v>
                </c:pt>
                <c:pt idx="10">
                  <c:v>2017</c:v>
                </c:pt>
                <c:pt idx="11">
                  <c:v>2018</c:v>
                </c:pt>
                <c:pt idx="12">
                  <c:v>2019</c:v>
                </c:pt>
                <c:pt idx="13">
                  <c:v>2020</c:v>
                </c:pt>
                <c:pt idx="14">
                  <c:v>2021</c:v>
                </c:pt>
                <c:pt idx="15">
                  <c:v>2022</c:v>
                </c:pt>
                <c:pt idx="16">
                  <c:v>2023</c:v>
                </c:pt>
                <c:pt idx="17">
                  <c:v>2024</c:v>
                </c:pt>
                <c:pt idx="18">
                  <c:v>2025</c:v>
                </c:pt>
                <c:pt idx="19">
                  <c:v>2026</c:v>
                </c:pt>
                <c:pt idx="20">
                  <c:v>2027</c:v>
                </c:pt>
                <c:pt idx="21">
                  <c:v>2028</c:v>
                </c:pt>
                <c:pt idx="22">
                  <c:v>2029</c:v>
                </c:pt>
                <c:pt idx="23">
                  <c:v>2030</c:v>
                </c:pt>
                <c:pt idx="24">
                  <c:v>2031</c:v>
                </c:pt>
                <c:pt idx="25">
                  <c:v>2032</c:v>
                </c:pt>
                <c:pt idx="26">
                  <c:v>2033</c:v>
                </c:pt>
                <c:pt idx="27">
                  <c:v>2034</c:v>
                </c:pt>
                <c:pt idx="28">
                  <c:v>2035</c:v>
                </c:pt>
                <c:pt idx="29">
                  <c:v>2036</c:v>
                </c:pt>
                <c:pt idx="30">
                  <c:v>2037</c:v>
                </c:pt>
                <c:pt idx="31">
                  <c:v>2038</c:v>
                </c:pt>
                <c:pt idx="32">
                  <c:v>2039</c:v>
                </c:pt>
              </c:numCache>
            </c:numRef>
          </c:cat>
          <c:val>
            <c:numRef>
              <c:f>Graph_Oil!$I$46:$AQ$46</c:f>
              <c:numCache>
                <c:formatCode>_(* #,##0_);_(* \(#,##0\);_(* "-"??_);_(@_)</c:formatCode>
                <c:ptCount val="35"/>
                <c:pt idx="0">
                  <c:v>20809.074968038592</c:v>
                </c:pt>
                <c:pt idx="1">
                  <c:v>20646.492886113178</c:v>
                </c:pt>
                <c:pt idx="2">
                  <c:v>20633.371620679645</c:v>
                </c:pt>
                <c:pt idx="3">
                  <c:v>19474.810521627416</c:v>
                </c:pt>
                <c:pt idx="4">
                  <c:v>18813.671223260968</c:v>
                </c:pt>
                <c:pt idx="5">
                  <c:v>19217.346527940364</c:v>
                </c:pt>
                <c:pt idx="6">
                  <c:v>18832.165529220609</c:v>
                </c:pt>
                <c:pt idx="7">
                  <c:v>18428.844368881586</c:v>
                </c:pt>
                <c:pt idx="8">
                  <c:v>18991.811424089072</c:v>
                </c:pt>
                <c:pt idx="9">
                  <c:v>19117.750295724691</c:v>
                </c:pt>
                <c:pt idx="10">
                  <c:v>19028.450611360709</c:v>
                </c:pt>
                <c:pt idx="11">
                  <c:v>18519.753487674301</c:v>
                </c:pt>
                <c:pt idx="12">
                  <c:v>18068.069600676667</c:v>
                </c:pt>
                <c:pt idx="13">
                  <c:v>17653.800751182636</c:v>
                </c:pt>
                <c:pt idx="14">
                  <c:v>17284.854393691792</c:v>
                </c:pt>
                <c:pt idx="15">
                  <c:v>16878.712271077144</c:v>
                </c:pt>
                <c:pt idx="16">
                  <c:v>16543.586402653535</c:v>
                </c:pt>
                <c:pt idx="17">
                  <c:v>16258.560948145847</c:v>
                </c:pt>
                <c:pt idx="18">
                  <c:v>15983.703997751894</c:v>
                </c:pt>
                <c:pt idx="19">
                  <c:v>15708.147102835728</c:v>
                </c:pt>
                <c:pt idx="20">
                  <c:v>15431.297823548071</c:v>
                </c:pt>
                <c:pt idx="21">
                  <c:v>15115.204047031719</c:v>
                </c:pt>
                <c:pt idx="22">
                  <c:v>14812.883658577011</c:v>
                </c:pt>
                <c:pt idx="23">
                  <c:v>14526.79269167245</c:v>
                </c:pt>
                <c:pt idx="24">
                  <c:v>14255.400427343087</c:v>
                </c:pt>
                <c:pt idx="25">
                  <c:v>13991.090034152887</c:v>
                </c:pt>
                <c:pt idx="26">
                  <c:v>13736.966446469041</c:v>
                </c:pt>
                <c:pt idx="27">
                  <c:v>13494.059312673688</c:v>
                </c:pt>
                <c:pt idx="28">
                  <c:v>13261.457283173469</c:v>
                </c:pt>
                <c:pt idx="29">
                  <c:v>13038.350788429743</c:v>
                </c:pt>
                <c:pt idx="30">
                  <c:v>12824.469695236709</c:v>
                </c:pt>
                <c:pt idx="31">
                  <c:v>12618.774895491501</c:v>
                </c:pt>
                <c:pt idx="32">
                  <c:v>12420.681580433751</c:v>
                </c:pt>
                <c:pt idx="33">
                  <c:v>12229.66222848402</c:v>
                </c:pt>
                <c:pt idx="34">
                  <c:v>12195.113974069631</c:v>
                </c:pt>
              </c:numCache>
            </c:numRef>
          </c:val>
          <c:extLst xmlns:c16r2="http://schemas.microsoft.com/office/drawing/2015/06/chart">
            <c:ext xmlns:c16="http://schemas.microsoft.com/office/drawing/2014/chart" uri="{C3380CC4-5D6E-409C-BE32-E72D297353CC}">
              <c16:uniqueId val="{00000001-DBEB-43F2-9ADA-B8325F81A7A0}"/>
            </c:ext>
          </c:extLst>
        </c:ser>
        <c:dLbls/>
        <c:marker val="1"/>
        <c:axId val="168030592"/>
        <c:axId val="168032128"/>
      </c:lineChart>
      <c:catAx>
        <c:axId val="168030592"/>
        <c:scaling>
          <c:orientation val="minMax"/>
        </c:scaling>
        <c:axPos val="b"/>
        <c:minorGridlines/>
        <c:numFmt formatCode="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8032128"/>
        <c:crosses val="autoZero"/>
        <c:auto val="1"/>
        <c:lblAlgn val="ctr"/>
        <c:lblOffset val="100"/>
        <c:tickLblSkip val="4"/>
        <c:tickMarkSkip val="1"/>
      </c:catAx>
      <c:valAx>
        <c:axId val="168032128"/>
        <c:scaling>
          <c:orientation val="minMax"/>
        </c:scaling>
        <c:axPos val="l"/>
        <c:majorGridlines>
          <c:spPr>
            <a:ln w="3175">
              <a:solidFill>
                <a:srgbClr val="000000"/>
              </a:solidFill>
              <a:prstDash val="solid"/>
            </a:ln>
          </c:spPr>
        </c:majorGridlines>
        <c:title>
          <c:tx>
            <c:rich>
              <a:bodyPr/>
              <a:lstStyle/>
              <a:p>
                <a:pPr>
                  <a:defRPr sz="1075" b="1" i="0" u="none" strike="noStrike" baseline="0">
                    <a:solidFill>
                      <a:srgbClr val="000000"/>
                    </a:solidFill>
                    <a:latin typeface="Arial"/>
                    <a:ea typeface="Arial"/>
                    <a:cs typeface="Arial"/>
                  </a:defRPr>
                </a:pPr>
                <a:r>
                  <a:rPr lang="en-US"/>
                  <a:t>Thousand Barrels per Day</a:t>
                </a:r>
              </a:p>
            </c:rich>
          </c:tx>
          <c:layout>
            <c:manualLayout>
              <c:xMode val="edge"/>
              <c:yMode val="edge"/>
              <c:x val="2.9800428489746011E-2"/>
              <c:y val="0.32629993999018031"/>
            </c:manualLayout>
          </c:layout>
          <c:spPr>
            <a:noFill/>
            <a:ln w="25400">
              <a:noFill/>
            </a:ln>
          </c:spPr>
        </c:title>
        <c:numFmt formatCode="#,##0" sourceLinked="0"/>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168030592"/>
        <c:crosses val="autoZero"/>
        <c:crossBetween val="midCat"/>
        <c:minorUnit val="500"/>
      </c:valAx>
      <c:spPr>
        <a:solidFill>
          <a:srgbClr val="C0C0C0"/>
        </a:solidFill>
        <a:ln w="12700">
          <a:solidFill>
            <a:srgbClr val="808080"/>
          </a:solidFill>
          <a:prstDash val="solid"/>
        </a:ln>
      </c:spPr>
    </c:plotArea>
    <c:legend>
      <c:legendPos val="r"/>
      <c:layout>
        <c:manualLayout>
          <c:xMode val="edge"/>
          <c:yMode val="edge"/>
          <c:x val="0.42176146666788217"/>
          <c:y val="0.54091456077014666"/>
          <c:w val="0.25413347985481138"/>
          <c:h val="0.106498194945848"/>
        </c:manualLayout>
      </c:layout>
      <c:spPr>
        <a:solidFill>
          <a:srgbClr val="FFFFFF"/>
        </a:solidFill>
        <a:ln w="3175">
          <a:solidFill>
            <a:srgbClr val="000000"/>
          </a:solidFill>
          <a:prstDash val="solid"/>
        </a:ln>
      </c:spPr>
      <c:txPr>
        <a:bodyPr/>
        <a:lstStyle/>
        <a:p>
          <a:pPr>
            <a:defRPr sz="1100" b="1" i="0" u="none" strike="noStrike" baseline="0">
              <a:solidFill>
                <a:srgbClr val="000000"/>
              </a:solidFill>
              <a:latin typeface="Arial"/>
              <a:ea typeface="Arial"/>
              <a:cs typeface="Arial"/>
            </a:defRPr>
          </a:pPr>
          <a:endParaRPr lang="en-US"/>
        </a:p>
      </c:txPr>
    </c:legend>
    <c:plotVisOnly val="1"/>
    <c:dispBlanksAs val="gap"/>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033" r="0.75000000000001033" t="1" header="0.5" footer="0.5"/>
    <c:pageSetup orientation="landscape"/>
  </c:printSettings>
  <c:userShapes r:id="rId1"/>
</c:chartSpac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2.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0.xml"/><Relationship Id="rId1" Type="http://schemas.openxmlformats.org/officeDocument/2006/relationships/chart" Target="../charts/chart9.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6.xml.rels><?xml version="1.0" encoding="UTF-8" standalone="yes"?>
<Relationships xmlns="http://schemas.openxmlformats.org/package/2006/relationships"><Relationship Id="rId8" Type="http://schemas.openxmlformats.org/officeDocument/2006/relationships/chart" Target="../charts/chart19.xml"/><Relationship Id="rId3" Type="http://schemas.openxmlformats.org/officeDocument/2006/relationships/chart" Target="../charts/chart14.xml"/><Relationship Id="rId7" Type="http://schemas.openxmlformats.org/officeDocument/2006/relationships/chart" Target="../charts/chart18.xml"/><Relationship Id="rId12" Type="http://schemas.openxmlformats.org/officeDocument/2006/relationships/chart" Target="../charts/chart23.xml"/><Relationship Id="rId2" Type="http://schemas.openxmlformats.org/officeDocument/2006/relationships/chart" Target="../charts/chart13.xml"/><Relationship Id="rId1" Type="http://schemas.openxmlformats.org/officeDocument/2006/relationships/chart" Target="../charts/chart12.xml"/><Relationship Id="rId6" Type="http://schemas.openxmlformats.org/officeDocument/2006/relationships/chart" Target="../charts/chart17.xml"/><Relationship Id="rId11" Type="http://schemas.openxmlformats.org/officeDocument/2006/relationships/chart" Target="../charts/chart22.xml"/><Relationship Id="rId5" Type="http://schemas.openxmlformats.org/officeDocument/2006/relationships/chart" Target="../charts/chart16.xml"/><Relationship Id="rId10" Type="http://schemas.openxmlformats.org/officeDocument/2006/relationships/chart" Target="../charts/chart21.xml"/><Relationship Id="rId4" Type="http://schemas.openxmlformats.org/officeDocument/2006/relationships/chart" Target="../charts/chart15.xml"/><Relationship Id="rId9" Type="http://schemas.openxmlformats.org/officeDocument/2006/relationships/chart" Target="../charts/chart20.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30.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7</xdr:col>
      <xdr:colOff>333375</xdr:colOff>
      <xdr:row>101</xdr:row>
      <xdr:rowOff>1905</xdr:rowOff>
    </xdr:from>
    <xdr:to>
      <xdr:col>7</xdr:col>
      <xdr:colOff>335280</xdr:colOff>
      <xdr:row>103</xdr:row>
      <xdr:rowOff>15346</xdr:rowOff>
    </xdr:to>
    <xdr:cxnSp macro="">
      <xdr:nvCxnSpPr>
        <xdr:cNvPr id="10" name="Straight Connector 9"/>
        <xdr:cNvCxnSpPr/>
      </xdr:nvCxnSpPr>
      <xdr:spPr>
        <a:xfrm>
          <a:off x="4122420" y="14544675"/>
          <a:ext cx="7620" cy="367771"/>
        </a:xfrm>
        <a:prstGeom prst="line">
          <a:avLst/>
        </a:prstGeom>
        <a:ln w="3175">
          <a:no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333375</xdr:colOff>
      <xdr:row>100</xdr:row>
      <xdr:rowOff>1905</xdr:rowOff>
    </xdr:from>
    <xdr:to>
      <xdr:col>7</xdr:col>
      <xdr:colOff>335280</xdr:colOff>
      <xdr:row>102</xdr:row>
      <xdr:rowOff>15346</xdr:rowOff>
    </xdr:to>
    <xdr:cxnSp macro="">
      <xdr:nvCxnSpPr>
        <xdr:cNvPr id="9" name="Straight Connector 8"/>
        <xdr:cNvCxnSpPr/>
      </xdr:nvCxnSpPr>
      <xdr:spPr>
        <a:xfrm>
          <a:off x="4120515" y="15074265"/>
          <a:ext cx="7620" cy="363961"/>
        </a:xfrm>
        <a:prstGeom prst="line">
          <a:avLst/>
        </a:prstGeom>
        <a:ln w="3175">
          <a:no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333375</xdr:colOff>
      <xdr:row>103</xdr:row>
      <xdr:rowOff>1905</xdr:rowOff>
    </xdr:from>
    <xdr:to>
      <xdr:col>7</xdr:col>
      <xdr:colOff>335280</xdr:colOff>
      <xdr:row>106</xdr:row>
      <xdr:rowOff>15346</xdr:rowOff>
    </xdr:to>
    <xdr:cxnSp macro="">
      <xdr:nvCxnSpPr>
        <xdr:cNvPr id="11" name="Straight Connector 10"/>
        <xdr:cNvCxnSpPr/>
      </xdr:nvCxnSpPr>
      <xdr:spPr>
        <a:xfrm>
          <a:off x="4120515" y="15249525"/>
          <a:ext cx="7620" cy="363961"/>
        </a:xfrm>
        <a:prstGeom prst="line">
          <a:avLst/>
        </a:prstGeom>
        <a:ln w="3175">
          <a:no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333375</xdr:colOff>
      <xdr:row>104</xdr:row>
      <xdr:rowOff>1905</xdr:rowOff>
    </xdr:from>
    <xdr:to>
      <xdr:col>7</xdr:col>
      <xdr:colOff>335280</xdr:colOff>
      <xdr:row>107</xdr:row>
      <xdr:rowOff>15346</xdr:rowOff>
    </xdr:to>
    <xdr:cxnSp macro="">
      <xdr:nvCxnSpPr>
        <xdr:cNvPr id="12" name="Straight Connector 11"/>
        <xdr:cNvCxnSpPr/>
      </xdr:nvCxnSpPr>
      <xdr:spPr>
        <a:xfrm>
          <a:off x="4120515" y="15424785"/>
          <a:ext cx="7620" cy="363961"/>
        </a:xfrm>
        <a:prstGeom prst="line">
          <a:avLst/>
        </a:prstGeom>
        <a:ln w="3175">
          <a:no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76200</xdr:colOff>
      <xdr:row>9</xdr:row>
      <xdr:rowOff>7620</xdr:rowOff>
    </xdr:from>
    <xdr:to>
      <xdr:col>22</xdr:col>
      <xdr:colOff>586740</xdr:colOff>
      <xdr:row>17</xdr:row>
      <xdr:rowOff>137160</xdr:rowOff>
    </xdr:to>
    <xdr:graphicFrame macro="">
      <xdr:nvGraphicFramePr>
        <xdr:cNvPr id="108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495300</xdr:colOff>
      <xdr:row>24</xdr:row>
      <xdr:rowOff>99060</xdr:rowOff>
    </xdr:from>
    <xdr:to>
      <xdr:col>20</xdr:col>
      <xdr:colOff>358140</xdr:colOff>
      <xdr:row>27</xdr:row>
      <xdr:rowOff>121920</xdr:rowOff>
    </xdr:to>
    <xdr:sp macro="" textlink="">
      <xdr:nvSpPr>
        <xdr:cNvPr id="1089" name="Text Box 8"/>
        <xdr:cNvSpPr txBox="1">
          <a:spLocks noChangeArrowheads="1"/>
        </xdr:cNvSpPr>
      </xdr:nvSpPr>
      <xdr:spPr bwMode="auto">
        <a:xfrm>
          <a:off x="8953500" y="3718560"/>
          <a:ext cx="1783080" cy="594360"/>
        </a:xfrm>
        <a:prstGeom prst="rect">
          <a:avLst/>
        </a:prstGeom>
        <a:noFill/>
        <a:ln w="9525">
          <a:noFill/>
          <a:miter lim="800000"/>
          <a:headEnd/>
          <a:tailEnd/>
        </a:ln>
      </xdr:spPr>
    </xdr:sp>
    <xdr:clientData/>
  </xdr:twoCellAnchor>
  <xdr:twoCellAnchor editAs="oneCell">
    <xdr:from>
      <xdr:col>22</xdr:col>
      <xdr:colOff>312420</xdr:colOff>
      <xdr:row>26</xdr:row>
      <xdr:rowOff>0</xdr:rowOff>
    </xdr:from>
    <xdr:to>
      <xdr:col>23</xdr:col>
      <xdr:colOff>426720</xdr:colOff>
      <xdr:row>46</xdr:row>
      <xdr:rowOff>30480</xdr:rowOff>
    </xdr:to>
    <xdr:sp macro="" textlink="">
      <xdr:nvSpPr>
        <xdr:cNvPr id="1090" name="Text Box 2"/>
        <xdr:cNvSpPr txBox="1">
          <a:spLocks noChangeArrowheads="1"/>
        </xdr:cNvSpPr>
      </xdr:nvSpPr>
      <xdr:spPr bwMode="auto">
        <a:xfrm>
          <a:off x="12588240" y="4191000"/>
          <a:ext cx="739140" cy="3840480"/>
        </a:xfrm>
        <a:prstGeom prst="rect">
          <a:avLst/>
        </a:prstGeom>
        <a:noFill/>
        <a:ln w="9525">
          <a:noFill/>
          <a:miter lim="800000"/>
          <a:headEnd/>
          <a:tailEnd/>
        </a:ln>
      </xdr:spPr>
    </xdr:sp>
    <xdr:clientData/>
  </xdr:twoCellAnchor>
  <xdr:twoCellAnchor editAs="oneCell">
    <xdr:from>
      <xdr:col>21</xdr:col>
      <xdr:colOff>0</xdr:colOff>
      <xdr:row>26</xdr:row>
      <xdr:rowOff>0</xdr:rowOff>
    </xdr:from>
    <xdr:to>
      <xdr:col>23</xdr:col>
      <xdr:colOff>335280</xdr:colOff>
      <xdr:row>29</xdr:row>
      <xdr:rowOff>76200</xdr:rowOff>
    </xdr:to>
    <xdr:sp macro="" textlink="">
      <xdr:nvSpPr>
        <xdr:cNvPr id="1091" name="Text Box 3"/>
        <xdr:cNvSpPr txBox="1">
          <a:spLocks noChangeArrowheads="1"/>
        </xdr:cNvSpPr>
      </xdr:nvSpPr>
      <xdr:spPr bwMode="auto">
        <a:xfrm>
          <a:off x="11650980" y="4191000"/>
          <a:ext cx="1584960" cy="647700"/>
        </a:xfrm>
        <a:prstGeom prst="rect">
          <a:avLst/>
        </a:prstGeom>
        <a:noFill/>
        <a:ln w="9525">
          <a:noFill/>
          <a:miter lim="800000"/>
          <a:headEnd/>
          <a:tailEnd/>
        </a:ln>
      </xdr:spPr>
    </xdr:sp>
    <xdr:clientData/>
  </xdr:twoCellAnchor>
  <xdr:twoCellAnchor editAs="oneCell">
    <xdr:from>
      <xdr:col>16</xdr:col>
      <xdr:colOff>480060</xdr:colOff>
      <xdr:row>20</xdr:row>
      <xdr:rowOff>0</xdr:rowOff>
    </xdr:from>
    <xdr:to>
      <xdr:col>20</xdr:col>
      <xdr:colOff>518160</xdr:colOff>
      <xdr:row>23</xdr:row>
      <xdr:rowOff>30480</xdr:rowOff>
    </xdr:to>
    <xdr:sp macro="" textlink="">
      <xdr:nvSpPr>
        <xdr:cNvPr id="1092" name="Text Box 8"/>
        <xdr:cNvSpPr txBox="1">
          <a:spLocks noChangeArrowheads="1"/>
        </xdr:cNvSpPr>
      </xdr:nvSpPr>
      <xdr:spPr bwMode="auto">
        <a:xfrm>
          <a:off x="8290560" y="2796540"/>
          <a:ext cx="2606040" cy="601980"/>
        </a:xfrm>
        <a:prstGeom prst="rect">
          <a:avLst/>
        </a:prstGeom>
        <a:noFill/>
        <a:ln w="9525">
          <a:noFill/>
          <a:miter lim="800000"/>
          <a:headEnd/>
          <a:tailEnd/>
        </a:ln>
      </xdr:spPr>
    </xdr:sp>
    <xdr:clientData/>
  </xdr:twoCellAnchor>
  <xdr:twoCellAnchor editAs="oneCell">
    <xdr:from>
      <xdr:col>21</xdr:col>
      <xdr:colOff>0</xdr:colOff>
      <xdr:row>24</xdr:row>
      <xdr:rowOff>167640</xdr:rowOff>
    </xdr:from>
    <xdr:to>
      <xdr:col>25</xdr:col>
      <xdr:colOff>365760</xdr:colOff>
      <xdr:row>28</xdr:row>
      <xdr:rowOff>45720</xdr:rowOff>
    </xdr:to>
    <xdr:sp macro="" textlink="">
      <xdr:nvSpPr>
        <xdr:cNvPr id="1093" name="Text Box 9"/>
        <xdr:cNvSpPr txBox="1">
          <a:spLocks noChangeArrowheads="1"/>
        </xdr:cNvSpPr>
      </xdr:nvSpPr>
      <xdr:spPr bwMode="auto">
        <a:xfrm>
          <a:off x="11650980" y="4168140"/>
          <a:ext cx="2865120" cy="640080"/>
        </a:xfrm>
        <a:prstGeom prst="rect">
          <a:avLst/>
        </a:prstGeom>
        <a:noFill/>
        <a:ln w="9525">
          <a:noFill/>
          <a:miter lim="800000"/>
          <a:headEnd/>
          <a:tailEnd/>
        </a:ln>
      </xdr:spPr>
    </xdr:sp>
    <xdr:clientData/>
  </xdr:twoCellAnchor>
  <xdr:twoCellAnchor>
    <xdr:from>
      <xdr:col>15</xdr:col>
      <xdr:colOff>60960</xdr:colOff>
      <xdr:row>19</xdr:row>
      <xdr:rowOff>160020</xdr:rowOff>
    </xdr:from>
    <xdr:to>
      <xdr:col>22</xdr:col>
      <xdr:colOff>579120</xdr:colOff>
      <xdr:row>28</xdr:row>
      <xdr:rowOff>175260</xdr:rowOff>
    </xdr:to>
    <xdr:graphicFrame macro="">
      <xdr:nvGraphicFramePr>
        <xdr:cNvPr id="109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17</xdr:col>
      <xdr:colOff>495300</xdr:colOff>
      <xdr:row>20</xdr:row>
      <xdr:rowOff>0</xdr:rowOff>
    </xdr:from>
    <xdr:to>
      <xdr:col>20</xdr:col>
      <xdr:colOff>358140</xdr:colOff>
      <xdr:row>23</xdr:row>
      <xdr:rowOff>22860</xdr:rowOff>
    </xdr:to>
    <xdr:sp macro="" textlink="">
      <xdr:nvSpPr>
        <xdr:cNvPr id="1095" name="Text Box 8"/>
        <xdr:cNvSpPr txBox="1">
          <a:spLocks noChangeArrowheads="1"/>
        </xdr:cNvSpPr>
      </xdr:nvSpPr>
      <xdr:spPr bwMode="auto">
        <a:xfrm>
          <a:off x="8953500" y="7719060"/>
          <a:ext cx="1783080" cy="594360"/>
        </a:xfrm>
        <a:prstGeom prst="rect">
          <a:avLst/>
        </a:prstGeom>
        <a:noFill/>
        <a:ln w="9525">
          <a:noFill/>
          <a:miter lim="800000"/>
          <a:headEnd/>
          <a:tailEnd/>
        </a:ln>
      </xdr:spPr>
    </xdr:sp>
    <xdr:clientData/>
  </xdr:twoCellAnchor>
  <xdr:twoCellAnchor>
    <xdr:from>
      <xdr:col>6</xdr:col>
      <xdr:colOff>15240</xdr:colOff>
      <xdr:row>64</xdr:row>
      <xdr:rowOff>3810</xdr:rowOff>
    </xdr:from>
    <xdr:to>
      <xdr:col>7</xdr:col>
      <xdr:colOff>498365</xdr:colOff>
      <xdr:row>64</xdr:row>
      <xdr:rowOff>68580</xdr:rowOff>
    </xdr:to>
    <xdr:cxnSp macro="">
      <xdr:nvCxnSpPr>
        <xdr:cNvPr id="24" name="Straight Arrow Connector 23"/>
        <xdr:cNvCxnSpPr/>
      </xdr:nvCxnSpPr>
      <xdr:spPr>
        <a:xfrm flipV="1">
          <a:off x="3939540" y="12195810"/>
          <a:ext cx="1130825" cy="6477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45</xdr:col>
      <xdr:colOff>83820</xdr:colOff>
      <xdr:row>114</xdr:row>
      <xdr:rowOff>53340</xdr:rowOff>
    </xdr:from>
    <xdr:to>
      <xdr:col>52</xdr:col>
      <xdr:colOff>579120</xdr:colOff>
      <xdr:row>126</xdr:row>
      <xdr:rowOff>152400</xdr:rowOff>
    </xdr:to>
    <xdr:pic>
      <xdr:nvPicPr>
        <xdr:cNvPr id="20" name="Picture 19" descr="EIA - AEO2015.pdf _ p 26 screenshot showing 2040 CO2 forecast.png"/>
        <xdr:cNvPicPr>
          <a:picLocks noChangeAspect="1"/>
        </xdr:cNvPicPr>
      </xdr:nvPicPr>
      <xdr:blipFill>
        <a:blip xmlns:r="http://schemas.openxmlformats.org/officeDocument/2006/relationships" r:embed="rId3" cstate="print"/>
        <a:stretch>
          <a:fillRect/>
        </a:stretch>
      </xdr:blipFill>
      <xdr:spPr>
        <a:xfrm>
          <a:off x="28194000" y="21389340"/>
          <a:ext cx="4869180" cy="2385060"/>
        </a:xfrm>
        <a:prstGeom prst="rect">
          <a:avLst/>
        </a:prstGeom>
      </xdr:spPr>
    </xdr:pic>
    <xdr:clientData/>
  </xdr:twoCellAnchor>
  <xdr:twoCellAnchor>
    <xdr:from>
      <xdr:col>5</xdr:col>
      <xdr:colOff>510540</xdr:colOff>
      <xdr:row>57</xdr:row>
      <xdr:rowOff>129540</xdr:rowOff>
    </xdr:from>
    <xdr:to>
      <xdr:col>7</xdr:col>
      <xdr:colOff>363110</xdr:colOff>
      <xdr:row>57</xdr:row>
      <xdr:rowOff>133350</xdr:rowOff>
    </xdr:to>
    <xdr:cxnSp macro="">
      <xdr:nvCxnSpPr>
        <xdr:cNvPr id="21" name="Straight Arrow Connector 20"/>
        <xdr:cNvCxnSpPr/>
      </xdr:nvCxnSpPr>
      <xdr:spPr>
        <a:xfrm>
          <a:off x="3787140" y="10988040"/>
          <a:ext cx="1147970" cy="381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106680</xdr:colOff>
      <xdr:row>15</xdr:row>
      <xdr:rowOff>38100</xdr:rowOff>
    </xdr:from>
    <xdr:to>
      <xdr:col>18</xdr:col>
      <xdr:colOff>342900</xdr:colOff>
      <xdr:row>16</xdr:row>
      <xdr:rowOff>7620</xdr:rowOff>
    </xdr:to>
    <xdr:cxnSp macro="">
      <xdr:nvCxnSpPr>
        <xdr:cNvPr id="25" name="Curved Connector 24"/>
        <xdr:cNvCxnSpPr/>
      </xdr:nvCxnSpPr>
      <xdr:spPr>
        <a:xfrm>
          <a:off x="9212580" y="2895600"/>
          <a:ext cx="236220" cy="160020"/>
        </a:xfrm>
        <a:prstGeom prst="curvedConnector3">
          <a:avLst>
            <a:gd name="adj1" fmla="val 50000"/>
          </a:avLst>
        </a:prstGeom>
        <a:ln w="1587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464820</xdr:colOff>
      <xdr:row>111</xdr:row>
      <xdr:rowOff>167640</xdr:rowOff>
    </xdr:from>
    <xdr:to>
      <xdr:col>8</xdr:col>
      <xdr:colOff>175260</xdr:colOff>
      <xdr:row>119</xdr:row>
      <xdr:rowOff>91440</xdr:rowOff>
    </xdr:to>
    <xdr:cxnSp macro="">
      <xdr:nvCxnSpPr>
        <xdr:cNvPr id="28" name="Straight Arrow Connector 27"/>
        <xdr:cNvCxnSpPr/>
      </xdr:nvCxnSpPr>
      <xdr:spPr>
        <a:xfrm flipH="1">
          <a:off x="5036820" y="21122640"/>
          <a:ext cx="358140" cy="1447800"/>
        </a:xfrm>
        <a:prstGeom prst="straightConnector1">
          <a:avLst/>
        </a:prstGeom>
        <a:ln w="1587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617220</xdr:colOff>
      <xdr:row>112</xdr:row>
      <xdr:rowOff>99060</xdr:rowOff>
    </xdr:from>
    <xdr:to>
      <xdr:col>13</xdr:col>
      <xdr:colOff>91440</xdr:colOff>
      <xdr:row>121</xdr:row>
      <xdr:rowOff>76200</xdr:rowOff>
    </xdr:to>
    <xdr:cxnSp macro="">
      <xdr:nvCxnSpPr>
        <xdr:cNvPr id="30" name="Straight Arrow Connector 29"/>
        <xdr:cNvCxnSpPr/>
      </xdr:nvCxnSpPr>
      <xdr:spPr>
        <a:xfrm flipH="1">
          <a:off x="5189220" y="21244560"/>
          <a:ext cx="769620" cy="1691640"/>
        </a:xfrm>
        <a:prstGeom prst="straightConnector1">
          <a:avLst/>
        </a:prstGeom>
        <a:ln w="1587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0</xdr:colOff>
      <xdr:row>6</xdr:row>
      <xdr:rowOff>0</xdr:rowOff>
    </xdr:from>
    <xdr:to>
      <xdr:col>3</xdr:col>
      <xdr:colOff>60960</xdr:colOff>
      <xdr:row>8</xdr:row>
      <xdr:rowOff>167640</xdr:rowOff>
    </xdr:to>
    <xdr:pic>
      <xdr:nvPicPr>
        <xdr:cNvPr id="23" name="Picture 1024" descr="Creative Commons License"/>
        <xdr:cNvPicPr>
          <a:picLocks noChangeAspect="1" noChangeArrowheads="1"/>
        </xdr:cNvPicPr>
      </xdr:nvPicPr>
      <xdr:blipFill>
        <a:blip xmlns:r="http://schemas.openxmlformats.org/officeDocument/2006/relationships" r:embed="rId4" cstate="print"/>
        <a:srcRect/>
        <a:stretch>
          <a:fillRect/>
        </a:stretch>
      </xdr:blipFill>
      <xdr:spPr bwMode="auto">
        <a:xfrm>
          <a:off x="160020" y="1143000"/>
          <a:ext cx="1882140" cy="548640"/>
        </a:xfrm>
        <a:prstGeom prst="rect">
          <a:avLst/>
        </a:prstGeom>
        <a:noFill/>
        <a:ln w="9525">
          <a:noFill/>
          <a:miter lim="800000"/>
          <a:headEnd/>
          <a:tailEnd/>
        </a:ln>
      </xdr:spPr>
    </xdr:pic>
    <xdr:clientData/>
  </xdr:twoCellAnchor>
</xdr:wsDr>
</file>

<file path=xl/drawings/drawing10.xml><?xml version="1.0" encoding="utf-8"?>
<c:userShapes xmlns:c="http://schemas.openxmlformats.org/drawingml/2006/chart">
  <cdr:relSizeAnchor xmlns:cdr="http://schemas.openxmlformats.org/drawingml/2006/chartDrawing">
    <cdr:from>
      <cdr:x>0.02764</cdr:x>
      <cdr:y>0.46437</cdr:y>
    </cdr:from>
    <cdr:to>
      <cdr:x>0.04047</cdr:x>
      <cdr:y>0.51558</cdr:y>
    </cdr:to>
    <cdr:sp macro="" textlink="">
      <cdr:nvSpPr>
        <cdr:cNvPr id="4099" name="Text Box 3"/>
        <cdr:cNvSpPr txBox="1">
          <a:spLocks xmlns:a="http://schemas.openxmlformats.org/drawingml/2006/main" noChangeArrowheads="1"/>
        </cdr:cNvSpPr>
      </cdr:nvSpPr>
      <cdr:spPr bwMode="auto">
        <a:xfrm xmlns:a="http://schemas.openxmlformats.org/drawingml/2006/main">
          <a:off x="203419" y="2216366"/>
          <a:ext cx="94479" cy="26710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n-US"/>
        </a:p>
      </cdr:txBody>
    </cdr:sp>
  </cdr:relSizeAnchor>
  <cdr:relSizeAnchor xmlns:cdr="http://schemas.openxmlformats.org/drawingml/2006/chartDrawing">
    <cdr:from>
      <cdr:x>0.03694</cdr:x>
      <cdr:y>0.47125</cdr:y>
    </cdr:from>
    <cdr:to>
      <cdr:x>0.57421</cdr:x>
      <cdr:y>0.58247</cdr:y>
    </cdr:to>
    <cdr:sp macro="" textlink="">
      <cdr:nvSpPr>
        <cdr:cNvPr id="4100" name="Text Box 4"/>
        <cdr:cNvSpPr txBox="1">
          <a:spLocks xmlns:a="http://schemas.openxmlformats.org/drawingml/2006/main" noChangeArrowheads="1"/>
        </cdr:cNvSpPr>
      </cdr:nvSpPr>
      <cdr:spPr bwMode="auto">
        <a:xfrm xmlns:a="http://schemas.openxmlformats.org/drawingml/2006/main">
          <a:off x="270644" y="2258288"/>
          <a:ext cx="3819111" cy="56175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n-US"/>
        </a:p>
      </cdr:txBody>
    </cdr:sp>
  </cdr:relSizeAnchor>
  <cdr:relSizeAnchor xmlns:cdr="http://schemas.openxmlformats.org/drawingml/2006/chartDrawing">
    <cdr:from>
      <cdr:x>0.27105</cdr:x>
      <cdr:y>0.47653</cdr:y>
    </cdr:from>
    <cdr:to>
      <cdr:x>0.34833</cdr:x>
      <cdr:y>0.74549</cdr:y>
    </cdr:to>
    <cdr:sp macro="" textlink="">
      <cdr:nvSpPr>
        <cdr:cNvPr id="6" name="TextBox 5"/>
        <cdr:cNvSpPr txBox="1"/>
      </cdr:nvSpPr>
      <cdr:spPr>
        <a:xfrm xmlns:a="http://schemas.openxmlformats.org/drawingml/2006/main">
          <a:off x="1790700" y="2011680"/>
          <a:ext cx="510540" cy="113538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b="1"/>
        </a:p>
      </cdr:txBody>
    </cdr:sp>
  </cdr:relSizeAnchor>
  <cdr:relSizeAnchor xmlns:cdr="http://schemas.openxmlformats.org/drawingml/2006/chartDrawing">
    <cdr:from>
      <cdr:x>0.42676</cdr:x>
      <cdr:y>0.78159</cdr:y>
    </cdr:from>
    <cdr:to>
      <cdr:x>0.56517</cdr:x>
      <cdr:y>0.99819</cdr:y>
    </cdr:to>
    <cdr:sp macro="" textlink="">
      <cdr:nvSpPr>
        <cdr:cNvPr id="7" name="TextBox 6"/>
        <cdr:cNvSpPr txBox="1"/>
      </cdr:nvSpPr>
      <cdr:spPr>
        <a:xfrm xmlns:a="http://schemas.openxmlformats.org/drawingml/2006/main">
          <a:off x="2819400" y="329946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userShapes>
</file>

<file path=xl/drawings/drawing11.xml><?xml version="1.0" encoding="utf-8"?>
<xdr:wsDr xmlns:xdr="http://schemas.openxmlformats.org/drawingml/2006/spreadsheetDrawing" xmlns:a="http://schemas.openxmlformats.org/drawingml/2006/main">
  <xdr:twoCellAnchor>
    <xdr:from>
      <xdr:col>1</xdr:col>
      <xdr:colOff>45720</xdr:colOff>
      <xdr:row>12</xdr:row>
      <xdr:rowOff>83820</xdr:rowOff>
    </xdr:from>
    <xdr:to>
      <xdr:col>11</xdr:col>
      <xdr:colOff>403860</xdr:colOff>
      <xdr:row>36</xdr:row>
      <xdr:rowOff>99060</xdr:rowOff>
    </xdr:to>
    <xdr:graphicFrame macro="">
      <xdr:nvGraphicFramePr>
        <xdr:cNvPr id="821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21</xdr:col>
      <xdr:colOff>312420</xdr:colOff>
      <xdr:row>64</xdr:row>
      <xdr:rowOff>0</xdr:rowOff>
    </xdr:from>
    <xdr:to>
      <xdr:col>22</xdr:col>
      <xdr:colOff>533400</xdr:colOff>
      <xdr:row>85</xdr:row>
      <xdr:rowOff>83820</xdr:rowOff>
    </xdr:to>
    <xdr:sp macro="" textlink="">
      <xdr:nvSpPr>
        <xdr:cNvPr id="8218" name="Text Box 2"/>
        <xdr:cNvSpPr txBox="1">
          <a:spLocks noChangeArrowheads="1"/>
        </xdr:cNvSpPr>
      </xdr:nvSpPr>
      <xdr:spPr bwMode="auto">
        <a:xfrm>
          <a:off x="12344400" y="10340340"/>
          <a:ext cx="845820" cy="3764280"/>
        </a:xfrm>
        <a:prstGeom prst="rect">
          <a:avLst/>
        </a:prstGeom>
        <a:noFill/>
        <a:ln w="9525">
          <a:noFill/>
          <a:miter lim="800000"/>
          <a:headEnd/>
          <a:tailEnd/>
        </a:ln>
      </xdr:spPr>
    </xdr:sp>
    <xdr:clientData/>
  </xdr:twoCellAnchor>
  <xdr:twoCellAnchor editAs="oneCell">
    <xdr:from>
      <xdr:col>10</xdr:col>
      <xdr:colOff>68580</xdr:colOff>
      <xdr:row>75</xdr:row>
      <xdr:rowOff>106680</xdr:rowOff>
    </xdr:from>
    <xdr:to>
      <xdr:col>13</xdr:col>
      <xdr:colOff>83820</xdr:colOff>
      <xdr:row>79</xdr:row>
      <xdr:rowOff>99060</xdr:rowOff>
    </xdr:to>
    <xdr:sp macro="" textlink="">
      <xdr:nvSpPr>
        <xdr:cNvPr id="8219" name="Text Box 3"/>
        <xdr:cNvSpPr txBox="1">
          <a:spLocks noChangeArrowheads="1"/>
        </xdr:cNvSpPr>
      </xdr:nvSpPr>
      <xdr:spPr bwMode="auto">
        <a:xfrm>
          <a:off x="5852160" y="12199620"/>
          <a:ext cx="1889760" cy="693420"/>
        </a:xfrm>
        <a:prstGeom prst="rect">
          <a:avLst/>
        </a:prstGeom>
        <a:noFill/>
        <a:ln w="9525">
          <a:noFill/>
          <a:miter lim="800000"/>
          <a:headEnd/>
          <a:tailEnd/>
        </a:ln>
      </xdr:spPr>
    </xdr:sp>
    <xdr:clientData/>
  </xdr:twoCellAnchor>
  <xdr:twoCellAnchor editAs="oneCell">
    <xdr:from>
      <xdr:col>5</xdr:col>
      <xdr:colOff>487680</xdr:colOff>
      <xdr:row>29</xdr:row>
      <xdr:rowOff>45720</xdr:rowOff>
    </xdr:from>
    <xdr:to>
      <xdr:col>10</xdr:col>
      <xdr:colOff>121920</xdr:colOff>
      <xdr:row>31</xdr:row>
      <xdr:rowOff>144780</xdr:rowOff>
    </xdr:to>
    <xdr:sp macro="" textlink="">
      <xdr:nvSpPr>
        <xdr:cNvPr id="8220" name="Text Box 8"/>
        <xdr:cNvSpPr txBox="1">
          <a:spLocks noChangeArrowheads="1"/>
        </xdr:cNvSpPr>
      </xdr:nvSpPr>
      <xdr:spPr bwMode="auto">
        <a:xfrm>
          <a:off x="3147060" y="4602480"/>
          <a:ext cx="2758440" cy="449580"/>
        </a:xfrm>
        <a:prstGeom prst="rect">
          <a:avLst/>
        </a:prstGeom>
        <a:noFill/>
        <a:ln w="9525">
          <a:noFill/>
          <a:miter lim="800000"/>
          <a:headEnd/>
          <a:tailEnd/>
        </a:ln>
      </xdr:spPr>
    </xdr:sp>
    <xdr:clientData/>
  </xdr:twoCellAnchor>
  <xdr:twoCellAnchor editAs="oneCell">
    <xdr:from>
      <xdr:col>4</xdr:col>
      <xdr:colOff>259080</xdr:colOff>
      <xdr:row>19</xdr:row>
      <xdr:rowOff>152400</xdr:rowOff>
    </xdr:from>
    <xdr:to>
      <xdr:col>10</xdr:col>
      <xdr:colOff>160020</xdr:colOff>
      <xdr:row>23</xdr:row>
      <xdr:rowOff>144780</xdr:rowOff>
    </xdr:to>
    <xdr:sp macro="" textlink="">
      <xdr:nvSpPr>
        <xdr:cNvPr id="8221" name="Text Box 9"/>
        <xdr:cNvSpPr txBox="1">
          <a:spLocks noChangeArrowheads="1"/>
        </xdr:cNvSpPr>
      </xdr:nvSpPr>
      <xdr:spPr bwMode="auto">
        <a:xfrm>
          <a:off x="2293620" y="2956560"/>
          <a:ext cx="3649980" cy="693420"/>
        </a:xfrm>
        <a:prstGeom prst="rect">
          <a:avLst/>
        </a:prstGeom>
        <a:noFill/>
        <a:ln w="9525">
          <a:noFill/>
          <a:miter lim="800000"/>
          <a:headEnd/>
          <a:tailEnd/>
        </a:ln>
      </xdr:spPr>
    </xdr:sp>
    <xdr:clientData/>
  </xdr:twoCellAnchor>
  <xdr:twoCellAnchor>
    <xdr:from>
      <xdr:col>12</xdr:col>
      <xdr:colOff>38100</xdr:colOff>
      <xdr:row>12</xdr:row>
      <xdr:rowOff>76200</xdr:rowOff>
    </xdr:from>
    <xdr:to>
      <xdr:col>22</xdr:col>
      <xdr:colOff>563880</xdr:colOff>
      <xdr:row>36</xdr:row>
      <xdr:rowOff>68580</xdr:rowOff>
    </xdr:to>
    <xdr:graphicFrame macro="">
      <xdr:nvGraphicFramePr>
        <xdr:cNvPr id="8222"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20</xdr:col>
      <xdr:colOff>120015</xdr:colOff>
      <xdr:row>10</xdr:row>
      <xdr:rowOff>0</xdr:rowOff>
    </xdr:from>
    <xdr:ext cx="184731" cy="264560"/>
    <xdr:sp macro="" textlink="">
      <xdr:nvSpPr>
        <xdr:cNvPr id="8" name="TextBox 7"/>
        <xdr:cNvSpPr txBox="1"/>
      </xdr:nvSpPr>
      <xdr:spPr>
        <a:xfrm>
          <a:off x="11527155" y="1402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twoCellAnchor editAs="oneCell">
    <xdr:from>
      <xdr:col>2</xdr:col>
      <xdr:colOff>495300</xdr:colOff>
      <xdr:row>4</xdr:row>
      <xdr:rowOff>0</xdr:rowOff>
    </xdr:from>
    <xdr:to>
      <xdr:col>6</xdr:col>
      <xdr:colOff>510540</xdr:colOff>
      <xdr:row>7</xdr:row>
      <xdr:rowOff>30480</xdr:rowOff>
    </xdr:to>
    <xdr:sp macro="" textlink="">
      <xdr:nvSpPr>
        <xdr:cNvPr id="8224" name="Text Box 8"/>
        <xdr:cNvSpPr txBox="1">
          <a:spLocks noChangeArrowheads="1"/>
        </xdr:cNvSpPr>
      </xdr:nvSpPr>
      <xdr:spPr bwMode="auto">
        <a:xfrm>
          <a:off x="1280160" y="350520"/>
          <a:ext cx="2514600" cy="556260"/>
        </a:xfrm>
        <a:prstGeom prst="rect">
          <a:avLst/>
        </a:prstGeom>
        <a:noFill/>
        <a:ln w="9525">
          <a:noFill/>
          <a:miter lim="800000"/>
          <a:headEnd/>
          <a:tailEnd/>
        </a:ln>
      </xdr:spPr>
    </xdr:sp>
    <xdr:clientData/>
  </xdr:twoCellAnchor>
  <xdr:twoCellAnchor editAs="oneCell">
    <xdr:from>
      <xdr:col>5</xdr:col>
      <xdr:colOff>426720</xdr:colOff>
      <xdr:row>29</xdr:row>
      <xdr:rowOff>45720</xdr:rowOff>
    </xdr:from>
    <xdr:to>
      <xdr:col>5</xdr:col>
      <xdr:colOff>451106</xdr:colOff>
      <xdr:row>29</xdr:row>
      <xdr:rowOff>70106</xdr:rowOff>
    </xdr:to>
    <xdr:pic>
      <xdr:nvPicPr>
        <xdr:cNvPr id="10" name="Picture 9"/>
        <xdr:cNvPicPr>
          <a:picLocks noChangeAspect="1"/>
        </xdr:cNvPicPr>
      </xdr:nvPicPr>
      <xdr:blipFill>
        <a:blip xmlns:r="http://schemas.openxmlformats.org/officeDocument/2006/relationships" r:embed="rId3" cstate="print"/>
        <a:stretch>
          <a:fillRect/>
        </a:stretch>
      </xdr:blipFill>
      <xdr:spPr>
        <a:xfrm>
          <a:off x="3086100" y="4602480"/>
          <a:ext cx="24386" cy="24386"/>
        </a:xfrm>
        <a:prstGeom prst="rect">
          <a:avLst/>
        </a:prstGeom>
      </xdr:spPr>
    </xdr:pic>
    <xdr:clientData/>
  </xdr:twoCellAnchor>
  <xdr:twoCellAnchor editAs="oneCell">
    <xdr:from>
      <xdr:col>2</xdr:col>
      <xdr:colOff>68580</xdr:colOff>
      <xdr:row>4</xdr:row>
      <xdr:rowOff>0</xdr:rowOff>
    </xdr:from>
    <xdr:to>
      <xdr:col>4</xdr:col>
      <xdr:colOff>403860</xdr:colOff>
      <xdr:row>7</xdr:row>
      <xdr:rowOff>76200</xdr:rowOff>
    </xdr:to>
    <xdr:sp macro="" textlink="">
      <xdr:nvSpPr>
        <xdr:cNvPr id="11" name="Text Box 3"/>
        <xdr:cNvSpPr txBox="1">
          <a:spLocks noChangeArrowheads="1"/>
        </xdr:cNvSpPr>
      </xdr:nvSpPr>
      <xdr:spPr bwMode="auto">
        <a:xfrm>
          <a:off x="853440" y="1927860"/>
          <a:ext cx="1584960" cy="601980"/>
        </a:xfrm>
        <a:prstGeom prst="rect">
          <a:avLst/>
        </a:prstGeom>
        <a:noFill/>
        <a:ln w="9525">
          <a:noFill/>
          <a:miter lim="800000"/>
          <a:headEnd/>
          <a:tailEnd/>
        </a:ln>
      </xdr:spPr>
    </xdr:sp>
    <xdr:clientData/>
  </xdr:twoCellAnchor>
  <xdr:twoCellAnchor editAs="oneCell">
    <xdr:from>
      <xdr:col>2</xdr:col>
      <xdr:colOff>495300</xdr:colOff>
      <xdr:row>4</xdr:row>
      <xdr:rowOff>0</xdr:rowOff>
    </xdr:from>
    <xdr:to>
      <xdr:col>6</xdr:col>
      <xdr:colOff>510540</xdr:colOff>
      <xdr:row>7</xdr:row>
      <xdr:rowOff>30480</xdr:rowOff>
    </xdr:to>
    <xdr:sp macro="" textlink="">
      <xdr:nvSpPr>
        <xdr:cNvPr id="12" name="Text Box 8"/>
        <xdr:cNvSpPr txBox="1">
          <a:spLocks noChangeArrowheads="1"/>
        </xdr:cNvSpPr>
      </xdr:nvSpPr>
      <xdr:spPr bwMode="auto">
        <a:xfrm>
          <a:off x="1280160" y="1927860"/>
          <a:ext cx="2514600" cy="556260"/>
        </a:xfrm>
        <a:prstGeom prst="rect">
          <a:avLst/>
        </a:prstGeom>
        <a:noFill/>
        <a:ln w="9525">
          <a:noFill/>
          <a:miter lim="800000"/>
          <a:headEnd/>
          <a:tailEnd/>
        </a:ln>
      </xdr:spPr>
    </xdr:sp>
    <xdr:clientData/>
  </xdr:twoCellAnchor>
</xdr:wsDr>
</file>

<file path=xl/drawings/drawing12.xml><?xml version="1.0" encoding="utf-8"?>
<c:userShapes xmlns:c="http://schemas.openxmlformats.org/drawingml/2006/chart">
  <cdr:relSizeAnchor xmlns:cdr="http://schemas.openxmlformats.org/drawingml/2006/chartDrawing">
    <cdr:from>
      <cdr:x>0.02764</cdr:x>
      <cdr:y>0.46437</cdr:y>
    </cdr:from>
    <cdr:to>
      <cdr:x>0.04047</cdr:x>
      <cdr:y>0.51558</cdr:y>
    </cdr:to>
    <cdr:sp macro="" textlink="">
      <cdr:nvSpPr>
        <cdr:cNvPr id="4099" name="Text Box 3"/>
        <cdr:cNvSpPr txBox="1">
          <a:spLocks xmlns:a="http://schemas.openxmlformats.org/drawingml/2006/main" noChangeArrowheads="1"/>
        </cdr:cNvSpPr>
      </cdr:nvSpPr>
      <cdr:spPr bwMode="auto">
        <a:xfrm xmlns:a="http://schemas.openxmlformats.org/drawingml/2006/main">
          <a:off x="203419" y="2216366"/>
          <a:ext cx="94479" cy="26710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n-US"/>
        </a:p>
      </cdr:txBody>
    </cdr:sp>
  </cdr:relSizeAnchor>
  <cdr:relSizeAnchor xmlns:cdr="http://schemas.openxmlformats.org/drawingml/2006/chartDrawing">
    <cdr:from>
      <cdr:x>0.03694</cdr:x>
      <cdr:y>0.47125</cdr:y>
    </cdr:from>
    <cdr:to>
      <cdr:x>0.57421</cdr:x>
      <cdr:y>0.58247</cdr:y>
    </cdr:to>
    <cdr:sp macro="" textlink="">
      <cdr:nvSpPr>
        <cdr:cNvPr id="4100" name="Text Box 4"/>
        <cdr:cNvSpPr txBox="1">
          <a:spLocks xmlns:a="http://schemas.openxmlformats.org/drawingml/2006/main" noChangeArrowheads="1"/>
        </cdr:cNvSpPr>
      </cdr:nvSpPr>
      <cdr:spPr bwMode="auto">
        <a:xfrm xmlns:a="http://schemas.openxmlformats.org/drawingml/2006/main">
          <a:off x="270644" y="2258288"/>
          <a:ext cx="3819111" cy="56175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n-US"/>
        </a:p>
      </cdr:txBody>
    </cdr:sp>
  </cdr:relSizeAnchor>
  <cdr:relSizeAnchor xmlns:cdr="http://schemas.openxmlformats.org/drawingml/2006/chartDrawing">
    <cdr:from>
      <cdr:x>0.38524</cdr:x>
      <cdr:y>0.21841</cdr:y>
    </cdr:from>
    <cdr:to>
      <cdr:x>0.38755</cdr:x>
      <cdr:y>0.87906</cdr:y>
    </cdr:to>
    <cdr:sp macro="" textlink="">
      <cdr:nvSpPr>
        <cdr:cNvPr id="5" name="Straight Connector 4"/>
        <cdr:cNvSpPr/>
      </cdr:nvSpPr>
      <cdr:spPr>
        <a:xfrm xmlns:a="http://schemas.openxmlformats.org/drawingml/2006/main" flipH="1" flipV="1">
          <a:off x="2545071" y="922034"/>
          <a:ext cx="15261" cy="2788921"/>
        </a:xfrm>
        <a:prstGeom xmlns:a="http://schemas.openxmlformats.org/drawingml/2006/main" prst="line">
          <a:avLst/>
        </a:prstGeom>
        <a:ln xmlns:a="http://schemas.openxmlformats.org/drawingml/2006/main" w="1587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0.27105</cdr:x>
      <cdr:y>0.47653</cdr:y>
    </cdr:from>
    <cdr:to>
      <cdr:x>0.34833</cdr:x>
      <cdr:y>0.74549</cdr:y>
    </cdr:to>
    <cdr:sp macro="" textlink="">
      <cdr:nvSpPr>
        <cdr:cNvPr id="6" name="TextBox 5"/>
        <cdr:cNvSpPr txBox="1"/>
      </cdr:nvSpPr>
      <cdr:spPr>
        <a:xfrm xmlns:a="http://schemas.openxmlformats.org/drawingml/2006/main">
          <a:off x="1790700" y="2011680"/>
          <a:ext cx="510540" cy="113538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b="1"/>
            <a:t>Carbon</a:t>
          </a:r>
        </a:p>
        <a:p xmlns:a="http://schemas.openxmlformats.org/drawingml/2006/main">
          <a:r>
            <a:rPr lang="en-US" sz="1100" b="1"/>
            <a:t>tax</a:t>
          </a:r>
        </a:p>
        <a:p xmlns:a="http://schemas.openxmlformats.org/drawingml/2006/main">
          <a:r>
            <a:rPr lang="en-US" sz="1100" b="1"/>
            <a:t>starts</a:t>
          </a:r>
        </a:p>
        <a:p xmlns:a="http://schemas.openxmlformats.org/drawingml/2006/main">
          <a:r>
            <a:rPr lang="en-US" sz="1100" b="1"/>
            <a:t>now.</a:t>
          </a:r>
        </a:p>
      </cdr:txBody>
    </cdr:sp>
  </cdr:relSizeAnchor>
  <cdr:relSizeAnchor xmlns:cdr="http://schemas.openxmlformats.org/drawingml/2006/chartDrawing">
    <cdr:from>
      <cdr:x>0.32641</cdr:x>
      <cdr:y>0.67328</cdr:y>
    </cdr:from>
    <cdr:to>
      <cdr:x>0.37716</cdr:x>
      <cdr:y>0.80325</cdr:y>
    </cdr:to>
    <cdr:sp macro="" textlink="">
      <cdr:nvSpPr>
        <cdr:cNvPr id="10" name="Curved Connector 9"/>
        <cdr:cNvSpPr/>
      </cdr:nvSpPr>
      <cdr:spPr>
        <a:xfrm xmlns:a="http://schemas.openxmlformats.org/drawingml/2006/main">
          <a:off x="2156429" y="2842239"/>
          <a:ext cx="335282" cy="548666"/>
        </a:xfrm>
        <a:prstGeom xmlns:a="http://schemas.openxmlformats.org/drawingml/2006/main" prst="curvedConnector3">
          <a:avLst>
            <a:gd name="adj1" fmla="val 25492"/>
          </a:avLst>
        </a:prstGeom>
        <a:ln xmlns:a="http://schemas.openxmlformats.org/drawingml/2006/main" w="15875">
          <a:solidFill>
            <a:schemeClr val="tx1"/>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0.45329</cdr:x>
      <cdr:y>0.73285</cdr:y>
    </cdr:from>
    <cdr:to>
      <cdr:x>0.84198</cdr:x>
      <cdr:y>0.83032</cdr:y>
    </cdr:to>
    <cdr:sp macro="" textlink="">
      <cdr:nvSpPr>
        <cdr:cNvPr id="7" name="TextBox 6"/>
        <cdr:cNvSpPr txBox="1"/>
      </cdr:nvSpPr>
      <cdr:spPr>
        <a:xfrm xmlns:a="http://schemas.openxmlformats.org/drawingml/2006/main">
          <a:off x="2994660" y="3093720"/>
          <a:ext cx="2567940" cy="411480"/>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3"/>
        </a:lnRef>
        <a:fillRef xmlns:a="http://schemas.openxmlformats.org/drawingml/2006/main" idx="1">
          <a:schemeClr val="lt1"/>
        </a:fillRef>
        <a:effectRef xmlns:a="http://schemas.openxmlformats.org/drawingml/2006/main" idx="0">
          <a:schemeClr val="accent3"/>
        </a:effectRef>
        <a:fontRef xmlns:a="http://schemas.openxmlformats.org/drawingml/2006/main" idx="minor">
          <a:schemeClr val="dk1"/>
        </a:fontRef>
      </cdr:style>
      <cdr:txBody>
        <a:bodyPr xmlns:a="http://schemas.openxmlformats.org/drawingml/2006/main" vertOverflow="clip" wrap="none" rtlCol="0"/>
        <a:lstStyle xmlns:a="http://schemas.openxmlformats.org/drawingml/2006/main"/>
        <a:p xmlns:a="http://schemas.openxmlformats.org/drawingml/2006/main">
          <a:r>
            <a:rPr lang="en-US" sz="1000" b="1">
              <a:latin typeface="+mn-lt"/>
              <a:ea typeface="+mn-ea"/>
              <a:cs typeface="+mn-cs"/>
            </a:rPr>
            <a:t>To vary</a:t>
          </a:r>
          <a:r>
            <a:rPr lang="en-US" sz="1000" b="1" baseline="0">
              <a:latin typeface="+mn-lt"/>
              <a:ea typeface="+mn-ea"/>
              <a:cs typeface="+mn-cs"/>
            </a:rPr>
            <a:t> </a:t>
          </a:r>
          <a:r>
            <a:rPr lang="en-US" sz="1000" b="1">
              <a:latin typeface="+mn-lt"/>
              <a:ea typeface="+mn-ea"/>
              <a:cs typeface="+mn-cs"/>
            </a:rPr>
            <a:t>parameters of carbon tax underlying</a:t>
          </a:r>
          <a:endParaRPr lang="en-US" sz="1000"/>
        </a:p>
        <a:p xmlns:a="http://schemas.openxmlformats.org/drawingml/2006/main">
          <a:r>
            <a:rPr lang="en-US" sz="1000" b="1">
              <a:latin typeface="+mn-lt"/>
              <a:ea typeface="+mn-ea"/>
              <a:cs typeface="+mn-cs"/>
            </a:rPr>
            <a:t>this graph,</a:t>
          </a:r>
          <a:r>
            <a:rPr lang="en-US" sz="1000" b="1" baseline="0">
              <a:latin typeface="+mn-lt"/>
              <a:ea typeface="+mn-ea"/>
              <a:cs typeface="+mn-cs"/>
            </a:rPr>
            <a:t> g</a:t>
          </a:r>
          <a:r>
            <a:rPr lang="en-US" sz="1000" b="1">
              <a:latin typeface="+mn-lt"/>
              <a:ea typeface="+mn-ea"/>
              <a:cs typeface="+mn-cs"/>
            </a:rPr>
            <a:t>o to 'Summary' tab, Rows 50-72.</a:t>
          </a:r>
        </a:p>
        <a:p xmlns:a="http://schemas.openxmlformats.org/drawingml/2006/main">
          <a:endParaRPr lang="en-US" sz="1100"/>
        </a:p>
      </cdr:txBody>
    </cdr:sp>
  </cdr:relSizeAnchor>
</c:userShapes>
</file>

<file path=xl/drawings/drawing13.xml><?xml version="1.0" encoding="utf-8"?>
<c:userShapes xmlns:c="http://schemas.openxmlformats.org/drawingml/2006/chart">
  <cdr:relSizeAnchor xmlns:cdr="http://schemas.openxmlformats.org/drawingml/2006/chartDrawing">
    <cdr:from>
      <cdr:x>0.15741</cdr:x>
      <cdr:y>0.04358</cdr:y>
    </cdr:from>
    <cdr:to>
      <cdr:x>0.3331</cdr:x>
      <cdr:y>0.30866</cdr:y>
    </cdr:to>
    <cdr:sp macro="" textlink="">
      <cdr:nvSpPr>
        <cdr:cNvPr id="2" name="TextBox 1"/>
        <cdr:cNvSpPr txBox="1"/>
      </cdr:nvSpPr>
      <cdr:spPr>
        <a:xfrm xmlns:a="http://schemas.openxmlformats.org/drawingml/2006/main">
          <a:off x="863600" y="194734"/>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0.00225</cdr:x>
      <cdr:y>0.93057</cdr:y>
    </cdr:from>
    <cdr:to>
      <cdr:x>0.23735</cdr:x>
      <cdr:y>0.99831</cdr:y>
    </cdr:to>
    <cdr:sp macro="" textlink="">
      <cdr:nvSpPr>
        <cdr:cNvPr id="3" name="TextBox 2"/>
        <cdr:cNvSpPr txBox="1"/>
      </cdr:nvSpPr>
      <cdr:spPr>
        <a:xfrm xmlns:a="http://schemas.openxmlformats.org/drawingml/2006/main">
          <a:off x="15240" y="3907110"/>
          <a:ext cx="1592581" cy="28441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800" b="1"/>
            <a:t>Carbon Tax Center, June 2016</a:t>
          </a:r>
        </a:p>
      </cdr:txBody>
    </cdr:sp>
  </cdr:relSizeAnchor>
  <cdr:relSizeAnchor xmlns:cdr="http://schemas.openxmlformats.org/drawingml/2006/chartDrawing">
    <cdr:from>
      <cdr:x>0.47634</cdr:x>
      <cdr:y>0.25207</cdr:y>
    </cdr:from>
    <cdr:to>
      <cdr:x>0.63624</cdr:x>
      <cdr:y>0.49277</cdr:y>
    </cdr:to>
    <cdr:sp macro="" textlink="">
      <cdr:nvSpPr>
        <cdr:cNvPr id="4" name="TextBox 3"/>
        <cdr:cNvSpPr txBox="1"/>
      </cdr:nvSpPr>
      <cdr:spPr>
        <a:xfrm xmlns:a="http://schemas.openxmlformats.org/drawingml/2006/main">
          <a:off x="2638425" y="828675"/>
          <a:ext cx="914400" cy="8667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0.50619</cdr:x>
      <cdr:y>0.39746</cdr:y>
    </cdr:from>
    <cdr:to>
      <cdr:x>0.89876</cdr:x>
      <cdr:y>0.50998</cdr:y>
    </cdr:to>
    <cdr:sp macro="" textlink="">
      <cdr:nvSpPr>
        <cdr:cNvPr id="5" name="TextBox 4"/>
        <cdr:cNvSpPr txBox="1"/>
      </cdr:nvSpPr>
      <cdr:spPr>
        <a:xfrm xmlns:a="http://schemas.openxmlformats.org/drawingml/2006/main">
          <a:off x="3429022" y="1668780"/>
          <a:ext cx="2659340" cy="47244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b="1"/>
        </a:p>
      </cdr:txBody>
    </cdr:sp>
  </cdr:relSizeAnchor>
  <cdr:relSizeAnchor xmlns:cdr="http://schemas.openxmlformats.org/drawingml/2006/chartDrawing">
    <cdr:from>
      <cdr:x>4.13052E-6</cdr:x>
      <cdr:y>0.98</cdr:y>
    </cdr:from>
    <cdr:to>
      <cdr:x>4.13052E-6</cdr:x>
      <cdr:y>0.98</cdr:y>
    </cdr:to>
    <cdr:sp macro="" textlink="">
      <cdr:nvSpPr>
        <cdr:cNvPr id="6" name="TextBox 5"/>
        <cdr:cNvSpPr txBox="1"/>
      </cdr:nvSpPr>
      <cdr:spPr>
        <a:xfrm xmlns:a="http://schemas.openxmlformats.org/drawingml/2006/main">
          <a:off x="19050" y="2657475"/>
          <a:ext cx="1028700" cy="7429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0.00025</cdr:x>
      <cdr:y>0.96249</cdr:y>
    </cdr:from>
    <cdr:to>
      <cdr:x>0.00025</cdr:x>
      <cdr:y>0.96249</cdr:y>
    </cdr:to>
    <cdr:sp macro="" textlink="">
      <cdr:nvSpPr>
        <cdr:cNvPr id="7" name="TextBox 6"/>
        <cdr:cNvSpPr txBox="1"/>
      </cdr:nvSpPr>
      <cdr:spPr>
        <a:xfrm xmlns:a="http://schemas.openxmlformats.org/drawingml/2006/main">
          <a:off x="1" y="2705099"/>
          <a:ext cx="628650" cy="6953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0.0285</cdr:x>
      <cdr:y>0.73165</cdr:y>
    </cdr:from>
    <cdr:to>
      <cdr:x>0.11126</cdr:x>
      <cdr:y>0.8769</cdr:y>
    </cdr:to>
    <cdr:sp macro="" textlink="">
      <cdr:nvSpPr>
        <cdr:cNvPr id="8" name="TextBox 7"/>
        <cdr:cNvSpPr txBox="1"/>
      </cdr:nvSpPr>
      <cdr:spPr>
        <a:xfrm xmlns:a="http://schemas.openxmlformats.org/drawingml/2006/main">
          <a:off x="175260" y="3080234"/>
          <a:ext cx="510539" cy="57802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900" b="1"/>
            <a:t>000 bbl</a:t>
          </a:r>
        </a:p>
        <a:p xmlns:a="http://schemas.openxmlformats.org/drawingml/2006/main">
          <a:r>
            <a:rPr lang="en-US" sz="900" b="1"/>
            <a:t>per day</a:t>
          </a:r>
          <a:endParaRPr lang="en-US" sz="1000" b="1"/>
        </a:p>
      </cdr:txBody>
    </cdr:sp>
  </cdr:relSizeAnchor>
  <cdr:relSizeAnchor xmlns:cdr="http://schemas.openxmlformats.org/drawingml/2006/chartDrawing">
    <cdr:from>
      <cdr:x>0.62205</cdr:x>
      <cdr:y>0.35209</cdr:y>
    </cdr:from>
    <cdr:to>
      <cdr:x>0.75703</cdr:x>
      <cdr:y>0.56987</cdr:y>
    </cdr:to>
    <cdr:sp macro="" textlink="">
      <cdr:nvSpPr>
        <cdr:cNvPr id="9" name="TextBox 8"/>
        <cdr:cNvSpPr txBox="1"/>
      </cdr:nvSpPr>
      <cdr:spPr>
        <a:xfrm xmlns:a="http://schemas.openxmlformats.org/drawingml/2006/main">
          <a:off x="4213860" y="147828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userShapes>
</file>

<file path=xl/drawings/drawing14.xml><?xml version="1.0" encoding="utf-8"?>
<xdr:wsDr xmlns:xdr="http://schemas.openxmlformats.org/drawingml/2006/spreadsheetDrawing" xmlns:a="http://schemas.openxmlformats.org/drawingml/2006/main">
  <xdr:twoCellAnchor editAs="oneCell">
    <xdr:from>
      <xdr:col>9</xdr:col>
      <xdr:colOff>312420</xdr:colOff>
      <xdr:row>18</xdr:row>
      <xdr:rowOff>0</xdr:rowOff>
    </xdr:from>
    <xdr:to>
      <xdr:col>10</xdr:col>
      <xdr:colOff>426720</xdr:colOff>
      <xdr:row>38</xdr:row>
      <xdr:rowOff>30480</xdr:rowOff>
    </xdr:to>
    <xdr:sp macro="" textlink="">
      <xdr:nvSpPr>
        <xdr:cNvPr id="11307" name="Text Box 2"/>
        <xdr:cNvSpPr txBox="1">
          <a:spLocks noChangeArrowheads="1"/>
        </xdr:cNvSpPr>
      </xdr:nvSpPr>
      <xdr:spPr bwMode="auto">
        <a:xfrm>
          <a:off x="5471160" y="2979420"/>
          <a:ext cx="739140" cy="3535680"/>
        </a:xfrm>
        <a:prstGeom prst="rect">
          <a:avLst/>
        </a:prstGeom>
        <a:noFill/>
        <a:ln w="9525">
          <a:noFill/>
          <a:miter lim="800000"/>
          <a:headEnd/>
          <a:tailEnd/>
        </a:ln>
      </xdr:spPr>
    </xdr:sp>
    <xdr:clientData/>
  </xdr:twoCellAnchor>
  <xdr:twoCellAnchor editAs="oneCell">
    <xdr:from>
      <xdr:col>8</xdr:col>
      <xdr:colOff>0</xdr:colOff>
      <xdr:row>18</xdr:row>
      <xdr:rowOff>0</xdr:rowOff>
    </xdr:from>
    <xdr:to>
      <xdr:col>10</xdr:col>
      <xdr:colOff>335280</xdr:colOff>
      <xdr:row>21</xdr:row>
      <xdr:rowOff>76200</xdr:rowOff>
    </xdr:to>
    <xdr:sp macro="" textlink="">
      <xdr:nvSpPr>
        <xdr:cNvPr id="11308" name="Text Box 3"/>
        <xdr:cNvSpPr txBox="1">
          <a:spLocks noChangeArrowheads="1"/>
        </xdr:cNvSpPr>
      </xdr:nvSpPr>
      <xdr:spPr bwMode="auto">
        <a:xfrm>
          <a:off x="4533900" y="2979420"/>
          <a:ext cx="1584960" cy="601980"/>
        </a:xfrm>
        <a:prstGeom prst="rect">
          <a:avLst/>
        </a:prstGeom>
        <a:noFill/>
        <a:ln w="9525">
          <a:noFill/>
          <a:miter lim="800000"/>
          <a:headEnd/>
          <a:tailEnd/>
        </a:ln>
      </xdr:spPr>
    </xdr:sp>
    <xdr:clientData/>
  </xdr:twoCellAnchor>
  <xdr:twoCellAnchor editAs="oneCell">
    <xdr:from>
      <xdr:col>2</xdr:col>
      <xdr:colOff>495300</xdr:colOff>
      <xdr:row>18</xdr:row>
      <xdr:rowOff>0</xdr:rowOff>
    </xdr:from>
    <xdr:to>
      <xdr:col>6</xdr:col>
      <xdr:colOff>510540</xdr:colOff>
      <xdr:row>21</xdr:row>
      <xdr:rowOff>30480</xdr:rowOff>
    </xdr:to>
    <xdr:sp macro="" textlink="">
      <xdr:nvSpPr>
        <xdr:cNvPr id="11309" name="Text Box 8"/>
        <xdr:cNvSpPr txBox="1">
          <a:spLocks noChangeArrowheads="1"/>
        </xdr:cNvSpPr>
      </xdr:nvSpPr>
      <xdr:spPr bwMode="auto">
        <a:xfrm>
          <a:off x="1280160" y="2979420"/>
          <a:ext cx="2514600" cy="556260"/>
        </a:xfrm>
        <a:prstGeom prst="rect">
          <a:avLst/>
        </a:prstGeom>
        <a:noFill/>
        <a:ln w="9525">
          <a:noFill/>
          <a:miter lim="800000"/>
          <a:headEnd/>
          <a:tailEnd/>
        </a:ln>
      </xdr:spPr>
    </xdr:sp>
    <xdr:clientData/>
  </xdr:twoCellAnchor>
  <xdr:twoCellAnchor editAs="oneCell">
    <xdr:from>
      <xdr:col>10</xdr:col>
      <xdr:colOff>228600</xdr:colOff>
      <xdr:row>18</xdr:row>
      <xdr:rowOff>106680</xdr:rowOff>
    </xdr:from>
    <xdr:to>
      <xdr:col>14</xdr:col>
      <xdr:colOff>586740</xdr:colOff>
      <xdr:row>21</xdr:row>
      <xdr:rowOff>160020</xdr:rowOff>
    </xdr:to>
    <xdr:sp macro="" textlink="">
      <xdr:nvSpPr>
        <xdr:cNvPr id="11310" name="Text Box 9"/>
        <xdr:cNvSpPr txBox="1">
          <a:spLocks noChangeArrowheads="1"/>
        </xdr:cNvSpPr>
      </xdr:nvSpPr>
      <xdr:spPr bwMode="auto">
        <a:xfrm>
          <a:off x="6012180" y="3086100"/>
          <a:ext cx="2857500" cy="579120"/>
        </a:xfrm>
        <a:prstGeom prst="rect">
          <a:avLst/>
        </a:prstGeom>
        <a:noFill/>
        <a:ln w="9525">
          <a:noFill/>
          <a:miter lim="800000"/>
          <a:headEnd/>
          <a:tailEnd/>
        </a:ln>
      </xdr:spPr>
    </xdr:sp>
    <xdr:clientData/>
  </xdr:twoCellAnchor>
  <xdr:twoCellAnchor>
    <xdr:from>
      <xdr:col>1</xdr:col>
      <xdr:colOff>190500</xdr:colOff>
      <xdr:row>18</xdr:row>
      <xdr:rowOff>83820</xdr:rowOff>
    </xdr:from>
    <xdr:to>
      <xdr:col>10</xdr:col>
      <xdr:colOff>449580</xdr:colOff>
      <xdr:row>41</xdr:row>
      <xdr:rowOff>99060</xdr:rowOff>
    </xdr:to>
    <xdr:graphicFrame macro="">
      <xdr:nvGraphicFramePr>
        <xdr:cNvPr id="1131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495300</xdr:colOff>
      <xdr:row>36</xdr:row>
      <xdr:rowOff>99060</xdr:rowOff>
    </xdr:from>
    <xdr:to>
      <xdr:col>6</xdr:col>
      <xdr:colOff>335280</xdr:colOff>
      <xdr:row>39</xdr:row>
      <xdr:rowOff>121920</xdr:rowOff>
    </xdr:to>
    <xdr:sp macro="" textlink="">
      <xdr:nvSpPr>
        <xdr:cNvPr id="11312" name="Text Box 8"/>
        <xdr:cNvSpPr txBox="1">
          <a:spLocks noChangeArrowheads="1"/>
        </xdr:cNvSpPr>
      </xdr:nvSpPr>
      <xdr:spPr bwMode="auto">
        <a:xfrm>
          <a:off x="1905000" y="6233160"/>
          <a:ext cx="1714500" cy="548640"/>
        </a:xfrm>
        <a:prstGeom prst="rect">
          <a:avLst/>
        </a:prstGeom>
        <a:noFill/>
        <a:ln w="9525">
          <a:noFill/>
          <a:miter lim="800000"/>
          <a:headEnd/>
          <a:tailEnd/>
        </a:ln>
      </xdr:spPr>
    </xdr:sp>
    <xdr:clientData/>
  </xdr:twoCellAnchor>
  <xdr:twoCellAnchor editAs="oneCell">
    <xdr:from>
      <xdr:col>8</xdr:col>
      <xdr:colOff>0</xdr:colOff>
      <xdr:row>37</xdr:row>
      <xdr:rowOff>22860</xdr:rowOff>
    </xdr:from>
    <xdr:to>
      <xdr:col>13</xdr:col>
      <xdr:colOff>121920</xdr:colOff>
      <xdr:row>40</xdr:row>
      <xdr:rowOff>76200</xdr:rowOff>
    </xdr:to>
    <xdr:sp macro="" textlink="">
      <xdr:nvSpPr>
        <xdr:cNvPr id="11313" name="Text Box 9"/>
        <xdr:cNvSpPr txBox="1">
          <a:spLocks noChangeArrowheads="1"/>
        </xdr:cNvSpPr>
      </xdr:nvSpPr>
      <xdr:spPr bwMode="auto">
        <a:xfrm>
          <a:off x="4533900" y="6332220"/>
          <a:ext cx="3246120" cy="579120"/>
        </a:xfrm>
        <a:prstGeom prst="rect">
          <a:avLst/>
        </a:prstGeom>
        <a:noFill/>
        <a:ln w="9525">
          <a:noFill/>
          <a:miter lim="800000"/>
          <a:headEnd/>
          <a:tailEnd/>
        </a:ln>
      </xdr:spPr>
    </xdr:sp>
    <xdr:clientData/>
  </xdr:twoCellAnchor>
  <xdr:twoCellAnchor editAs="oneCell">
    <xdr:from>
      <xdr:col>8</xdr:col>
      <xdr:colOff>0</xdr:colOff>
      <xdr:row>46</xdr:row>
      <xdr:rowOff>0</xdr:rowOff>
    </xdr:from>
    <xdr:to>
      <xdr:col>11</xdr:col>
      <xdr:colOff>15240</xdr:colOff>
      <xdr:row>49</xdr:row>
      <xdr:rowOff>160020</xdr:rowOff>
    </xdr:to>
    <xdr:sp macro="" textlink="">
      <xdr:nvSpPr>
        <xdr:cNvPr id="11314" name="Text Box 3"/>
        <xdr:cNvSpPr txBox="1">
          <a:spLocks noChangeArrowheads="1"/>
        </xdr:cNvSpPr>
      </xdr:nvSpPr>
      <xdr:spPr bwMode="auto">
        <a:xfrm>
          <a:off x="4533900" y="7886700"/>
          <a:ext cx="1889760" cy="685800"/>
        </a:xfrm>
        <a:prstGeom prst="rect">
          <a:avLst/>
        </a:prstGeom>
        <a:noFill/>
        <a:ln w="9525">
          <a:noFill/>
          <a:miter lim="800000"/>
          <a:headEnd/>
          <a:tailEnd/>
        </a:ln>
      </xdr:spPr>
    </xdr:sp>
    <xdr:clientData/>
  </xdr:twoCellAnchor>
  <xdr:twoCellAnchor editAs="oneCell">
    <xdr:from>
      <xdr:col>2</xdr:col>
      <xdr:colOff>495300</xdr:colOff>
      <xdr:row>10</xdr:row>
      <xdr:rowOff>0</xdr:rowOff>
    </xdr:from>
    <xdr:to>
      <xdr:col>6</xdr:col>
      <xdr:colOff>510540</xdr:colOff>
      <xdr:row>13</xdr:row>
      <xdr:rowOff>30480</xdr:rowOff>
    </xdr:to>
    <xdr:sp macro="" textlink="">
      <xdr:nvSpPr>
        <xdr:cNvPr id="11315" name="Text Box 8"/>
        <xdr:cNvSpPr txBox="1">
          <a:spLocks noChangeArrowheads="1"/>
        </xdr:cNvSpPr>
      </xdr:nvSpPr>
      <xdr:spPr bwMode="auto">
        <a:xfrm>
          <a:off x="1280160" y="1752600"/>
          <a:ext cx="2514600" cy="556260"/>
        </a:xfrm>
        <a:prstGeom prst="rect">
          <a:avLst/>
        </a:prstGeom>
        <a:noFill/>
        <a:ln w="9525">
          <a:noFill/>
          <a:miter lim="800000"/>
          <a:headEnd/>
          <a:tailEnd/>
        </a:ln>
      </xdr:spPr>
    </xdr:sp>
    <xdr:clientData/>
  </xdr:twoCellAnchor>
  <xdr:twoCellAnchor editAs="oneCell">
    <xdr:from>
      <xdr:col>20</xdr:col>
      <xdr:colOff>312420</xdr:colOff>
      <xdr:row>18</xdr:row>
      <xdr:rowOff>0</xdr:rowOff>
    </xdr:from>
    <xdr:to>
      <xdr:col>21</xdr:col>
      <xdr:colOff>426720</xdr:colOff>
      <xdr:row>38</xdr:row>
      <xdr:rowOff>30480</xdr:rowOff>
    </xdr:to>
    <xdr:sp macro="" textlink="">
      <xdr:nvSpPr>
        <xdr:cNvPr id="11316" name="Text Box 2"/>
        <xdr:cNvSpPr txBox="1">
          <a:spLocks noChangeArrowheads="1"/>
        </xdr:cNvSpPr>
      </xdr:nvSpPr>
      <xdr:spPr bwMode="auto">
        <a:xfrm>
          <a:off x="12344400" y="2979420"/>
          <a:ext cx="739140" cy="3535680"/>
        </a:xfrm>
        <a:prstGeom prst="rect">
          <a:avLst/>
        </a:prstGeom>
        <a:noFill/>
        <a:ln w="9525">
          <a:noFill/>
          <a:miter lim="800000"/>
          <a:headEnd/>
          <a:tailEnd/>
        </a:ln>
      </xdr:spPr>
    </xdr:sp>
    <xdr:clientData/>
  </xdr:twoCellAnchor>
  <xdr:twoCellAnchor editAs="oneCell">
    <xdr:from>
      <xdr:col>19</xdr:col>
      <xdr:colOff>0</xdr:colOff>
      <xdr:row>18</xdr:row>
      <xdr:rowOff>0</xdr:rowOff>
    </xdr:from>
    <xdr:to>
      <xdr:col>21</xdr:col>
      <xdr:colOff>335280</xdr:colOff>
      <xdr:row>21</xdr:row>
      <xdr:rowOff>76200</xdr:rowOff>
    </xdr:to>
    <xdr:sp macro="" textlink="">
      <xdr:nvSpPr>
        <xdr:cNvPr id="11317" name="Text Box 3"/>
        <xdr:cNvSpPr txBox="1">
          <a:spLocks noChangeArrowheads="1"/>
        </xdr:cNvSpPr>
      </xdr:nvSpPr>
      <xdr:spPr bwMode="auto">
        <a:xfrm>
          <a:off x="11407140" y="2979420"/>
          <a:ext cx="1584960" cy="601980"/>
        </a:xfrm>
        <a:prstGeom prst="rect">
          <a:avLst/>
        </a:prstGeom>
        <a:noFill/>
        <a:ln w="9525">
          <a:noFill/>
          <a:miter lim="800000"/>
          <a:headEnd/>
          <a:tailEnd/>
        </a:ln>
      </xdr:spPr>
    </xdr:sp>
    <xdr:clientData/>
  </xdr:twoCellAnchor>
  <xdr:twoCellAnchor editAs="oneCell">
    <xdr:from>
      <xdr:col>13</xdr:col>
      <xdr:colOff>495300</xdr:colOff>
      <xdr:row>18</xdr:row>
      <xdr:rowOff>0</xdr:rowOff>
    </xdr:from>
    <xdr:to>
      <xdr:col>17</xdr:col>
      <xdr:colOff>510540</xdr:colOff>
      <xdr:row>21</xdr:row>
      <xdr:rowOff>30480</xdr:rowOff>
    </xdr:to>
    <xdr:sp macro="" textlink="">
      <xdr:nvSpPr>
        <xdr:cNvPr id="11318" name="Text Box 8"/>
        <xdr:cNvSpPr txBox="1">
          <a:spLocks noChangeArrowheads="1"/>
        </xdr:cNvSpPr>
      </xdr:nvSpPr>
      <xdr:spPr bwMode="auto">
        <a:xfrm>
          <a:off x="8153400" y="2979420"/>
          <a:ext cx="2514600" cy="556260"/>
        </a:xfrm>
        <a:prstGeom prst="rect">
          <a:avLst/>
        </a:prstGeom>
        <a:noFill/>
        <a:ln w="9525">
          <a:noFill/>
          <a:miter lim="800000"/>
          <a:headEnd/>
          <a:tailEnd/>
        </a:ln>
      </xdr:spPr>
    </xdr:sp>
    <xdr:clientData/>
  </xdr:twoCellAnchor>
  <xdr:twoCellAnchor editAs="oneCell">
    <xdr:from>
      <xdr:col>14</xdr:col>
      <xdr:colOff>495300</xdr:colOff>
      <xdr:row>36</xdr:row>
      <xdr:rowOff>99060</xdr:rowOff>
    </xdr:from>
    <xdr:to>
      <xdr:col>17</xdr:col>
      <xdr:colOff>335280</xdr:colOff>
      <xdr:row>39</xdr:row>
      <xdr:rowOff>121920</xdr:rowOff>
    </xdr:to>
    <xdr:sp macro="" textlink="">
      <xdr:nvSpPr>
        <xdr:cNvPr id="11320" name="Text Box 8"/>
        <xdr:cNvSpPr txBox="1">
          <a:spLocks noChangeArrowheads="1"/>
        </xdr:cNvSpPr>
      </xdr:nvSpPr>
      <xdr:spPr bwMode="auto">
        <a:xfrm>
          <a:off x="8778240" y="6233160"/>
          <a:ext cx="1714500" cy="548640"/>
        </a:xfrm>
        <a:prstGeom prst="rect">
          <a:avLst/>
        </a:prstGeom>
        <a:noFill/>
        <a:ln w="9525">
          <a:noFill/>
          <a:miter lim="800000"/>
          <a:headEnd/>
          <a:tailEnd/>
        </a:ln>
      </xdr:spPr>
    </xdr:sp>
    <xdr:clientData/>
  </xdr:twoCellAnchor>
  <xdr:twoCellAnchor editAs="oneCell">
    <xdr:from>
      <xdr:col>2</xdr:col>
      <xdr:colOff>495300</xdr:colOff>
      <xdr:row>10</xdr:row>
      <xdr:rowOff>0</xdr:rowOff>
    </xdr:from>
    <xdr:to>
      <xdr:col>6</xdr:col>
      <xdr:colOff>510540</xdr:colOff>
      <xdr:row>13</xdr:row>
      <xdr:rowOff>30480</xdr:rowOff>
    </xdr:to>
    <xdr:sp macro="" textlink="">
      <xdr:nvSpPr>
        <xdr:cNvPr id="15" name="Text Box 8"/>
        <xdr:cNvSpPr txBox="1">
          <a:spLocks noChangeArrowheads="1"/>
        </xdr:cNvSpPr>
      </xdr:nvSpPr>
      <xdr:spPr bwMode="auto">
        <a:xfrm>
          <a:off x="1280160" y="350520"/>
          <a:ext cx="2514600" cy="556260"/>
        </a:xfrm>
        <a:prstGeom prst="rect">
          <a:avLst/>
        </a:prstGeom>
        <a:noFill/>
        <a:ln w="9525">
          <a:noFill/>
          <a:miter lim="800000"/>
          <a:headEnd/>
          <a:tailEnd/>
        </a:ln>
      </xdr:spPr>
    </xdr:sp>
    <xdr:clientData/>
  </xdr:twoCellAnchor>
  <xdr:twoCellAnchor editAs="oneCell">
    <xdr:from>
      <xdr:col>2</xdr:col>
      <xdr:colOff>68580</xdr:colOff>
      <xdr:row>10</xdr:row>
      <xdr:rowOff>0</xdr:rowOff>
    </xdr:from>
    <xdr:to>
      <xdr:col>4</xdr:col>
      <xdr:colOff>403860</xdr:colOff>
      <xdr:row>13</xdr:row>
      <xdr:rowOff>76200</xdr:rowOff>
    </xdr:to>
    <xdr:sp macro="" textlink="">
      <xdr:nvSpPr>
        <xdr:cNvPr id="16" name="Text Box 3"/>
        <xdr:cNvSpPr txBox="1">
          <a:spLocks noChangeArrowheads="1"/>
        </xdr:cNvSpPr>
      </xdr:nvSpPr>
      <xdr:spPr bwMode="auto">
        <a:xfrm>
          <a:off x="853440" y="350520"/>
          <a:ext cx="1584960" cy="601980"/>
        </a:xfrm>
        <a:prstGeom prst="rect">
          <a:avLst/>
        </a:prstGeom>
        <a:noFill/>
        <a:ln w="9525">
          <a:noFill/>
          <a:miter lim="800000"/>
          <a:headEnd/>
          <a:tailEnd/>
        </a:ln>
      </xdr:spPr>
    </xdr:sp>
    <xdr:clientData/>
  </xdr:twoCellAnchor>
  <xdr:twoCellAnchor editAs="oneCell">
    <xdr:from>
      <xdr:col>2</xdr:col>
      <xdr:colOff>495300</xdr:colOff>
      <xdr:row>10</xdr:row>
      <xdr:rowOff>0</xdr:rowOff>
    </xdr:from>
    <xdr:to>
      <xdr:col>6</xdr:col>
      <xdr:colOff>510540</xdr:colOff>
      <xdr:row>13</xdr:row>
      <xdr:rowOff>30480</xdr:rowOff>
    </xdr:to>
    <xdr:sp macro="" textlink="">
      <xdr:nvSpPr>
        <xdr:cNvPr id="17" name="Text Box 8"/>
        <xdr:cNvSpPr txBox="1">
          <a:spLocks noChangeArrowheads="1"/>
        </xdr:cNvSpPr>
      </xdr:nvSpPr>
      <xdr:spPr bwMode="auto">
        <a:xfrm>
          <a:off x="1280160" y="350520"/>
          <a:ext cx="2514600" cy="556260"/>
        </a:xfrm>
        <a:prstGeom prst="rect">
          <a:avLst/>
        </a:prstGeom>
        <a:noFill/>
        <a:ln w="9525">
          <a:noFill/>
          <a:miter lim="800000"/>
          <a:headEnd/>
          <a:tailEnd/>
        </a:ln>
      </xdr:spPr>
    </xdr:sp>
    <xdr:clientData/>
  </xdr:twoCellAnchor>
</xdr:wsDr>
</file>

<file path=xl/drawings/drawing15.xml><?xml version="1.0" encoding="utf-8"?>
<c:userShapes xmlns:c="http://schemas.openxmlformats.org/drawingml/2006/chart">
  <cdr:relSizeAnchor xmlns:cdr="http://schemas.openxmlformats.org/drawingml/2006/chartDrawing">
    <cdr:from>
      <cdr:x>0.02543</cdr:x>
      <cdr:y>0.47683</cdr:y>
    </cdr:from>
    <cdr:to>
      <cdr:x>0.03655</cdr:x>
      <cdr:y>0.52997</cdr:y>
    </cdr:to>
    <cdr:sp macro="" textlink="">
      <cdr:nvSpPr>
        <cdr:cNvPr id="4099" name="Text Box 3"/>
        <cdr:cNvSpPr txBox="1">
          <a:spLocks xmlns:a="http://schemas.openxmlformats.org/drawingml/2006/main" noChangeArrowheads="1"/>
        </cdr:cNvSpPr>
      </cdr:nvSpPr>
      <cdr:spPr bwMode="auto">
        <a:xfrm xmlns:a="http://schemas.openxmlformats.org/drawingml/2006/main">
          <a:off x="203419" y="2216366"/>
          <a:ext cx="94479" cy="26710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n-US"/>
        </a:p>
      </cdr:txBody>
    </cdr:sp>
  </cdr:relSizeAnchor>
  <cdr:relSizeAnchor xmlns:cdr="http://schemas.openxmlformats.org/drawingml/2006/chartDrawing">
    <cdr:from>
      <cdr:x>0.0343</cdr:x>
      <cdr:y>0.48688</cdr:y>
    </cdr:from>
    <cdr:to>
      <cdr:x>0.55137</cdr:x>
      <cdr:y>0.59568</cdr:y>
    </cdr:to>
    <cdr:sp macro="" textlink="">
      <cdr:nvSpPr>
        <cdr:cNvPr id="4100" name="Text Box 4"/>
        <cdr:cNvSpPr txBox="1">
          <a:spLocks xmlns:a="http://schemas.openxmlformats.org/drawingml/2006/main" noChangeArrowheads="1"/>
        </cdr:cNvSpPr>
      </cdr:nvSpPr>
      <cdr:spPr bwMode="auto">
        <a:xfrm xmlns:a="http://schemas.openxmlformats.org/drawingml/2006/main">
          <a:off x="270644" y="2258288"/>
          <a:ext cx="3819111" cy="56175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n-US"/>
        </a:p>
      </cdr:txBody>
    </cdr:sp>
  </cdr:relSizeAnchor>
  <cdr:relSizeAnchor xmlns:cdr="http://schemas.openxmlformats.org/drawingml/2006/chartDrawing">
    <cdr:from>
      <cdr:x>0.4098</cdr:x>
      <cdr:y>0.68927</cdr:y>
    </cdr:from>
    <cdr:to>
      <cdr:x>0.94727</cdr:x>
      <cdr:y>0.82298</cdr:y>
    </cdr:to>
    <cdr:sp macro="" textlink="">
      <cdr:nvSpPr>
        <cdr:cNvPr id="4" name="TextBox 3"/>
        <cdr:cNvSpPr txBox="1"/>
      </cdr:nvSpPr>
      <cdr:spPr>
        <a:xfrm xmlns:a="http://schemas.openxmlformats.org/drawingml/2006/main">
          <a:off x="2410706" y="2788920"/>
          <a:ext cx="3161742" cy="54103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400" b="1">
              <a:solidFill>
                <a:srgbClr val="FF0000"/>
              </a:solidFill>
            </a:rPr>
            <a:t>Revenue line is </a:t>
          </a:r>
          <a:r>
            <a:rPr lang="en-US" sz="1400" b="1" u="sng">
              <a:solidFill>
                <a:srgbClr val="FF0000"/>
              </a:solidFill>
            </a:rPr>
            <a:t>all</a:t>
          </a:r>
          <a:r>
            <a:rPr lang="en-US" sz="1400" b="1" u="none">
              <a:solidFill>
                <a:srgbClr val="FF0000"/>
              </a:solidFill>
            </a:rPr>
            <a:t> carbon-tax revenues,</a:t>
          </a:r>
          <a:r>
            <a:rPr lang="en-US" sz="1400" b="1" u="none" baseline="0">
              <a:solidFill>
                <a:srgbClr val="FF0000"/>
              </a:solidFill>
            </a:rPr>
            <a:t> </a:t>
          </a:r>
        </a:p>
        <a:p xmlns:a="http://schemas.openxmlformats.org/drawingml/2006/main">
          <a:r>
            <a:rPr lang="en-US" sz="1400" b="1" u="none" baseline="0">
              <a:solidFill>
                <a:srgbClr val="FF0000"/>
              </a:solidFill>
            </a:rPr>
            <a:t>in millions (nominal $).</a:t>
          </a:r>
          <a:endParaRPr lang="en-US" sz="1400" b="1" u="none">
            <a:solidFill>
              <a:srgbClr val="FF0000"/>
            </a:solidFill>
          </a:endParaRPr>
        </a:p>
        <a:p xmlns:a="http://schemas.openxmlformats.org/drawingml/2006/main">
          <a:endParaRPr lang="en-US" sz="1100" u="none"/>
        </a:p>
        <a:p xmlns:a="http://schemas.openxmlformats.org/drawingml/2006/main">
          <a:endParaRPr lang="en-US" sz="1100"/>
        </a:p>
      </cdr:txBody>
    </cdr:sp>
  </cdr:relSizeAnchor>
  <cdr:relSizeAnchor xmlns:cdr="http://schemas.openxmlformats.org/drawingml/2006/chartDrawing">
    <cdr:from>
      <cdr:x>0.30959</cdr:x>
      <cdr:y>0.16573</cdr:y>
    </cdr:from>
    <cdr:to>
      <cdr:x>0.83652</cdr:x>
      <cdr:y>0.34087</cdr:y>
    </cdr:to>
    <cdr:sp macro="" textlink="">
      <cdr:nvSpPr>
        <cdr:cNvPr id="5" name="TextBox 4"/>
        <cdr:cNvSpPr txBox="1"/>
      </cdr:nvSpPr>
      <cdr:spPr>
        <a:xfrm xmlns:a="http://schemas.openxmlformats.org/drawingml/2006/main">
          <a:off x="1821180" y="670561"/>
          <a:ext cx="3099766" cy="70865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400" b="1">
              <a:solidFill>
                <a:srgbClr val="0099CC"/>
              </a:solidFill>
              <a:latin typeface="+mn-lt"/>
              <a:ea typeface="+mn-ea"/>
              <a:cs typeface="+mn-cs"/>
            </a:rPr>
            <a:t>Dividend line, in nominal $, assumes </a:t>
          </a:r>
        </a:p>
        <a:p xmlns:a="http://schemas.openxmlformats.org/drawingml/2006/main">
          <a:r>
            <a:rPr lang="en-US" sz="1400" b="1">
              <a:solidFill>
                <a:srgbClr val="0099CC"/>
              </a:solidFill>
              <a:latin typeface="+mn-lt"/>
              <a:ea typeface="+mn-ea"/>
              <a:cs typeface="+mn-cs"/>
            </a:rPr>
            <a:t>100% revenue return to households</a:t>
          </a:r>
          <a:r>
            <a:rPr lang="en-US" sz="1100" b="0">
              <a:solidFill>
                <a:sysClr val="windowText" lastClr="000000"/>
              </a:solidFill>
              <a:latin typeface="+mn-lt"/>
              <a:ea typeface="+mn-ea"/>
              <a:cs typeface="+mn-cs"/>
            </a:rPr>
            <a:t>.</a:t>
          </a:r>
          <a:endParaRPr lang="en-US" sz="1400" b="1">
            <a:solidFill>
              <a:srgbClr val="0099CC"/>
            </a:solidFill>
            <a:latin typeface="+mn-lt"/>
            <a:ea typeface="+mn-ea"/>
            <a:cs typeface="+mn-cs"/>
          </a:endParaRPr>
        </a:p>
      </cdr:txBody>
    </cdr:sp>
  </cdr:relSizeAnchor>
  <cdr:relSizeAnchor xmlns:cdr="http://schemas.openxmlformats.org/drawingml/2006/chartDrawing">
    <cdr:from>
      <cdr:x>0.64249</cdr:x>
      <cdr:y>0.50659</cdr:y>
    </cdr:from>
    <cdr:to>
      <cdr:x>0.94948</cdr:x>
      <cdr:y>0.6516</cdr:y>
    </cdr:to>
    <cdr:sp macro="" textlink="">
      <cdr:nvSpPr>
        <cdr:cNvPr id="6" name="TextBox 5"/>
        <cdr:cNvSpPr txBox="1"/>
      </cdr:nvSpPr>
      <cdr:spPr>
        <a:xfrm xmlns:a="http://schemas.openxmlformats.org/drawingml/2006/main">
          <a:off x="3779520" y="2049780"/>
          <a:ext cx="1805940" cy="586740"/>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3"/>
        </a:lnRef>
        <a:fillRef xmlns:a="http://schemas.openxmlformats.org/drawingml/2006/main" idx="1">
          <a:schemeClr val="lt1"/>
        </a:fillRef>
        <a:effectRef xmlns:a="http://schemas.openxmlformats.org/drawingml/2006/main" idx="0">
          <a:schemeClr val="accent3"/>
        </a:effectRef>
        <a:fontRef xmlns:a="http://schemas.openxmlformats.org/drawingml/2006/main" idx="minor">
          <a:schemeClr val="dk1"/>
        </a:fontRef>
      </cdr:style>
      <cdr:txBody>
        <a:bodyPr xmlns:a="http://schemas.openxmlformats.org/drawingml/2006/main" vertOverflow="clip" wrap="none" rtlCol="0"/>
        <a:lstStyle xmlns:a="http://schemas.openxmlformats.org/drawingml/2006/main"/>
        <a:p xmlns:a="http://schemas.openxmlformats.org/drawingml/2006/main">
          <a:r>
            <a:rPr lang="en-US" sz="1000" b="1">
              <a:latin typeface="+mn-lt"/>
              <a:ea typeface="+mn-ea"/>
              <a:cs typeface="+mn-cs"/>
            </a:rPr>
            <a:t>To vary parameters of carbon </a:t>
          </a:r>
        </a:p>
        <a:p xmlns:a="http://schemas.openxmlformats.org/drawingml/2006/main">
          <a:r>
            <a:rPr lang="en-US" sz="1000" b="1">
              <a:latin typeface="+mn-lt"/>
              <a:ea typeface="+mn-ea"/>
              <a:cs typeface="+mn-cs"/>
            </a:rPr>
            <a:t>tax underlying this graph,</a:t>
          </a:r>
          <a:r>
            <a:rPr lang="en-US" sz="1000" b="1" baseline="0">
              <a:latin typeface="+mn-lt"/>
              <a:ea typeface="+mn-ea"/>
              <a:cs typeface="+mn-cs"/>
            </a:rPr>
            <a:t> g</a:t>
          </a:r>
          <a:r>
            <a:rPr lang="en-US" sz="1000" b="1">
              <a:latin typeface="+mn-lt"/>
              <a:ea typeface="+mn-ea"/>
              <a:cs typeface="+mn-cs"/>
            </a:rPr>
            <a:t>o </a:t>
          </a:r>
        </a:p>
        <a:p xmlns:a="http://schemas.openxmlformats.org/drawingml/2006/main">
          <a:r>
            <a:rPr lang="en-US" sz="1000" b="1">
              <a:latin typeface="+mn-lt"/>
              <a:ea typeface="+mn-ea"/>
              <a:cs typeface="+mn-cs"/>
            </a:rPr>
            <a:t>to 'Summary' tab, Rows 50-70.</a:t>
          </a:r>
        </a:p>
        <a:p xmlns:a="http://schemas.openxmlformats.org/drawingml/2006/main">
          <a:endParaRPr lang="en-US" sz="1100"/>
        </a:p>
      </cdr:txBody>
    </cdr:sp>
  </cdr:relSizeAnchor>
</c:userShapes>
</file>

<file path=xl/drawings/drawing16.xml><?xml version="1.0" encoding="utf-8"?>
<xdr:wsDr xmlns:xdr="http://schemas.openxmlformats.org/drawingml/2006/spreadsheetDrawing" xmlns:a="http://schemas.openxmlformats.org/drawingml/2006/main">
  <xdr:twoCellAnchor>
    <xdr:from>
      <xdr:col>1</xdr:col>
      <xdr:colOff>144780</xdr:colOff>
      <xdr:row>17</xdr:row>
      <xdr:rowOff>60960</xdr:rowOff>
    </xdr:from>
    <xdr:to>
      <xdr:col>10</xdr:col>
      <xdr:colOff>320040</xdr:colOff>
      <xdr:row>41</xdr:row>
      <xdr:rowOff>167640</xdr:rowOff>
    </xdr:to>
    <xdr:graphicFrame macro="">
      <xdr:nvGraphicFramePr>
        <xdr:cNvPr id="1646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3</xdr:col>
      <xdr:colOff>22860</xdr:colOff>
      <xdr:row>17</xdr:row>
      <xdr:rowOff>137160</xdr:rowOff>
    </xdr:from>
    <xdr:ext cx="4328160" cy="1013460"/>
    <xdr:sp macro="" textlink="">
      <xdr:nvSpPr>
        <xdr:cNvPr id="3" name="TextBox 2"/>
        <xdr:cNvSpPr txBox="1"/>
      </xdr:nvSpPr>
      <xdr:spPr>
        <a:xfrm>
          <a:off x="1501140" y="2941320"/>
          <a:ext cx="4328160" cy="10134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2800" b="1"/>
            <a:t>U.S. CO2 Emissions, 2015</a:t>
          </a:r>
        </a:p>
        <a:p>
          <a:r>
            <a:rPr lang="en-US" sz="2800" b="1"/>
            <a:t> </a:t>
          </a:r>
          <a:r>
            <a:rPr lang="en-US" sz="2400" b="1"/>
            <a:t>(from fossil fuel combustion)</a:t>
          </a:r>
          <a:endParaRPr lang="en-US" sz="2800" b="1"/>
        </a:p>
        <a:p>
          <a:endParaRPr lang="en-US" sz="2000" b="1"/>
        </a:p>
      </xdr:txBody>
    </xdr:sp>
    <xdr:clientData/>
  </xdr:oneCellAnchor>
  <xdr:twoCellAnchor>
    <xdr:from>
      <xdr:col>1</xdr:col>
      <xdr:colOff>121920</xdr:colOff>
      <xdr:row>144</xdr:row>
      <xdr:rowOff>38100</xdr:rowOff>
    </xdr:from>
    <xdr:to>
      <xdr:col>5</xdr:col>
      <xdr:colOff>716280</xdr:colOff>
      <xdr:row>161</xdr:row>
      <xdr:rowOff>76200</xdr:rowOff>
    </xdr:to>
    <xdr:graphicFrame macro="">
      <xdr:nvGraphicFramePr>
        <xdr:cNvPr id="1646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121920</xdr:colOff>
      <xdr:row>144</xdr:row>
      <xdr:rowOff>22860</xdr:rowOff>
    </xdr:from>
    <xdr:to>
      <xdr:col>11</xdr:col>
      <xdr:colOff>7620</xdr:colOff>
      <xdr:row>161</xdr:row>
      <xdr:rowOff>22860</xdr:rowOff>
    </xdr:to>
    <xdr:graphicFrame macro="">
      <xdr:nvGraphicFramePr>
        <xdr:cNvPr id="1646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121920</xdr:colOff>
      <xdr:row>164</xdr:row>
      <xdr:rowOff>38100</xdr:rowOff>
    </xdr:from>
    <xdr:to>
      <xdr:col>5</xdr:col>
      <xdr:colOff>701040</xdr:colOff>
      <xdr:row>181</xdr:row>
      <xdr:rowOff>45720</xdr:rowOff>
    </xdr:to>
    <xdr:graphicFrame macro="">
      <xdr:nvGraphicFramePr>
        <xdr:cNvPr id="1646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91440</xdr:colOff>
      <xdr:row>164</xdr:row>
      <xdr:rowOff>45720</xdr:rowOff>
    </xdr:from>
    <xdr:to>
      <xdr:col>10</xdr:col>
      <xdr:colOff>693420</xdr:colOff>
      <xdr:row>181</xdr:row>
      <xdr:rowOff>60960</xdr:rowOff>
    </xdr:to>
    <xdr:graphicFrame macro="">
      <xdr:nvGraphicFramePr>
        <xdr:cNvPr id="1646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xdr:col>
      <xdr:colOff>1906</xdr:colOff>
      <xdr:row>199</xdr:row>
      <xdr:rowOff>85726</xdr:rowOff>
    </xdr:from>
    <xdr:ext cx="1472963" cy="1644474"/>
    <xdr:sp macro="" textlink="">
      <xdr:nvSpPr>
        <xdr:cNvPr id="11" name="TextBox 10"/>
        <xdr:cNvSpPr txBox="1"/>
      </xdr:nvSpPr>
      <xdr:spPr>
        <a:xfrm>
          <a:off x="1276351" y="12658726"/>
          <a:ext cx="1504950" cy="16573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twoCellAnchor editAs="oneCell">
    <xdr:from>
      <xdr:col>3</xdr:col>
      <xdr:colOff>15240</xdr:colOff>
      <xdr:row>205</xdr:row>
      <xdr:rowOff>45720</xdr:rowOff>
    </xdr:from>
    <xdr:to>
      <xdr:col>6</xdr:col>
      <xdr:colOff>7620</xdr:colOff>
      <xdr:row>209</xdr:row>
      <xdr:rowOff>15240</xdr:rowOff>
    </xdr:to>
    <xdr:sp macro="" textlink="">
      <xdr:nvSpPr>
        <xdr:cNvPr id="16470" name="Text Box 452"/>
        <xdr:cNvSpPr txBox="1">
          <a:spLocks noChangeArrowheads="1"/>
        </xdr:cNvSpPr>
      </xdr:nvSpPr>
      <xdr:spPr bwMode="auto">
        <a:xfrm>
          <a:off x="1493520" y="17663160"/>
          <a:ext cx="1958340" cy="670560"/>
        </a:xfrm>
        <a:prstGeom prst="rect">
          <a:avLst/>
        </a:prstGeom>
        <a:noFill/>
        <a:ln w="9525">
          <a:noFill/>
          <a:miter lim="800000"/>
          <a:headEnd/>
          <a:tailEnd/>
        </a:ln>
      </xdr:spPr>
    </xdr:sp>
    <xdr:clientData/>
  </xdr:twoCellAnchor>
  <xdr:oneCellAnchor>
    <xdr:from>
      <xdr:col>2</xdr:col>
      <xdr:colOff>1906</xdr:colOff>
      <xdr:row>199</xdr:row>
      <xdr:rowOff>85726</xdr:rowOff>
    </xdr:from>
    <xdr:ext cx="1472963" cy="1644474"/>
    <xdr:sp macro="" textlink="">
      <xdr:nvSpPr>
        <xdr:cNvPr id="13" name="TextBox 12"/>
        <xdr:cNvSpPr txBox="1"/>
      </xdr:nvSpPr>
      <xdr:spPr>
        <a:xfrm>
          <a:off x="1276351" y="12658726"/>
          <a:ext cx="1504950" cy="16573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twoCellAnchor>
    <xdr:from>
      <xdr:col>1</xdr:col>
      <xdr:colOff>45720</xdr:colOff>
      <xdr:row>195</xdr:row>
      <xdr:rowOff>76200</xdr:rowOff>
    </xdr:from>
    <xdr:to>
      <xdr:col>7</xdr:col>
      <xdr:colOff>617220</xdr:colOff>
      <xdr:row>215</xdr:row>
      <xdr:rowOff>106680</xdr:rowOff>
    </xdr:to>
    <xdr:graphicFrame macro="">
      <xdr:nvGraphicFramePr>
        <xdr:cNvPr id="16472" name="Chart 4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3</xdr:col>
      <xdr:colOff>15240</xdr:colOff>
      <xdr:row>205</xdr:row>
      <xdr:rowOff>45720</xdr:rowOff>
    </xdr:from>
    <xdr:to>
      <xdr:col>6</xdr:col>
      <xdr:colOff>7620</xdr:colOff>
      <xdr:row>209</xdr:row>
      <xdr:rowOff>15240</xdr:rowOff>
    </xdr:to>
    <xdr:sp macro="" textlink="">
      <xdr:nvSpPr>
        <xdr:cNvPr id="16473" name="Text Box 452"/>
        <xdr:cNvSpPr txBox="1">
          <a:spLocks noChangeArrowheads="1"/>
        </xdr:cNvSpPr>
      </xdr:nvSpPr>
      <xdr:spPr bwMode="auto">
        <a:xfrm>
          <a:off x="1493520" y="17663160"/>
          <a:ext cx="1958340" cy="670560"/>
        </a:xfrm>
        <a:prstGeom prst="rect">
          <a:avLst/>
        </a:prstGeom>
        <a:noFill/>
        <a:ln w="9525">
          <a:noFill/>
          <a:miter lim="800000"/>
          <a:headEnd/>
          <a:tailEnd/>
        </a:ln>
      </xdr:spPr>
    </xdr:sp>
    <xdr:clientData/>
  </xdr:twoCellAnchor>
  <xdr:twoCellAnchor>
    <xdr:from>
      <xdr:col>4</xdr:col>
      <xdr:colOff>533400</xdr:colOff>
      <xdr:row>201</xdr:row>
      <xdr:rowOff>85725</xdr:rowOff>
    </xdr:from>
    <xdr:to>
      <xdr:col>4</xdr:col>
      <xdr:colOff>574686</xdr:colOff>
      <xdr:row>204</xdr:row>
      <xdr:rowOff>76200</xdr:rowOff>
    </xdr:to>
    <xdr:cxnSp macro="">
      <xdr:nvCxnSpPr>
        <xdr:cNvPr id="17" name="Straight Arrow Connector 16"/>
        <xdr:cNvCxnSpPr/>
      </xdr:nvCxnSpPr>
      <xdr:spPr>
        <a:xfrm>
          <a:off x="2714625" y="18440400"/>
          <a:ext cx="38100" cy="447675"/>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643890</xdr:colOff>
      <xdr:row>201</xdr:row>
      <xdr:rowOff>28575</xdr:rowOff>
    </xdr:from>
    <xdr:to>
      <xdr:col>5</xdr:col>
      <xdr:colOff>493683</xdr:colOff>
      <xdr:row>204</xdr:row>
      <xdr:rowOff>28575</xdr:rowOff>
    </xdr:to>
    <xdr:cxnSp macro="">
      <xdr:nvCxnSpPr>
        <xdr:cNvPr id="19" name="Straight Arrow Connector 18"/>
        <xdr:cNvCxnSpPr/>
      </xdr:nvCxnSpPr>
      <xdr:spPr>
        <a:xfrm>
          <a:off x="2847975" y="18383250"/>
          <a:ext cx="542925" cy="457200"/>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628650</xdr:colOff>
      <xdr:row>199</xdr:row>
      <xdr:rowOff>95251</xdr:rowOff>
    </xdr:from>
    <xdr:to>
      <xdr:col>4</xdr:col>
      <xdr:colOff>188621</xdr:colOff>
      <xdr:row>199</xdr:row>
      <xdr:rowOff>95251</xdr:rowOff>
    </xdr:to>
    <xdr:cxnSp macro="">
      <xdr:nvCxnSpPr>
        <xdr:cNvPr id="21" name="Straight Arrow Connector 20"/>
        <xdr:cNvCxnSpPr/>
      </xdr:nvCxnSpPr>
      <xdr:spPr>
        <a:xfrm rot="1680000" flipH="1">
          <a:off x="2106930" y="20425411"/>
          <a:ext cx="215291" cy="0"/>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60960</xdr:colOff>
      <xdr:row>220</xdr:row>
      <xdr:rowOff>7620</xdr:rowOff>
    </xdr:from>
    <xdr:to>
      <xdr:col>4</xdr:col>
      <xdr:colOff>601980</xdr:colOff>
      <xdr:row>241</xdr:row>
      <xdr:rowOff>114300</xdr:rowOff>
    </xdr:to>
    <xdr:graphicFrame macro="">
      <xdr:nvGraphicFramePr>
        <xdr:cNvPr id="1647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2</xdr:col>
      <xdr:colOff>1906</xdr:colOff>
      <xdr:row>276</xdr:row>
      <xdr:rowOff>85726</xdr:rowOff>
    </xdr:from>
    <xdr:ext cx="1472963" cy="1644474"/>
    <xdr:sp macro="" textlink="">
      <xdr:nvSpPr>
        <xdr:cNvPr id="23" name="TextBox 22"/>
        <xdr:cNvSpPr txBox="1"/>
      </xdr:nvSpPr>
      <xdr:spPr>
        <a:xfrm>
          <a:off x="895351" y="17678401"/>
          <a:ext cx="1504950" cy="16573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twoCellAnchor editAs="oneCell">
    <xdr:from>
      <xdr:col>3</xdr:col>
      <xdr:colOff>15240</xdr:colOff>
      <xdr:row>282</xdr:row>
      <xdr:rowOff>45720</xdr:rowOff>
    </xdr:from>
    <xdr:to>
      <xdr:col>6</xdr:col>
      <xdr:colOff>7620</xdr:colOff>
      <xdr:row>286</xdr:row>
      <xdr:rowOff>15240</xdr:rowOff>
    </xdr:to>
    <xdr:sp macro="" textlink="">
      <xdr:nvSpPr>
        <xdr:cNvPr id="16479" name="Text Box 452"/>
        <xdr:cNvSpPr txBox="1">
          <a:spLocks noChangeArrowheads="1"/>
        </xdr:cNvSpPr>
      </xdr:nvSpPr>
      <xdr:spPr bwMode="auto">
        <a:xfrm>
          <a:off x="1493520" y="28879800"/>
          <a:ext cx="1958340" cy="670560"/>
        </a:xfrm>
        <a:prstGeom prst="rect">
          <a:avLst/>
        </a:prstGeom>
        <a:noFill/>
        <a:ln w="9525">
          <a:noFill/>
          <a:miter lim="800000"/>
          <a:headEnd/>
          <a:tailEnd/>
        </a:ln>
      </xdr:spPr>
    </xdr:sp>
    <xdr:clientData/>
  </xdr:twoCellAnchor>
  <xdr:oneCellAnchor>
    <xdr:from>
      <xdr:col>2</xdr:col>
      <xdr:colOff>1906</xdr:colOff>
      <xdr:row>276</xdr:row>
      <xdr:rowOff>85726</xdr:rowOff>
    </xdr:from>
    <xdr:ext cx="1472963" cy="1644474"/>
    <xdr:sp macro="" textlink="">
      <xdr:nvSpPr>
        <xdr:cNvPr id="25" name="TextBox 24"/>
        <xdr:cNvSpPr txBox="1"/>
      </xdr:nvSpPr>
      <xdr:spPr>
        <a:xfrm>
          <a:off x="895351" y="17678401"/>
          <a:ext cx="1504950" cy="16573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twoCellAnchor>
    <xdr:from>
      <xdr:col>1</xdr:col>
      <xdr:colOff>45720</xdr:colOff>
      <xdr:row>272</xdr:row>
      <xdr:rowOff>76200</xdr:rowOff>
    </xdr:from>
    <xdr:to>
      <xdr:col>4</xdr:col>
      <xdr:colOff>594360</xdr:colOff>
      <xdr:row>292</xdr:row>
      <xdr:rowOff>60960</xdr:rowOff>
    </xdr:to>
    <xdr:graphicFrame macro="">
      <xdr:nvGraphicFramePr>
        <xdr:cNvPr id="16481" name="Chart 4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3</xdr:col>
      <xdr:colOff>15240</xdr:colOff>
      <xdr:row>282</xdr:row>
      <xdr:rowOff>45720</xdr:rowOff>
    </xdr:from>
    <xdr:to>
      <xdr:col>6</xdr:col>
      <xdr:colOff>7620</xdr:colOff>
      <xdr:row>286</xdr:row>
      <xdr:rowOff>15240</xdr:rowOff>
    </xdr:to>
    <xdr:sp macro="" textlink="">
      <xdr:nvSpPr>
        <xdr:cNvPr id="16482" name="Text Box 452"/>
        <xdr:cNvSpPr txBox="1">
          <a:spLocks noChangeArrowheads="1"/>
        </xdr:cNvSpPr>
      </xdr:nvSpPr>
      <xdr:spPr bwMode="auto">
        <a:xfrm>
          <a:off x="1493520" y="28879800"/>
          <a:ext cx="1958340" cy="670560"/>
        </a:xfrm>
        <a:prstGeom prst="rect">
          <a:avLst/>
        </a:prstGeom>
        <a:noFill/>
        <a:ln w="9525">
          <a:noFill/>
          <a:miter lim="800000"/>
          <a:headEnd/>
          <a:tailEnd/>
        </a:ln>
      </xdr:spPr>
    </xdr:sp>
    <xdr:clientData/>
  </xdr:twoCellAnchor>
  <xdr:twoCellAnchor editAs="oneCell">
    <xdr:from>
      <xdr:col>9</xdr:col>
      <xdr:colOff>312420</xdr:colOff>
      <xdr:row>298</xdr:row>
      <xdr:rowOff>0</xdr:rowOff>
    </xdr:from>
    <xdr:to>
      <xdr:col>10</xdr:col>
      <xdr:colOff>426720</xdr:colOff>
      <xdr:row>314</xdr:row>
      <xdr:rowOff>129540</xdr:rowOff>
    </xdr:to>
    <xdr:sp macro="" textlink="">
      <xdr:nvSpPr>
        <xdr:cNvPr id="16483" name="Text Box 2"/>
        <xdr:cNvSpPr txBox="1">
          <a:spLocks noChangeArrowheads="1"/>
        </xdr:cNvSpPr>
      </xdr:nvSpPr>
      <xdr:spPr bwMode="auto">
        <a:xfrm>
          <a:off x="5722620" y="31150560"/>
          <a:ext cx="769620" cy="2933700"/>
        </a:xfrm>
        <a:prstGeom prst="rect">
          <a:avLst/>
        </a:prstGeom>
        <a:noFill/>
        <a:ln w="9525">
          <a:noFill/>
          <a:miter lim="800000"/>
          <a:headEnd/>
          <a:tailEnd/>
        </a:ln>
      </xdr:spPr>
    </xdr:sp>
    <xdr:clientData/>
  </xdr:twoCellAnchor>
  <xdr:twoCellAnchor editAs="oneCell">
    <xdr:from>
      <xdr:col>8</xdr:col>
      <xdr:colOff>0</xdr:colOff>
      <xdr:row>298</xdr:row>
      <xdr:rowOff>0</xdr:rowOff>
    </xdr:from>
    <xdr:to>
      <xdr:col>10</xdr:col>
      <xdr:colOff>342900</xdr:colOff>
      <xdr:row>300</xdr:row>
      <xdr:rowOff>167640</xdr:rowOff>
    </xdr:to>
    <xdr:sp macro="" textlink="">
      <xdr:nvSpPr>
        <xdr:cNvPr id="16484" name="Text Box 3"/>
        <xdr:cNvSpPr txBox="1">
          <a:spLocks noChangeArrowheads="1"/>
        </xdr:cNvSpPr>
      </xdr:nvSpPr>
      <xdr:spPr bwMode="auto">
        <a:xfrm>
          <a:off x="4754880" y="31150560"/>
          <a:ext cx="1653540" cy="518160"/>
        </a:xfrm>
        <a:prstGeom prst="rect">
          <a:avLst/>
        </a:prstGeom>
        <a:noFill/>
        <a:ln w="9525">
          <a:noFill/>
          <a:miter lim="800000"/>
          <a:headEnd/>
          <a:tailEnd/>
        </a:ln>
      </xdr:spPr>
    </xdr:sp>
    <xdr:clientData/>
  </xdr:twoCellAnchor>
  <xdr:twoCellAnchor editAs="oneCell">
    <xdr:from>
      <xdr:col>2</xdr:col>
      <xdr:colOff>495300</xdr:colOff>
      <xdr:row>298</xdr:row>
      <xdr:rowOff>0</xdr:rowOff>
    </xdr:from>
    <xdr:to>
      <xdr:col>6</xdr:col>
      <xdr:colOff>518160</xdr:colOff>
      <xdr:row>300</xdr:row>
      <xdr:rowOff>121920</xdr:rowOff>
    </xdr:to>
    <xdr:sp macro="" textlink="">
      <xdr:nvSpPr>
        <xdr:cNvPr id="16485" name="Text Box 8"/>
        <xdr:cNvSpPr txBox="1">
          <a:spLocks noChangeArrowheads="1"/>
        </xdr:cNvSpPr>
      </xdr:nvSpPr>
      <xdr:spPr bwMode="auto">
        <a:xfrm>
          <a:off x="1318260" y="31150560"/>
          <a:ext cx="2644140" cy="472440"/>
        </a:xfrm>
        <a:prstGeom prst="rect">
          <a:avLst/>
        </a:prstGeom>
        <a:noFill/>
        <a:ln w="9525">
          <a:noFill/>
          <a:miter lim="800000"/>
          <a:headEnd/>
          <a:tailEnd/>
        </a:ln>
      </xdr:spPr>
    </xdr:sp>
    <xdr:clientData/>
  </xdr:twoCellAnchor>
  <xdr:twoCellAnchor editAs="oneCell">
    <xdr:from>
      <xdr:col>3</xdr:col>
      <xdr:colOff>495300</xdr:colOff>
      <xdr:row>316</xdr:row>
      <xdr:rowOff>91440</xdr:rowOff>
    </xdr:from>
    <xdr:to>
      <xdr:col>6</xdr:col>
      <xdr:colOff>342900</xdr:colOff>
      <xdr:row>319</xdr:row>
      <xdr:rowOff>22860</xdr:rowOff>
    </xdr:to>
    <xdr:sp macro="" textlink="">
      <xdr:nvSpPr>
        <xdr:cNvPr id="16487" name="Text Box 8"/>
        <xdr:cNvSpPr txBox="1">
          <a:spLocks noChangeArrowheads="1"/>
        </xdr:cNvSpPr>
      </xdr:nvSpPr>
      <xdr:spPr bwMode="auto">
        <a:xfrm>
          <a:off x="1973580" y="33855660"/>
          <a:ext cx="1813560" cy="457200"/>
        </a:xfrm>
        <a:prstGeom prst="rect">
          <a:avLst/>
        </a:prstGeom>
        <a:noFill/>
        <a:ln w="9525">
          <a:noFill/>
          <a:miter lim="800000"/>
          <a:headEnd/>
          <a:tailEnd/>
        </a:ln>
      </xdr:spPr>
    </xdr:sp>
    <xdr:clientData/>
  </xdr:twoCellAnchor>
  <xdr:oneCellAnchor>
    <xdr:from>
      <xdr:col>1</xdr:col>
      <xdr:colOff>68580</xdr:colOff>
      <xdr:row>238</xdr:row>
      <xdr:rowOff>45720</xdr:rowOff>
    </xdr:from>
    <xdr:ext cx="721069" cy="570028"/>
    <xdr:sp macro="" textlink="">
      <xdr:nvSpPr>
        <xdr:cNvPr id="27" name="TextBox 26"/>
        <xdr:cNvSpPr txBox="1"/>
      </xdr:nvSpPr>
      <xdr:spPr>
        <a:xfrm>
          <a:off x="228600" y="22471380"/>
          <a:ext cx="721069" cy="5618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900" b="1"/>
            <a:t>000,000</a:t>
          </a:r>
        </a:p>
        <a:p>
          <a:r>
            <a:rPr lang="en-US" sz="900" b="1"/>
            <a:t>tonnes</a:t>
          </a:r>
        </a:p>
        <a:p>
          <a:r>
            <a:rPr lang="en-US" sz="900" b="1"/>
            <a:t>CO2</a:t>
          </a:r>
          <a:endParaRPr lang="en-US" sz="1050" b="1"/>
        </a:p>
      </xdr:txBody>
    </xdr:sp>
    <xdr:clientData/>
  </xdr:oneCellAnchor>
  <xdr:twoCellAnchor>
    <xdr:from>
      <xdr:col>1</xdr:col>
      <xdr:colOff>83820</xdr:colOff>
      <xdr:row>62</xdr:row>
      <xdr:rowOff>38100</xdr:rowOff>
    </xdr:from>
    <xdr:to>
      <xdr:col>9</xdr:col>
      <xdr:colOff>624840</xdr:colOff>
      <xdr:row>83</xdr:row>
      <xdr:rowOff>137160</xdr:rowOff>
    </xdr:to>
    <xdr:graphicFrame macro="">
      <xdr:nvGraphicFramePr>
        <xdr:cNvPr id="35" name="Chart 3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83820</xdr:colOff>
      <xdr:row>103</xdr:row>
      <xdr:rowOff>38100</xdr:rowOff>
    </xdr:from>
    <xdr:to>
      <xdr:col>9</xdr:col>
      <xdr:colOff>624840</xdr:colOff>
      <xdr:row>124</xdr:row>
      <xdr:rowOff>137160</xdr:rowOff>
    </xdr:to>
    <xdr:graphicFrame macro="">
      <xdr:nvGraphicFramePr>
        <xdr:cNvPr id="30" name="Chart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oneCellAnchor>
    <xdr:from>
      <xdr:col>1</xdr:col>
      <xdr:colOff>480060</xdr:colOff>
      <xdr:row>105</xdr:row>
      <xdr:rowOff>160020</xdr:rowOff>
    </xdr:from>
    <xdr:ext cx="4892040" cy="566326"/>
    <xdr:sp macro="" textlink="">
      <xdr:nvSpPr>
        <xdr:cNvPr id="31" name="TextBox 30"/>
        <xdr:cNvSpPr txBox="1"/>
      </xdr:nvSpPr>
      <xdr:spPr>
        <a:xfrm>
          <a:off x="647700" y="18211800"/>
          <a:ext cx="4892040" cy="5663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1100" b="1"/>
            <a:t>2005 and 2014 are from CTC carbon-tax model. 2025 total = 2005 total x 0.75%.</a:t>
          </a:r>
        </a:p>
        <a:p>
          <a:r>
            <a:rPr lang="en-US" sz="1100" b="1"/>
            <a:t>2025</a:t>
          </a:r>
          <a:r>
            <a:rPr lang="en-US" sz="1100" b="1" baseline="0"/>
            <a:t> electric assumes linear progress toward EPA 2030 target of 0.70% x 2005.</a:t>
          </a:r>
          <a:endParaRPr lang="en-US" sz="1100" b="1"/>
        </a:p>
      </xdr:txBody>
    </xdr:sp>
    <xdr:clientData/>
  </xdr:oneCellAnchor>
  <xdr:twoCellAnchor editAs="oneCell">
    <xdr:from>
      <xdr:col>14</xdr:col>
      <xdr:colOff>495300</xdr:colOff>
      <xdr:row>33</xdr:row>
      <xdr:rowOff>99060</xdr:rowOff>
    </xdr:from>
    <xdr:to>
      <xdr:col>17</xdr:col>
      <xdr:colOff>335280</xdr:colOff>
      <xdr:row>36</xdr:row>
      <xdr:rowOff>121920</xdr:rowOff>
    </xdr:to>
    <xdr:sp macro="" textlink="">
      <xdr:nvSpPr>
        <xdr:cNvPr id="32" name="Text Box 8"/>
        <xdr:cNvSpPr txBox="1">
          <a:spLocks noChangeArrowheads="1"/>
        </xdr:cNvSpPr>
      </xdr:nvSpPr>
      <xdr:spPr bwMode="auto">
        <a:xfrm>
          <a:off x="1905000" y="6233160"/>
          <a:ext cx="1714500" cy="548640"/>
        </a:xfrm>
        <a:prstGeom prst="rect">
          <a:avLst/>
        </a:prstGeom>
        <a:noFill/>
        <a:ln w="9525">
          <a:noFill/>
          <a:miter lim="800000"/>
          <a:headEnd/>
          <a:tailEnd/>
        </a:ln>
      </xdr:spPr>
    </xdr:sp>
    <xdr:clientData/>
  </xdr:twoCellAnchor>
  <xdr:twoCellAnchor>
    <xdr:from>
      <xdr:col>12</xdr:col>
      <xdr:colOff>91440</xdr:colOff>
      <xdr:row>17</xdr:row>
      <xdr:rowOff>129540</xdr:rowOff>
    </xdr:from>
    <xdr:to>
      <xdr:col>22</xdr:col>
      <xdr:colOff>541020</xdr:colOff>
      <xdr:row>41</xdr:row>
      <xdr:rowOff>144780</xdr:rowOff>
    </xdr:to>
    <xdr:graphicFrame macro="">
      <xdr:nvGraphicFramePr>
        <xdr:cNvPr id="3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13</xdr:col>
      <xdr:colOff>472440</xdr:colOff>
      <xdr:row>31</xdr:row>
      <xdr:rowOff>152400</xdr:rowOff>
    </xdr:from>
    <xdr:to>
      <xdr:col>17</xdr:col>
      <xdr:colOff>198120</xdr:colOff>
      <xdr:row>36</xdr:row>
      <xdr:rowOff>91440</xdr:rowOff>
    </xdr:to>
    <xdr:sp macro="" textlink="">
      <xdr:nvSpPr>
        <xdr:cNvPr id="34" name="Text Box 8"/>
        <xdr:cNvSpPr txBox="1">
          <a:spLocks noChangeArrowheads="1"/>
        </xdr:cNvSpPr>
      </xdr:nvSpPr>
      <xdr:spPr bwMode="auto">
        <a:xfrm>
          <a:off x="1257300" y="5935980"/>
          <a:ext cx="2225040" cy="815340"/>
        </a:xfrm>
        <a:prstGeom prst="rect">
          <a:avLst/>
        </a:prstGeom>
        <a:noFill/>
        <a:ln w="9525">
          <a:noFill/>
          <a:miter lim="800000"/>
          <a:headEnd/>
          <a:tailEnd/>
        </a:ln>
      </xdr:spPr>
    </xdr:sp>
    <xdr:clientData/>
  </xdr:twoCellAnchor>
  <xdr:twoCellAnchor editAs="oneCell">
    <xdr:from>
      <xdr:col>15</xdr:col>
      <xdr:colOff>259080</xdr:colOff>
      <xdr:row>24</xdr:row>
      <xdr:rowOff>152400</xdr:rowOff>
    </xdr:from>
    <xdr:to>
      <xdr:col>21</xdr:col>
      <xdr:colOff>160020</xdr:colOff>
      <xdr:row>28</xdr:row>
      <xdr:rowOff>144780</xdr:rowOff>
    </xdr:to>
    <xdr:sp macro="" textlink="">
      <xdr:nvSpPr>
        <xdr:cNvPr id="36" name="Text Box 9"/>
        <xdr:cNvSpPr txBox="1">
          <a:spLocks noChangeArrowheads="1"/>
        </xdr:cNvSpPr>
      </xdr:nvSpPr>
      <xdr:spPr bwMode="auto">
        <a:xfrm>
          <a:off x="2293620" y="4709160"/>
          <a:ext cx="3649980" cy="693420"/>
        </a:xfrm>
        <a:prstGeom prst="rect">
          <a:avLst/>
        </a:prstGeom>
        <a:noFill/>
        <a:ln w="9525">
          <a:noFill/>
          <a:miter lim="800000"/>
          <a:headEnd/>
          <a:tailEnd/>
        </a:ln>
      </xdr:spPr>
    </xdr:sp>
    <xdr:clientData/>
  </xdr:twoCellAnchor>
  <xdr:oneCellAnchor>
    <xdr:from>
      <xdr:col>20</xdr:col>
      <xdr:colOff>129540</xdr:colOff>
      <xdr:row>32</xdr:row>
      <xdr:rowOff>99060</xdr:rowOff>
    </xdr:from>
    <xdr:ext cx="184731" cy="264560"/>
    <xdr:sp macro="" textlink="">
      <xdr:nvSpPr>
        <xdr:cNvPr id="37" name="TextBox 36"/>
        <xdr:cNvSpPr txBox="1"/>
      </xdr:nvSpPr>
      <xdr:spPr>
        <a:xfrm>
          <a:off x="5288280" y="605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baseline="0"/>
        </a:p>
      </xdr:txBody>
    </xdr:sp>
    <xdr:clientData/>
  </xdr:oneCellAnchor>
  <xdr:oneCellAnchor>
    <xdr:from>
      <xdr:col>18</xdr:col>
      <xdr:colOff>60960</xdr:colOff>
      <xdr:row>40</xdr:row>
      <xdr:rowOff>76200</xdr:rowOff>
    </xdr:from>
    <xdr:ext cx="3032760" cy="295040"/>
    <xdr:sp macro="" textlink="">
      <xdr:nvSpPr>
        <xdr:cNvPr id="38" name="TextBox 37"/>
        <xdr:cNvSpPr txBox="1"/>
      </xdr:nvSpPr>
      <xdr:spPr>
        <a:xfrm>
          <a:off x="11369040" y="7086600"/>
          <a:ext cx="3032760" cy="2950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800" b="1"/>
            <a:t>Source: Carbon Tax Center Spreadsheet Model, June 2016</a:t>
          </a:r>
        </a:p>
        <a:p>
          <a:endParaRPr lang="en-US" sz="800" b="1"/>
        </a:p>
      </xdr:txBody>
    </xdr:sp>
    <xdr:clientData/>
  </xdr:oneCellAnchor>
  <xdr:oneCellAnchor>
    <xdr:from>
      <xdr:col>14</xdr:col>
      <xdr:colOff>53340</xdr:colOff>
      <xdr:row>25</xdr:row>
      <xdr:rowOff>167640</xdr:rowOff>
    </xdr:from>
    <xdr:ext cx="1440180" cy="960120"/>
    <xdr:sp macro="" textlink="">
      <xdr:nvSpPr>
        <xdr:cNvPr id="39" name="TextBox 38"/>
        <xdr:cNvSpPr txBox="1"/>
      </xdr:nvSpPr>
      <xdr:spPr>
        <a:xfrm>
          <a:off x="8740140" y="4549140"/>
          <a:ext cx="1440180" cy="960120"/>
        </a:xfrm>
        <a:prstGeom prst="rect">
          <a:avLst/>
        </a:prstGeom>
        <a:solidFill>
          <a:srgbClr val="00FF00"/>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1100" b="1">
              <a:solidFill>
                <a:schemeClr val="tx1"/>
              </a:solidFill>
            </a:rPr>
            <a:t>McDermott Carbon Tax = $12.50 per metric ton of CO2 in 2017, $25.00</a:t>
          </a:r>
          <a:r>
            <a:rPr lang="en-US" sz="1100" b="1" baseline="0">
              <a:solidFill>
                <a:schemeClr val="tx1"/>
              </a:solidFill>
            </a:rPr>
            <a:t> in 2018, $37.50 in 2019, etc.</a:t>
          </a:r>
        </a:p>
        <a:p>
          <a:endParaRPr lang="en-US" sz="1100" b="1" baseline="0">
            <a:solidFill>
              <a:schemeClr val="tx1"/>
            </a:solidFill>
          </a:endParaRPr>
        </a:p>
        <a:p>
          <a:r>
            <a:rPr lang="en-US" sz="1100">
              <a:solidFill>
                <a:schemeClr val="tx1"/>
              </a:solidFill>
            </a:rPr>
            <a:t> </a:t>
          </a:r>
        </a:p>
      </xdr:txBody>
    </xdr:sp>
    <xdr:clientData/>
  </xdr:oneCellAnchor>
  <xdr:twoCellAnchor>
    <xdr:from>
      <xdr:col>11</xdr:col>
      <xdr:colOff>0</xdr:colOff>
      <xdr:row>62</xdr:row>
      <xdr:rowOff>0</xdr:rowOff>
    </xdr:from>
    <xdr:to>
      <xdr:col>19</xdr:col>
      <xdr:colOff>541020</xdr:colOff>
      <xdr:row>83</xdr:row>
      <xdr:rowOff>99060</xdr:rowOff>
    </xdr:to>
    <xdr:graphicFrame macro="">
      <xdr:nvGraphicFramePr>
        <xdr:cNvPr id="40" name="Chart 3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oneCellAnchor>
    <xdr:from>
      <xdr:col>13</xdr:col>
      <xdr:colOff>601980</xdr:colOff>
      <xdr:row>32</xdr:row>
      <xdr:rowOff>137160</xdr:rowOff>
    </xdr:from>
    <xdr:ext cx="1691640" cy="929640"/>
    <xdr:sp macro="" textlink="">
      <xdr:nvSpPr>
        <xdr:cNvPr id="41" name="TextBox 40"/>
        <xdr:cNvSpPr txBox="1"/>
      </xdr:nvSpPr>
      <xdr:spPr>
        <a:xfrm>
          <a:off x="8633460" y="5745480"/>
          <a:ext cx="1691640" cy="929640"/>
        </a:xfrm>
        <a:prstGeom prst="rect">
          <a:avLst/>
        </a:prstGeom>
        <a:solidFill>
          <a:srgbClr val="66FFFF"/>
        </a:solid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1050"/>
            <a:t>The carbon-tax curves start</a:t>
          </a:r>
        </a:p>
        <a:p>
          <a:r>
            <a:rPr lang="en-US" sz="1050"/>
            <a:t>equal</a:t>
          </a:r>
          <a:r>
            <a:rPr lang="en-US" sz="1050" baseline="0"/>
            <a:t>, due to model assumption limiting rate at which economy responds to big tax increments.</a:t>
          </a:r>
          <a:endParaRPr lang="en-US" sz="1050"/>
        </a:p>
      </xdr:txBody>
    </xdr:sp>
    <xdr:clientData/>
  </xdr:oneCellAnchor>
  <xdr:twoCellAnchor>
    <xdr:from>
      <xdr:col>15</xdr:col>
      <xdr:colOff>586740</xdr:colOff>
      <xdr:row>26</xdr:row>
      <xdr:rowOff>53340</xdr:rowOff>
    </xdr:from>
    <xdr:to>
      <xdr:col>16</xdr:col>
      <xdr:colOff>502920</xdr:colOff>
      <xdr:row>32</xdr:row>
      <xdr:rowOff>160020</xdr:rowOff>
    </xdr:to>
    <xdr:cxnSp macro="">
      <xdr:nvCxnSpPr>
        <xdr:cNvPr id="43" name="Straight Arrow Connector 42"/>
        <xdr:cNvCxnSpPr/>
      </xdr:nvCxnSpPr>
      <xdr:spPr>
        <a:xfrm flipV="1">
          <a:off x="9928860" y="4610100"/>
          <a:ext cx="571500" cy="1158240"/>
        </a:xfrm>
        <a:prstGeom prst="straightConnector1">
          <a:avLst/>
        </a:prstGeom>
        <a:ln w="1905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91440</xdr:colOff>
      <xdr:row>27</xdr:row>
      <xdr:rowOff>152400</xdr:rowOff>
    </xdr:from>
    <xdr:to>
      <xdr:col>17</xdr:col>
      <xdr:colOff>304800</xdr:colOff>
      <xdr:row>32</xdr:row>
      <xdr:rowOff>137160</xdr:rowOff>
    </xdr:to>
    <xdr:cxnSp macro="">
      <xdr:nvCxnSpPr>
        <xdr:cNvPr id="46" name="Straight Arrow Connector 45"/>
        <xdr:cNvCxnSpPr/>
      </xdr:nvCxnSpPr>
      <xdr:spPr>
        <a:xfrm flipV="1">
          <a:off x="10088880" y="4884420"/>
          <a:ext cx="868680" cy="861060"/>
        </a:xfrm>
        <a:prstGeom prst="straightConnector1">
          <a:avLst/>
        </a:prstGeom>
        <a:ln w="19050">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7.xml><?xml version="1.0" encoding="utf-8"?>
<c:userShapes xmlns:c="http://schemas.openxmlformats.org/drawingml/2006/chart">
  <cdr:relSizeAnchor xmlns:cdr="http://schemas.openxmlformats.org/drawingml/2006/chartDrawing">
    <cdr:from>
      <cdr:x>0.74002</cdr:x>
      <cdr:y>0.95372</cdr:y>
    </cdr:from>
    <cdr:to>
      <cdr:x>0.96856</cdr:x>
      <cdr:y>1</cdr:y>
    </cdr:to>
    <cdr:sp macro="" textlink="">
      <cdr:nvSpPr>
        <cdr:cNvPr id="2" name="TextBox 1"/>
        <cdr:cNvSpPr txBox="1"/>
      </cdr:nvSpPr>
      <cdr:spPr>
        <a:xfrm xmlns:a="http://schemas.openxmlformats.org/drawingml/2006/main">
          <a:off x="4663440" y="4396740"/>
          <a:ext cx="1440180" cy="21336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900" b="1">
              <a:latin typeface="+mn-lt"/>
              <a:ea typeface="+mn-ea"/>
              <a:cs typeface="+mn-cs"/>
            </a:rPr>
            <a:t>Carbon Tax Center, June 2016</a:t>
          </a:r>
          <a:endParaRPr lang="en-US" sz="900"/>
        </a:p>
        <a:p xmlns:a="http://schemas.openxmlformats.org/drawingml/2006/main">
          <a:endParaRPr lang="en-US" sz="1100"/>
        </a:p>
      </cdr:txBody>
    </cdr:sp>
  </cdr:relSizeAnchor>
</c:userShapes>
</file>

<file path=xl/drawings/drawing18.xml><?xml version="1.0" encoding="utf-8"?>
<c:userShapes xmlns:c="http://schemas.openxmlformats.org/drawingml/2006/chart">
  <cdr:relSizeAnchor xmlns:cdr="http://schemas.openxmlformats.org/drawingml/2006/chartDrawing">
    <cdr:from>
      <cdr:x>0.02364</cdr:x>
      <cdr:y>0.03184</cdr:y>
    </cdr:from>
    <cdr:to>
      <cdr:x>0.1818</cdr:x>
      <cdr:y>0.36662</cdr:y>
    </cdr:to>
    <cdr:sp macro="" textlink="">
      <cdr:nvSpPr>
        <cdr:cNvPr id="2" name="TextBox 1"/>
        <cdr:cNvSpPr txBox="1"/>
      </cdr:nvSpPr>
      <cdr:spPr>
        <a:xfrm xmlns:a="http://schemas.openxmlformats.org/drawingml/2006/main">
          <a:off x="104775" y="95250"/>
          <a:ext cx="676275"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2000" b="1"/>
            <a:t>2013</a:t>
          </a:r>
        </a:p>
      </cdr:txBody>
    </cdr:sp>
  </cdr:relSizeAnchor>
</c:userShapes>
</file>

<file path=xl/drawings/drawing19.xml><?xml version="1.0" encoding="utf-8"?>
<c:userShapes xmlns:c="http://schemas.openxmlformats.org/drawingml/2006/chart">
  <cdr:relSizeAnchor xmlns:cdr="http://schemas.openxmlformats.org/drawingml/2006/chartDrawing">
    <cdr:from>
      <cdr:x>0.02245</cdr:x>
      <cdr:y>0.04552</cdr:y>
    </cdr:from>
    <cdr:to>
      <cdr:x>0.17792</cdr:x>
      <cdr:y>0.46603</cdr:y>
    </cdr:to>
    <cdr:sp macro="" textlink="">
      <cdr:nvSpPr>
        <cdr:cNvPr id="2" name="TextBox 1"/>
        <cdr:cNvSpPr txBox="1"/>
      </cdr:nvSpPr>
      <cdr:spPr>
        <a:xfrm xmlns:a="http://schemas.openxmlformats.org/drawingml/2006/main">
          <a:off x="104790" y="95244"/>
          <a:ext cx="676245" cy="114300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2000" b="1"/>
            <a:t>2024</a:t>
          </a:r>
        </a:p>
        <a:p xmlns:a="http://schemas.openxmlformats.org/drawingml/2006/main">
          <a:r>
            <a:rPr lang="en-US" sz="2000" b="1"/>
            <a:t>No</a:t>
          </a:r>
        </a:p>
        <a:p xmlns:a="http://schemas.openxmlformats.org/drawingml/2006/main">
          <a:r>
            <a:rPr lang="en-US" sz="2000" b="1"/>
            <a:t>Tax</a:t>
          </a:r>
        </a:p>
      </cdr:txBody>
    </cdr:sp>
  </cdr:relSizeAnchor>
</c:userShapes>
</file>

<file path=xl/drawings/drawing2.xml><?xml version="1.0" encoding="utf-8"?>
<c:userShapes xmlns:c="http://schemas.openxmlformats.org/drawingml/2006/chart">
  <cdr:relSizeAnchor xmlns:cdr="http://schemas.openxmlformats.org/drawingml/2006/chartDrawing">
    <cdr:from>
      <cdr:x>0.02085</cdr:x>
      <cdr:y>0.46703</cdr:y>
    </cdr:from>
    <cdr:to>
      <cdr:x>0.02811</cdr:x>
      <cdr:y>0.51824</cdr:y>
    </cdr:to>
    <cdr:sp macro="" textlink="">
      <cdr:nvSpPr>
        <cdr:cNvPr id="4099" name="Text Box 3"/>
        <cdr:cNvSpPr txBox="1">
          <a:spLocks xmlns:a="http://schemas.openxmlformats.org/drawingml/2006/main" noChangeArrowheads="1"/>
        </cdr:cNvSpPr>
      </cdr:nvSpPr>
      <cdr:spPr bwMode="auto">
        <a:xfrm xmlns:a="http://schemas.openxmlformats.org/drawingml/2006/main">
          <a:off x="203419" y="2216366"/>
          <a:ext cx="94479" cy="26710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n-US"/>
        </a:p>
      </cdr:txBody>
    </cdr:sp>
  </cdr:relSizeAnchor>
  <cdr:relSizeAnchor xmlns:cdr="http://schemas.openxmlformats.org/drawingml/2006/chartDrawing">
    <cdr:from>
      <cdr:x>0.02682</cdr:x>
      <cdr:y>0.47443</cdr:y>
    </cdr:from>
    <cdr:to>
      <cdr:x>0.48009</cdr:x>
      <cdr:y>0.58553</cdr:y>
    </cdr:to>
    <cdr:sp macro="" textlink="">
      <cdr:nvSpPr>
        <cdr:cNvPr id="4100" name="Text Box 4"/>
        <cdr:cNvSpPr txBox="1">
          <a:spLocks xmlns:a="http://schemas.openxmlformats.org/drawingml/2006/main" noChangeArrowheads="1"/>
        </cdr:cNvSpPr>
      </cdr:nvSpPr>
      <cdr:spPr bwMode="auto">
        <a:xfrm xmlns:a="http://schemas.openxmlformats.org/drawingml/2006/main">
          <a:off x="270644" y="2258288"/>
          <a:ext cx="3819111" cy="56175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n-US"/>
        </a:p>
      </cdr:txBody>
    </cdr:sp>
  </cdr:relSizeAnchor>
  <cdr:relSizeAnchor xmlns:cdr="http://schemas.openxmlformats.org/drawingml/2006/chartDrawing">
    <cdr:from>
      <cdr:x>0.43825</cdr:x>
      <cdr:y>0.22222</cdr:y>
    </cdr:from>
    <cdr:to>
      <cdr:x>0.43976</cdr:x>
      <cdr:y>0.8599</cdr:y>
    </cdr:to>
    <cdr:sp macro="" textlink="">
      <cdr:nvSpPr>
        <cdr:cNvPr id="5" name="Straight Connector 4"/>
        <cdr:cNvSpPr/>
      </cdr:nvSpPr>
      <cdr:spPr>
        <a:xfrm xmlns:a="http://schemas.openxmlformats.org/drawingml/2006/main" flipV="1">
          <a:off x="2217420" y="350520"/>
          <a:ext cx="7620" cy="1005840"/>
        </a:xfrm>
        <a:prstGeom xmlns:a="http://schemas.openxmlformats.org/drawingml/2006/main" prst="line">
          <a:avLst/>
        </a:prstGeom>
        <a:ln xmlns:a="http://schemas.openxmlformats.org/drawingml/2006/main" w="12700">
          <a:solidFill>
            <a:srgbClr val="1C1C1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0.31325</cdr:x>
      <cdr:y>0.47343</cdr:y>
    </cdr:from>
    <cdr:to>
      <cdr:x>0.39006</cdr:x>
      <cdr:y>1</cdr:y>
    </cdr:to>
    <cdr:sp macro="" textlink="">
      <cdr:nvSpPr>
        <cdr:cNvPr id="6" name="TextBox 5"/>
        <cdr:cNvSpPr txBox="1"/>
      </cdr:nvSpPr>
      <cdr:spPr>
        <a:xfrm xmlns:a="http://schemas.openxmlformats.org/drawingml/2006/main">
          <a:off x="1584960" y="746760"/>
          <a:ext cx="388620" cy="83058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b="1"/>
            <a:t>Tax </a:t>
          </a:r>
        </a:p>
        <a:p xmlns:a="http://schemas.openxmlformats.org/drawingml/2006/main">
          <a:r>
            <a:rPr lang="en-US" sz="1100" b="1"/>
            <a:t>starts </a:t>
          </a:r>
        </a:p>
        <a:p xmlns:a="http://schemas.openxmlformats.org/drawingml/2006/main">
          <a:r>
            <a:rPr lang="en-US" sz="1100" b="1"/>
            <a:t>now</a:t>
          </a:r>
        </a:p>
      </cdr:txBody>
    </cdr:sp>
  </cdr:relSizeAnchor>
</c:userShapes>
</file>

<file path=xl/drawings/drawing20.xml><?xml version="1.0" encoding="utf-8"?>
<c:userShapes xmlns:c="http://schemas.openxmlformats.org/drawingml/2006/chart">
  <cdr:relSizeAnchor xmlns:cdr="http://schemas.openxmlformats.org/drawingml/2006/chartDrawing">
    <cdr:from>
      <cdr:x>0.02295</cdr:x>
      <cdr:y>0.04696</cdr:y>
    </cdr:from>
    <cdr:to>
      <cdr:x>0.18304</cdr:x>
      <cdr:y>0.47441</cdr:y>
    </cdr:to>
    <cdr:sp macro="" textlink="">
      <cdr:nvSpPr>
        <cdr:cNvPr id="2" name="TextBox 1"/>
        <cdr:cNvSpPr txBox="1"/>
      </cdr:nvSpPr>
      <cdr:spPr>
        <a:xfrm xmlns:a="http://schemas.openxmlformats.org/drawingml/2006/main">
          <a:off x="104790" y="95244"/>
          <a:ext cx="676245" cy="116205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2000" b="1"/>
            <a:t>2024</a:t>
          </a:r>
        </a:p>
        <a:p xmlns:a="http://schemas.openxmlformats.org/drawingml/2006/main">
          <a:r>
            <a:rPr lang="en-US" sz="2000" b="1"/>
            <a:t>Tax,</a:t>
          </a:r>
        </a:p>
        <a:p xmlns:a="http://schemas.openxmlformats.org/drawingml/2006/main">
          <a:r>
            <a:rPr lang="en-US" sz="2000" b="1"/>
            <a:t>#1</a:t>
          </a:r>
        </a:p>
      </cdr:txBody>
    </cdr:sp>
  </cdr:relSizeAnchor>
</c:userShapes>
</file>

<file path=xl/drawings/drawing21.xml><?xml version="1.0" encoding="utf-8"?>
<c:userShapes xmlns:c="http://schemas.openxmlformats.org/drawingml/2006/chart">
  <cdr:relSizeAnchor xmlns:cdr="http://schemas.openxmlformats.org/drawingml/2006/chartDrawing">
    <cdr:from>
      <cdr:x>0.02028</cdr:x>
      <cdr:y>0.03496</cdr:y>
    </cdr:from>
    <cdr:to>
      <cdr:x>0.16705</cdr:x>
      <cdr:y>0.46337</cdr:y>
    </cdr:to>
    <cdr:sp macro="" textlink="">
      <cdr:nvSpPr>
        <cdr:cNvPr id="2" name="TextBox 1"/>
        <cdr:cNvSpPr txBox="1"/>
      </cdr:nvSpPr>
      <cdr:spPr>
        <a:xfrm xmlns:a="http://schemas.openxmlformats.org/drawingml/2006/main">
          <a:off x="104790" y="95244"/>
          <a:ext cx="676245" cy="116205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2000" b="1"/>
            <a:t>2024</a:t>
          </a:r>
        </a:p>
        <a:p xmlns:a="http://schemas.openxmlformats.org/drawingml/2006/main">
          <a:r>
            <a:rPr lang="en-US" sz="2000" b="1"/>
            <a:t>Tax,</a:t>
          </a:r>
        </a:p>
        <a:p xmlns:a="http://schemas.openxmlformats.org/drawingml/2006/main">
          <a:r>
            <a:rPr lang="en-US" sz="2000" b="1"/>
            <a:t>#2</a:t>
          </a:r>
        </a:p>
      </cdr:txBody>
    </cdr:sp>
  </cdr:relSizeAnchor>
</c:userShapes>
</file>

<file path=xl/drawings/drawing22.xml><?xml version="1.0" encoding="utf-8"?>
<c:userShapes xmlns:c="http://schemas.openxmlformats.org/drawingml/2006/chart">
  <cdr:relSizeAnchor xmlns:cdr="http://schemas.openxmlformats.org/drawingml/2006/chartDrawing">
    <cdr:from>
      <cdr:x>0.12318</cdr:x>
      <cdr:y>0.40272</cdr:y>
    </cdr:from>
    <cdr:to>
      <cdr:x>0.26436</cdr:x>
      <cdr:y>0.52476</cdr:y>
    </cdr:to>
    <cdr:sp macro="" textlink="">
      <cdr:nvSpPr>
        <cdr:cNvPr id="2" name="TextBox 1"/>
        <cdr:cNvSpPr txBox="1"/>
      </cdr:nvSpPr>
      <cdr:spPr>
        <a:xfrm xmlns:a="http://schemas.openxmlformats.org/drawingml/2006/main">
          <a:off x="857264" y="1866901"/>
          <a:ext cx="923903" cy="5715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0.72273</cdr:x>
      <cdr:y>0.25844</cdr:y>
    </cdr:from>
    <cdr:to>
      <cdr:x>0.92374</cdr:x>
      <cdr:y>0.34369</cdr:y>
    </cdr:to>
    <cdr:sp macro="" textlink="">
      <cdr:nvSpPr>
        <cdr:cNvPr id="7" name="TextBox 6"/>
        <cdr:cNvSpPr txBox="1"/>
      </cdr:nvSpPr>
      <cdr:spPr>
        <a:xfrm xmlns:a="http://schemas.openxmlformats.org/drawingml/2006/main">
          <a:off x="6360335" y="1600199"/>
          <a:ext cx="1793915" cy="53929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0.7291</cdr:x>
      <cdr:y>0.27921</cdr:y>
    </cdr:from>
    <cdr:to>
      <cdr:x>0.89153</cdr:x>
      <cdr:y>0.3377</cdr:y>
    </cdr:to>
    <cdr:sp macro="" textlink="">
      <cdr:nvSpPr>
        <cdr:cNvPr id="9" name="TextBox 8"/>
        <cdr:cNvSpPr txBox="1"/>
      </cdr:nvSpPr>
      <cdr:spPr>
        <a:xfrm xmlns:a="http://schemas.openxmlformats.org/drawingml/2006/main">
          <a:off x="6381750" y="1514475"/>
          <a:ext cx="1419225"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a:p>
      </cdr:txBody>
    </cdr:sp>
  </cdr:relSizeAnchor>
  <cdr:relSizeAnchor xmlns:cdr="http://schemas.openxmlformats.org/drawingml/2006/chartDrawing">
    <cdr:from>
      <cdr:x>0.41291</cdr:x>
      <cdr:y>0.01792</cdr:y>
    </cdr:from>
    <cdr:to>
      <cdr:x>0.77107</cdr:x>
      <cdr:y>0.10675</cdr:y>
    </cdr:to>
    <cdr:sp macro="" textlink="">
      <cdr:nvSpPr>
        <cdr:cNvPr id="8" name="TextBox 7"/>
        <cdr:cNvSpPr txBox="1"/>
      </cdr:nvSpPr>
      <cdr:spPr>
        <a:xfrm xmlns:a="http://schemas.openxmlformats.org/drawingml/2006/main">
          <a:off x="3695701" y="103949"/>
          <a:ext cx="3165064" cy="51957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0.00024</cdr:x>
      <cdr:y>0.00169</cdr:y>
    </cdr:from>
    <cdr:to>
      <cdr:x>0.00024</cdr:x>
      <cdr:y>0.00169</cdr:y>
    </cdr:to>
    <cdr:sp macro="" textlink="">
      <cdr:nvSpPr>
        <cdr:cNvPr id="11" name="TextBox 42"/>
        <cdr:cNvSpPr txBox="1"/>
      </cdr:nvSpPr>
      <cdr:spPr>
        <a:xfrm xmlns:a="http://schemas.openxmlformats.org/drawingml/2006/main" flipV="1">
          <a:off x="-236220" y="-2004060"/>
          <a:ext cx="0" cy="0"/>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548640" rtlCol="0" anchor="t"/>
        <a:lstStyle xmlns:a="http://schemas.openxmlformats.org/drawingml/2006/main"/>
        <a:p xmlns:a="http://schemas.openxmlformats.org/drawingml/2006/main">
          <a:endParaRPr lang="en-US"/>
        </a:p>
      </cdr:txBody>
    </cdr:sp>
  </cdr:relSizeAnchor>
  <cdr:relSizeAnchor xmlns:cdr="http://schemas.openxmlformats.org/drawingml/2006/chartDrawing">
    <cdr:from>
      <cdr:x>0.3202</cdr:x>
      <cdr:y>0.13578</cdr:y>
    </cdr:from>
    <cdr:to>
      <cdr:x>0.4244</cdr:x>
      <cdr:y>0.20474</cdr:y>
    </cdr:to>
    <cdr:sp macro="" textlink="">
      <cdr:nvSpPr>
        <cdr:cNvPr id="10" name="TextBox 9"/>
        <cdr:cNvSpPr txBox="1"/>
      </cdr:nvSpPr>
      <cdr:spPr>
        <a:xfrm xmlns:a="http://schemas.openxmlformats.org/drawingml/2006/main">
          <a:off x="1441995" y="480060"/>
          <a:ext cx="469256" cy="24384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b="1"/>
            <a:t>24,000</a:t>
          </a:r>
        </a:p>
      </cdr:txBody>
    </cdr:sp>
  </cdr:relSizeAnchor>
  <cdr:relSizeAnchor xmlns:cdr="http://schemas.openxmlformats.org/drawingml/2006/chartDrawing">
    <cdr:from>
      <cdr:x>0.47528</cdr:x>
      <cdr:y>0.42598</cdr:y>
    </cdr:from>
    <cdr:to>
      <cdr:x>0.67396</cdr:x>
      <cdr:y>0.51833</cdr:y>
    </cdr:to>
    <cdr:sp macro="" textlink="">
      <cdr:nvSpPr>
        <cdr:cNvPr id="12" name="TextBox 11"/>
        <cdr:cNvSpPr txBox="1"/>
      </cdr:nvSpPr>
      <cdr:spPr>
        <a:xfrm xmlns:a="http://schemas.openxmlformats.org/drawingml/2006/main">
          <a:off x="2343150" y="1314449"/>
          <a:ext cx="954901" cy="28575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b="1"/>
            <a:t>114,000</a:t>
          </a:r>
        </a:p>
      </cdr:txBody>
    </cdr:sp>
  </cdr:relSizeAnchor>
  <cdr:relSizeAnchor xmlns:cdr="http://schemas.openxmlformats.org/drawingml/2006/chartDrawing">
    <cdr:from>
      <cdr:x>0.65844</cdr:x>
      <cdr:y>0.4115</cdr:y>
    </cdr:from>
    <cdr:to>
      <cdr:x>0.84604</cdr:x>
      <cdr:y>0.49077</cdr:y>
    </cdr:to>
    <cdr:sp macro="" textlink="">
      <cdr:nvSpPr>
        <cdr:cNvPr id="13" name="TextBox 12"/>
        <cdr:cNvSpPr txBox="1"/>
      </cdr:nvSpPr>
      <cdr:spPr>
        <a:xfrm xmlns:a="http://schemas.openxmlformats.org/drawingml/2006/main">
          <a:off x="3228975" y="1266824"/>
          <a:ext cx="913698" cy="24765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b="1"/>
            <a:t>38,000</a:t>
          </a:r>
        </a:p>
      </cdr:txBody>
    </cdr:sp>
  </cdr:relSizeAnchor>
  <cdr:relSizeAnchor xmlns:cdr="http://schemas.openxmlformats.org/drawingml/2006/chartDrawing">
    <cdr:from>
      <cdr:x>0.45682</cdr:x>
      <cdr:y>0.20637</cdr:y>
    </cdr:from>
    <cdr:to>
      <cdr:x>0.77854</cdr:x>
      <cdr:y>0.31913</cdr:y>
    </cdr:to>
    <cdr:sp macro="" textlink="">
      <cdr:nvSpPr>
        <cdr:cNvPr id="14" name="TextBox 13"/>
        <cdr:cNvSpPr txBox="1"/>
      </cdr:nvSpPr>
      <cdr:spPr>
        <a:xfrm xmlns:a="http://schemas.openxmlformats.org/drawingml/2006/main">
          <a:off x="2667001" y="628650"/>
          <a:ext cx="1838324" cy="3524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b="1"/>
            <a:t>Additional</a:t>
          </a:r>
          <a:r>
            <a:rPr lang="en-US" sz="1100" b="1" baseline="0"/>
            <a:t> 3-MW Turbines</a:t>
          </a:r>
          <a:endParaRPr lang="en-US" sz="1100" b="1"/>
        </a:p>
      </cdr:txBody>
    </cdr:sp>
  </cdr:relSizeAnchor>
</c:userShapes>
</file>

<file path=xl/drawings/drawing23.xml><?xml version="1.0" encoding="utf-8"?>
<c:userShapes xmlns:c="http://schemas.openxmlformats.org/drawingml/2006/chart">
  <cdr:relSizeAnchor xmlns:cdr="http://schemas.openxmlformats.org/drawingml/2006/chartDrawing">
    <cdr:from>
      <cdr:x>0.15639</cdr:x>
      <cdr:y>0.04764</cdr:y>
    </cdr:from>
    <cdr:to>
      <cdr:x>0.33687</cdr:x>
      <cdr:y>0.41965</cdr:y>
    </cdr:to>
    <cdr:sp macro="" textlink="">
      <cdr:nvSpPr>
        <cdr:cNvPr id="2" name="TextBox 1"/>
        <cdr:cNvSpPr txBox="1"/>
      </cdr:nvSpPr>
      <cdr:spPr>
        <a:xfrm xmlns:a="http://schemas.openxmlformats.org/drawingml/2006/main">
          <a:off x="863600" y="194734"/>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0.41238</cdr:x>
      <cdr:y>0.93578</cdr:y>
    </cdr:from>
    <cdr:to>
      <cdr:x>0.69776</cdr:x>
      <cdr:y>0.98436</cdr:y>
    </cdr:to>
    <cdr:sp macro="" textlink="">
      <cdr:nvSpPr>
        <cdr:cNvPr id="3" name="TextBox 2"/>
        <cdr:cNvSpPr txBox="1"/>
      </cdr:nvSpPr>
      <cdr:spPr>
        <a:xfrm xmlns:a="http://schemas.openxmlformats.org/drawingml/2006/main" flipH="1">
          <a:off x="1033326" y="2938113"/>
          <a:ext cx="700880" cy="15972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800" b="1"/>
            <a:t>Carbon Tax Center,</a:t>
          </a:r>
          <a:r>
            <a:rPr lang="en-US" sz="800" b="1" baseline="0"/>
            <a:t> May</a:t>
          </a:r>
          <a:r>
            <a:rPr lang="en-US" sz="800" b="1"/>
            <a:t> 2014.</a:t>
          </a:r>
        </a:p>
      </cdr:txBody>
    </cdr:sp>
  </cdr:relSizeAnchor>
  <cdr:relSizeAnchor xmlns:cdr="http://schemas.openxmlformats.org/drawingml/2006/chartDrawing">
    <cdr:from>
      <cdr:x>0.47416</cdr:x>
      <cdr:y>0.33152</cdr:y>
    </cdr:from>
    <cdr:to>
      <cdr:x>0.63166</cdr:x>
      <cdr:y>0.5776</cdr:y>
    </cdr:to>
    <cdr:sp macro="" textlink="">
      <cdr:nvSpPr>
        <cdr:cNvPr id="4" name="TextBox 3"/>
        <cdr:cNvSpPr txBox="1"/>
      </cdr:nvSpPr>
      <cdr:spPr>
        <a:xfrm xmlns:a="http://schemas.openxmlformats.org/drawingml/2006/main">
          <a:off x="2638425" y="828675"/>
          <a:ext cx="914400" cy="8667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0.5209</cdr:x>
      <cdr:y>0.33989</cdr:y>
    </cdr:from>
    <cdr:to>
      <cdr:x>0.93582</cdr:x>
      <cdr:y>0.50645</cdr:y>
    </cdr:to>
    <cdr:sp macro="" textlink="">
      <cdr:nvSpPr>
        <cdr:cNvPr id="5" name="TextBox 4"/>
        <cdr:cNvSpPr txBox="1"/>
      </cdr:nvSpPr>
      <cdr:spPr>
        <a:xfrm xmlns:a="http://schemas.openxmlformats.org/drawingml/2006/main">
          <a:off x="2886074" y="838200"/>
          <a:ext cx="2486025" cy="56197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0.00292</cdr:x>
      <cdr:y>0.8836</cdr:y>
    </cdr:from>
    <cdr:to>
      <cdr:x>0.00292</cdr:x>
      <cdr:y>0.89159</cdr:y>
    </cdr:to>
    <cdr:sp macro="" textlink="">
      <cdr:nvSpPr>
        <cdr:cNvPr id="6" name="TextBox 5"/>
        <cdr:cNvSpPr txBox="1"/>
      </cdr:nvSpPr>
      <cdr:spPr>
        <a:xfrm xmlns:a="http://schemas.openxmlformats.org/drawingml/2006/main">
          <a:off x="19050" y="2657475"/>
          <a:ext cx="1028700" cy="7429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0.00292</cdr:x>
      <cdr:y>0.89663</cdr:y>
    </cdr:from>
    <cdr:to>
      <cdr:x>0.00292</cdr:x>
      <cdr:y>0.90412</cdr:y>
    </cdr:to>
    <cdr:sp macro="" textlink="">
      <cdr:nvSpPr>
        <cdr:cNvPr id="7" name="TextBox 6"/>
        <cdr:cNvSpPr txBox="1"/>
      </cdr:nvSpPr>
      <cdr:spPr>
        <a:xfrm xmlns:a="http://schemas.openxmlformats.org/drawingml/2006/main">
          <a:off x="1" y="2705099"/>
          <a:ext cx="628650" cy="6953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0.00292</cdr:x>
      <cdr:y>0.78938</cdr:y>
    </cdr:from>
    <cdr:to>
      <cdr:x>0.00292</cdr:x>
      <cdr:y>0.79155</cdr:y>
    </cdr:to>
    <cdr:sp macro="" textlink="">
      <cdr:nvSpPr>
        <cdr:cNvPr id="8" name="TextBox 7"/>
        <cdr:cNvSpPr txBox="1"/>
      </cdr:nvSpPr>
      <cdr:spPr>
        <a:xfrm xmlns:a="http://schemas.openxmlformats.org/drawingml/2006/main">
          <a:off x="3803" y="2468371"/>
          <a:ext cx="605798" cy="70345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b="1"/>
            <a:t>000,000</a:t>
          </a:r>
        </a:p>
        <a:p xmlns:a="http://schemas.openxmlformats.org/drawingml/2006/main">
          <a:r>
            <a:rPr lang="en-US" sz="1100" b="1"/>
            <a:t>tonnes</a:t>
          </a:r>
        </a:p>
        <a:p xmlns:a="http://schemas.openxmlformats.org/drawingml/2006/main">
          <a:r>
            <a:rPr lang="en-US" sz="1100" b="1"/>
            <a:t>CO2</a:t>
          </a:r>
        </a:p>
      </cdr:txBody>
    </cdr:sp>
  </cdr:relSizeAnchor>
  <cdr:relSizeAnchor xmlns:cdr="http://schemas.openxmlformats.org/drawingml/2006/chartDrawing">
    <cdr:from>
      <cdr:x>0.41343</cdr:x>
      <cdr:y>0.44049</cdr:y>
    </cdr:from>
    <cdr:to>
      <cdr:x>0.56548</cdr:x>
      <cdr:y>0.63565</cdr:y>
    </cdr:to>
    <cdr:sp macro="" textlink="">
      <cdr:nvSpPr>
        <cdr:cNvPr id="9" name="TextBox 8"/>
        <cdr:cNvSpPr txBox="1"/>
      </cdr:nvSpPr>
      <cdr:spPr>
        <a:xfrm xmlns:a="http://schemas.openxmlformats.org/drawingml/2006/main">
          <a:off x="2468880" y="135636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userShapes>
</file>

<file path=xl/drawings/drawing24.xml><?xml version="1.0" encoding="utf-8"?>
<c:userShapes xmlns:c="http://schemas.openxmlformats.org/drawingml/2006/chart">
  <cdr:relSizeAnchor xmlns:cdr="http://schemas.openxmlformats.org/drawingml/2006/chartDrawing">
    <cdr:from>
      <cdr:x>0.12769</cdr:x>
      <cdr:y>0.40276</cdr:y>
    </cdr:from>
    <cdr:to>
      <cdr:x>0.27149</cdr:x>
      <cdr:y>0.52501</cdr:y>
    </cdr:to>
    <cdr:sp macro="" textlink="">
      <cdr:nvSpPr>
        <cdr:cNvPr id="2" name="TextBox 1"/>
        <cdr:cNvSpPr txBox="1"/>
      </cdr:nvSpPr>
      <cdr:spPr>
        <a:xfrm xmlns:a="http://schemas.openxmlformats.org/drawingml/2006/main">
          <a:off x="857264" y="1866901"/>
          <a:ext cx="923903" cy="5715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0.71883</cdr:x>
      <cdr:y>0.25724</cdr:y>
    </cdr:from>
    <cdr:to>
      <cdr:x>0.92065</cdr:x>
      <cdr:y>0.3432</cdr:y>
    </cdr:to>
    <cdr:sp macro="" textlink="">
      <cdr:nvSpPr>
        <cdr:cNvPr id="7" name="TextBox 6"/>
        <cdr:cNvSpPr txBox="1"/>
      </cdr:nvSpPr>
      <cdr:spPr>
        <a:xfrm xmlns:a="http://schemas.openxmlformats.org/drawingml/2006/main">
          <a:off x="6360335" y="1600199"/>
          <a:ext cx="1793915" cy="53929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0.72618</cdr:x>
      <cdr:y>0.27729</cdr:y>
    </cdr:from>
    <cdr:to>
      <cdr:x>0.88721</cdr:x>
      <cdr:y>0.33624</cdr:y>
    </cdr:to>
    <cdr:sp macro="" textlink="">
      <cdr:nvSpPr>
        <cdr:cNvPr id="9" name="TextBox 8"/>
        <cdr:cNvSpPr txBox="1"/>
      </cdr:nvSpPr>
      <cdr:spPr>
        <a:xfrm xmlns:a="http://schemas.openxmlformats.org/drawingml/2006/main">
          <a:off x="6381750" y="1514475"/>
          <a:ext cx="1419225"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a:p>
      </cdr:txBody>
    </cdr:sp>
  </cdr:relSizeAnchor>
  <cdr:relSizeAnchor xmlns:cdr="http://schemas.openxmlformats.org/drawingml/2006/chartDrawing">
    <cdr:from>
      <cdr:x>0.41403</cdr:x>
      <cdr:y>0.01792</cdr:y>
    </cdr:from>
    <cdr:to>
      <cdr:x>0.76717</cdr:x>
      <cdr:y>0.10656</cdr:y>
    </cdr:to>
    <cdr:sp macro="" textlink="">
      <cdr:nvSpPr>
        <cdr:cNvPr id="8" name="TextBox 7"/>
        <cdr:cNvSpPr txBox="1"/>
      </cdr:nvSpPr>
      <cdr:spPr>
        <a:xfrm xmlns:a="http://schemas.openxmlformats.org/drawingml/2006/main">
          <a:off x="3695701" y="103949"/>
          <a:ext cx="3165064" cy="51957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cdr:x>
      <cdr:y>0</cdr:y>
    </cdr:from>
    <cdr:to>
      <cdr:x>0</cdr:x>
      <cdr:y>0</cdr:y>
    </cdr:to>
    <cdr:sp macro="" textlink="">
      <cdr:nvSpPr>
        <cdr:cNvPr id="11" name="TextBox 42"/>
        <cdr:cNvSpPr txBox="1"/>
      </cdr:nvSpPr>
      <cdr:spPr>
        <a:xfrm xmlns:a="http://schemas.openxmlformats.org/drawingml/2006/main" flipV="1">
          <a:off x="-236220" y="-2004060"/>
          <a:ext cx="0" cy="0"/>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548640" rtlCol="0" anchor="t"/>
        <a:lstStyle xmlns:a="http://schemas.openxmlformats.org/drawingml/2006/main"/>
        <a:p xmlns:a="http://schemas.openxmlformats.org/drawingml/2006/main">
          <a:endParaRPr lang="en-US"/>
        </a:p>
      </cdr:txBody>
    </cdr:sp>
  </cdr:relSizeAnchor>
  <cdr:relSizeAnchor xmlns:cdr="http://schemas.openxmlformats.org/drawingml/2006/chartDrawing">
    <cdr:from>
      <cdr:x>0.3247</cdr:x>
      <cdr:y>0.21729</cdr:y>
    </cdr:from>
    <cdr:to>
      <cdr:x>0.4265</cdr:x>
      <cdr:y>0.30559</cdr:y>
    </cdr:to>
    <cdr:sp macro="" textlink="">
      <cdr:nvSpPr>
        <cdr:cNvPr id="10" name="TextBox 9"/>
        <cdr:cNvSpPr txBox="1"/>
      </cdr:nvSpPr>
      <cdr:spPr>
        <a:xfrm xmlns:a="http://schemas.openxmlformats.org/drawingml/2006/main">
          <a:off x="1590675" y="666749"/>
          <a:ext cx="504825" cy="2762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0.47857</cdr:x>
      <cdr:y>0.42548</cdr:y>
    </cdr:from>
    <cdr:to>
      <cdr:x>0.67005</cdr:x>
      <cdr:y>0.5181</cdr:y>
    </cdr:to>
    <cdr:sp macro="" textlink="">
      <cdr:nvSpPr>
        <cdr:cNvPr id="12" name="TextBox 11"/>
        <cdr:cNvSpPr txBox="1"/>
      </cdr:nvSpPr>
      <cdr:spPr>
        <a:xfrm xmlns:a="http://schemas.openxmlformats.org/drawingml/2006/main">
          <a:off x="2343150" y="1314449"/>
          <a:ext cx="954901" cy="28575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0.6572</cdr:x>
      <cdr:y>0.41053</cdr:y>
    </cdr:from>
    <cdr:to>
      <cdr:x>0.84123</cdr:x>
      <cdr:y>0.49031</cdr:y>
    </cdr:to>
    <cdr:sp macro="" textlink="">
      <cdr:nvSpPr>
        <cdr:cNvPr id="13" name="TextBox 12"/>
        <cdr:cNvSpPr txBox="1"/>
      </cdr:nvSpPr>
      <cdr:spPr>
        <a:xfrm xmlns:a="http://schemas.openxmlformats.org/drawingml/2006/main">
          <a:off x="3228975" y="1266824"/>
          <a:ext cx="913698" cy="24765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userShapes>
</file>

<file path=xl/drawings/drawing25.xml><?xml version="1.0" encoding="utf-8"?>
<c:userShapes xmlns:c="http://schemas.openxmlformats.org/drawingml/2006/chart">
  <cdr:relSizeAnchor xmlns:cdr="http://schemas.openxmlformats.org/drawingml/2006/chartDrawing">
    <cdr:from>
      <cdr:x>0</cdr:x>
      <cdr:y>0.94556</cdr:y>
    </cdr:from>
    <cdr:to>
      <cdr:x>0.2859</cdr:x>
      <cdr:y>1</cdr:y>
    </cdr:to>
    <cdr:sp macro="" textlink="">
      <cdr:nvSpPr>
        <cdr:cNvPr id="2" name="TextBox 1"/>
        <cdr:cNvSpPr txBox="1"/>
      </cdr:nvSpPr>
      <cdr:spPr>
        <a:xfrm xmlns:a="http://schemas.openxmlformats.org/drawingml/2006/main">
          <a:off x="0" y="3573780"/>
          <a:ext cx="1653540" cy="20574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eaLnBrk="1" fontAlgn="auto" latinLnBrk="0" hangingPunct="1"/>
          <a:r>
            <a:rPr lang="en-US" sz="900" b="1">
              <a:latin typeface="+mn-lt"/>
              <a:ea typeface="+mn-ea"/>
              <a:cs typeface="+mn-cs"/>
            </a:rPr>
            <a:t>Carbon Tax Center, June 2016</a:t>
          </a:r>
          <a:endParaRPr lang="en-US" sz="900">
            <a:latin typeface="+mn-lt"/>
            <a:ea typeface="+mn-ea"/>
            <a:cs typeface="+mn-cs"/>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0.43215</cdr:x>
      <cdr:y>0.77823</cdr:y>
    </cdr:from>
    <cdr:to>
      <cdr:x>0.68379</cdr:x>
      <cdr:y>0.90524</cdr:y>
    </cdr:to>
    <cdr:sp macro="" textlink="">
      <cdr:nvSpPr>
        <cdr:cNvPr id="2" name="TextBox 1"/>
        <cdr:cNvSpPr txBox="1"/>
      </cdr:nvSpPr>
      <cdr:spPr>
        <a:xfrm xmlns:a="http://schemas.openxmlformats.org/drawingml/2006/main">
          <a:off x="2499360" y="2941320"/>
          <a:ext cx="1455420" cy="48006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000" b="1"/>
            <a:t>Targeted</a:t>
          </a:r>
          <a:r>
            <a:rPr lang="en-US" sz="1000" b="1" baseline="0"/>
            <a:t> e</a:t>
          </a:r>
          <a:r>
            <a:rPr lang="en-US" sz="1000" b="1"/>
            <a:t>lectricity drop</a:t>
          </a:r>
          <a:r>
            <a:rPr lang="en-US" sz="1000" b="1" baseline="0"/>
            <a:t> </a:t>
          </a:r>
        </a:p>
        <a:p xmlns:a="http://schemas.openxmlformats.org/drawingml/2006/main">
          <a:r>
            <a:rPr lang="en-US" sz="1000" b="1" baseline="0"/>
            <a:t>= 240 MT, or 11.8%.</a:t>
          </a:r>
          <a:endParaRPr lang="en-US" sz="1000" b="1"/>
        </a:p>
      </cdr:txBody>
    </cdr:sp>
  </cdr:relSizeAnchor>
  <cdr:relSizeAnchor xmlns:cdr="http://schemas.openxmlformats.org/drawingml/2006/chartDrawing">
    <cdr:from>
      <cdr:x>0.43083</cdr:x>
      <cdr:y>0.48387</cdr:y>
    </cdr:from>
    <cdr:to>
      <cdr:x>0.64295</cdr:x>
      <cdr:y>0.72177</cdr:y>
    </cdr:to>
    <cdr:sp macro="" textlink="">
      <cdr:nvSpPr>
        <cdr:cNvPr id="3" name="TextBox 2"/>
        <cdr:cNvSpPr txBox="1"/>
      </cdr:nvSpPr>
      <cdr:spPr>
        <a:xfrm xmlns:a="http://schemas.openxmlformats.org/drawingml/2006/main">
          <a:off x="2491740" y="1828800"/>
          <a:ext cx="1226820" cy="89916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b="1">
              <a:latin typeface="+mn-lt"/>
              <a:ea typeface="+mn-ea"/>
              <a:cs typeface="+mn-cs"/>
            </a:rPr>
            <a:t>Required</a:t>
          </a:r>
          <a:r>
            <a:rPr lang="en-US" sz="1100" b="1" baseline="0">
              <a:latin typeface="+mn-lt"/>
              <a:ea typeface="+mn-ea"/>
              <a:cs typeface="+mn-cs"/>
            </a:rPr>
            <a:t> </a:t>
          </a:r>
          <a:r>
            <a:rPr lang="en-US" sz="1100" b="1">
              <a:latin typeface="+mn-lt"/>
              <a:ea typeface="+mn-ea"/>
              <a:cs typeface="+mn-cs"/>
            </a:rPr>
            <a:t>drop</a:t>
          </a:r>
          <a:r>
            <a:rPr lang="en-US" sz="1100" b="1" baseline="0">
              <a:latin typeface="+mn-lt"/>
              <a:ea typeface="+mn-ea"/>
              <a:cs typeface="+mn-cs"/>
            </a:rPr>
            <a:t> for all </a:t>
          </a:r>
        </a:p>
        <a:p xmlns:a="http://schemas.openxmlformats.org/drawingml/2006/main">
          <a:r>
            <a:rPr lang="en-US" sz="1100" b="1" baseline="0">
              <a:latin typeface="+mn-lt"/>
              <a:ea typeface="+mn-ea"/>
              <a:cs typeface="+mn-cs"/>
            </a:rPr>
            <a:t>six non-e</a:t>
          </a:r>
          <a:r>
            <a:rPr lang="en-US" sz="1100" b="1">
              <a:latin typeface="+mn-lt"/>
              <a:ea typeface="+mn-ea"/>
              <a:cs typeface="+mn-cs"/>
            </a:rPr>
            <a:t>lectric </a:t>
          </a:r>
          <a:r>
            <a:rPr lang="en-US" sz="1100" b="1" baseline="0">
              <a:latin typeface="+mn-lt"/>
              <a:ea typeface="+mn-ea"/>
              <a:cs typeface="+mn-cs"/>
            </a:rPr>
            <a:t>sectors </a:t>
          </a:r>
        </a:p>
        <a:p xmlns:a="http://schemas.openxmlformats.org/drawingml/2006/main">
          <a:r>
            <a:rPr lang="en-US" sz="1100" b="1" baseline="0">
              <a:latin typeface="+mn-lt"/>
              <a:ea typeface="+mn-ea"/>
              <a:cs typeface="+mn-cs"/>
            </a:rPr>
            <a:t>= 640 MT, or 19.8%.</a:t>
          </a:r>
          <a:endParaRPr lang="en-US" sz="1100" b="1">
            <a:latin typeface="+mn-lt"/>
            <a:ea typeface="+mn-ea"/>
            <a:cs typeface="+mn-cs"/>
          </a:endParaRPr>
        </a:p>
        <a:p xmlns:a="http://schemas.openxmlformats.org/drawingml/2006/main">
          <a:endParaRPr lang="en-US" sz="1100"/>
        </a:p>
      </cdr:txBody>
    </cdr:sp>
  </cdr:relSizeAnchor>
</c:userShapes>
</file>

<file path=xl/drawings/drawing27.xml><?xml version="1.0" encoding="utf-8"?>
<c:userShapes xmlns:c="http://schemas.openxmlformats.org/drawingml/2006/chart">
  <cdr:relSizeAnchor xmlns:cdr="http://schemas.openxmlformats.org/drawingml/2006/chartDrawing">
    <cdr:from>
      <cdr:x>0.02764</cdr:x>
      <cdr:y>0.46437</cdr:y>
    </cdr:from>
    <cdr:to>
      <cdr:x>0.04047</cdr:x>
      <cdr:y>0.51558</cdr:y>
    </cdr:to>
    <cdr:sp macro="" textlink="">
      <cdr:nvSpPr>
        <cdr:cNvPr id="4099" name="Text Box 3"/>
        <cdr:cNvSpPr txBox="1">
          <a:spLocks xmlns:a="http://schemas.openxmlformats.org/drawingml/2006/main" noChangeArrowheads="1"/>
        </cdr:cNvSpPr>
      </cdr:nvSpPr>
      <cdr:spPr bwMode="auto">
        <a:xfrm xmlns:a="http://schemas.openxmlformats.org/drawingml/2006/main">
          <a:off x="203419" y="2216366"/>
          <a:ext cx="94479" cy="26710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n-US"/>
        </a:p>
      </cdr:txBody>
    </cdr:sp>
  </cdr:relSizeAnchor>
  <cdr:relSizeAnchor xmlns:cdr="http://schemas.openxmlformats.org/drawingml/2006/chartDrawing">
    <cdr:from>
      <cdr:x>0.03694</cdr:x>
      <cdr:y>0.47125</cdr:y>
    </cdr:from>
    <cdr:to>
      <cdr:x>0.57421</cdr:x>
      <cdr:y>0.58247</cdr:y>
    </cdr:to>
    <cdr:sp macro="" textlink="">
      <cdr:nvSpPr>
        <cdr:cNvPr id="4100" name="Text Box 4"/>
        <cdr:cNvSpPr txBox="1">
          <a:spLocks xmlns:a="http://schemas.openxmlformats.org/drawingml/2006/main" noChangeArrowheads="1"/>
        </cdr:cNvSpPr>
      </cdr:nvSpPr>
      <cdr:spPr bwMode="auto">
        <a:xfrm xmlns:a="http://schemas.openxmlformats.org/drawingml/2006/main">
          <a:off x="270644" y="2258288"/>
          <a:ext cx="3819111" cy="56175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n-US"/>
        </a:p>
      </cdr:txBody>
    </cdr:sp>
  </cdr:relSizeAnchor>
  <cdr:relSizeAnchor xmlns:cdr="http://schemas.openxmlformats.org/drawingml/2006/chartDrawing">
    <cdr:from>
      <cdr:x>0.43035</cdr:x>
      <cdr:y>0.22203</cdr:y>
    </cdr:from>
    <cdr:to>
      <cdr:x>0.43266</cdr:x>
      <cdr:y>0.88268</cdr:y>
    </cdr:to>
    <cdr:sp macro="" textlink="">
      <cdr:nvSpPr>
        <cdr:cNvPr id="5" name="Straight Connector 4"/>
        <cdr:cNvSpPr/>
      </cdr:nvSpPr>
      <cdr:spPr>
        <a:xfrm xmlns:a="http://schemas.openxmlformats.org/drawingml/2006/main" flipH="1" flipV="1">
          <a:off x="2882489" y="937296"/>
          <a:ext cx="15473" cy="2788920"/>
        </a:xfrm>
        <a:prstGeom xmlns:a="http://schemas.openxmlformats.org/drawingml/2006/main" prst="line">
          <a:avLst/>
        </a:prstGeom>
        <a:ln xmlns:a="http://schemas.openxmlformats.org/drawingml/2006/main" w="1587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0.43914</cdr:x>
      <cdr:y>0.48195</cdr:y>
    </cdr:from>
    <cdr:to>
      <cdr:x>0.52446</cdr:x>
      <cdr:y>0.69675</cdr:y>
    </cdr:to>
    <cdr:sp macro="" textlink="">
      <cdr:nvSpPr>
        <cdr:cNvPr id="6" name="TextBox 5"/>
        <cdr:cNvSpPr txBox="1"/>
      </cdr:nvSpPr>
      <cdr:spPr>
        <a:xfrm xmlns:a="http://schemas.openxmlformats.org/drawingml/2006/main">
          <a:off x="2941320" y="2034543"/>
          <a:ext cx="571500" cy="90677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200" b="1"/>
            <a:t>Carbon</a:t>
          </a:r>
        </a:p>
        <a:p xmlns:a="http://schemas.openxmlformats.org/drawingml/2006/main">
          <a:r>
            <a:rPr lang="en-US" sz="1200" b="1"/>
            <a:t>tax</a:t>
          </a:r>
        </a:p>
        <a:p xmlns:a="http://schemas.openxmlformats.org/drawingml/2006/main">
          <a:r>
            <a:rPr lang="en-US" sz="1200" b="1"/>
            <a:t>starts</a:t>
          </a:r>
        </a:p>
        <a:p xmlns:a="http://schemas.openxmlformats.org/drawingml/2006/main">
          <a:r>
            <a:rPr lang="en-US" sz="1200" b="1"/>
            <a:t>now.</a:t>
          </a:r>
        </a:p>
      </cdr:txBody>
    </cdr:sp>
  </cdr:relSizeAnchor>
  <cdr:relSizeAnchor xmlns:cdr="http://schemas.openxmlformats.org/drawingml/2006/chartDrawing">
    <cdr:from>
      <cdr:x>0.42676</cdr:x>
      <cdr:y>0.78159</cdr:y>
    </cdr:from>
    <cdr:to>
      <cdr:x>0.56517</cdr:x>
      <cdr:y>0.99819</cdr:y>
    </cdr:to>
    <cdr:sp macro="" textlink="">
      <cdr:nvSpPr>
        <cdr:cNvPr id="7" name="TextBox 6"/>
        <cdr:cNvSpPr txBox="1"/>
      </cdr:nvSpPr>
      <cdr:spPr>
        <a:xfrm xmlns:a="http://schemas.openxmlformats.org/drawingml/2006/main">
          <a:off x="2819400" y="329946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0.91923</cdr:x>
      <cdr:y>0.86101</cdr:y>
    </cdr:from>
    <cdr:to>
      <cdr:x>0.92605</cdr:x>
      <cdr:y>0.87184</cdr:y>
    </cdr:to>
    <cdr:sp macro="" textlink="">
      <cdr:nvSpPr>
        <cdr:cNvPr id="9" name="TextBox 8"/>
        <cdr:cNvSpPr txBox="1"/>
      </cdr:nvSpPr>
      <cdr:spPr>
        <a:xfrm xmlns:a="http://schemas.openxmlformats.org/drawingml/2006/main" flipH="1" flipV="1">
          <a:off x="6156959" y="3634739"/>
          <a:ext cx="45719" cy="45719"/>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3"/>
        </a:lnRef>
        <a:fillRef xmlns:a="http://schemas.openxmlformats.org/drawingml/2006/main" idx="1">
          <a:schemeClr val="lt1"/>
        </a:fillRef>
        <a:effectRef xmlns:a="http://schemas.openxmlformats.org/drawingml/2006/main" idx="0">
          <a:schemeClr val="accent3"/>
        </a:effectRef>
        <a:fontRef xmlns:a="http://schemas.openxmlformats.org/drawingml/2006/main" idx="minor">
          <a:schemeClr val="dk1"/>
        </a:fontRef>
      </cdr:style>
      <cdr:txBody>
        <a:bodyPr xmlns:a="http://schemas.openxmlformats.org/drawingml/2006/main" vertOverflow="clip" wrap="none" rtlCol="0"/>
        <a:lstStyle xmlns:a="http://schemas.openxmlformats.org/drawingml/2006/main"/>
        <a:p xmlns:a="http://schemas.openxmlformats.org/drawingml/2006/main">
          <a:endParaRPr lang="en-US" sz="1000" b="1"/>
        </a:p>
      </cdr:txBody>
    </cdr:sp>
  </cdr:relSizeAnchor>
  <cdr:relSizeAnchor xmlns:cdr="http://schemas.openxmlformats.org/drawingml/2006/chartDrawing">
    <cdr:from>
      <cdr:x>0.68714</cdr:x>
      <cdr:y>0.73466</cdr:y>
    </cdr:from>
    <cdr:to>
      <cdr:x>0.82366</cdr:x>
      <cdr:y>0.95126</cdr:y>
    </cdr:to>
    <cdr:sp macro="" textlink="">
      <cdr:nvSpPr>
        <cdr:cNvPr id="11" name="TextBox 10"/>
        <cdr:cNvSpPr txBox="1"/>
      </cdr:nvSpPr>
      <cdr:spPr>
        <a:xfrm xmlns:a="http://schemas.openxmlformats.org/drawingml/2006/main">
          <a:off x="4602480" y="310134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0.43345</cdr:x>
      <cdr:y>0.67329</cdr:y>
    </cdr:from>
    <cdr:to>
      <cdr:x>0.47327</cdr:x>
      <cdr:y>0.78881</cdr:y>
    </cdr:to>
    <cdr:sp macro="" textlink="">
      <cdr:nvSpPr>
        <cdr:cNvPr id="18" name="Curved Connector 17"/>
        <cdr:cNvSpPr/>
      </cdr:nvSpPr>
      <cdr:spPr>
        <a:xfrm xmlns:a="http://schemas.openxmlformats.org/drawingml/2006/main" flipH="1">
          <a:off x="2903220" y="2842260"/>
          <a:ext cx="266700" cy="487680"/>
        </a:xfrm>
        <a:prstGeom xmlns:a="http://schemas.openxmlformats.org/drawingml/2006/main" prst="curvedConnector3">
          <a:avLst>
            <a:gd name="adj1" fmla="val 67500"/>
          </a:avLst>
        </a:prstGeom>
        <a:noFill xmlns:a="http://schemas.openxmlformats.org/drawingml/2006/main"/>
        <a:ln xmlns:a="http://schemas.openxmlformats.org/drawingml/2006/main" w="19050" cap="flat" cmpd="sng" algn="ctr">
          <a:solidFill>
            <a:schemeClr val="tx1"/>
          </a:solidFill>
          <a:prstDash val="solid"/>
          <a:tailEnd type="triangle"/>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28.xml><?xml version="1.0" encoding="utf-8"?>
<c:userShapes xmlns:c="http://schemas.openxmlformats.org/drawingml/2006/chart">
  <cdr:relSizeAnchor xmlns:cdr="http://schemas.openxmlformats.org/drawingml/2006/chartDrawing">
    <cdr:from>
      <cdr:x>0</cdr:x>
      <cdr:y>0.94556</cdr:y>
    </cdr:from>
    <cdr:to>
      <cdr:x>0.2859</cdr:x>
      <cdr:y>1</cdr:y>
    </cdr:to>
    <cdr:sp macro="" textlink="">
      <cdr:nvSpPr>
        <cdr:cNvPr id="2" name="TextBox 1"/>
        <cdr:cNvSpPr txBox="1"/>
      </cdr:nvSpPr>
      <cdr:spPr>
        <a:xfrm xmlns:a="http://schemas.openxmlformats.org/drawingml/2006/main">
          <a:off x="0" y="3573780"/>
          <a:ext cx="1653540" cy="20574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eaLnBrk="1" fontAlgn="auto" latinLnBrk="0" hangingPunct="1"/>
          <a:r>
            <a:rPr lang="en-US" sz="900" b="1">
              <a:latin typeface="+mn-lt"/>
              <a:ea typeface="+mn-ea"/>
              <a:cs typeface="+mn-cs"/>
            </a:rPr>
            <a:t>Carbon Tax Center, June 2016</a:t>
          </a:r>
        </a:p>
        <a:p xmlns:a="http://schemas.openxmlformats.org/drawingml/2006/main">
          <a:pPr eaLnBrk="1" fontAlgn="auto" latinLnBrk="0" hangingPunct="1"/>
          <a:endParaRPr lang="en-US" sz="900">
            <a:latin typeface="+mn-lt"/>
            <a:ea typeface="+mn-ea"/>
            <a:cs typeface="+mn-cs"/>
          </a:endParaRPr>
        </a:p>
      </cdr:txBody>
    </cdr:sp>
  </cdr:relSizeAnchor>
</c:userShapes>
</file>

<file path=xl/drawings/drawing29.xml><?xml version="1.0" encoding="utf-8"?>
<xdr:wsDr xmlns:xdr="http://schemas.openxmlformats.org/drawingml/2006/spreadsheetDrawing" xmlns:a="http://schemas.openxmlformats.org/drawingml/2006/main">
  <xdr:twoCellAnchor>
    <xdr:from>
      <xdr:col>9</xdr:col>
      <xdr:colOff>129117</xdr:colOff>
      <xdr:row>84</xdr:row>
      <xdr:rowOff>105410</xdr:rowOff>
    </xdr:from>
    <xdr:to>
      <xdr:col>19</xdr:col>
      <xdr:colOff>552027</xdr:colOff>
      <xdr:row>108</xdr:row>
      <xdr:rowOff>113030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131233</xdr:colOff>
      <xdr:row>98</xdr:row>
      <xdr:rowOff>52492</xdr:rowOff>
    </xdr:from>
    <xdr:to>
      <xdr:col>16</xdr:col>
      <xdr:colOff>241300</xdr:colOff>
      <xdr:row>101</xdr:row>
      <xdr:rowOff>168487</xdr:rowOff>
    </xdr:to>
    <xdr:cxnSp macro="">
      <xdr:nvCxnSpPr>
        <xdr:cNvPr id="4" name="Straight Connector 3"/>
        <xdr:cNvCxnSpPr/>
      </xdr:nvCxnSpPr>
      <xdr:spPr>
        <a:xfrm>
          <a:off x="7956973" y="17227972"/>
          <a:ext cx="1283547" cy="641775"/>
        </a:xfrm>
        <a:prstGeom prst="line">
          <a:avLst/>
        </a:prstGeom>
        <a:ln w="31750">
          <a:solidFill>
            <a:srgbClr val="FF66FF"/>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519006</xdr:colOff>
      <xdr:row>91</xdr:row>
      <xdr:rowOff>135467</xdr:rowOff>
    </xdr:from>
    <xdr:to>
      <xdr:col>12</xdr:col>
      <xdr:colOff>133774</xdr:colOff>
      <xdr:row>93</xdr:row>
      <xdr:rowOff>160867</xdr:rowOff>
    </xdr:to>
    <xdr:cxnSp macro="">
      <xdr:nvCxnSpPr>
        <xdr:cNvPr id="14" name="Straight Arrow Connector 13"/>
        <xdr:cNvCxnSpPr/>
      </xdr:nvCxnSpPr>
      <xdr:spPr>
        <a:xfrm flipH="1">
          <a:off x="6592146" y="16084127"/>
          <a:ext cx="209128" cy="375920"/>
        </a:xfrm>
        <a:prstGeom prst="straightConnector1">
          <a:avLst/>
        </a:prstGeom>
        <a:ln w="15875">
          <a:solidFill>
            <a:srgbClr val="FF66FF"/>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171874</xdr:colOff>
      <xdr:row>96</xdr:row>
      <xdr:rowOff>149860</xdr:rowOff>
    </xdr:from>
    <xdr:to>
      <xdr:col>12</xdr:col>
      <xdr:colOff>574040</xdr:colOff>
      <xdr:row>97</xdr:row>
      <xdr:rowOff>60960</xdr:rowOff>
    </xdr:to>
    <xdr:cxnSp macro="">
      <xdr:nvCxnSpPr>
        <xdr:cNvPr id="16" name="Straight Arrow Connector 15"/>
        <xdr:cNvCxnSpPr/>
      </xdr:nvCxnSpPr>
      <xdr:spPr>
        <a:xfrm flipV="1">
          <a:off x="6839374" y="16974820"/>
          <a:ext cx="402166" cy="86360"/>
        </a:xfrm>
        <a:prstGeom prst="straightConnector1">
          <a:avLst/>
        </a:prstGeom>
        <a:ln w="19050">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15</xdr:col>
      <xdr:colOff>198967</xdr:colOff>
      <xdr:row>95</xdr:row>
      <xdr:rowOff>15240</xdr:rowOff>
    </xdr:from>
    <xdr:ext cx="1564211" cy="487680"/>
    <xdr:sp macro="" textlink="">
      <xdr:nvSpPr>
        <xdr:cNvPr id="17" name="TextBox 16"/>
        <xdr:cNvSpPr txBox="1"/>
      </xdr:nvSpPr>
      <xdr:spPr>
        <a:xfrm>
          <a:off x="8634307" y="16664940"/>
          <a:ext cx="1564211" cy="48768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200" b="1">
              <a:solidFill>
                <a:srgbClr val="FF66FF"/>
              </a:solidFill>
            </a:rPr>
            <a:t>Emissions after 2015,</a:t>
          </a:r>
        </a:p>
        <a:p>
          <a:r>
            <a:rPr lang="en-US" sz="1200" b="1">
              <a:solidFill>
                <a:srgbClr val="FF66FF"/>
              </a:solidFill>
            </a:rPr>
            <a:t>with</a:t>
          </a:r>
          <a:r>
            <a:rPr lang="en-US" sz="1200" b="1" baseline="0">
              <a:solidFill>
                <a:srgbClr val="FF66FF"/>
              </a:solidFill>
            </a:rPr>
            <a:t> 2005-2015 trend</a:t>
          </a:r>
          <a:endParaRPr lang="en-US" sz="1200" b="1">
            <a:solidFill>
              <a:srgbClr val="FF66FF"/>
            </a:solidFill>
          </a:endParaRPr>
        </a:p>
      </xdr:txBody>
    </xdr:sp>
    <xdr:clientData/>
  </xdr:oneCellAnchor>
  <xdr:twoCellAnchor>
    <xdr:from>
      <xdr:col>15</xdr:col>
      <xdr:colOff>138007</xdr:colOff>
      <xdr:row>98</xdr:row>
      <xdr:rowOff>10160</xdr:rowOff>
    </xdr:from>
    <xdr:to>
      <xdr:col>15</xdr:col>
      <xdr:colOff>413173</xdr:colOff>
      <xdr:row>99</xdr:row>
      <xdr:rowOff>130387</xdr:rowOff>
    </xdr:to>
    <xdr:cxnSp macro="">
      <xdr:nvCxnSpPr>
        <xdr:cNvPr id="19" name="Straight Arrow Connector 18"/>
        <xdr:cNvCxnSpPr/>
      </xdr:nvCxnSpPr>
      <xdr:spPr>
        <a:xfrm flipH="1">
          <a:off x="8573347" y="17185640"/>
          <a:ext cx="275166" cy="295487"/>
        </a:xfrm>
        <a:prstGeom prst="straightConnector1">
          <a:avLst/>
        </a:prstGeom>
        <a:ln w="19050">
          <a:solidFill>
            <a:srgbClr val="FF66FF"/>
          </a:solidFill>
          <a:prstDash val="sys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122767</xdr:colOff>
      <xdr:row>89</xdr:row>
      <xdr:rowOff>44026</xdr:rowOff>
    </xdr:from>
    <xdr:to>
      <xdr:col>10</xdr:col>
      <xdr:colOff>152401</xdr:colOff>
      <xdr:row>105</xdr:row>
      <xdr:rowOff>145627</xdr:rowOff>
    </xdr:to>
    <xdr:cxnSp macro="">
      <xdr:nvCxnSpPr>
        <xdr:cNvPr id="21" name="Straight Connector 20"/>
        <xdr:cNvCxnSpPr/>
      </xdr:nvCxnSpPr>
      <xdr:spPr>
        <a:xfrm>
          <a:off x="5601547" y="15642166"/>
          <a:ext cx="29634" cy="290576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oneCellAnchor>
    <xdr:from>
      <xdr:col>10</xdr:col>
      <xdr:colOff>449580</xdr:colOff>
      <xdr:row>103</xdr:row>
      <xdr:rowOff>15241</xdr:rowOff>
    </xdr:from>
    <xdr:ext cx="4270402" cy="304800"/>
    <xdr:sp macro="" textlink="">
      <xdr:nvSpPr>
        <xdr:cNvPr id="22" name="TextBox 21"/>
        <xdr:cNvSpPr txBox="1"/>
      </xdr:nvSpPr>
      <xdr:spPr>
        <a:xfrm>
          <a:off x="5928360" y="18067021"/>
          <a:ext cx="4270402" cy="3048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200" b="1">
              <a:solidFill>
                <a:srgbClr val="0000FF"/>
              </a:solidFill>
            </a:rPr>
            <a:t>Clean Power Plan target</a:t>
          </a:r>
          <a:r>
            <a:rPr lang="en-US" sz="1200" b="1" baseline="0">
              <a:solidFill>
                <a:srgbClr val="0000FF"/>
              </a:solidFill>
            </a:rPr>
            <a:t> for 2030: Emissions 32% below 2005</a:t>
          </a:r>
          <a:endParaRPr lang="en-US" sz="1200" b="1">
            <a:solidFill>
              <a:srgbClr val="0000FF"/>
            </a:solidFill>
          </a:endParaRPr>
        </a:p>
      </xdr:txBody>
    </xdr:sp>
    <xdr:clientData/>
  </xdr:oneCellAnchor>
  <xdr:twoCellAnchor>
    <xdr:from>
      <xdr:col>17</xdr:col>
      <xdr:colOff>350520</xdr:colOff>
      <xdr:row>102</xdr:row>
      <xdr:rowOff>83820</xdr:rowOff>
    </xdr:from>
    <xdr:to>
      <xdr:col>18</xdr:col>
      <xdr:colOff>181187</xdr:colOff>
      <xdr:row>103</xdr:row>
      <xdr:rowOff>153246</xdr:rowOff>
    </xdr:to>
    <xdr:cxnSp macro="">
      <xdr:nvCxnSpPr>
        <xdr:cNvPr id="28" name="Straight Arrow Connector 27"/>
        <xdr:cNvCxnSpPr/>
      </xdr:nvCxnSpPr>
      <xdr:spPr>
        <a:xfrm flipV="1">
          <a:off x="9913620" y="17960340"/>
          <a:ext cx="394547" cy="244686"/>
        </a:xfrm>
        <a:prstGeom prst="straightConnector1">
          <a:avLst/>
        </a:prstGeom>
        <a:ln w="19050">
          <a:prstDash val="sysDot"/>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c:userShapes xmlns:c="http://schemas.openxmlformats.org/drawingml/2006/chart">
  <cdr:relSizeAnchor xmlns:cdr="http://schemas.openxmlformats.org/drawingml/2006/chartDrawing">
    <cdr:from>
      <cdr:x>0.02646</cdr:x>
      <cdr:y>0.47547</cdr:y>
    </cdr:from>
    <cdr:to>
      <cdr:x>0.03931</cdr:x>
      <cdr:y>0.5269</cdr:y>
    </cdr:to>
    <cdr:sp macro="" textlink="">
      <cdr:nvSpPr>
        <cdr:cNvPr id="4099" name="Text Box 3"/>
        <cdr:cNvSpPr txBox="1">
          <a:spLocks xmlns:a="http://schemas.openxmlformats.org/drawingml/2006/main" noChangeArrowheads="1"/>
        </cdr:cNvSpPr>
      </cdr:nvSpPr>
      <cdr:spPr bwMode="auto">
        <a:xfrm xmlns:a="http://schemas.openxmlformats.org/drawingml/2006/main">
          <a:off x="203419" y="2216366"/>
          <a:ext cx="94479" cy="26710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n-US"/>
        </a:p>
      </cdr:txBody>
    </cdr:sp>
  </cdr:relSizeAnchor>
  <cdr:relSizeAnchor xmlns:cdr="http://schemas.openxmlformats.org/drawingml/2006/chartDrawing">
    <cdr:from>
      <cdr:x>0.03683</cdr:x>
      <cdr:y>0.48356</cdr:y>
    </cdr:from>
    <cdr:to>
      <cdr:x>0.54937</cdr:x>
      <cdr:y>0.5914</cdr:y>
    </cdr:to>
    <cdr:sp macro="" textlink="">
      <cdr:nvSpPr>
        <cdr:cNvPr id="4100" name="Text Box 4"/>
        <cdr:cNvSpPr txBox="1">
          <a:spLocks xmlns:a="http://schemas.openxmlformats.org/drawingml/2006/main" noChangeArrowheads="1"/>
        </cdr:cNvSpPr>
      </cdr:nvSpPr>
      <cdr:spPr bwMode="auto">
        <a:xfrm xmlns:a="http://schemas.openxmlformats.org/drawingml/2006/main">
          <a:off x="270644" y="2258288"/>
          <a:ext cx="3819111" cy="56175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n-US"/>
        </a:p>
      </cdr:txBody>
    </cdr:sp>
  </cdr:relSizeAnchor>
  <cdr:relSizeAnchor xmlns:cdr="http://schemas.openxmlformats.org/drawingml/2006/chartDrawing">
    <cdr:from>
      <cdr:x>0.38611</cdr:x>
      <cdr:y>0.66129</cdr:y>
    </cdr:from>
    <cdr:to>
      <cdr:x>0.94361</cdr:x>
      <cdr:y>0.85858</cdr:y>
    </cdr:to>
    <cdr:sp macro="" textlink="">
      <cdr:nvSpPr>
        <cdr:cNvPr id="4" name="TextBox 3"/>
        <cdr:cNvSpPr txBox="1"/>
      </cdr:nvSpPr>
      <cdr:spPr>
        <a:xfrm xmlns:a="http://schemas.openxmlformats.org/drawingml/2006/main">
          <a:off x="2575560" y="2712720"/>
          <a:ext cx="3604101" cy="80773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u="none"/>
        </a:p>
        <a:p xmlns:a="http://schemas.openxmlformats.org/drawingml/2006/main">
          <a:endParaRPr lang="en-US" sz="1100"/>
        </a:p>
      </cdr:txBody>
    </cdr:sp>
  </cdr:relSizeAnchor>
  <cdr:relSizeAnchor xmlns:cdr="http://schemas.openxmlformats.org/drawingml/2006/chartDrawing">
    <cdr:from>
      <cdr:x>0.4305</cdr:x>
      <cdr:y>0.22331</cdr:y>
    </cdr:from>
    <cdr:to>
      <cdr:x>0.89272</cdr:x>
      <cdr:y>0.37859</cdr:y>
    </cdr:to>
    <cdr:sp macro="" textlink="">
      <cdr:nvSpPr>
        <cdr:cNvPr id="5" name="TextBox 4"/>
        <cdr:cNvSpPr txBox="1"/>
      </cdr:nvSpPr>
      <cdr:spPr>
        <a:xfrm xmlns:a="http://schemas.openxmlformats.org/drawingml/2006/main">
          <a:off x="2857500" y="899160"/>
          <a:ext cx="2994660" cy="63246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userShapes>
</file>

<file path=xl/drawings/drawing30.xml><?xml version="1.0" encoding="utf-8"?>
<c:userShapes xmlns:c="http://schemas.openxmlformats.org/drawingml/2006/chart">
  <cdr:relSizeAnchor xmlns:cdr="http://schemas.openxmlformats.org/drawingml/2006/chartDrawing">
    <cdr:from>
      <cdr:x>0.11016</cdr:x>
      <cdr:y>0.47079</cdr:y>
    </cdr:from>
    <cdr:to>
      <cdr:x>0.30279</cdr:x>
      <cdr:y>0.58439</cdr:y>
    </cdr:to>
    <cdr:sp macro="" textlink="">
      <cdr:nvSpPr>
        <cdr:cNvPr id="2" name="TextBox 1"/>
        <cdr:cNvSpPr txBox="1"/>
      </cdr:nvSpPr>
      <cdr:spPr>
        <a:xfrm xmlns:a="http://schemas.openxmlformats.org/drawingml/2006/main">
          <a:off x="686224" y="1983843"/>
          <a:ext cx="1199962" cy="478687"/>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none" rtlCol="0"/>
        <a:lstStyle xmlns:a="http://schemas.openxmlformats.org/drawingml/2006/main"/>
        <a:p xmlns:a="http://schemas.openxmlformats.org/drawingml/2006/main">
          <a:r>
            <a:rPr lang="en-US" sz="1200" b="1">
              <a:solidFill>
                <a:srgbClr val="C00000"/>
              </a:solidFill>
            </a:rPr>
            <a:t>Actual emissions,</a:t>
          </a:r>
        </a:p>
        <a:p xmlns:a="http://schemas.openxmlformats.org/drawingml/2006/main">
          <a:r>
            <a:rPr lang="en-US" sz="1200" b="1">
              <a:solidFill>
                <a:srgbClr val="C00000"/>
              </a:solidFill>
            </a:rPr>
            <a:t>     2005-2015</a:t>
          </a:r>
        </a:p>
      </cdr:txBody>
    </cdr:sp>
  </cdr:relSizeAnchor>
  <cdr:relSizeAnchor xmlns:cdr="http://schemas.openxmlformats.org/drawingml/2006/chartDrawing">
    <cdr:from>
      <cdr:x>0</cdr:x>
      <cdr:y>0</cdr:y>
    </cdr:from>
    <cdr:to>
      <cdr:x>0</cdr:x>
      <cdr:y>0</cdr:y>
    </cdr:to>
    <cdr:pic>
      <cdr:nvPicPr>
        <cdr:cNvPr id="3"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flipH="1">
          <a:off x="-5314950" y="-14685010"/>
          <a:ext cx="0" cy="0"/>
        </a:xfrm>
        <a:prstGeom xmlns:a="http://schemas.openxmlformats.org/drawingml/2006/main" prst="rect">
          <a:avLst/>
        </a:prstGeom>
      </cdr:spPr>
    </cdr:pic>
  </cdr:relSizeAnchor>
</c:userShapes>
</file>

<file path=xl/drawings/drawing31.xml><?xml version="1.0" encoding="utf-8"?>
<xdr:wsDr xmlns:xdr="http://schemas.openxmlformats.org/drawingml/2006/spreadsheetDrawing" xmlns:a="http://schemas.openxmlformats.org/drawingml/2006/main">
  <xdr:twoCellAnchor>
    <xdr:from>
      <xdr:col>14</xdr:col>
      <xdr:colOff>495300</xdr:colOff>
      <xdr:row>7</xdr:row>
      <xdr:rowOff>114300</xdr:rowOff>
    </xdr:from>
    <xdr:to>
      <xdr:col>15</xdr:col>
      <xdr:colOff>15240</xdr:colOff>
      <xdr:row>10</xdr:row>
      <xdr:rowOff>60960</xdr:rowOff>
    </xdr:to>
    <xdr:sp macro="" textlink="">
      <xdr:nvSpPr>
        <xdr:cNvPr id="15364" name="Line 2"/>
        <xdr:cNvSpPr>
          <a:spLocks noChangeShapeType="1"/>
        </xdr:cNvSpPr>
      </xdr:nvSpPr>
      <xdr:spPr bwMode="auto">
        <a:xfrm flipH="1">
          <a:off x="7399020" y="1341120"/>
          <a:ext cx="106680" cy="472440"/>
        </a:xfrm>
        <a:prstGeom prst="line">
          <a:avLst/>
        </a:prstGeom>
        <a:noFill/>
        <a:ln w="9525">
          <a:solidFill>
            <a:srgbClr val="000000"/>
          </a:solidFill>
          <a:round/>
          <a:headEnd/>
          <a:tailEnd type="triangle" w="med" len="med"/>
        </a:ln>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18</xdr:col>
      <xdr:colOff>312420</xdr:colOff>
      <xdr:row>13</xdr:row>
      <xdr:rowOff>0</xdr:rowOff>
    </xdr:from>
    <xdr:to>
      <xdr:col>19</xdr:col>
      <xdr:colOff>426720</xdr:colOff>
      <xdr:row>33</xdr:row>
      <xdr:rowOff>30480</xdr:rowOff>
    </xdr:to>
    <xdr:sp macro="" textlink="">
      <xdr:nvSpPr>
        <xdr:cNvPr id="4133" name="Text Box 2"/>
        <xdr:cNvSpPr txBox="1">
          <a:spLocks noChangeArrowheads="1"/>
        </xdr:cNvSpPr>
      </xdr:nvSpPr>
      <xdr:spPr bwMode="auto">
        <a:xfrm>
          <a:off x="10469880" y="1752600"/>
          <a:ext cx="739140" cy="3535680"/>
        </a:xfrm>
        <a:prstGeom prst="rect">
          <a:avLst/>
        </a:prstGeom>
        <a:noFill/>
        <a:ln w="9525">
          <a:noFill/>
          <a:miter lim="800000"/>
          <a:headEnd/>
          <a:tailEnd/>
        </a:ln>
      </xdr:spPr>
    </xdr:sp>
    <xdr:clientData/>
  </xdr:twoCellAnchor>
  <xdr:twoCellAnchor editAs="oneCell">
    <xdr:from>
      <xdr:col>2</xdr:col>
      <xdr:colOff>68580</xdr:colOff>
      <xdr:row>5</xdr:row>
      <xdr:rowOff>0</xdr:rowOff>
    </xdr:from>
    <xdr:to>
      <xdr:col>4</xdr:col>
      <xdr:colOff>403860</xdr:colOff>
      <xdr:row>8</xdr:row>
      <xdr:rowOff>76200</xdr:rowOff>
    </xdr:to>
    <xdr:sp macro="" textlink="">
      <xdr:nvSpPr>
        <xdr:cNvPr id="4134" name="Text Box 3"/>
        <xdr:cNvSpPr txBox="1">
          <a:spLocks noChangeArrowheads="1"/>
        </xdr:cNvSpPr>
      </xdr:nvSpPr>
      <xdr:spPr bwMode="auto">
        <a:xfrm>
          <a:off x="5852160" y="1752600"/>
          <a:ext cx="1584960" cy="601980"/>
        </a:xfrm>
        <a:prstGeom prst="rect">
          <a:avLst/>
        </a:prstGeom>
        <a:noFill/>
        <a:ln w="9525">
          <a:noFill/>
          <a:miter lim="800000"/>
          <a:headEnd/>
          <a:tailEnd/>
        </a:ln>
      </xdr:spPr>
    </xdr:sp>
    <xdr:clientData/>
  </xdr:twoCellAnchor>
  <xdr:twoCellAnchor editAs="oneCell">
    <xdr:from>
      <xdr:col>2</xdr:col>
      <xdr:colOff>495300</xdr:colOff>
      <xdr:row>5</xdr:row>
      <xdr:rowOff>0</xdr:rowOff>
    </xdr:from>
    <xdr:to>
      <xdr:col>6</xdr:col>
      <xdr:colOff>510540</xdr:colOff>
      <xdr:row>8</xdr:row>
      <xdr:rowOff>30480</xdr:rowOff>
    </xdr:to>
    <xdr:sp macro="" textlink="">
      <xdr:nvSpPr>
        <xdr:cNvPr id="4135" name="Text Box 8"/>
        <xdr:cNvSpPr txBox="1">
          <a:spLocks noChangeArrowheads="1"/>
        </xdr:cNvSpPr>
      </xdr:nvSpPr>
      <xdr:spPr bwMode="auto">
        <a:xfrm>
          <a:off x="1280160" y="1752600"/>
          <a:ext cx="2514600" cy="556260"/>
        </a:xfrm>
        <a:prstGeom prst="rect">
          <a:avLst/>
        </a:prstGeom>
        <a:noFill/>
        <a:ln w="9525">
          <a:noFill/>
          <a:miter lim="800000"/>
          <a:headEnd/>
          <a:tailEnd/>
        </a:ln>
      </xdr:spPr>
    </xdr:sp>
    <xdr:clientData/>
  </xdr:twoCellAnchor>
  <xdr:twoCellAnchor editAs="oneCell">
    <xdr:from>
      <xdr:col>8</xdr:col>
      <xdr:colOff>0</xdr:colOff>
      <xdr:row>13</xdr:row>
      <xdr:rowOff>0</xdr:rowOff>
    </xdr:from>
    <xdr:to>
      <xdr:col>12</xdr:col>
      <xdr:colOff>365760</xdr:colOff>
      <xdr:row>16</xdr:row>
      <xdr:rowOff>60960</xdr:rowOff>
    </xdr:to>
    <xdr:sp macro="" textlink="">
      <xdr:nvSpPr>
        <xdr:cNvPr id="4136" name="Text Box 9"/>
        <xdr:cNvSpPr txBox="1">
          <a:spLocks noChangeArrowheads="1"/>
        </xdr:cNvSpPr>
      </xdr:nvSpPr>
      <xdr:spPr bwMode="auto">
        <a:xfrm>
          <a:off x="4533900" y="1737360"/>
          <a:ext cx="2865120" cy="586740"/>
        </a:xfrm>
        <a:prstGeom prst="rect">
          <a:avLst/>
        </a:prstGeom>
        <a:noFill/>
        <a:ln w="9525">
          <a:noFill/>
          <a:miter lim="800000"/>
          <a:headEnd/>
          <a:tailEnd/>
        </a:ln>
      </xdr:spPr>
    </xdr:sp>
    <xdr:clientData/>
  </xdr:twoCellAnchor>
  <xdr:twoCellAnchor editAs="oneCell">
    <xdr:from>
      <xdr:col>3</xdr:col>
      <xdr:colOff>495300</xdr:colOff>
      <xdr:row>31</xdr:row>
      <xdr:rowOff>99060</xdr:rowOff>
    </xdr:from>
    <xdr:to>
      <xdr:col>6</xdr:col>
      <xdr:colOff>335280</xdr:colOff>
      <xdr:row>34</xdr:row>
      <xdr:rowOff>121920</xdr:rowOff>
    </xdr:to>
    <xdr:sp macro="" textlink="">
      <xdr:nvSpPr>
        <xdr:cNvPr id="4138" name="Text Box 8"/>
        <xdr:cNvSpPr txBox="1">
          <a:spLocks noChangeArrowheads="1"/>
        </xdr:cNvSpPr>
      </xdr:nvSpPr>
      <xdr:spPr bwMode="auto">
        <a:xfrm>
          <a:off x="1905000" y="5882640"/>
          <a:ext cx="1714500" cy="548640"/>
        </a:xfrm>
        <a:prstGeom prst="rect">
          <a:avLst/>
        </a:prstGeom>
        <a:noFill/>
        <a:ln w="9525">
          <a:noFill/>
          <a:miter lim="800000"/>
          <a:headEnd/>
          <a:tailEnd/>
        </a:ln>
      </xdr:spPr>
    </xdr:sp>
    <xdr:clientData/>
  </xdr:twoCellAnchor>
  <xdr:twoCellAnchor editAs="oneCell">
    <xdr:from>
      <xdr:col>10</xdr:col>
      <xdr:colOff>76200</xdr:colOff>
      <xdr:row>32</xdr:row>
      <xdr:rowOff>22860</xdr:rowOff>
    </xdr:from>
    <xdr:to>
      <xdr:col>15</xdr:col>
      <xdr:colOff>198120</xdr:colOff>
      <xdr:row>35</xdr:row>
      <xdr:rowOff>76200</xdr:rowOff>
    </xdr:to>
    <xdr:sp macro="" textlink="">
      <xdr:nvSpPr>
        <xdr:cNvPr id="4139" name="Text Box 9"/>
        <xdr:cNvSpPr txBox="1">
          <a:spLocks noChangeArrowheads="1"/>
        </xdr:cNvSpPr>
      </xdr:nvSpPr>
      <xdr:spPr bwMode="auto">
        <a:xfrm>
          <a:off x="5859780" y="5981700"/>
          <a:ext cx="3246120" cy="579120"/>
        </a:xfrm>
        <a:prstGeom prst="rect">
          <a:avLst/>
        </a:prstGeom>
        <a:noFill/>
        <a:ln w="9525">
          <a:noFill/>
          <a:miter lim="800000"/>
          <a:headEnd/>
          <a:tailEnd/>
        </a:ln>
      </xdr:spPr>
    </xdr:sp>
    <xdr:clientData/>
  </xdr:twoCellAnchor>
  <xdr:twoCellAnchor editAs="oneCell">
    <xdr:from>
      <xdr:col>13</xdr:col>
      <xdr:colOff>68580</xdr:colOff>
      <xdr:row>79</xdr:row>
      <xdr:rowOff>106680</xdr:rowOff>
    </xdr:from>
    <xdr:to>
      <xdr:col>16</xdr:col>
      <xdr:colOff>83820</xdr:colOff>
      <xdr:row>83</xdr:row>
      <xdr:rowOff>99060</xdr:rowOff>
    </xdr:to>
    <xdr:sp macro="" textlink="">
      <xdr:nvSpPr>
        <xdr:cNvPr id="4141" name="Text Box 3"/>
        <xdr:cNvSpPr txBox="1">
          <a:spLocks noChangeArrowheads="1"/>
        </xdr:cNvSpPr>
      </xdr:nvSpPr>
      <xdr:spPr bwMode="auto">
        <a:xfrm>
          <a:off x="7726680" y="11323320"/>
          <a:ext cx="1889760" cy="693420"/>
        </a:xfrm>
        <a:prstGeom prst="rect">
          <a:avLst/>
        </a:prstGeom>
        <a:noFill/>
        <a:ln w="9525">
          <a:noFill/>
          <a:miter lim="800000"/>
          <a:headEnd/>
          <a:tailEnd/>
        </a:ln>
      </xdr:spPr>
    </xdr:sp>
    <xdr:clientData/>
  </xdr:twoCellAnchor>
  <xdr:oneCellAnchor>
    <xdr:from>
      <xdr:col>10</xdr:col>
      <xdr:colOff>388620</xdr:colOff>
      <xdr:row>13</xdr:row>
      <xdr:rowOff>91440</xdr:rowOff>
    </xdr:from>
    <xdr:ext cx="184731" cy="264560"/>
    <xdr:sp macro="" textlink="">
      <xdr:nvSpPr>
        <xdr:cNvPr id="11" name="TextBox 10"/>
        <xdr:cNvSpPr txBox="1"/>
      </xdr:nvSpPr>
      <xdr:spPr>
        <a:xfrm>
          <a:off x="6172200" y="2720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twoCellAnchor>
    <xdr:from>
      <xdr:col>23</xdr:col>
      <xdr:colOff>304800</xdr:colOff>
      <xdr:row>15</xdr:row>
      <xdr:rowOff>83820</xdr:rowOff>
    </xdr:from>
    <xdr:to>
      <xdr:col>33</xdr:col>
      <xdr:colOff>121920</xdr:colOff>
      <xdr:row>39</xdr:row>
      <xdr:rowOff>45720</xdr:rowOff>
    </xdr:to>
    <xdr:graphicFrame macro="">
      <xdr:nvGraphicFramePr>
        <xdr:cNvPr id="4143"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25</xdr:col>
      <xdr:colOff>220980</xdr:colOff>
      <xdr:row>27</xdr:row>
      <xdr:rowOff>22860</xdr:rowOff>
    </xdr:from>
    <xdr:to>
      <xdr:col>25</xdr:col>
      <xdr:colOff>457200</xdr:colOff>
      <xdr:row>29</xdr:row>
      <xdr:rowOff>7620</xdr:rowOff>
    </xdr:to>
    <xdr:cxnSp macro="">
      <xdr:nvCxnSpPr>
        <xdr:cNvPr id="14" name="Straight Arrow Connector 13"/>
        <xdr:cNvCxnSpPr/>
      </xdr:nvCxnSpPr>
      <xdr:spPr>
        <a:xfrm>
          <a:off x="15377160" y="4404360"/>
          <a:ext cx="236220" cy="335280"/>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91440</xdr:colOff>
      <xdr:row>15</xdr:row>
      <xdr:rowOff>129540</xdr:rowOff>
    </xdr:from>
    <xdr:to>
      <xdr:col>11</xdr:col>
      <xdr:colOff>541020</xdr:colOff>
      <xdr:row>39</xdr:row>
      <xdr:rowOff>144780</xdr:rowOff>
    </xdr:to>
    <xdr:graphicFrame macro="">
      <xdr:nvGraphicFramePr>
        <xdr:cNvPr id="1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472440</xdr:colOff>
      <xdr:row>29</xdr:row>
      <xdr:rowOff>152400</xdr:rowOff>
    </xdr:from>
    <xdr:to>
      <xdr:col>6</xdr:col>
      <xdr:colOff>198120</xdr:colOff>
      <xdr:row>34</xdr:row>
      <xdr:rowOff>91440</xdr:rowOff>
    </xdr:to>
    <xdr:sp macro="" textlink="">
      <xdr:nvSpPr>
        <xdr:cNvPr id="16" name="Text Box 8"/>
        <xdr:cNvSpPr txBox="1">
          <a:spLocks noChangeArrowheads="1"/>
        </xdr:cNvSpPr>
      </xdr:nvSpPr>
      <xdr:spPr bwMode="auto">
        <a:xfrm>
          <a:off x="1257300" y="5935980"/>
          <a:ext cx="2225040" cy="815340"/>
        </a:xfrm>
        <a:prstGeom prst="rect">
          <a:avLst/>
        </a:prstGeom>
        <a:noFill/>
        <a:ln w="9525">
          <a:noFill/>
          <a:miter lim="800000"/>
          <a:headEnd/>
          <a:tailEnd/>
        </a:ln>
      </xdr:spPr>
    </xdr:sp>
    <xdr:clientData/>
  </xdr:twoCellAnchor>
  <xdr:twoCellAnchor editAs="oneCell">
    <xdr:from>
      <xdr:col>4</xdr:col>
      <xdr:colOff>259080</xdr:colOff>
      <xdr:row>22</xdr:row>
      <xdr:rowOff>152400</xdr:rowOff>
    </xdr:from>
    <xdr:to>
      <xdr:col>10</xdr:col>
      <xdr:colOff>160020</xdr:colOff>
      <xdr:row>26</xdr:row>
      <xdr:rowOff>144780</xdr:rowOff>
    </xdr:to>
    <xdr:sp macro="" textlink="">
      <xdr:nvSpPr>
        <xdr:cNvPr id="17" name="Text Box 9"/>
        <xdr:cNvSpPr txBox="1">
          <a:spLocks noChangeArrowheads="1"/>
        </xdr:cNvSpPr>
      </xdr:nvSpPr>
      <xdr:spPr bwMode="auto">
        <a:xfrm>
          <a:off x="2293620" y="2956560"/>
          <a:ext cx="3649980" cy="693420"/>
        </a:xfrm>
        <a:prstGeom prst="rect">
          <a:avLst/>
        </a:prstGeom>
        <a:noFill/>
        <a:ln w="9525">
          <a:noFill/>
          <a:miter lim="800000"/>
          <a:headEnd/>
          <a:tailEnd/>
        </a:ln>
      </xdr:spPr>
    </xdr:sp>
    <xdr:clientData/>
  </xdr:twoCellAnchor>
  <xdr:twoCellAnchor>
    <xdr:from>
      <xdr:col>12</xdr:col>
      <xdr:colOff>15240</xdr:colOff>
      <xdr:row>15</xdr:row>
      <xdr:rowOff>160020</xdr:rowOff>
    </xdr:from>
    <xdr:to>
      <xdr:col>22</xdr:col>
      <xdr:colOff>541020</xdr:colOff>
      <xdr:row>39</xdr:row>
      <xdr:rowOff>152400</xdr:rowOff>
    </xdr:to>
    <xdr:graphicFrame macro="">
      <xdr:nvGraphicFramePr>
        <xdr:cNvPr id="18"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20</xdr:col>
      <xdr:colOff>120015</xdr:colOff>
      <xdr:row>14</xdr:row>
      <xdr:rowOff>0</xdr:rowOff>
    </xdr:from>
    <xdr:ext cx="184731" cy="264560"/>
    <xdr:sp macro="" textlink="">
      <xdr:nvSpPr>
        <xdr:cNvPr id="19" name="TextBox 18"/>
        <xdr:cNvSpPr txBox="1"/>
      </xdr:nvSpPr>
      <xdr:spPr>
        <a:xfrm>
          <a:off x="12151995" y="1402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129540</xdr:colOff>
      <xdr:row>30</xdr:row>
      <xdr:rowOff>99060</xdr:rowOff>
    </xdr:from>
    <xdr:ext cx="184731" cy="264560"/>
    <xdr:sp macro="" textlink="">
      <xdr:nvSpPr>
        <xdr:cNvPr id="20" name="TextBox 19"/>
        <xdr:cNvSpPr txBox="1"/>
      </xdr:nvSpPr>
      <xdr:spPr>
        <a:xfrm>
          <a:off x="5288280" y="5707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baseline="0"/>
        </a:p>
      </xdr:txBody>
    </xdr:sp>
    <xdr:clientData/>
  </xdr:oneCellAnchor>
  <xdr:oneCellAnchor>
    <xdr:from>
      <xdr:col>7</xdr:col>
      <xdr:colOff>175260</xdr:colOff>
      <xdr:row>38</xdr:row>
      <xdr:rowOff>22860</xdr:rowOff>
    </xdr:from>
    <xdr:ext cx="2918460" cy="348380"/>
    <xdr:sp macro="" textlink="">
      <xdr:nvSpPr>
        <xdr:cNvPr id="21" name="TextBox 20"/>
        <xdr:cNvSpPr txBox="1"/>
      </xdr:nvSpPr>
      <xdr:spPr>
        <a:xfrm>
          <a:off x="4084320" y="7033260"/>
          <a:ext cx="2918460" cy="3483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800" b="1"/>
            <a:t>From CTC Carbon Tax Spreadsheet Model, June 2016</a:t>
          </a:r>
        </a:p>
        <a:p>
          <a:endParaRPr lang="en-US" sz="800" b="1"/>
        </a:p>
      </xdr:txBody>
    </xdr:sp>
    <xdr:clientData/>
  </xdr:oneCellAnchor>
  <xdr:twoCellAnchor editAs="oneCell">
    <xdr:from>
      <xdr:col>36</xdr:col>
      <xdr:colOff>495300</xdr:colOff>
      <xdr:row>31</xdr:row>
      <xdr:rowOff>99060</xdr:rowOff>
    </xdr:from>
    <xdr:to>
      <xdr:col>39</xdr:col>
      <xdr:colOff>335280</xdr:colOff>
      <xdr:row>34</xdr:row>
      <xdr:rowOff>121920</xdr:rowOff>
    </xdr:to>
    <xdr:sp macro="" textlink="">
      <xdr:nvSpPr>
        <xdr:cNvPr id="28" name="Text Box 8"/>
        <xdr:cNvSpPr txBox="1">
          <a:spLocks noChangeArrowheads="1"/>
        </xdr:cNvSpPr>
      </xdr:nvSpPr>
      <xdr:spPr bwMode="auto">
        <a:xfrm>
          <a:off x="1905000" y="5882640"/>
          <a:ext cx="1714500" cy="548640"/>
        </a:xfrm>
        <a:prstGeom prst="rect">
          <a:avLst/>
        </a:prstGeom>
        <a:noFill/>
        <a:ln w="9525">
          <a:noFill/>
          <a:miter lim="800000"/>
          <a:headEnd/>
          <a:tailEnd/>
        </a:ln>
      </xdr:spPr>
    </xdr:sp>
    <xdr:clientData/>
  </xdr:twoCellAnchor>
  <xdr:twoCellAnchor>
    <xdr:from>
      <xdr:col>34</xdr:col>
      <xdr:colOff>91440</xdr:colOff>
      <xdr:row>15</xdr:row>
      <xdr:rowOff>99060</xdr:rowOff>
    </xdr:from>
    <xdr:to>
      <xdr:col>44</xdr:col>
      <xdr:colOff>449580</xdr:colOff>
      <xdr:row>39</xdr:row>
      <xdr:rowOff>15240</xdr:rowOff>
    </xdr:to>
    <xdr:graphicFrame macro="">
      <xdr:nvGraphicFramePr>
        <xdr:cNvPr id="2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35</xdr:col>
      <xdr:colOff>495300</xdr:colOff>
      <xdr:row>30</xdr:row>
      <xdr:rowOff>30480</xdr:rowOff>
    </xdr:from>
    <xdr:to>
      <xdr:col>39</xdr:col>
      <xdr:colOff>220980</xdr:colOff>
      <xdr:row>34</xdr:row>
      <xdr:rowOff>144780</xdr:rowOff>
    </xdr:to>
    <xdr:sp macro="" textlink="">
      <xdr:nvSpPr>
        <xdr:cNvPr id="30" name="Text Box 8"/>
        <xdr:cNvSpPr txBox="1">
          <a:spLocks noChangeArrowheads="1"/>
        </xdr:cNvSpPr>
      </xdr:nvSpPr>
      <xdr:spPr bwMode="auto">
        <a:xfrm>
          <a:off x="21899880" y="4937760"/>
          <a:ext cx="2225040" cy="815340"/>
        </a:xfrm>
        <a:prstGeom prst="rect">
          <a:avLst/>
        </a:prstGeom>
        <a:noFill/>
        <a:ln w="9525">
          <a:noFill/>
          <a:miter lim="800000"/>
          <a:headEnd/>
          <a:tailEnd/>
        </a:ln>
      </xdr:spPr>
    </xdr:sp>
    <xdr:clientData/>
  </xdr:twoCellAnchor>
  <xdr:twoCellAnchor editAs="oneCell">
    <xdr:from>
      <xdr:col>37</xdr:col>
      <xdr:colOff>259080</xdr:colOff>
      <xdr:row>22</xdr:row>
      <xdr:rowOff>152400</xdr:rowOff>
    </xdr:from>
    <xdr:to>
      <xdr:col>43</xdr:col>
      <xdr:colOff>129540</xdr:colOff>
      <xdr:row>26</xdr:row>
      <xdr:rowOff>144780</xdr:rowOff>
    </xdr:to>
    <xdr:sp macro="" textlink="">
      <xdr:nvSpPr>
        <xdr:cNvPr id="31" name="Text Box 9"/>
        <xdr:cNvSpPr txBox="1">
          <a:spLocks noChangeArrowheads="1"/>
        </xdr:cNvSpPr>
      </xdr:nvSpPr>
      <xdr:spPr bwMode="auto">
        <a:xfrm>
          <a:off x="2293620" y="4358640"/>
          <a:ext cx="3649980" cy="693420"/>
        </a:xfrm>
        <a:prstGeom prst="rect">
          <a:avLst/>
        </a:prstGeom>
        <a:noFill/>
        <a:ln w="9525">
          <a:noFill/>
          <a:miter lim="800000"/>
          <a:headEnd/>
          <a:tailEnd/>
        </a:ln>
      </xdr:spPr>
    </xdr:sp>
    <xdr:clientData/>
  </xdr:twoCellAnchor>
  <xdr:oneCellAnchor>
    <xdr:from>
      <xdr:col>42</xdr:col>
      <xdr:colOff>129540</xdr:colOff>
      <xdr:row>30</xdr:row>
      <xdr:rowOff>99060</xdr:rowOff>
    </xdr:from>
    <xdr:ext cx="184731" cy="264560"/>
    <xdr:sp macro="" textlink="">
      <xdr:nvSpPr>
        <xdr:cNvPr id="32" name="TextBox 31"/>
        <xdr:cNvSpPr txBox="1"/>
      </xdr:nvSpPr>
      <xdr:spPr>
        <a:xfrm>
          <a:off x="5288280" y="5707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baseline="0"/>
        </a:p>
      </xdr:txBody>
    </xdr:sp>
    <xdr:clientData/>
  </xdr:oneCellAnchor>
  <xdr:oneCellAnchor>
    <xdr:from>
      <xdr:col>39</xdr:col>
      <xdr:colOff>441960</xdr:colOff>
      <xdr:row>37</xdr:row>
      <xdr:rowOff>114300</xdr:rowOff>
    </xdr:from>
    <xdr:ext cx="3276600" cy="432200"/>
    <xdr:sp macro="" textlink="">
      <xdr:nvSpPr>
        <xdr:cNvPr id="33" name="TextBox 32"/>
        <xdr:cNvSpPr txBox="1"/>
      </xdr:nvSpPr>
      <xdr:spPr>
        <a:xfrm>
          <a:off x="24345900" y="6248400"/>
          <a:ext cx="3276600" cy="432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800" b="1"/>
            <a:t>Source: Carbon Tax Center Spreadsheet Model, June 2016</a:t>
          </a:r>
        </a:p>
      </xdr:txBody>
    </xdr:sp>
    <xdr:clientData/>
  </xdr:oneCellAnchor>
  <xdr:twoCellAnchor editAs="oneCell">
    <xdr:from>
      <xdr:col>3</xdr:col>
      <xdr:colOff>495300</xdr:colOff>
      <xdr:row>114</xdr:row>
      <xdr:rowOff>99060</xdr:rowOff>
    </xdr:from>
    <xdr:to>
      <xdr:col>6</xdr:col>
      <xdr:colOff>335280</xdr:colOff>
      <xdr:row>117</xdr:row>
      <xdr:rowOff>121920</xdr:rowOff>
    </xdr:to>
    <xdr:sp macro="" textlink="">
      <xdr:nvSpPr>
        <xdr:cNvPr id="34" name="Text Box 8"/>
        <xdr:cNvSpPr txBox="1">
          <a:spLocks noChangeArrowheads="1"/>
        </xdr:cNvSpPr>
      </xdr:nvSpPr>
      <xdr:spPr bwMode="auto">
        <a:xfrm>
          <a:off x="1905000" y="5882640"/>
          <a:ext cx="1714500" cy="548640"/>
        </a:xfrm>
        <a:prstGeom prst="rect">
          <a:avLst/>
        </a:prstGeom>
        <a:noFill/>
        <a:ln w="9525">
          <a:noFill/>
          <a:miter lim="800000"/>
          <a:headEnd/>
          <a:tailEnd/>
        </a:ln>
      </xdr:spPr>
    </xdr:sp>
    <xdr:clientData/>
  </xdr:twoCellAnchor>
  <xdr:twoCellAnchor>
    <xdr:from>
      <xdr:col>1</xdr:col>
      <xdr:colOff>121920</xdr:colOff>
      <xdr:row>99</xdr:row>
      <xdr:rowOff>45720</xdr:rowOff>
    </xdr:from>
    <xdr:to>
      <xdr:col>11</xdr:col>
      <xdr:colOff>571500</xdr:colOff>
      <xdr:row>123</xdr:row>
      <xdr:rowOff>60960</xdr:rowOff>
    </xdr:to>
    <xdr:graphicFrame macro="">
      <xdr:nvGraphicFramePr>
        <xdr:cNvPr id="3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xdr:col>
      <xdr:colOff>495300</xdr:colOff>
      <xdr:row>113</xdr:row>
      <xdr:rowOff>30480</xdr:rowOff>
    </xdr:from>
    <xdr:to>
      <xdr:col>6</xdr:col>
      <xdr:colOff>220980</xdr:colOff>
      <xdr:row>117</xdr:row>
      <xdr:rowOff>144780</xdr:rowOff>
    </xdr:to>
    <xdr:sp macro="" textlink="">
      <xdr:nvSpPr>
        <xdr:cNvPr id="36" name="Text Box 8"/>
        <xdr:cNvSpPr txBox="1">
          <a:spLocks noChangeArrowheads="1"/>
        </xdr:cNvSpPr>
      </xdr:nvSpPr>
      <xdr:spPr bwMode="auto">
        <a:xfrm>
          <a:off x="1280160" y="5638800"/>
          <a:ext cx="2225040" cy="815340"/>
        </a:xfrm>
        <a:prstGeom prst="rect">
          <a:avLst/>
        </a:prstGeom>
        <a:noFill/>
        <a:ln w="9525">
          <a:noFill/>
          <a:miter lim="800000"/>
          <a:headEnd/>
          <a:tailEnd/>
        </a:ln>
      </xdr:spPr>
    </xdr:sp>
    <xdr:clientData/>
  </xdr:twoCellAnchor>
  <xdr:twoCellAnchor editAs="oneCell">
    <xdr:from>
      <xdr:col>4</xdr:col>
      <xdr:colOff>259080</xdr:colOff>
      <xdr:row>105</xdr:row>
      <xdr:rowOff>152400</xdr:rowOff>
    </xdr:from>
    <xdr:to>
      <xdr:col>10</xdr:col>
      <xdr:colOff>160020</xdr:colOff>
      <xdr:row>109</xdr:row>
      <xdr:rowOff>144780</xdr:rowOff>
    </xdr:to>
    <xdr:sp macro="" textlink="">
      <xdr:nvSpPr>
        <xdr:cNvPr id="37" name="Text Box 9"/>
        <xdr:cNvSpPr txBox="1">
          <a:spLocks noChangeArrowheads="1"/>
        </xdr:cNvSpPr>
      </xdr:nvSpPr>
      <xdr:spPr bwMode="auto">
        <a:xfrm>
          <a:off x="2293620" y="4358640"/>
          <a:ext cx="3649980" cy="693420"/>
        </a:xfrm>
        <a:prstGeom prst="rect">
          <a:avLst/>
        </a:prstGeom>
        <a:noFill/>
        <a:ln w="9525">
          <a:noFill/>
          <a:miter lim="800000"/>
          <a:headEnd/>
          <a:tailEnd/>
        </a:ln>
      </xdr:spPr>
    </xdr:sp>
    <xdr:clientData/>
  </xdr:twoCellAnchor>
  <xdr:oneCellAnchor>
    <xdr:from>
      <xdr:col>9</xdr:col>
      <xdr:colOff>129540</xdr:colOff>
      <xdr:row>113</xdr:row>
      <xdr:rowOff>99060</xdr:rowOff>
    </xdr:from>
    <xdr:ext cx="184731" cy="264560"/>
    <xdr:sp macro="" textlink="">
      <xdr:nvSpPr>
        <xdr:cNvPr id="38" name="TextBox 37"/>
        <xdr:cNvSpPr txBox="1"/>
      </xdr:nvSpPr>
      <xdr:spPr>
        <a:xfrm>
          <a:off x="5288280" y="5707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baseline="0"/>
        </a:p>
      </xdr:txBody>
    </xdr:sp>
    <xdr:clientData/>
  </xdr:oneCellAnchor>
  <xdr:oneCellAnchor>
    <xdr:from>
      <xdr:col>7</xdr:col>
      <xdr:colOff>266700</xdr:colOff>
      <xdr:row>121</xdr:row>
      <xdr:rowOff>114300</xdr:rowOff>
    </xdr:from>
    <xdr:ext cx="2827020" cy="256940"/>
    <xdr:sp macro="" textlink="">
      <xdr:nvSpPr>
        <xdr:cNvPr id="39" name="TextBox 38"/>
        <xdr:cNvSpPr txBox="1"/>
      </xdr:nvSpPr>
      <xdr:spPr>
        <a:xfrm>
          <a:off x="4175760" y="19217640"/>
          <a:ext cx="2827020"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800" b="1"/>
            <a:t>From CTC Carbon Tax Spreadsheet Model, June</a:t>
          </a:r>
          <a:r>
            <a:rPr lang="en-US" sz="800" b="1" baseline="0"/>
            <a:t> 2016</a:t>
          </a:r>
        </a:p>
      </xdr:txBody>
    </xdr:sp>
    <xdr:clientData/>
  </xdr:oneCellAnchor>
  <xdr:twoCellAnchor editAs="oneCell">
    <xdr:from>
      <xdr:col>15</xdr:col>
      <xdr:colOff>495300</xdr:colOff>
      <xdr:row>114</xdr:row>
      <xdr:rowOff>99060</xdr:rowOff>
    </xdr:from>
    <xdr:to>
      <xdr:col>18</xdr:col>
      <xdr:colOff>335280</xdr:colOff>
      <xdr:row>117</xdr:row>
      <xdr:rowOff>121920</xdr:rowOff>
    </xdr:to>
    <xdr:sp macro="" textlink="">
      <xdr:nvSpPr>
        <xdr:cNvPr id="40" name="Text Box 8"/>
        <xdr:cNvSpPr txBox="1">
          <a:spLocks noChangeArrowheads="1"/>
        </xdr:cNvSpPr>
      </xdr:nvSpPr>
      <xdr:spPr bwMode="auto">
        <a:xfrm>
          <a:off x="1905000" y="17975580"/>
          <a:ext cx="1714500" cy="548640"/>
        </a:xfrm>
        <a:prstGeom prst="rect">
          <a:avLst/>
        </a:prstGeom>
        <a:noFill/>
        <a:ln w="9525">
          <a:noFill/>
          <a:miter lim="800000"/>
          <a:headEnd/>
          <a:tailEnd/>
        </a:ln>
      </xdr:spPr>
    </xdr:sp>
    <xdr:clientData/>
  </xdr:twoCellAnchor>
  <xdr:twoCellAnchor>
    <xdr:from>
      <xdr:col>13</xdr:col>
      <xdr:colOff>121920</xdr:colOff>
      <xdr:row>99</xdr:row>
      <xdr:rowOff>45720</xdr:rowOff>
    </xdr:from>
    <xdr:to>
      <xdr:col>23</xdr:col>
      <xdr:colOff>571500</xdr:colOff>
      <xdr:row>123</xdr:row>
      <xdr:rowOff>60960</xdr:rowOff>
    </xdr:to>
    <xdr:graphicFrame macro="">
      <xdr:nvGraphicFramePr>
        <xdr:cNvPr id="4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14</xdr:col>
      <xdr:colOff>495300</xdr:colOff>
      <xdr:row>113</xdr:row>
      <xdr:rowOff>30480</xdr:rowOff>
    </xdr:from>
    <xdr:to>
      <xdr:col>18</xdr:col>
      <xdr:colOff>220980</xdr:colOff>
      <xdr:row>117</xdr:row>
      <xdr:rowOff>144780</xdr:rowOff>
    </xdr:to>
    <xdr:sp macro="" textlink="">
      <xdr:nvSpPr>
        <xdr:cNvPr id="42" name="Text Box 8"/>
        <xdr:cNvSpPr txBox="1">
          <a:spLocks noChangeArrowheads="1"/>
        </xdr:cNvSpPr>
      </xdr:nvSpPr>
      <xdr:spPr bwMode="auto">
        <a:xfrm>
          <a:off x="1280160" y="17731740"/>
          <a:ext cx="2225040" cy="815340"/>
        </a:xfrm>
        <a:prstGeom prst="rect">
          <a:avLst/>
        </a:prstGeom>
        <a:noFill/>
        <a:ln w="9525">
          <a:noFill/>
          <a:miter lim="800000"/>
          <a:headEnd/>
          <a:tailEnd/>
        </a:ln>
      </xdr:spPr>
    </xdr:sp>
    <xdr:clientData/>
  </xdr:twoCellAnchor>
  <xdr:twoCellAnchor editAs="oneCell">
    <xdr:from>
      <xdr:col>16</xdr:col>
      <xdr:colOff>259080</xdr:colOff>
      <xdr:row>105</xdr:row>
      <xdr:rowOff>152400</xdr:rowOff>
    </xdr:from>
    <xdr:to>
      <xdr:col>22</xdr:col>
      <xdr:colOff>160020</xdr:colOff>
      <xdr:row>109</xdr:row>
      <xdr:rowOff>144780</xdr:rowOff>
    </xdr:to>
    <xdr:sp macro="" textlink="">
      <xdr:nvSpPr>
        <xdr:cNvPr id="43" name="Text Box 9"/>
        <xdr:cNvSpPr txBox="1">
          <a:spLocks noChangeArrowheads="1"/>
        </xdr:cNvSpPr>
      </xdr:nvSpPr>
      <xdr:spPr bwMode="auto">
        <a:xfrm>
          <a:off x="2293620" y="16451580"/>
          <a:ext cx="3649980" cy="693420"/>
        </a:xfrm>
        <a:prstGeom prst="rect">
          <a:avLst/>
        </a:prstGeom>
        <a:noFill/>
        <a:ln w="9525">
          <a:noFill/>
          <a:miter lim="800000"/>
          <a:headEnd/>
          <a:tailEnd/>
        </a:ln>
      </xdr:spPr>
    </xdr:sp>
    <xdr:clientData/>
  </xdr:twoCellAnchor>
  <xdr:oneCellAnchor>
    <xdr:from>
      <xdr:col>21</xdr:col>
      <xdr:colOff>129540</xdr:colOff>
      <xdr:row>113</xdr:row>
      <xdr:rowOff>99060</xdr:rowOff>
    </xdr:from>
    <xdr:ext cx="184731" cy="264560"/>
    <xdr:sp macro="" textlink="">
      <xdr:nvSpPr>
        <xdr:cNvPr id="44" name="TextBox 43"/>
        <xdr:cNvSpPr txBox="1"/>
      </xdr:nvSpPr>
      <xdr:spPr>
        <a:xfrm>
          <a:off x="5288280" y="17800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baseline="0"/>
        </a:p>
      </xdr:txBody>
    </xdr:sp>
    <xdr:clientData/>
  </xdr:oneCellAnchor>
  <xdr:oneCellAnchor>
    <xdr:from>
      <xdr:col>19</xdr:col>
      <xdr:colOff>274320</xdr:colOff>
      <xdr:row>121</xdr:row>
      <xdr:rowOff>114300</xdr:rowOff>
    </xdr:from>
    <xdr:ext cx="2819400" cy="256940"/>
    <xdr:sp macro="" textlink="">
      <xdr:nvSpPr>
        <xdr:cNvPr id="45" name="TextBox 44"/>
        <xdr:cNvSpPr txBox="1"/>
      </xdr:nvSpPr>
      <xdr:spPr>
        <a:xfrm>
          <a:off x="11681460" y="19217640"/>
          <a:ext cx="2819400"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800" b="1"/>
            <a:t>From CTC Carbon Tax Spreadsheet Model, June</a:t>
          </a:r>
          <a:r>
            <a:rPr lang="en-US" sz="800" b="1" baseline="0"/>
            <a:t> 2016</a:t>
          </a:r>
          <a:endParaRPr lang="en-US" sz="800" b="1"/>
        </a:p>
      </xdr:txBody>
    </xdr:sp>
    <xdr:clientData/>
  </xdr:oneCellAnchor>
  <xdr:oneCellAnchor>
    <xdr:from>
      <xdr:col>21</xdr:col>
      <xdr:colOff>388620</xdr:colOff>
      <xdr:row>13</xdr:row>
      <xdr:rowOff>91440</xdr:rowOff>
    </xdr:from>
    <xdr:ext cx="184731" cy="264560"/>
    <xdr:sp macro="" textlink="">
      <xdr:nvSpPr>
        <xdr:cNvPr id="46" name="TextBox 45"/>
        <xdr:cNvSpPr txBox="1"/>
      </xdr:nvSpPr>
      <xdr:spPr>
        <a:xfrm>
          <a:off x="6172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120015</xdr:colOff>
      <xdr:row>14</xdr:row>
      <xdr:rowOff>0</xdr:rowOff>
    </xdr:from>
    <xdr:ext cx="184731" cy="264560"/>
    <xdr:sp macro="" textlink="">
      <xdr:nvSpPr>
        <xdr:cNvPr id="49" name="TextBox 48"/>
        <xdr:cNvSpPr txBox="1"/>
      </xdr:nvSpPr>
      <xdr:spPr>
        <a:xfrm>
          <a:off x="12151995" y="21031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388620</xdr:colOff>
      <xdr:row>13</xdr:row>
      <xdr:rowOff>91440</xdr:rowOff>
    </xdr:from>
    <xdr:ext cx="184731" cy="264560"/>
    <xdr:sp macro="" textlink="">
      <xdr:nvSpPr>
        <xdr:cNvPr id="50" name="TextBox 49"/>
        <xdr:cNvSpPr txBox="1"/>
      </xdr:nvSpPr>
      <xdr:spPr>
        <a:xfrm>
          <a:off x="1304544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43</xdr:col>
      <xdr:colOff>388620</xdr:colOff>
      <xdr:row>13</xdr:row>
      <xdr:rowOff>91440</xdr:rowOff>
    </xdr:from>
    <xdr:ext cx="184731" cy="264560"/>
    <xdr:sp macro="" textlink="">
      <xdr:nvSpPr>
        <xdr:cNvPr id="51" name="TextBox 50"/>
        <xdr:cNvSpPr txBox="1"/>
      </xdr:nvSpPr>
      <xdr:spPr>
        <a:xfrm>
          <a:off x="6172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35</xdr:col>
      <xdr:colOff>594360</xdr:colOff>
      <xdr:row>34</xdr:row>
      <xdr:rowOff>68579</xdr:rowOff>
    </xdr:from>
    <xdr:ext cx="4892040" cy="220981"/>
    <xdr:sp macro="" textlink="">
      <xdr:nvSpPr>
        <xdr:cNvPr id="48" name="TextBox 47"/>
        <xdr:cNvSpPr txBox="1"/>
      </xdr:nvSpPr>
      <xdr:spPr>
        <a:xfrm>
          <a:off x="21998940" y="5676899"/>
          <a:ext cx="4892040" cy="220981"/>
        </a:xfrm>
        <a:prstGeom prst="rect">
          <a:avLst/>
        </a:prstGeom>
        <a:solidFill>
          <a:srgbClr val="99FF33"/>
        </a:solid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950" b="1">
              <a:solidFill>
                <a:schemeClr val="tx1"/>
              </a:solidFill>
              <a:latin typeface="+mn-lt"/>
              <a:ea typeface="+mn-ea"/>
              <a:cs typeface="+mn-cs"/>
            </a:rPr>
            <a:t>McDermott C-Tax = $12.50 per metric ton of CO2 in 2017, $25.00</a:t>
          </a:r>
          <a:r>
            <a:rPr lang="en-US" sz="950" b="1" baseline="0">
              <a:solidFill>
                <a:schemeClr val="tx1"/>
              </a:solidFill>
              <a:latin typeface="+mn-lt"/>
              <a:ea typeface="+mn-ea"/>
              <a:cs typeface="+mn-cs"/>
            </a:rPr>
            <a:t> in 2018, $37.50 in 2019, etc.</a:t>
          </a:r>
          <a:endParaRPr lang="en-US" sz="950"/>
        </a:p>
        <a:p>
          <a:endParaRPr lang="en-US" sz="1100"/>
        </a:p>
      </xdr:txBody>
    </xdr:sp>
    <xdr:clientData/>
  </xdr:oneCellAnchor>
</xdr:wsDr>
</file>

<file path=xl/drawings/drawing5.xml><?xml version="1.0" encoding="utf-8"?>
<c:userShapes xmlns:c="http://schemas.openxmlformats.org/drawingml/2006/chart">
  <cdr:relSizeAnchor xmlns:cdr="http://schemas.openxmlformats.org/drawingml/2006/chartDrawing">
    <cdr:from>
      <cdr:x>0.15494</cdr:x>
      <cdr:y>0.04528</cdr:y>
    </cdr:from>
    <cdr:to>
      <cdr:x>0.32763</cdr:x>
      <cdr:y>0.32181</cdr:y>
    </cdr:to>
    <cdr:sp macro="" textlink="">
      <cdr:nvSpPr>
        <cdr:cNvPr id="2" name="TextBox 1"/>
        <cdr:cNvSpPr txBox="1"/>
      </cdr:nvSpPr>
      <cdr:spPr>
        <a:xfrm xmlns:a="http://schemas.openxmlformats.org/drawingml/2006/main">
          <a:off x="863600" y="194734"/>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0.7299</cdr:x>
      <cdr:y>0.94661</cdr:y>
    </cdr:from>
    <cdr:to>
      <cdr:x>0.98105</cdr:x>
      <cdr:y>0.99758</cdr:y>
    </cdr:to>
    <cdr:sp macro="" textlink="">
      <cdr:nvSpPr>
        <cdr:cNvPr id="3" name="TextBox 2"/>
        <cdr:cNvSpPr txBox="1"/>
      </cdr:nvSpPr>
      <cdr:spPr>
        <a:xfrm xmlns:a="http://schemas.openxmlformats.org/drawingml/2006/main" flipH="1">
          <a:off x="4427219" y="3945603"/>
          <a:ext cx="1523357" cy="2124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800" b="1">
              <a:latin typeface="+mn-lt"/>
              <a:ea typeface="+mn-ea"/>
              <a:cs typeface="+mn-cs"/>
            </a:rPr>
            <a:t>Carbon Tax Center, June 2016</a:t>
          </a:r>
          <a:endParaRPr lang="en-US" sz="800"/>
        </a:p>
        <a:p xmlns:a="http://schemas.openxmlformats.org/drawingml/2006/main">
          <a:endParaRPr lang="en-US"/>
        </a:p>
      </cdr:txBody>
    </cdr:sp>
  </cdr:relSizeAnchor>
  <cdr:relSizeAnchor xmlns:cdr="http://schemas.openxmlformats.org/drawingml/2006/chartDrawing">
    <cdr:from>
      <cdr:x>0.46645</cdr:x>
      <cdr:y>0.26109</cdr:y>
    </cdr:from>
    <cdr:to>
      <cdr:x>0.62442</cdr:x>
      <cdr:y>0.51231</cdr:y>
    </cdr:to>
    <cdr:sp macro="" textlink="">
      <cdr:nvSpPr>
        <cdr:cNvPr id="4" name="TextBox 3"/>
        <cdr:cNvSpPr txBox="1"/>
      </cdr:nvSpPr>
      <cdr:spPr>
        <a:xfrm xmlns:a="http://schemas.openxmlformats.org/drawingml/2006/main">
          <a:off x="2638425" y="828675"/>
          <a:ext cx="914400" cy="8667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0.51005</cdr:x>
      <cdr:y>0.26461</cdr:y>
    </cdr:from>
    <cdr:to>
      <cdr:x>0.93509</cdr:x>
      <cdr:y>0.42645</cdr:y>
    </cdr:to>
    <cdr:sp macro="" textlink="">
      <cdr:nvSpPr>
        <cdr:cNvPr id="5" name="TextBox 4"/>
        <cdr:cNvSpPr txBox="1"/>
      </cdr:nvSpPr>
      <cdr:spPr>
        <a:xfrm xmlns:a="http://schemas.openxmlformats.org/drawingml/2006/main">
          <a:off x="2886074" y="838200"/>
          <a:ext cx="2486025" cy="56197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0.00099</cdr:x>
      <cdr:y>0.88228</cdr:y>
    </cdr:from>
    <cdr:to>
      <cdr:x>0.00099</cdr:x>
      <cdr:y>0.88887</cdr:y>
    </cdr:to>
    <cdr:sp macro="" textlink="">
      <cdr:nvSpPr>
        <cdr:cNvPr id="6" name="TextBox 5"/>
        <cdr:cNvSpPr txBox="1"/>
      </cdr:nvSpPr>
      <cdr:spPr>
        <a:xfrm xmlns:a="http://schemas.openxmlformats.org/drawingml/2006/main">
          <a:off x="19050" y="2657475"/>
          <a:ext cx="1028700" cy="7429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0.00099</cdr:x>
      <cdr:y>0.89528</cdr:y>
    </cdr:from>
    <cdr:to>
      <cdr:x>0.00099</cdr:x>
      <cdr:y>0.90088</cdr:y>
    </cdr:to>
    <cdr:sp macro="" textlink="">
      <cdr:nvSpPr>
        <cdr:cNvPr id="7" name="TextBox 6"/>
        <cdr:cNvSpPr txBox="1"/>
      </cdr:nvSpPr>
      <cdr:spPr>
        <a:xfrm xmlns:a="http://schemas.openxmlformats.org/drawingml/2006/main">
          <a:off x="1" y="2705099"/>
          <a:ext cx="628650" cy="6953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0.00099</cdr:x>
      <cdr:y>0.75667</cdr:y>
    </cdr:from>
    <cdr:to>
      <cdr:x>0.08613</cdr:x>
      <cdr:y>0.93845</cdr:y>
    </cdr:to>
    <cdr:sp macro="" textlink="">
      <cdr:nvSpPr>
        <cdr:cNvPr id="8" name="TextBox 7"/>
        <cdr:cNvSpPr txBox="1"/>
      </cdr:nvSpPr>
      <cdr:spPr>
        <a:xfrm xmlns:a="http://schemas.openxmlformats.org/drawingml/2006/main">
          <a:off x="0" y="3230938"/>
          <a:ext cx="574670" cy="77463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200" b="1"/>
            <a:t>Million</a:t>
          </a:r>
        </a:p>
        <a:p xmlns:a="http://schemas.openxmlformats.org/drawingml/2006/main">
          <a:r>
            <a:rPr lang="en-US" sz="1200" b="1"/>
            <a:t>tonnes</a:t>
          </a:r>
        </a:p>
      </cdr:txBody>
    </cdr:sp>
  </cdr:relSizeAnchor>
  <cdr:relSizeAnchor xmlns:cdr="http://schemas.openxmlformats.org/drawingml/2006/chartDrawing">
    <cdr:from>
      <cdr:x>0.40477</cdr:x>
      <cdr:y>0.34723</cdr:y>
    </cdr:from>
    <cdr:to>
      <cdr:x>0.55753</cdr:x>
      <cdr:y>0.58218</cdr:y>
    </cdr:to>
    <cdr:sp macro="" textlink="">
      <cdr:nvSpPr>
        <cdr:cNvPr id="9" name="TextBox 8"/>
        <cdr:cNvSpPr txBox="1"/>
      </cdr:nvSpPr>
      <cdr:spPr>
        <a:xfrm xmlns:a="http://schemas.openxmlformats.org/drawingml/2006/main">
          <a:off x="2468880" y="135636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0.13824</cdr:x>
      <cdr:y>0.28711</cdr:y>
    </cdr:from>
    <cdr:to>
      <cdr:x>0.40908</cdr:x>
      <cdr:y>0.54434</cdr:y>
    </cdr:to>
    <cdr:sp macro="" textlink="">
      <cdr:nvSpPr>
        <cdr:cNvPr id="10" name="TextBox 9"/>
        <cdr:cNvSpPr txBox="1"/>
      </cdr:nvSpPr>
      <cdr:spPr>
        <a:xfrm xmlns:a="http://schemas.openxmlformats.org/drawingml/2006/main">
          <a:off x="891540" y="1211580"/>
          <a:ext cx="1615440" cy="11049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050" b="1"/>
            <a:t>2/3 of the reductions </a:t>
          </a:r>
        </a:p>
        <a:p xmlns:a="http://schemas.openxmlformats.org/drawingml/2006/main">
          <a:r>
            <a:rPr lang="en-US" sz="1050" b="1"/>
            <a:t>shown in green block</a:t>
          </a:r>
        </a:p>
        <a:p xmlns:a="http://schemas.openxmlformats.org/drawingml/2006/main">
          <a:r>
            <a:rPr lang="en-US" sz="1050" b="1"/>
            <a:t>are projected to be via</a:t>
          </a:r>
        </a:p>
        <a:p xmlns:a="http://schemas.openxmlformats.org/drawingml/2006/main">
          <a:r>
            <a:rPr lang="en-US" sz="1050" b="1"/>
            <a:t>"decarbonization" (i.e.,</a:t>
          </a:r>
        </a:p>
        <a:p xmlns:a="http://schemas.openxmlformats.org/drawingml/2006/main">
          <a:r>
            <a:rPr lang="en-US" sz="1050" b="1"/>
            <a:t>shifts in</a:t>
          </a:r>
          <a:r>
            <a:rPr lang="en-US" sz="1050" b="1" baseline="0"/>
            <a:t> energy supply)</a:t>
          </a:r>
          <a:endParaRPr lang="en-US" sz="1050" b="1"/>
        </a:p>
      </cdr:txBody>
    </cdr:sp>
  </cdr:relSizeAnchor>
  <cdr:relSizeAnchor xmlns:cdr="http://schemas.openxmlformats.org/drawingml/2006/chartDrawing">
    <cdr:from>
      <cdr:x>0.68521</cdr:x>
      <cdr:y>0.17916</cdr:y>
    </cdr:from>
    <cdr:to>
      <cdr:x>0.91504</cdr:x>
      <cdr:y>0.49177</cdr:y>
    </cdr:to>
    <cdr:sp macro="" textlink="">
      <cdr:nvSpPr>
        <cdr:cNvPr id="11" name="TextBox 10"/>
        <cdr:cNvSpPr txBox="1"/>
      </cdr:nvSpPr>
      <cdr:spPr>
        <a:xfrm xmlns:a="http://schemas.openxmlformats.org/drawingml/2006/main">
          <a:off x="4156155" y="746761"/>
          <a:ext cx="1394038" cy="130302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b="1"/>
            <a:t>Less than half of the</a:t>
          </a:r>
        </a:p>
        <a:p xmlns:a="http://schemas.openxmlformats.org/drawingml/2006/main">
          <a:r>
            <a:rPr lang="en-US" sz="1100" b="1"/>
            <a:t>reductions shown in</a:t>
          </a:r>
        </a:p>
        <a:p xmlns:a="http://schemas.openxmlformats.org/drawingml/2006/main">
          <a:r>
            <a:rPr lang="en-US" sz="1100" b="1"/>
            <a:t>green block will take</a:t>
          </a:r>
        </a:p>
        <a:p xmlns:a="http://schemas.openxmlformats.org/drawingml/2006/main">
          <a:r>
            <a:rPr lang="en-US" sz="1100" b="1"/>
            <a:t>place through supply</a:t>
          </a:r>
        </a:p>
        <a:p xmlns:a="http://schemas.openxmlformats.org/drawingml/2006/main">
          <a:r>
            <a:rPr lang="en-US" sz="1100" b="1"/>
            <a:t>(fuel) shifts; the bulk</a:t>
          </a:r>
        </a:p>
        <a:p xmlns:a="http://schemas.openxmlformats.org/drawingml/2006/main">
          <a:r>
            <a:rPr lang="en-US" sz="1100" b="1"/>
            <a:t>will</a:t>
          </a:r>
          <a:r>
            <a:rPr lang="en-US" sz="1100" b="1" baseline="0"/>
            <a:t> require reducing</a:t>
          </a:r>
        </a:p>
        <a:p xmlns:a="http://schemas.openxmlformats.org/drawingml/2006/main">
          <a:r>
            <a:rPr lang="en-US" sz="1100" b="1" baseline="0"/>
            <a:t>demand</a:t>
          </a:r>
        </a:p>
        <a:p xmlns:a="http://schemas.openxmlformats.org/drawingml/2006/main">
          <a:endParaRPr lang="en-US" sz="1100"/>
        </a:p>
      </cdr:txBody>
    </cdr:sp>
  </cdr:relSizeAnchor>
  <cdr:relSizeAnchor xmlns:cdr="http://schemas.openxmlformats.org/drawingml/2006/chartDrawing">
    <cdr:from>
      <cdr:x>0.59454</cdr:x>
      <cdr:y>0.33731</cdr:y>
    </cdr:from>
    <cdr:to>
      <cdr:x>0.69676</cdr:x>
      <cdr:y>0.35183</cdr:y>
    </cdr:to>
    <cdr:sp macro="" textlink="">
      <cdr:nvSpPr>
        <cdr:cNvPr id="13" name="Straight Arrow Connector 12"/>
        <cdr:cNvSpPr/>
      </cdr:nvSpPr>
      <cdr:spPr>
        <a:xfrm xmlns:a="http://schemas.openxmlformats.org/drawingml/2006/main" flipH="1" flipV="1">
          <a:off x="3606203" y="1405957"/>
          <a:ext cx="620017" cy="60522"/>
        </a:xfrm>
        <a:prstGeom xmlns:a="http://schemas.openxmlformats.org/drawingml/2006/main" prst="straightConnector1">
          <a:avLst/>
        </a:prstGeom>
        <a:ln xmlns:a="http://schemas.openxmlformats.org/drawingml/2006/main" w="12700">
          <a:solidFill>
            <a:schemeClr val="tx1"/>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0.02764</cdr:x>
      <cdr:y>0.46437</cdr:y>
    </cdr:from>
    <cdr:to>
      <cdr:x>0.04047</cdr:x>
      <cdr:y>0.51558</cdr:y>
    </cdr:to>
    <cdr:sp macro="" textlink="">
      <cdr:nvSpPr>
        <cdr:cNvPr id="4099" name="Text Box 3"/>
        <cdr:cNvSpPr txBox="1">
          <a:spLocks xmlns:a="http://schemas.openxmlformats.org/drawingml/2006/main" noChangeArrowheads="1"/>
        </cdr:cNvSpPr>
      </cdr:nvSpPr>
      <cdr:spPr bwMode="auto">
        <a:xfrm xmlns:a="http://schemas.openxmlformats.org/drawingml/2006/main">
          <a:off x="203419" y="2216366"/>
          <a:ext cx="94479" cy="26710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n-US"/>
        </a:p>
      </cdr:txBody>
    </cdr:sp>
  </cdr:relSizeAnchor>
  <cdr:relSizeAnchor xmlns:cdr="http://schemas.openxmlformats.org/drawingml/2006/chartDrawing">
    <cdr:from>
      <cdr:x>0.03694</cdr:x>
      <cdr:y>0.47125</cdr:y>
    </cdr:from>
    <cdr:to>
      <cdr:x>0.57421</cdr:x>
      <cdr:y>0.58247</cdr:y>
    </cdr:to>
    <cdr:sp macro="" textlink="">
      <cdr:nvSpPr>
        <cdr:cNvPr id="4100" name="Text Box 4"/>
        <cdr:cNvSpPr txBox="1">
          <a:spLocks xmlns:a="http://schemas.openxmlformats.org/drawingml/2006/main" noChangeArrowheads="1"/>
        </cdr:cNvSpPr>
      </cdr:nvSpPr>
      <cdr:spPr bwMode="auto">
        <a:xfrm xmlns:a="http://schemas.openxmlformats.org/drawingml/2006/main">
          <a:off x="270644" y="2258288"/>
          <a:ext cx="3819111" cy="56175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n-US"/>
        </a:p>
      </cdr:txBody>
    </cdr:sp>
  </cdr:relSizeAnchor>
  <cdr:relSizeAnchor xmlns:cdr="http://schemas.openxmlformats.org/drawingml/2006/chartDrawing">
    <cdr:from>
      <cdr:x>0.43035</cdr:x>
      <cdr:y>0.22203</cdr:y>
    </cdr:from>
    <cdr:to>
      <cdr:x>0.43266</cdr:x>
      <cdr:y>0.88268</cdr:y>
    </cdr:to>
    <cdr:sp macro="" textlink="">
      <cdr:nvSpPr>
        <cdr:cNvPr id="5" name="Straight Connector 4"/>
        <cdr:cNvSpPr/>
      </cdr:nvSpPr>
      <cdr:spPr>
        <a:xfrm xmlns:a="http://schemas.openxmlformats.org/drawingml/2006/main" flipH="1" flipV="1">
          <a:off x="2882489" y="937296"/>
          <a:ext cx="15473" cy="2788920"/>
        </a:xfrm>
        <a:prstGeom xmlns:a="http://schemas.openxmlformats.org/drawingml/2006/main" prst="line">
          <a:avLst/>
        </a:prstGeom>
        <a:ln xmlns:a="http://schemas.openxmlformats.org/drawingml/2006/main" w="1587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0.31399</cdr:x>
      <cdr:y>0.45668</cdr:y>
    </cdr:from>
    <cdr:to>
      <cdr:x>0.42548</cdr:x>
      <cdr:y>0.69675</cdr:y>
    </cdr:to>
    <cdr:sp macro="" textlink="">
      <cdr:nvSpPr>
        <cdr:cNvPr id="6" name="TextBox 5"/>
        <cdr:cNvSpPr txBox="1"/>
      </cdr:nvSpPr>
      <cdr:spPr>
        <a:xfrm xmlns:a="http://schemas.openxmlformats.org/drawingml/2006/main">
          <a:off x="2103120" y="1927860"/>
          <a:ext cx="746761" cy="101345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200" b="1"/>
            <a:t>Carbon</a:t>
          </a:r>
        </a:p>
        <a:p xmlns:a="http://schemas.openxmlformats.org/drawingml/2006/main">
          <a:r>
            <a:rPr lang="en-US" sz="1200" b="1"/>
            <a:t>tax</a:t>
          </a:r>
        </a:p>
        <a:p xmlns:a="http://schemas.openxmlformats.org/drawingml/2006/main">
          <a:r>
            <a:rPr lang="en-US" sz="1200" b="1"/>
            <a:t>starts</a:t>
          </a:r>
        </a:p>
        <a:p xmlns:a="http://schemas.openxmlformats.org/drawingml/2006/main">
          <a:r>
            <a:rPr lang="en-US" sz="1200" b="1"/>
            <a:t>now.</a:t>
          </a:r>
        </a:p>
      </cdr:txBody>
    </cdr:sp>
  </cdr:relSizeAnchor>
  <cdr:relSizeAnchor xmlns:cdr="http://schemas.openxmlformats.org/drawingml/2006/chartDrawing">
    <cdr:from>
      <cdr:x>0.42676</cdr:x>
      <cdr:y>0.78159</cdr:y>
    </cdr:from>
    <cdr:to>
      <cdr:x>0.56517</cdr:x>
      <cdr:y>0.99819</cdr:y>
    </cdr:to>
    <cdr:sp macro="" textlink="">
      <cdr:nvSpPr>
        <cdr:cNvPr id="7" name="TextBox 6"/>
        <cdr:cNvSpPr txBox="1"/>
      </cdr:nvSpPr>
      <cdr:spPr>
        <a:xfrm xmlns:a="http://schemas.openxmlformats.org/drawingml/2006/main">
          <a:off x="2819400" y="329946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0.91923</cdr:x>
      <cdr:y>0.86101</cdr:y>
    </cdr:from>
    <cdr:to>
      <cdr:x>0.92605</cdr:x>
      <cdr:y>0.87184</cdr:y>
    </cdr:to>
    <cdr:sp macro="" textlink="">
      <cdr:nvSpPr>
        <cdr:cNvPr id="9" name="TextBox 8"/>
        <cdr:cNvSpPr txBox="1"/>
      </cdr:nvSpPr>
      <cdr:spPr>
        <a:xfrm xmlns:a="http://schemas.openxmlformats.org/drawingml/2006/main" flipH="1" flipV="1">
          <a:off x="6156959" y="3634739"/>
          <a:ext cx="45719" cy="45719"/>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3"/>
        </a:lnRef>
        <a:fillRef xmlns:a="http://schemas.openxmlformats.org/drawingml/2006/main" idx="1">
          <a:schemeClr val="lt1"/>
        </a:fillRef>
        <a:effectRef xmlns:a="http://schemas.openxmlformats.org/drawingml/2006/main" idx="0">
          <a:schemeClr val="accent3"/>
        </a:effectRef>
        <a:fontRef xmlns:a="http://schemas.openxmlformats.org/drawingml/2006/main" idx="minor">
          <a:schemeClr val="dk1"/>
        </a:fontRef>
      </cdr:style>
      <cdr:txBody>
        <a:bodyPr xmlns:a="http://schemas.openxmlformats.org/drawingml/2006/main" vertOverflow="clip" wrap="none" rtlCol="0"/>
        <a:lstStyle xmlns:a="http://schemas.openxmlformats.org/drawingml/2006/main"/>
        <a:p xmlns:a="http://schemas.openxmlformats.org/drawingml/2006/main">
          <a:endParaRPr lang="en-US" sz="1000" b="1"/>
        </a:p>
      </cdr:txBody>
    </cdr:sp>
  </cdr:relSizeAnchor>
  <cdr:relSizeAnchor xmlns:cdr="http://schemas.openxmlformats.org/drawingml/2006/chartDrawing">
    <cdr:from>
      <cdr:x>0.68714</cdr:x>
      <cdr:y>0.73466</cdr:y>
    </cdr:from>
    <cdr:to>
      <cdr:x>0.82366</cdr:x>
      <cdr:y>0.95126</cdr:y>
    </cdr:to>
    <cdr:sp macro="" textlink="">
      <cdr:nvSpPr>
        <cdr:cNvPr id="11" name="TextBox 10"/>
        <cdr:cNvSpPr txBox="1"/>
      </cdr:nvSpPr>
      <cdr:spPr>
        <a:xfrm xmlns:a="http://schemas.openxmlformats.org/drawingml/2006/main">
          <a:off x="4602480" y="310134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0.34812</cdr:x>
      <cdr:y>0.65884</cdr:y>
    </cdr:from>
    <cdr:to>
      <cdr:x>0.4289</cdr:x>
      <cdr:y>0.77437</cdr:y>
    </cdr:to>
    <cdr:sp macro="" textlink="">
      <cdr:nvSpPr>
        <cdr:cNvPr id="12" name="Curved Connector 11"/>
        <cdr:cNvSpPr/>
      </cdr:nvSpPr>
      <cdr:spPr>
        <a:xfrm xmlns:a="http://schemas.openxmlformats.org/drawingml/2006/main" rot="16200000" flipH="1">
          <a:off x="2358390" y="2754630"/>
          <a:ext cx="487680" cy="541020"/>
        </a:xfrm>
        <a:prstGeom xmlns:a="http://schemas.openxmlformats.org/drawingml/2006/main" prst="curvedConnector3">
          <a:avLst>
            <a:gd name="adj1" fmla="val 107353"/>
          </a:avLst>
        </a:prstGeom>
        <a:ln xmlns:a="http://schemas.openxmlformats.org/drawingml/2006/main" w="19050">
          <a:solidFill>
            <a:schemeClr val="tx1"/>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7.xml><?xml version="1.0" encoding="utf-8"?>
<c:userShapes xmlns:c="http://schemas.openxmlformats.org/drawingml/2006/chart">
  <cdr:relSizeAnchor xmlns:cdr="http://schemas.openxmlformats.org/drawingml/2006/chartDrawing">
    <cdr:from>
      <cdr:x>0.15741</cdr:x>
      <cdr:y>0.04358</cdr:y>
    </cdr:from>
    <cdr:to>
      <cdr:x>0.3331</cdr:x>
      <cdr:y>0.30866</cdr:y>
    </cdr:to>
    <cdr:sp macro="" textlink="">
      <cdr:nvSpPr>
        <cdr:cNvPr id="2" name="TextBox 1"/>
        <cdr:cNvSpPr txBox="1"/>
      </cdr:nvSpPr>
      <cdr:spPr>
        <a:xfrm xmlns:a="http://schemas.openxmlformats.org/drawingml/2006/main">
          <a:off x="863600" y="194734"/>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0.7739</cdr:x>
      <cdr:y>0.93829</cdr:y>
    </cdr:from>
    <cdr:to>
      <cdr:x>0.99775</cdr:x>
      <cdr:y>0.99831</cdr:y>
    </cdr:to>
    <cdr:sp macro="" textlink="">
      <cdr:nvSpPr>
        <cdr:cNvPr id="3" name="TextBox 2"/>
        <cdr:cNvSpPr txBox="1"/>
      </cdr:nvSpPr>
      <cdr:spPr>
        <a:xfrm xmlns:a="http://schemas.openxmlformats.org/drawingml/2006/main">
          <a:off x="5242560" y="3939540"/>
          <a:ext cx="1516380" cy="25198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800" b="1"/>
            <a:t>Carbon Tax Center, June 2016</a:t>
          </a:r>
        </a:p>
      </cdr:txBody>
    </cdr:sp>
  </cdr:relSizeAnchor>
  <cdr:relSizeAnchor xmlns:cdr="http://schemas.openxmlformats.org/drawingml/2006/chartDrawing">
    <cdr:from>
      <cdr:x>0.47634</cdr:x>
      <cdr:y>0.25207</cdr:y>
    </cdr:from>
    <cdr:to>
      <cdr:x>0.63624</cdr:x>
      <cdr:y>0.49277</cdr:y>
    </cdr:to>
    <cdr:sp macro="" textlink="">
      <cdr:nvSpPr>
        <cdr:cNvPr id="4" name="TextBox 3"/>
        <cdr:cNvSpPr txBox="1"/>
      </cdr:nvSpPr>
      <cdr:spPr>
        <a:xfrm xmlns:a="http://schemas.openxmlformats.org/drawingml/2006/main">
          <a:off x="2638425" y="828675"/>
          <a:ext cx="914400" cy="8667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0.42671</cdr:x>
      <cdr:y>0.31506</cdr:y>
    </cdr:from>
    <cdr:to>
      <cdr:x>0.8386</cdr:x>
      <cdr:y>0.45466</cdr:y>
    </cdr:to>
    <cdr:sp macro="" textlink="">
      <cdr:nvSpPr>
        <cdr:cNvPr id="5" name="TextBox 4"/>
        <cdr:cNvSpPr txBox="1"/>
      </cdr:nvSpPr>
      <cdr:spPr>
        <a:xfrm xmlns:a="http://schemas.openxmlformats.org/drawingml/2006/main">
          <a:off x="2620972" y="1325880"/>
          <a:ext cx="2528301" cy="59436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b="1"/>
        </a:p>
      </cdr:txBody>
    </cdr:sp>
  </cdr:relSizeAnchor>
  <cdr:relSizeAnchor xmlns:cdr="http://schemas.openxmlformats.org/drawingml/2006/chartDrawing">
    <cdr:from>
      <cdr:x>4.13052E-6</cdr:x>
      <cdr:y>0.98</cdr:y>
    </cdr:from>
    <cdr:to>
      <cdr:x>4.13052E-6</cdr:x>
      <cdr:y>0.98</cdr:y>
    </cdr:to>
    <cdr:sp macro="" textlink="">
      <cdr:nvSpPr>
        <cdr:cNvPr id="6" name="TextBox 5"/>
        <cdr:cNvSpPr txBox="1"/>
      </cdr:nvSpPr>
      <cdr:spPr>
        <a:xfrm xmlns:a="http://schemas.openxmlformats.org/drawingml/2006/main">
          <a:off x="19050" y="2657475"/>
          <a:ext cx="1028700" cy="7429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0.00025</cdr:x>
      <cdr:y>0.96249</cdr:y>
    </cdr:from>
    <cdr:to>
      <cdr:x>0.00025</cdr:x>
      <cdr:y>0.96249</cdr:y>
    </cdr:to>
    <cdr:sp macro="" textlink="">
      <cdr:nvSpPr>
        <cdr:cNvPr id="7" name="TextBox 6"/>
        <cdr:cNvSpPr txBox="1"/>
      </cdr:nvSpPr>
      <cdr:spPr>
        <a:xfrm xmlns:a="http://schemas.openxmlformats.org/drawingml/2006/main">
          <a:off x="1" y="2705099"/>
          <a:ext cx="628650" cy="6953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0.0285</cdr:x>
      <cdr:y>0.73165</cdr:y>
    </cdr:from>
    <cdr:to>
      <cdr:x>0.11126</cdr:x>
      <cdr:y>0.8769</cdr:y>
    </cdr:to>
    <cdr:sp macro="" textlink="">
      <cdr:nvSpPr>
        <cdr:cNvPr id="8" name="TextBox 7"/>
        <cdr:cNvSpPr txBox="1"/>
      </cdr:nvSpPr>
      <cdr:spPr>
        <a:xfrm xmlns:a="http://schemas.openxmlformats.org/drawingml/2006/main">
          <a:off x="175260" y="3080234"/>
          <a:ext cx="510539" cy="57802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900" b="1"/>
            <a:t>Million</a:t>
          </a:r>
        </a:p>
        <a:p xmlns:a="http://schemas.openxmlformats.org/drawingml/2006/main">
          <a:r>
            <a:rPr lang="en-US" sz="900" b="1" baseline="0"/>
            <a:t>tonnes</a:t>
          </a:r>
          <a:endParaRPr lang="en-US" sz="900" b="1"/>
        </a:p>
      </cdr:txBody>
    </cdr:sp>
  </cdr:relSizeAnchor>
</c:userShapes>
</file>

<file path=xl/drawings/drawing8.xml><?xml version="1.0" encoding="utf-8"?>
<c:userShapes xmlns:c="http://schemas.openxmlformats.org/drawingml/2006/chart">
  <cdr:relSizeAnchor xmlns:cdr="http://schemas.openxmlformats.org/drawingml/2006/chartDrawing">
    <cdr:from>
      <cdr:x>0.02764</cdr:x>
      <cdr:y>0.46437</cdr:y>
    </cdr:from>
    <cdr:to>
      <cdr:x>0.04047</cdr:x>
      <cdr:y>0.51558</cdr:y>
    </cdr:to>
    <cdr:sp macro="" textlink="">
      <cdr:nvSpPr>
        <cdr:cNvPr id="4099" name="Text Box 3"/>
        <cdr:cNvSpPr txBox="1">
          <a:spLocks xmlns:a="http://schemas.openxmlformats.org/drawingml/2006/main" noChangeArrowheads="1"/>
        </cdr:cNvSpPr>
      </cdr:nvSpPr>
      <cdr:spPr bwMode="auto">
        <a:xfrm xmlns:a="http://schemas.openxmlformats.org/drawingml/2006/main">
          <a:off x="203419" y="2216366"/>
          <a:ext cx="94479" cy="26710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n-US"/>
        </a:p>
      </cdr:txBody>
    </cdr:sp>
  </cdr:relSizeAnchor>
  <cdr:relSizeAnchor xmlns:cdr="http://schemas.openxmlformats.org/drawingml/2006/chartDrawing">
    <cdr:from>
      <cdr:x>0.03694</cdr:x>
      <cdr:y>0.47125</cdr:y>
    </cdr:from>
    <cdr:to>
      <cdr:x>0.57421</cdr:x>
      <cdr:y>0.58247</cdr:y>
    </cdr:to>
    <cdr:sp macro="" textlink="">
      <cdr:nvSpPr>
        <cdr:cNvPr id="4100" name="Text Box 4"/>
        <cdr:cNvSpPr txBox="1">
          <a:spLocks xmlns:a="http://schemas.openxmlformats.org/drawingml/2006/main" noChangeArrowheads="1"/>
        </cdr:cNvSpPr>
      </cdr:nvSpPr>
      <cdr:spPr bwMode="auto">
        <a:xfrm xmlns:a="http://schemas.openxmlformats.org/drawingml/2006/main">
          <a:off x="270644" y="2258288"/>
          <a:ext cx="3819111" cy="56175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n-US"/>
        </a:p>
      </cdr:txBody>
    </cdr:sp>
  </cdr:relSizeAnchor>
  <cdr:relSizeAnchor xmlns:cdr="http://schemas.openxmlformats.org/drawingml/2006/chartDrawing">
    <cdr:from>
      <cdr:x>0.42906</cdr:x>
      <cdr:y>0.21098</cdr:y>
    </cdr:from>
    <cdr:to>
      <cdr:x>0.43137</cdr:x>
      <cdr:y>0.87163</cdr:y>
    </cdr:to>
    <cdr:sp macro="" textlink="">
      <cdr:nvSpPr>
        <cdr:cNvPr id="5" name="Straight Connector 4"/>
        <cdr:cNvSpPr/>
      </cdr:nvSpPr>
      <cdr:spPr>
        <a:xfrm xmlns:a="http://schemas.openxmlformats.org/drawingml/2006/main" flipH="1" flipV="1">
          <a:off x="2834633" y="869748"/>
          <a:ext cx="15261" cy="2723477"/>
        </a:xfrm>
        <a:prstGeom xmlns:a="http://schemas.openxmlformats.org/drawingml/2006/main" prst="line">
          <a:avLst/>
        </a:prstGeom>
        <a:ln xmlns:a="http://schemas.openxmlformats.org/drawingml/2006/main" w="1587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0.30796</cdr:x>
      <cdr:y>0.43438</cdr:y>
    </cdr:from>
    <cdr:to>
      <cdr:x>0.391</cdr:x>
      <cdr:y>0.63401</cdr:y>
    </cdr:to>
    <cdr:sp macro="" textlink="">
      <cdr:nvSpPr>
        <cdr:cNvPr id="6" name="TextBox 5"/>
        <cdr:cNvSpPr txBox="1"/>
      </cdr:nvSpPr>
      <cdr:spPr>
        <a:xfrm xmlns:a="http://schemas.openxmlformats.org/drawingml/2006/main">
          <a:off x="2034550" y="1790701"/>
          <a:ext cx="548607" cy="82296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b="1"/>
            <a:t>Carbon</a:t>
          </a:r>
        </a:p>
        <a:p xmlns:a="http://schemas.openxmlformats.org/drawingml/2006/main">
          <a:r>
            <a:rPr lang="en-US" sz="1100" b="1"/>
            <a:t>tax</a:t>
          </a:r>
        </a:p>
        <a:p xmlns:a="http://schemas.openxmlformats.org/drawingml/2006/main">
          <a:r>
            <a:rPr lang="en-US" sz="1100" b="1"/>
            <a:t>starts</a:t>
          </a:r>
        </a:p>
        <a:p xmlns:a="http://schemas.openxmlformats.org/drawingml/2006/main">
          <a:r>
            <a:rPr lang="en-US" sz="1100" b="1"/>
            <a:t>now.</a:t>
          </a:r>
        </a:p>
      </cdr:txBody>
    </cdr:sp>
  </cdr:relSizeAnchor>
  <cdr:relSizeAnchor xmlns:cdr="http://schemas.openxmlformats.org/drawingml/2006/chartDrawing">
    <cdr:from>
      <cdr:x>0.37254</cdr:x>
      <cdr:y>0.57364</cdr:y>
    </cdr:from>
    <cdr:to>
      <cdr:x>0.42329</cdr:x>
      <cdr:y>0.70361</cdr:y>
    </cdr:to>
    <cdr:sp macro="" textlink="">
      <cdr:nvSpPr>
        <cdr:cNvPr id="10" name="Curved Connector 9"/>
        <cdr:cNvSpPr/>
      </cdr:nvSpPr>
      <cdr:spPr>
        <a:xfrm xmlns:a="http://schemas.openxmlformats.org/drawingml/2006/main">
          <a:off x="2461207" y="2364768"/>
          <a:ext cx="335282" cy="535791"/>
        </a:xfrm>
        <a:prstGeom xmlns:a="http://schemas.openxmlformats.org/drawingml/2006/main" prst="curvedConnector3">
          <a:avLst>
            <a:gd name="adj1" fmla="val 25492"/>
          </a:avLst>
        </a:prstGeom>
        <a:ln xmlns:a="http://schemas.openxmlformats.org/drawingml/2006/main" w="15875">
          <a:solidFill>
            <a:schemeClr val="tx1"/>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0.42676</cdr:x>
      <cdr:y>0.78159</cdr:y>
    </cdr:from>
    <cdr:to>
      <cdr:x>0.56517</cdr:x>
      <cdr:y>0.99819</cdr:y>
    </cdr:to>
    <cdr:sp macro="" textlink="">
      <cdr:nvSpPr>
        <cdr:cNvPr id="7" name="TextBox 6"/>
        <cdr:cNvSpPr txBox="1"/>
      </cdr:nvSpPr>
      <cdr:spPr>
        <a:xfrm xmlns:a="http://schemas.openxmlformats.org/drawingml/2006/main">
          <a:off x="2819400" y="329946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userShapes>
</file>

<file path=xl/drawings/drawing9.xml><?xml version="1.0" encoding="utf-8"?>
<c:userShapes xmlns:c="http://schemas.openxmlformats.org/drawingml/2006/chart">
  <cdr:relSizeAnchor xmlns:cdr="http://schemas.openxmlformats.org/drawingml/2006/chartDrawing">
    <cdr:from>
      <cdr:x>0.02764</cdr:x>
      <cdr:y>0.46437</cdr:y>
    </cdr:from>
    <cdr:to>
      <cdr:x>0.04047</cdr:x>
      <cdr:y>0.51558</cdr:y>
    </cdr:to>
    <cdr:sp macro="" textlink="">
      <cdr:nvSpPr>
        <cdr:cNvPr id="4099" name="Text Box 3"/>
        <cdr:cNvSpPr txBox="1">
          <a:spLocks xmlns:a="http://schemas.openxmlformats.org/drawingml/2006/main" noChangeArrowheads="1"/>
        </cdr:cNvSpPr>
      </cdr:nvSpPr>
      <cdr:spPr bwMode="auto">
        <a:xfrm xmlns:a="http://schemas.openxmlformats.org/drawingml/2006/main">
          <a:off x="203419" y="2216366"/>
          <a:ext cx="94479" cy="26710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n-US"/>
        </a:p>
      </cdr:txBody>
    </cdr:sp>
  </cdr:relSizeAnchor>
  <cdr:relSizeAnchor xmlns:cdr="http://schemas.openxmlformats.org/drawingml/2006/chartDrawing">
    <cdr:from>
      <cdr:x>0.03694</cdr:x>
      <cdr:y>0.47125</cdr:y>
    </cdr:from>
    <cdr:to>
      <cdr:x>0.57421</cdr:x>
      <cdr:y>0.58247</cdr:y>
    </cdr:to>
    <cdr:sp macro="" textlink="">
      <cdr:nvSpPr>
        <cdr:cNvPr id="4100" name="Text Box 4"/>
        <cdr:cNvSpPr txBox="1">
          <a:spLocks xmlns:a="http://schemas.openxmlformats.org/drawingml/2006/main" noChangeArrowheads="1"/>
        </cdr:cNvSpPr>
      </cdr:nvSpPr>
      <cdr:spPr bwMode="auto">
        <a:xfrm xmlns:a="http://schemas.openxmlformats.org/drawingml/2006/main">
          <a:off x="270644" y="2258288"/>
          <a:ext cx="3819111" cy="56175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n-US"/>
        </a:p>
      </cdr:txBody>
    </cdr:sp>
  </cdr:relSizeAnchor>
  <cdr:relSizeAnchor xmlns:cdr="http://schemas.openxmlformats.org/drawingml/2006/chartDrawing">
    <cdr:from>
      <cdr:x>0.27105</cdr:x>
      <cdr:y>0.47653</cdr:y>
    </cdr:from>
    <cdr:to>
      <cdr:x>0.34833</cdr:x>
      <cdr:y>0.74549</cdr:y>
    </cdr:to>
    <cdr:sp macro="" textlink="">
      <cdr:nvSpPr>
        <cdr:cNvPr id="6" name="TextBox 5"/>
        <cdr:cNvSpPr txBox="1"/>
      </cdr:nvSpPr>
      <cdr:spPr>
        <a:xfrm xmlns:a="http://schemas.openxmlformats.org/drawingml/2006/main">
          <a:off x="1790700" y="2011680"/>
          <a:ext cx="510540" cy="113538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b="1"/>
        </a:p>
      </cdr:txBody>
    </cdr:sp>
  </cdr:relSizeAnchor>
  <cdr:relSizeAnchor xmlns:cdr="http://schemas.openxmlformats.org/drawingml/2006/chartDrawing">
    <cdr:from>
      <cdr:x>0.42676</cdr:x>
      <cdr:y>0.78159</cdr:y>
    </cdr:from>
    <cdr:to>
      <cdr:x>0.56517</cdr:x>
      <cdr:y>0.99819</cdr:y>
    </cdr:to>
    <cdr:sp macro="" textlink="">
      <cdr:nvSpPr>
        <cdr:cNvPr id="7" name="TextBox 6"/>
        <cdr:cNvSpPr txBox="1"/>
      </cdr:nvSpPr>
      <cdr:spPr>
        <a:xfrm xmlns:a="http://schemas.openxmlformats.org/drawingml/2006/main">
          <a:off x="2819400" y="329946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carbontax.org/" TargetMode="External"/><Relationship Id="rId2" Type="http://schemas.openxmlformats.org/officeDocument/2006/relationships/hyperlink" Target="http://www.carbontax.org/services/bills/" TargetMode="External"/><Relationship Id="rId1" Type="http://schemas.openxmlformats.org/officeDocument/2006/relationships/hyperlink" Target="https://www.govtrack.us/congress/bills/113/hr4754/text"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mailto:komanoff@gmail.com?subject=inquiry%20from%20a%20user%20of%20CTC%20spreadsheet%20model"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www.eia.doe.gov/emeu/mer/append_a.html,%20Table%20A3." TargetMode="External"/><Relationship Id="rId1" Type="http://schemas.openxmlformats.org/officeDocument/2006/relationships/hyperlink" Target="http://www.eia.doe.gov/emeu/mer/append_a.html,%20Table%20A3." TargetMode="External"/></Relationships>
</file>

<file path=xl/worksheets/_rels/sheet19.xml.rels><?xml version="1.0" encoding="UTF-8" standalone="yes"?>
<Relationships xmlns="http://schemas.openxmlformats.org/package/2006/relationships"><Relationship Id="rId1" Type="http://schemas.openxmlformats.org/officeDocument/2006/relationships/hyperlink" Target="http://www.eia.gov/forecasts/aeo/er/table1.cf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18.bin"/><Relationship Id="rId1" Type="http://schemas.openxmlformats.org/officeDocument/2006/relationships/hyperlink" Target="http://www.epa.gov/climatechange/emissions/usgginv_archive.html"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dimension ref="A1:BA257"/>
  <sheetViews>
    <sheetView tabSelected="1" workbookViewId="0"/>
  </sheetViews>
  <sheetFormatPr defaultColWidth="10.25" defaultRowHeight="15" customHeight="1"/>
  <cols>
    <col min="1" max="1" width="2.625" customWidth="1"/>
    <col min="2" max="2" width="18.625" customWidth="1"/>
    <col min="3" max="3" width="11.25" customWidth="1"/>
    <col min="4" max="9" width="10.625" customWidth="1"/>
    <col min="10" max="12" width="10.625" hidden="1" customWidth="1"/>
    <col min="13" max="13" width="10.625" style="67" hidden="1" customWidth="1"/>
    <col min="14" max="19" width="10.625" style="67" customWidth="1"/>
    <col min="20" max="43" width="10.25" customWidth="1"/>
    <col min="44" max="44" width="2.375" style="6" customWidth="1"/>
  </cols>
  <sheetData>
    <row r="1" spans="2:44" s="8" customFormat="1" ht="15" customHeight="1">
      <c r="B1" s="57" t="s">
        <v>1168</v>
      </c>
      <c r="H1" s="186" t="s">
        <v>185</v>
      </c>
      <c r="I1" s="127">
        <v>42552</v>
      </c>
      <c r="L1"/>
      <c r="M1" s="105"/>
      <c r="N1" s="127"/>
      <c r="O1" s="127"/>
      <c r="P1" s="127"/>
      <c r="Q1" s="127"/>
      <c r="R1" s="127"/>
      <c r="S1" s="127"/>
      <c r="AF1" s="31"/>
      <c r="AR1" s="81">
        <f>ROW()</f>
        <v>1</v>
      </c>
    </row>
    <row r="2" spans="2:44" s="8" customFormat="1" ht="15" customHeight="1">
      <c r="H2" s="238"/>
      <c r="I2" s="576" t="s">
        <v>724</v>
      </c>
      <c r="L2"/>
      <c r="M2" s="67"/>
      <c r="N2" s="67"/>
      <c r="O2"/>
      <c r="P2"/>
      <c r="Y2"/>
      <c r="AF2" s="31"/>
      <c r="AR2" s="81">
        <f>ROW()</f>
        <v>2</v>
      </c>
    </row>
    <row r="3" spans="2:44" s="8" customFormat="1" ht="15" customHeight="1">
      <c r="I3" s="238"/>
      <c r="L3"/>
      <c r="M3" s="67"/>
      <c r="N3" s="67"/>
      <c r="O3"/>
      <c r="P3"/>
      <c r="AF3" s="31"/>
      <c r="AR3" s="81">
        <f>ROW()</f>
        <v>3</v>
      </c>
    </row>
    <row r="4" spans="2:44" s="8" customFormat="1" ht="15" customHeight="1">
      <c r="B4" s="1139" t="s">
        <v>1169</v>
      </c>
      <c r="C4" s="1139"/>
      <c r="D4" s="1139"/>
      <c r="E4" s="1139"/>
      <c r="F4" s="1139"/>
      <c r="I4" s="1147" t="s">
        <v>1276</v>
      </c>
      <c r="J4" s="1147"/>
      <c r="K4" s="1147"/>
      <c r="L4" s="1147"/>
      <c r="M4" s="1147"/>
      <c r="N4" s="1147"/>
      <c r="Q4" s="1189" t="s">
        <v>1233</v>
      </c>
      <c r="R4" s="1172"/>
      <c r="S4" s="1172"/>
      <c r="T4" s="1172"/>
      <c r="U4" s="1172"/>
      <c r="V4" s="1173"/>
      <c r="AF4" s="31"/>
      <c r="AR4" s="81">
        <f>ROW()</f>
        <v>4</v>
      </c>
    </row>
    <row r="5" spans="2:44" s="8" customFormat="1" ht="15" customHeight="1">
      <c r="B5" s="1139"/>
      <c r="C5" s="1139"/>
      <c r="D5" s="1139"/>
      <c r="E5" s="1139"/>
      <c r="F5" s="1139"/>
      <c r="I5" s="1147"/>
      <c r="J5" s="1147"/>
      <c r="K5" s="1147"/>
      <c r="L5" s="1147"/>
      <c r="M5" s="1147"/>
      <c r="N5" s="1147"/>
      <c r="P5"/>
      <c r="Q5" s="1177"/>
      <c r="R5" s="1178"/>
      <c r="S5" s="1178"/>
      <c r="T5" s="1178"/>
      <c r="U5" s="1178"/>
      <c r="V5" s="1179"/>
      <c r="AF5" s="31"/>
      <c r="AR5" s="81">
        <f>ROW()</f>
        <v>5</v>
      </c>
    </row>
    <row r="6" spans="2:44" s="8" customFormat="1" ht="15" customHeight="1">
      <c r="B6" s="1139"/>
      <c r="C6" s="1139"/>
      <c r="D6" s="1139"/>
      <c r="E6" s="1139"/>
      <c r="F6" s="1139"/>
      <c r="I6" s="1147"/>
      <c r="J6" s="1147"/>
      <c r="K6" s="1147"/>
      <c r="L6" s="1147"/>
      <c r="M6" s="1147"/>
      <c r="N6" s="1147"/>
      <c r="P6"/>
      <c r="Q6"/>
      <c r="R6"/>
      <c r="S6"/>
      <c r="AF6" s="31"/>
      <c r="AR6" s="81">
        <f>ROW()</f>
        <v>6</v>
      </c>
    </row>
    <row r="7" spans="2:44" s="8" customFormat="1" ht="15" customHeight="1">
      <c r="I7" s="1147"/>
      <c r="J7" s="1147"/>
      <c r="K7" s="1147"/>
      <c r="L7" s="1147"/>
      <c r="M7" s="1147"/>
      <c r="N7" s="1147"/>
      <c r="AF7" s="31"/>
      <c r="AR7" s="81">
        <f>ROW()</f>
        <v>7</v>
      </c>
    </row>
    <row r="8" spans="2:44" s="8" customFormat="1" ht="15" customHeight="1">
      <c r="E8" s="1186" t="s">
        <v>1243</v>
      </c>
      <c r="F8" s="1186"/>
      <c r="G8" s="1186"/>
      <c r="I8" s="1147"/>
      <c r="J8" s="1147"/>
      <c r="K8" s="1147"/>
      <c r="L8" s="1147"/>
      <c r="M8" s="1147"/>
      <c r="N8" s="1147"/>
      <c r="P8" s="1191" t="s">
        <v>921</v>
      </c>
      <c r="Q8" s="1192"/>
      <c r="R8" s="1192"/>
      <c r="S8" s="1192"/>
      <c r="T8" s="1192"/>
      <c r="U8" s="1192"/>
      <c r="V8" s="1192"/>
      <c r="W8" s="1193"/>
      <c r="AF8" s="31"/>
      <c r="AR8" s="81">
        <f>ROW()</f>
        <v>8</v>
      </c>
    </row>
    <row r="9" spans="2:44" s="8" customFormat="1" ht="15" customHeight="1">
      <c r="D9"/>
      <c r="E9" s="1185" t="s">
        <v>1248</v>
      </c>
      <c r="F9" s="1185"/>
      <c r="G9" s="1185"/>
      <c r="I9" s="1147"/>
      <c r="J9" s="1147"/>
      <c r="K9" s="1147"/>
      <c r="L9" s="1147"/>
      <c r="M9" s="1147"/>
      <c r="N9" s="1147"/>
      <c r="P9" s="1194"/>
      <c r="Q9" s="1195"/>
      <c r="R9" s="1195"/>
      <c r="S9" s="1195"/>
      <c r="T9" s="1195"/>
      <c r="U9" s="1195"/>
      <c r="V9" s="1195"/>
      <c r="W9" s="1196"/>
      <c r="AF9" s="31"/>
      <c r="AR9" s="81">
        <f>ROW()</f>
        <v>9</v>
      </c>
    </row>
    <row r="10" spans="2:44" s="8" customFormat="1" ht="15" customHeight="1">
      <c r="I10" s="1147"/>
      <c r="J10" s="1147"/>
      <c r="K10" s="1147"/>
      <c r="L10" s="1147"/>
      <c r="M10" s="1147"/>
      <c r="N10" s="1147"/>
      <c r="P10" s="856"/>
      <c r="Q10" s="820"/>
      <c r="R10" s="820"/>
      <c r="S10" s="820"/>
      <c r="T10" s="820"/>
      <c r="U10" s="820"/>
      <c r="V10" s="820"/>
      <c r="W10" s="829"/>
      <c r="AF10" s="31"/>
      <c r="AR10" s="81">
        <f>ROW()</f>
        <v>10</v>
      </c>
    </row>
    <row r="11" spans="2:44" s="8" customFormat="1" ht="15" customHeight="1">
      <c r="B11" s="144" t="s">
        <v>583</v>
      </c>
      <c r="C11" s="362"/>
      <c r="D11" s="362"/>
      <c r="E11" s="362"/>
      <c r="I11" s="1147"/>
      <c r="J11" s="1147"/>
      <c r="K11" s="1147"/>
      <c r="L11" s="1147"/>
      <c r="M11" s="1147"/>
      <c r="N11" s="1147"/>
      <c r="P11" s="856"/>
      <c r="Q11" s="820"/>
      <c r="R11" s="820"/>
      <c r="S11" s="820"/>
      <c r="T11" s="820"/>
      <c r="U11" s="820"/>
      <c r="V11" s="820"/>
      <c r="W11" s="829"/>
      <c r="AF11" s="31"/>
      <c r="AR11" s="81">
        <f>ROW()</f>
        <v>11</v>
      </c>
    </row>
    <row r="12" spans="2:44" ht="15" customHeight="1">
      <c r="B12" s="89" t="s">
        <v>1047</v>
      </c>
      <c r="P12" s="856"/>
      <c r="Q12" s="820"/>
      <c r="R12" s="820"/>
      <c r="S12" s="820"/>
      <c r="T12" s="820"/>
      <c r="U12" s="820"/>
      <c r="V12" s="820"/>
      <c r="W12" s="829"/>
      <c r="AR12" s="81">
        <f>ROW()</f>
        <v>12</v>
      </c>
    </row>
    <row r="13" spans="2:44" s="8" customFormat="1" ht="15" customHeight="1">
      <c r="P13" s="856"/>
      <c r="Q13" s="820"/>
      <c r="R13" s="820"/>
      <c r="S13" s="820"/>
      <c r="T13" s="820"/>
      <c r="U13" s="820"/>
      <c r="V13" s="820"/>
      <c r="W13" s="829"/>
      <c r="X13"/>
      <c r="AF13" s="31"/>
      <c r="AR13" s="81">
        <f>ROW()</f>
        <v>13</v>
      </c>
    </row>
    <row r="14" spans="2:44" s="8" customFormat="1" ht="15" customHeight="1">
      <c r="B14" s="1197" t="s">
        <v>1242</v>
      </c>
      <c r="C14" s="1198"/>
      <c r="D14" s="1198"/>
      <c r="E14" s="1199"/>
      <c r="I14" s="1159" t="s">
        <v>1255</v>
      </c>
      <c r="J14" s="1160"/>
      <c r="K14" s="1160"/>
      <c r="L14" s="1160"/>
      <c r="M14" s="1160"/>
      <c r="N14" s="1161"/>
      <c r="P14" s="856"/>
      <c r="Q14" s="820"/>
      <c r="R14" s="820"/>
      <c r="S14" s="820"/>
      <c r="T14" s="820"/>
      <c r="U14" s="820"/>
      <c r="V14" s="820"/>
      <c r="W14" s="829"/>
      <c r="X14"/>
      <c r="AF14" s="31"/>
      <c r="AR14" s="81">
        <f>ROW()</f>
        <v>14</v>
      </c>
    </row>
    <row r="15" spans="2:44" s="8" customFormat="1" ht="15" customHeight="1">
      <c r="B15" s="1200"/>
      <c r="C15" s="1201"/>
      <c r="D15" s="1201"/>
      <c r="E15" s="1202"/>
      <c r="F15" s="362"/>
      <c r="I15" s="1162"/>
      <c r="J15" s="1163"/>
      <c r="K15" s="1163"/>
      <c r="L15" s="1163"/>
      <c r="M15" s="1163"/>
      <c r="N15" s="1164"/>
      <c r="P15" s="856"/>
      <c r="Q15" s="820"/>
      <c r="R15" s="820"/>
      <c r="S15" s="820"/>
      <c r="T15" s="820"/>
      <c r="U15" s="820"/>
      <c r="V15" s="820"/>
      <c r="W15" s="829"/>
      <c r="X15"/>
      <c r="AF15" s="31"/>
      <c r="AR15" s="81">
        <f>ROW()</f>
        <v>15</v>
      </c>
    </row>
    <row r="16" spans="2:44" s="8" customFormat="1" ht="15" customHeight="1">
      <c r="B16" s="1203"/>
      <c r="C16" s="1204"/>
      <c r="D16" s="1204"/>
      <c r="E16" s="1205"/>
      <c r="F16" s="362"/>
      <c r="I16" s="1165" t="s">
        <v>1244</v>
      </c>
      <c r="J16" s="1166"/>
      <c r="K16" s="1166"/>
      <c r="L16" s="1166"/>
      <c r="M16" s="1166"/>
      <c r="N16" s="1167"/>
      <c r="P16" s="856"/>
      <c r="Q16" s="820"/>
      <c r="R16" s="820"/>
      <c r="S16" s="820"/>
      <c r="T16" s="820"/>
      <c r="U16" s="820"/>
      <c r="V16" s="820"/>
      <c r="W16" s="829"/>
      <c r="AF16" s="31"/>
      <c r="AR16" s="81">
        <f>ROW()</f>
        <v>16</v>
      </c>
    </row>
    <row r="17" spans="1:44" s="8" customFormat="1" ht="15" customHeight="1">
      <c r="B17"/>
      <c r="C17"/>
      <c r="D17"/>
      <c r="I17" s="1168"/>
      <c r="J17" s="1166"/>
      <c r="K17" s="1166"/>
      <c r="L17" s="1166"/>
      <c r="M17" s="1166"/>
      <c r="N17" s="1167"/>
      <c r="P17" s="856"/>
      <c r="Q17" s="820"/>
      <c r="R17" s="820"/>
      <c r="S17" s="820"/>
      <c r="T17" s="820"/>
      <c r="U17" s="820"/>
      <c r="V17" s="820"/>
      <c r="W17" s="829"/>
      <c r="AF17" s="31"/>
      <c r="AR17" s="81">
        <f>ROW()</f>
        <v>17</v>
      </c>
    </row>
    <row r="18" spans="1:44" s="8" customFormat="1" ht="15" customHeight="1">
      <c r="B18" s="144" t="s">
        <v>1234</v>
      </c>
      <c r="C18"/>
      <c r="D18"/>
      <c r="E18"/>
      <c r="F18"/>
      <c r="G18"/>
      <c r="H18"/>
      <c r="I18" s="1168"/>
      <c r="J18" s="1166"/>
      <c r="K18" s="1166"/>
      <c r="L18" s="1166"/>
      <c r="M18" s="1166"/>
      <c r="N18" s="1167"/>
      <c r="P18" s="856"/>
      <c r="Q18" s="820"/>
      <c r="R18" s="820"/>
      <c r="S18" s="820"/>
      <c r="T18" s="820"/>
      <c r="U18" s="820"/>
      <c r="V18" s="820"/>
      <c r="W18" s="829"/>
      <c r="AF18" s="31"/>
      <c r="AR18" s="81">
        <f>ROW()</f>
        <v>18</v>
      </c>
    </row>
    <row r="19" spans="1:44" s="8" customFormat="1" ht="15" customHeight="1">
      <c r="I19" s="1168"/>
      <c r="J19" s="1166"/>
      <c r="K19" s="1166"/>
      <c r="L19" s="1166"/>
      <c r="M19" s="1166"/>
      <c r="N19" s="1167"/>
      <c r="P19" s="863"/>
      <c r="Q19" s="820"/>
      <c r="R19" s="820"/>
      <c r="S19" s="820"/>
      <c r="T19" s="820"/>
      <c r="U19" s="820"/>
      <c r="V19" s="859" t="s">
        <v>922</v>
      </c>
      <c r="W19" s="860" t="s">
        <v>352</v>
      </c>
      <c r="AF19" s="31"/>
      <c r="AR19" s="81">
        <f>ROW()</f>
        <v>19</v>
      </c>
    </row>
    <row r="20" spans="1:44" s="8" customFormat="1" ht="15" customHeight="1">
      <c r="B20" s="520" t="s">
        <v>903</v>
      </c>
      <c r="I20" s="1169"/>
      <c r="J20" s="1170"/>
      <c r="K20" s="1170"/>
      <c r="L20" s="1170"/>
      <c r="M20" s="1170"/>
      <c r="N20" s="1171"/>
      <c r="P20" s="857"/>
      <c r="Q20" s="820"/>
      <c r="R20" s="820"/>
      <c r="S20" s="820"/>
      <c r="T20" s="820"/>
      <c r="U20" s="820"/>
      <c r="V20" s="820"/>
      <c r="W20" s="829"/>
      <c r="AF20" s="31"/>
      <c r="AR20" s="81">
        <f>ROW()</f>
        <v>20</v>
      </c>
    </row>
    <row r="21" spans="1:44" s="8" customFormat="1" ht="15" customHeight="1">
      <c r="B21" s="1140" t="s">
        <v>534</v>
      </c>
      <c r="C21" s="1141"/>
      <c r="D21" s="1141"/>
      <c r="E21" s="1141"/>
      <c r="F21" s="1141"/>
      <c r="G21" s="1142" t="s">
        <v>352</v>
      </c>
      <c r="I21" s="1159" t="s">
        <v>1245</v>
      </c>
      <c r="J21" s="1207"/>
      <c r="K21" s="1207"/>
      <c r="L21" s="1207"/>
      <c r="M21" s="1207"/>
      <c r="N21" s="1208"/>
      <c r="P21" s="856"/>
      <c r="Q21" s="820"/>
      <c r="R21" s="820"/>
      <c r="S21" s="820"/>
      <c r="T21" s="820"/>
      <c r="U21" s="820"/>
      <c r="V21" s="820"/>
      <c r="W21" s="829"/>
      <c r="AF21" s="31"/>
      <c r="AR21" s="81">
        <f>ROW()</f>
        <v>21</v>
      </c>
    </row>
    <row r="22" spans="1:44" s="8" customFormat="1" ht="15" customHeight="1">
      <c r="B22" s="1141"/>
      <c r="C22" s="1141"/>
      <c r="D22" s="1141"/>
      <c r="E22" s="1141"/>
      <c r="F22" s="1141"/>
      <c r="G22" s="1142"/>
      <c r="I22" s="1168"/>
      <c r="J22" s="1166"/>
      <c r="K22" s="1166"/>
      <c r="L22" s="1166"/>
      <c r="M22" s="1166"/>
      <c r="N22" s="1167"/>
      <c r="P22" s="856"/>
      <c r="Q22" s="823"/>
      <c r="R22" s="820"/>
      <c r="S22" s="820"/>
      <c r="T22" s="820"/>
      <c r="U22" s="820"/>
      <c r="V22" s="820"/>
      <c r="W22" s="829"/>
      <c r="AF22" s="31"/>
      <c r="AR22" s="81">
        <f>ROW()</f>
        <v>22</v>
      </c>
    </row>
    <row r="23" spans="1:44" s="8" customFormat="1" ht="15" customHeight="1">
      <c r="B23" s="412"/>
      <c r="C23" s="412"/>
      <c r="D23" s="412"/>
      <c r="E23" s="412"/>
      <c r="F23" s="412"/>
      <c r="I23" s="1168"/>
      <c r="J23" s="1166"/>
      <c r="K23" s="1166"/>
      <c r="L23" s="1166"/>
      <c r="M23" s="1166"/>
      <c r="N23" s="1167"/>
      <c r="P23" s="856"/>
      <c r="Q23" s="820"/>
      <c r="R23" s="820"/>
      <c r="S23" s="820"/>
      <c r="T23" s="820"/>
      <c r="U23" s="820"/>
      <c r="V23" s="820"/>
      <c r="W23" s="829"/>
      <c r="AF23" s="31"/>
      <c r="AR23" s="81">
        <f>ROW()</f>
        <v>23</v>
      </c>
    </row>
    <row r="24" spans="1:44" s="8" customFormat="1" ht="15" customHeight="1">
      <c r="B24" s="1206" t="s">
        <v>1231</v>
      </c>
      <c r="C24" s="1099"/>
      <c r="D24" s="1099"/>
      <c r="E24" s="1099"/>
      <c r="F24" s="1099"/>
      <c r="G24" s="1100"/>
      <c r="H24"/>
      <c r="I24" s="1168"/>
      <c r="J24" s="1166"/>
      <c r="K24" s="1166"/>
      <c r="L24" s="1166"/>
      <c r="M24" s="1166"/>
      <c r="N24" s="1167"/>
      <c r="P24" s="856"/>
      <c r="Q24" s="820"/>
      <c r="R24" s="820"/>
      <c r="S24" s="820"/>
      <c r="T24" s="820"/>
      <c r="U24" s="820"/>
      <c r="V24" s="820"/>
      <c r="W24" s="829"/>
      <c r="AF24" s="31"/>
      <c r="AR24" s="81">
        <f>ROW()</f>
        <v>24</v>
      </c>
    </row>
    <row r="25" spans="1:44" s="8" customFormat="1" ht="15" customHeight="1">
      <c r="B25" s="1101"/>
      <c r="C25" s="1102"/>
      <c r="D25" s="1102"/>
      <c r="E25" s="1102"/>
      <c r="F25" s="1102"/>
      <c r="G25" s="1103"/>
      <c r="H25"/>
      <c r="I25" s="1169"/>
      <c r="J25" s="1170"/>
      <c r="K25" s="1170"/>
      <c r="L25" s="1170"/>
      <c r="M25" s="1170"/>
      <c r="N25" s="1171"/>
      <c r="P25" s="856"/>
      <c r="Q25" s="820"/>
      <c r="R25" s="820"/>
      <c r="S25" s="820"/>
      <c r="T25" s="820"/>
      <c r="U25" s="820"/>
      <c r="V25" s="820"/>
      <c r="W25" s="829"/>
      <c r="AF25" s="31"/>
      <c r="AR25" s="81">
        <f>ROW()</f>
        <v>25</v>
      </c>
    </row>
    <row r="26" spans="1:44" s="8" customFormat="1" ht="15" customHeight="1">
      <c r="B26" s="1101"/>
      <c r="C26" s="1102"/>
      <c r="D26" s="1102"/>
      <c r="E26" s="1102"/>
      <c r="F26" s="1102"/>
      <c r="G26" s="1103"/>
      <c r="H26"/>
      <c r="I26" s="1165" t="s">
        <v>1246</v>
      </c>
      <c r="J26" s="1166"/>
      <c r="K26" s="1166"/>
      <c r="L26" s="1166"/>
      <c r="M26" s="1166"/>
      <c r="N26" s="1167"/>
      <c r="P26" s="856"/>
      <c r="Q26" s="820"/>
      <c r="R26" s="820"/>
      <c r="S26" s="820"/>
      <c r="T26" s="820"/>
      <c r="U26" s="820"/>
      <c r="V26" s="820"/>
      <c r="W26" s="829"/>
      <c r="AF26" s="31"/>
      <c r="AR26" s="81">
        <f>ROW()</f>
        <v>26</v>
      </c>
    </row>
    <row r="27" spans="1:44" s="8" customFormat="1" ht="15" customHeight="1">
      <c r="B27" s="1104"/>
      <c r="C27" s="1105"/>
      <c r="D27" s="1105"/>
      <c r="E27" s="1105"/>
      <c r="F27" s="1105"/>
      <c r="G27" s="1106"/>
      <c r="I27" s="1168"/>
      <c r="J27" s="1166"/>
      <c r="K27" s="1166"/>
      <c r="L27" s="1166"/>
      <c r="M27" s="1166"/>
      <c r="N27" s="1167"/>
      <c r="P27" s="856"/>
      <c r="Q27" s="820"/>
      <c r="R27" s="820"/>
      <c r="S27" s="820"/>
      <c r="T27" s="820"/>
      <c r="U27" s="820"/>
      <c r="V27" s="820"/>
      <c r="W27" s="829"/>
      <c r="AF27" s="31"/>
      <c r="AR27" s="81">
        <f>ROW()</f>
        <v>27</v>
      </c>
    </row>
    <row r="28" spans="1:44" s="8" customFormat="1" ht="15" customHeight="1">
      <c r="H28" s="14"/>
      <c r="I28" s="1168"/>
      <c r="J28" s="1166"/>
      <c r="K28" s="1166"/>
      <c r="L28" s="1166"/>
      <c r="M28" s="1166"/>
      <c r="N28" s="1167"/>
      <c r="P28" s="856"/>
      <c r="Q28" s="820"/>
      <c r="R28" s="820"/>
      <c r="S28" s="820"/>
      <c r="T28" s="820"/>
      <c r="U28" s="820"/>
      <c r="V28" s="820"/>
      <c r="W28" s="829"/>
      <c r="AF28" s="31"/>
      <c r="AR28" s="81">
        <f>ROW()</f>
        <v>28</v>
      </c>
    </row>
    <row r="29" spans="1:44" s="8" customFormat="1" ht="15" customHeight="1">
      <c r="B29" s="577" t="s">
        <v>772</v>
      </c>
      <c r="C29" s="267"/>
      <c r="D29" s="267"/>
      <c r="E29" s="267"/>
      <c r="G29" s="834" t="s">
        <v>352</v>
      </c>
      <c r="H29" s="14"/>
      <c r="I29" s="1168"/>
      <c r="J29" s="1166"/>
      <c r="K29" s="1166"/>
      <c r="L29" s="1166"/>
      <c r="M29" s="1166"/>
      <c r="N29" s="1167"/>
      <c r="P29" s="856"/>
      <c r="Q29" s="820"/>
      <c r="R29" s="820"/>
      <c r="S29" s="820"/>
      <c r="T29" s="820"/>
      <c r="U29" s="820"/>
      <c r="V29" s="820"/>
      <c r="W29" s="829"/>
      <c r="AF29" s="31"/>
      <c r="AR29" s="81">
        <f>ROW()</f>
        <v>29</v>
      </c>
    </row>
    <row r="30" spans="1:44" s="8" customFormat="1" ht="15" customHeight="1">
      <c r="B30" s="577" t="s">
        <v>774</v>
      </c>
      <c r="G30" s="834" t="s">
        <v>352</v>
      </c>
      <c r="H30" s="804"/>
      <c r="I30" s="1169"/>
      <c r="J30" s="1170"/>
      <c r="K30" s="1170"/>
      <c r="L30" s="1170"/>
      <c r="M30" s="1170"/>
      <c r="N30" s="1171"/>
      <c r="P30" s="856"/>
      <c r="Q30" s="820"/>
      <c r="R30" s="820"/>
      <c r="S30" s="820"/>
      <c r="T30" s="820"/>
      <c r="U30" s="820"/>
      <c r="V30" s="859" t="s">
        <v>922</v>
      </c>
      <c r="W30" s="860" t="s">
        <v>352</v>
      </c>
      <c r="AF30" s="31"/>
      <c r="AR30" s="81">
        <f>ROW()</f>
        <v>30</v>
      </c>
    </row>
    <row r="31" spans="1:44" s="8" customFormat="1" ht="15" customHeight="1">
      <c r="B31" s="577" t="s">
        <v>493</v>
      </c>
      <c r="C31" s="187"/>
      <c r="D31" s="187"/>
      <c r="E31" s="187"/>
      <c r="G31" s="835" t="s">
        <v>352</v>
      </c>
      <c r="H31" s="806"/>
      <c r="I31" s="187"/>
      <c r="J31" s="187"/>
      <c r="K31"/>
      <c r="P31" s="864"/>
      <c r="Q31" s="858"/>
      <c r="R31" s="858"/>
      <c r="S31" s="858"/>
      <c r="T31" s="858"/>
      <c r="U31" s="858"/>
      <c r="V31" s="862" t="s">
        <v>923</v>
      </c>
      <c r="W31" s="861" t="s">
        <v>352</v>
      </c>
      <c r="AF31" s="31"/>
      <c r="AR31" s="81">
        <f>ROW()</f>
        <v>31</v>
      </c>
    </row>
    <row r="32" spans="1:44" ht="15" customHeight="1">
      <c r="A32" s="8"/>
      <c r="B32" s="144" t="s">
        <v>433</v>
      </c>
      <c r="C32" s="187"/>
      <c r="D32" s="187"/>
      <c r="E32" s="187"/>
      <c r="F32" s="8"/>
      <c r="G32" s="367" t="s">
        <v>352</v>
      </c>
      <c r="H32" s="14"/>
      <c r="AR32" s="81">
        <f>ROW()</f>
        <v>32</v>
      </c>
    </row>
    <row r="33" spans="1:44" ht="15" customHeight="1">
      <c r="B33" s="577" t="s">
        <v>531</v>
      </c>
      <c r="G33" s="835" t="s">
        <v>352</v>
      </c>
      <c r="H33" s="14"/>
      <c r="AR33" s="81">
        <f>ROW()</f>
        <v>33</v>
      </c>
    </row>
    <row r="34" spans="1:44" ht="15" customHeight="1">
      <c r="B34" s="577" t="s">
        <v>532</v>
      </c>
      <c r="G34" s="835" t="s">
        <v>352</v>
      </c>
      <c r="H34" s="14"/>
      <c r="AR34" s="81">
        <f>ROW()</f>
        <v>34</v>
      </c>
    </row>
    <row r="35" spans="1:44" ht="15" customHeight="1">
      <c r="B35" s="577" t="s">
        <v>533</v>
      </c>
      <c r="G35" s="835" t="s">
        <v>352</v>
      </c>
      <c r="H35" s="14"/>
      <c r="AR35" s="81">
        <f>ROW()</f>
        <v>35</v>
      </c>
    </row>
    <row r="36" spans="1:44" ht="15" customHeight="1">
      <c r="B36" s="14" t="s">
        <v>928</v>
      </c>
      <c r="C36" s="8"/>
      <c r="D36" s="8"/>
      <c r="E36" s="8"/>
      <c r="F36" s="8"/>
      <c r="G36" s="834" t="s">
        <v>352</v>
      </c>
      <c r="L36" s="608"/>
      <c r="M36" s="609"/>
      <c r="N36" s="609"/>
      <c r="O36" s="609"/>
      <c r="P36" s="609"/>
      <c r="Q36" s="609"/>
      <c r="R36" s="609"/>
      <c r="S36" s="609"/>
      <c r="T36" s="610"/>
      <c r="AR36" s="81">
        <f>ROW()</f>
        <v>36</v>
      </c>
    </row>
    <row r="37" spans="1:44" ht="15" customHeight="1">
      <c r="AR37" s="81">
        <f>ROW()</f>
        <v>37</v>
      </c>
    </row>
    <row r="38" spans="1:44" ht="15" customHeight="1">
      <c r="B38" s="57" t="s">
        <v>89</v>
      </c>
      <c r="AR38" s="81">
        <f>ROW()</f>
        <v>38</v>
      </c>
    </row>
    <row r="39" spans="1:44" ht="15" customHeight="1">
      <c r="C39" s="1061"/>
      <c r="D39" s="1061"/>
      <c r="E39" s="1061"/>
      <c r="F39" s="1061"/>
      <c r="G39" s="1061"/>
      <c r="H39" s="1061"/>
      <c r="I39" s="1061"/>
      <c r="J39" s="1061"/>
      <c r="AR39" s="81">
        <f>ROW()</f>
        <v>39</v>
      </c>
    </row>
    <row r="40" spans="1:44" ht="15" customHeight="1">
      <c r="B40" s="1143" t="s">
        <v>1232</v>
      </c>
      <c r="C40" s="1155"/>
      <c r="D40" s="1155"/>
      <c r="E40" s="1155"/>
      <c r="F40" s="1155"/>
      <c r="G40" s="1155"/>
      <c r="H40" s="1155"/>
      <c r="I40" s="1155"/>
      <c r="J40" s="1061"/>
      <c r="AR40" s="81">
        <f>ROW()</f>
        <v>40</v>
      </c>
    </row>
    <row r="41" spans="1:44" ht="15" customHeight="1">
      <c r="B41" s="1155"/>
      <c r="C41" s="1155"/>
      <c r="D41" s="1155"/>
      <c r="E41" s="1155"/>
      <c r="F41" s="1155"/>
      <c r="G41" s="1155"/>
      <c r="H41" s="1155"/>
      <c r="I41" s="1155"/>
      <c r="J41" s="1061"/>
      <c r="AR41" s="81">
        <f>ROW()</f>
        <v>41</v>
      </c>
    </row>
    <row r="42" spans="1:44" ht="15" customHeight="1">
      <c r="B42" s="1155"/>
      <c r="C42" s="1155"/>
      <c r="D42" s="1155"/>
      <c r="E42" s="1155"/>
      <c r="F42" s="1155"/>
      <c r="G42" s="1155"/>
      <c r="H42" s="1155"/>
      <c r="I42" s="1155"/>
      <c r="J42" s="412"/>
      <c r="AR42" s="81">
        <f>ROW()</f>
        <v>42</v>
      </c>
    </row>
    <row r="43" spans="1:44" ht="15" customHeight="1">
      <c r="B43" s="1155"/>
      <c r="C43" s="1155"/>
      <c r="D43" s="1155"/>
      <c r="E43" s="1155"/>
      <c r="F43" s="1155"/>
      <c r="G43" s="1155"/>
      <c r="H43" s="1155"/>
      <c r="I43" s="1155"/>
      <c r="J43" s="412"/>
      <c r="M43"/>
      <c r="N43"/>
      <c r="O43"/>
      <c r="P43"/>
      <c r="Q43"/>
      <c r="R43"/>
      <c r="S43"/>
      <c r="AR43" s="81">
        <f>ROW()</f>
        <v>43</v>
      </c>
    </row>
    <row r="44" spans="1:44" ht="15" customHeight="1">
      <c r="B44" s="1155"/>
      <c r="C44" s="1155"/>
      <c r="D44" s="1155"/>
      <c r="E44" s="1155"/>
      <c r="F44" s="1155"/>
      <c r="G44" s="1155"/>
      <c r="H44" s="1155"/>
      <c r="I44" s="1155"/>
      <c r="J44" s="1060"/>
      <c r="M44"/>
      <c r="N44"/>
      <c r="O44"/>
      <c r="P44"/>
      <c r="Q44"/>
      <c r="R44"/>
      <c r="S44"/>
      <c r="AR44" s="81">
        <f>ROW()</f>
        <v>44</v>
      </c>
    </row>
    <row r="45" spans="1:44" ht="15" customHeight="1">
      <c r="B45" s="1155"/>
      <c r="C45" s="1155"/>
      <c r="D45" s="1155"/>
      <c r="E45" s="1155"/>
      <c r="F45" s="1155"/>
      <c r="G45" s="1155"/>
      <c r="H45" s="1155"/>
      <c r="I45" s="1155"/>
      <c r="J45" s="1060"/>
      <c r="M45"/>
      <c r="N45"/>
      <c r="O45"/>
      <c r="P45"/>
      <c r="Q45"/>
      <c r="R45"/>
      <c r="S45"/>
      <c r="AR45" s="81">
        <f>ROW()</f>
        <v>45</v>
      </c>
    </row>
    <row r="46" spans="1:44" ht="15" customHeight="1">
      <c r="A46" s="46"/>
      <c r="AR46" s="81">
        <f>ROW()</f>
        <v>46</v>
      </c>
    </row>
    <row r="47" spans="1:44" ht="15" customHeight="1">
      <c r="B47" s="57" t="s">
        <v>23</v>
      </c>
      <c r="AR47" s="81">
        <f>ROW()</f>
        <v>47</v>
      </c>
    </row>
    <row r="48" spans="1:44" ht="15" customHeight="1">
      <c r="AR48" s="81">
        <f>ROW()</f>
        <v>48</v>
      </c>
    </row>
    <row r="49" spans="1:44" ht="15" customHeight="1">
      <c r="B49" s="1190" t="s">
        <v>725</v>
      </c>
      <c r="C49" s="1190"/>
      <c r="D49" s="1190"/>
      <c r="E49" s="1190"/>
      <c r="F49" s="1190"/>
      <c r="G49" s="1190"/>
      <c r="H49" s="1190"/>
      <c r="I49" s="1190"/>
      <c r="J49" s="1062"/>
      <c r="K49" s="190"/>
      <c r="AR49" s="81">
        <f>ROW()</f>
        <v>49</v>
      </c>
    </row>
    <row r="50" spans="1:44" ht="15" customHeight="1">
      <c r="B50" s="1190"/>
      <c r="C50" s="1190"/>
      <c r="D50" s="1190"/>
      <c r="E50" s="1190"/>
      <c r="F50" s="1190"/>
      <c r="G50" s="1190"/>
      <c r="H50" s="1190"/>
      <c r="I50" s="1190"/>
      <c r="J50" s="1062"/>
      <c r="K50" s="190"/>
      <c r="AR50" s="81">
        <f>ROW()</f>
        <v>50</v>
      </c>
    </row>
    <row r="51" spans="1:44" ht="15" customHeight="1">
      <c r="B51" s="70"/>
      <c r="C51" s="70"/>
      <c r="D51" s="70"/>
      <c r="E51" s="70"/>
      <c r="F51" s="70"/>
      <c r="AR51" s="81">
        <f>ROW()</f>
        <v>51</v>
      </c>
    </row>
    <row r="52" spans="1:44" ht="15" customHeight="1">
      <c r="B52" s="8" t="s">
        <v>751</v>
      </c>
      <c r="C52" s="207"/>
      <c r="D52" s="207"/>
      <c r="E52" s="207"/>
      <c r="F52" s="207"/>
      <c r="G52" s="207"/>
      <c r="H52" s="207"/>
      <c r="I52" s="207"/>
      <c r="J52" s="207"/>
      <c r="AR52" s="81">
        <f>ROW()</f>
        <v>52</v>
      </c>
    </row>
    <row r="53" spans="1:44" ht="15" customHeight="1">
      <c r="B53" s="104" t="s">
        <v>1235</v>
      </c>
      <c r="C53" s="105"/>
      <c r="D53" s="105"/>
      <c r="E53" s="105"/>
      <c r="F53" s="105"/>
      <c r="G53" s="105"/>
      <c r="H53" s="105"/>
      <c r="I53" s="266">
        <v>2017</v>
      </c>
      <c r="L53" s="36"/>
      <c r="AR53" s="81">
        <f>ROW()</f>
        <v>53</v>
      </c>
    </row>
    <row r="54" spans="1:44" ht="15" customHeight="1">
      <c r="B54" s="104" t="s">
        <v>1236</v>
      </c>
      <c r="C54" s="105"/>
      <c r="D54" s="105"/>
      <c r="E54" s="105"/>
      <c r="F54" s="105"/>
      <c r="G54" s="105"/>
      <c r="H54" s="105"/>
      <c r="I54" s="266">
        <v>2040</v>
      </c>
      <c r="AR54" s="81">
        <f>ROW()</f>
        <v>54</v>
      </c>
    </row>
    <row r="55" spans="1:44" ht="15" customHeight="1">
      <c r="B55" s="104"/>
      <c r="C55" s="105"/>
      <c r="D55" s="105"/>
      <c r="E55" s="105"/>
      <c r="F55" s="105"/>
      <c r="G55" s="105"/>
      <c r="H55" s="105"/>
      <c r="I55" s="246"/>
      <c r="AR55" s="81">
        <f>ROW()</f>
        <v>55</v>
      </c>
    </row>
    <row r="56" spans="1:44" s="8" customFormat="1" ht="15" customHeight="1">
      <c r="A56"/>
      <c r="B56" s="8" t="s">
        <v>846</v>
      </c>
      <c r="H56" s="70"/>
      <c r="I56" s="265">
        <f>12.5/Parameters!I18*Parameters!I19</f>
        <v>11.337868480725623</v>
      </c>
      <c r="K56" s="157"/>
      <c r="U56"/>
      <c r="V56"/>
      <c r="W56"/>
      <c r="AR56" s="81">
        <f>ROW()</f>
        <v>56</v>
      </c>
    </row>
    <row r="57" spans="1:44" ht="15" customHeight="1">
      <c r="A57" s="8"/>
      <c r="B57" s="70"/>
      <c r="C57" s="70"/>
      <c r="D57" s="70"/>
      <c r="E57" s="70"/>
      <c r="F57" s="70"/>
      <c r="G57" s="70"/>
      <c r="H57" s="70"/>
      <c r="I57" s="70"/>
      <c r="K57" s="128"/>
      <c r="AR57" s="81">
        <f>ROW()</f>
        <v>57</v>
      </c>
    </row>
    <row r="58" spans="1:44" ht="15" customHeight="1">
      <c r="B58" s="1144" t="s">
        <v>752</v>
      </c>
      <c r="C58" s="1144"/>
      <c r="D58" s="1144"/>
      <c r="E58" s="1144"/>
      <c r="F58" s="1144"/>
      <c r="G58" s="1144"/>
      <c r="H58" s="8"/>
      <c r="I58" s="71">
        <v>1</v>
      </c>
      <c r="U58" s="46"/>
      <c r="V58" s="46"/>
      <c r="W58" s="46"/>
      <c r="AR58" s="81">
        <f>ROW()</f>
        <v>58</v>
      </c>
    </row>
    <row r="59" spans="1:44" ht="15" customHeight="1">
      <c r="B59" s="1144"/>
      <c r="C59" s="1144"/>
      <c r="D59" s="1144"/>
      <c r="E59" s="1144"/>
      <c r="F59" s="1144"/>
      <c r="G59" s="1144"/>
      <c r="H59" s="8"/>
      <c r="AR59" s="81">
        <f>ROW()</f>
        <v>59</v>
      </c>
    </row>
    <row r="60" spans="1:44" ht="15" customHeight="1">
      <c r="B60" s="1143" t="str">
        <f>CONCATENATE("1. If you selected '1,' the initial tax amount in Cell J",AR56, " above will increment each year at the uniform annual rate shown in Cell J",AR60, ". Consider this a 'linear' growth path.")</f>
        <v>1. If you selected '1,' the initial tax amount in Cell J56 above will increment each year at the uniform annual rate shown in Cell J60. Consider this a 'linear' growth path.</v>
      </c>
      <c r="C60" s="1143"/>
      <c r="D60" s="1143"/>
      <c r="E60" s="1143"/>
      <c r="F60" s="1143"/>
      <c r="G60" s="1143"/>
      <c r="H60" s="92"/>
      <c r="I60" s="1180">
        <f>I56</f>
        <v>11.337868480725623</v>
      </c>
      <c r="K60" s="82"/>
      <c r="N60" s="1187" t="str">
        <f>CONCATENATE("$ figure is irrelevant if Option 2 was chosen in box in Cell J",AR58,".")</f>
        <v>$ figure is irrelevant if Option 2 was chosen in box in Cell J58.</v>
      </c>
      <c r="O60" s="1155"/>
      <c r="P60" s="1155"/>
      <c r="AR60" s="81">
        <f>ROW()</f>
        <v>60</v>
      </c>
    </row>
    <row r="61" spans="1:44" ht="15" customHeight="1">
      <c r="B61" s="1143"/>
      <c r="C61" s="1143"/>
      <c r="D61" s="1143"/>
      <c r="E61" s="1143"/>
      <c r="F61" s="1143"/>
      <c r="G61" s="1143"/>
      <c r="H61" s="92"/>
      <c r="I61" s="1181"/>
      <c r="K61" s="128"/>
      <c r="N61" s="1101"/>
      <c r="O61" s="1155"/>
      <c r="P61" s="1155"/>
      <c r="Q61"/>
      <c r="V61" s="56"/>
      <c r="W61" s="56"/>
      <c r="AR61" s="81">
        <f>ROW()</f>
        <v>61</v>
      </c>
    </row>
    <row r="62" spans="1:44" ht="15" customHeight="1">
      <c r="B62" s="84" t="str">
        <f>CONCATENATE("(Example: if initial rate in Row ",AR56, " box is $10, and increment rate in Row ",AR60, " box is $5, then Year 2 tax rate would be $15, Year 3 rate $20, etc.)")</f>
        <v>(Example: if initial rate in Row 56 box is $10, and increment rate in Row 60 box is $5, then Year 2 tax rate would be $15, Year 3 rate $20, etc.)</v>
      </c>
      <c r="K62" s="67"/>
      <c r="P62"/>
      <c r="W62" s="73"/>
      <c r="AR62" s="81">
        <f>ROW()</f>
        <v>62</v>
      </c>
    </row>
    <row r="63" spans="1:44" ht="15" customHeight="1">
      <c r="B63" s="1" t="s">
        <v>186</v>
      </c>
      <c r="K63" s="67"/>
      <c r="N63" s="1187" t="str">
        <f>CONCATENATE("% figure is irrelevant if Option 1 was chosen in box in Cell J",AR58,".")</f>
        <v>% figure is irrelevant if Option 1 was chosen in box in Cell J58.</v>
      </c>
      <c r="O63" s="1155"/>
      <c r="P63" s="1155"/>
      <c r="U63" s="14" t="s">
        <v>1239</v>
      </c>
      <c r="W63" s="73"/>
      <c r="AR63" s="81">
        <f>ROW()</f>
        <v>63</v>
      </c>
    </row>
    <row r="64" spans="1:44" ht="15" customHeight="1">
      <c r="B64" s="1143" t="s">
        <v>726</v>
      </c>
      <c r="C64" s="1143"/>
      <c r="D64" s="1143"/>
      <c r="E64" s="1143"/>
      <c r="F64" s="1143"/>
      <c r="G64" s="1143"/>
      <c r="H64" s="53"/>
      <c r="I64" s="350">
        <v>0.02</v>
      </c>
      <c r="K64" s="158"/>
      <c r="N64" s="1101"/>
      <c r="O64" s="1155"/>
      <c r="P64" s="1155"/>
      <c r="AR64" s="81">
        <f>ROW()</f>
        <v>64</v>
      </c>
    </row>
    <row r="65" spans="2:44" ht="15" customHeight="1">
      <c r="B65" s="1143"/>
      <c r="C65" s="1143"/>
      <c r="D65" s="1143"/>
      <c r="E65" s="1143"/>
      <c r="F65" s="1143"/>
      <c r="G65" s="1143"/>
      <c r="H65" s="53"/>
      <c r="J65" s="578"/>
      <c r="K65" s="158"/>
      <c r="P65"/>
      <c r="Q65"/>
      <c r="R65"/>
      <c r="AR65" s="81">
        <f>ROW()</f>
        <v>65</v>
      </c>
    </row>
    <row r="66" spans="2:44" ht="15" customHeight="1">
      <c r="B66" s="1145" t="s">
        <v>342</v>
      </c>
      <c r="C66" s="1145"/>
      <c r="D66" s="1145"/>
      <c r="E66" s="1145"/>
      <c r="F66" s="1145"/>
      <c r="G66" s="1145"/>
      <c r="H66" s="1145"/>
      <c r="I66" s="1145"/>
      <c r="AR66" s="81">
        <f>ROW()</f>
        <v>66</v>
      </c>
    </row>
    <row r="67" spans="2:44" ht="15" customHeight="1">
      <c r="B67" s="1145"/>
      <c r="C67" s="1145"/>
      <c r="D67" s="1145"/>
      <c r="E67" s="1145"/>
      <c r="F67" s="1145"/>
      <c r="G67" s="1145"/>
      <c r="H67" s="1145"/>
      <c r="I67" s="1145"/>
      <c r="R67" s="1209" t="str">
        <f>CONCATENATE("Model assumes compound avg annual ",AEO!I8, "-",AEO!N8, " inflation rate of ",ROUND(100*(AEO!S28-1),2),"% and GDP growth rate of ",ROUND(100*(AEO!S27-1),2),"%. See 'AEO' page for source and details.")</f>
        <v>Model assumes compound avg annual 2015-2040 inflation rate of 2.11% and GDP growth rate of 2.23%. See 'AEO' page for source and details.</v>
      </c>
      <c r="S67" s="1099"/>
      <c r="T67" s="1099"/>
      <c r="U67" s="1100"/>
      <c r="AR67" s="81">
        <f>ROW()</f>
        <v>67</v>
      </c>
    </row>
    <row r="68" spans="2:44" ht="15" customHeight="1">
      <c r="B68" s="207"/>
      <c r="C68" s="247"/>
      <c r="D68" s="247"/>
      <c r="E68" s="247"/>
      <c r="F68" s="247"/>
      <c r="G68" s="207"/>
      <c r="H68" s="207"/>
      <c r="K68" s="45"/>
      <c r="N68" s="1187" t="s">
        <v>354</v>
      </c>
      <c r="O68" s="1155"/>
      <c r="P68" s="1155"/>
      <c r="R68" s="1101"/>
      <c r="S68" s="1102"/>
      <c r="T68" s="1102"/>
      <c r="U68" s="1103"/>
      <c r="W68" s="126"/>
      <c r="X68" s="67"/>
      <c r="AR68" s="81">
        <f>ROW()</f>
        <v>68</v>
      </c>
    </row>
    <row r="69" spans="2:44" ht="15" customHeight="1">
      <c r="B69" s="1139" t="s">
        <v>753</v>
      </c>
      <c r="C69" s="1141"/>
      <c r="D69" s="1141"/>
      <c r="E69" s="1141"/>
      <c r="F69" s="1141"/>
      <c r="G69" s="1141"/>
      <c r="H69" s="1141"/>
      <c r="I69" s="266" t="s">
        <v>1016</v>
      </c>
      <c r="K69" s="45"/>
      <c r="N69" s="1101"/>
      <c r="O69" s="1155"/>
      <c r="P69" s="1155"/>
      <c r="R69" s="1104"/>
      <c r="S69" s="1105"/>
      <c r="T69" s="1105"/>
      <c r="U69" s="1106"/>
      <c r="W69" s="126"/>
      <c r="X69" s="67"/>
      <c r="AR69" s="81">
        <f>ROW()</f>
        <v>69</v>
      </c>
    </row>
    <row r="70" spans="2:44" ht="15" customHeight="1">
      <c r="B70" s="1141"/>
      <c r="C70" s="1141"/>
      <c r="D70" s="1141"/>
      <c r="E70" s="1141"/>
      <c r="F70" s="1141"/>
      <c r="G70" s="1141"/>
      <c r="H70" s="1141"/>
      <c r="K70" s="45"/>
      <c r="W70" s="126"/>
      <c r="X70" s="67"/>
      <c r="AR70" s="81">
        <f>ROW()</f>
        <v>70</v>
      </c>
    </row>
    <row r="71" spans="2:44" ht="15" customHeight="1">
      <c r="B71" s="1141"/>
      <c r="C71" s="1141"/>
      <c r="D71" s="1141"/>
      <c r="E71" s="1141"/>
      <c r="F71" s="1141"/>
      <c r="G71" s="1141"/>
      <c r="H71" s="1141"/>
      <c r="K71" s="45"/>
      <c r="W71" s="126"/>
      <c r="X71" s="67"/>
      <c r="AR71" s="81">
        <f>ROW()</f>
        <v>71</v>
      </c>
    </row>
    <row r="72" spans="2:44" ht="15" customHeight="1">
      <c r="B72" s="14"/>
      <c r="I72" s="45"/>
      <c r="J72" s="67"/>
      <c r="K72" s="45"/>
      <c r="M72" s="1091"/>
      <c r="N72" s="1188" t="s">
        <v>1247</v>
      </c>
      <c r="O72" s="1188"/>
      <c r="P72" s="1188"/>
      <c r="Q72" s="1188"/>
      <c r="R72" s="1188"/>
      <c r="S72" s="1188"/>
      <c r="W72" s="126"/>
      <c r="X72" s="67"/>
      <c r="AR72" s="81">
        <f>ROW()</f>
        <v>72</v>
      </c>
    </row>
    <row r="73" spans="2:44" ht="15" customHeight="1">
      <c r="B73" s="1144" t="s">
        <v>1048</v>
      </c>
      <c r="C73" s="1144"/>
      <c r="D73" s="1144"/>
      <c r="E73" s="1144"/>
      <c r="F73" s="1144"/>
      <c r="G73" s="1144"/>
      <c r="I73" s="265">
        <v>12.5</v>
      </c>
      <c r="M73" s="73"/>
      <c r="N73" s="1188"/>
      <c r="O73" s="1188"/>
      <c r="P73" s="1188"/>
      <c r="Q73" s="1188"/>
      <c r="R73" s="1188"/>
      <c r="S73" s="1188"/>
      <c r="W73" s="126"/>
      <c r="X73" s="67"/>
      <c r="AR73" s="81">
        <f>ROW()</f>
        <v>73</v>
      </c>
    </row>
    <row r="74" spans="2:44" ht="15" customHeight="1">
      <c r="B74" s="1144"/>
      <c r="C74" s="1144"/>
      <c r="D74" s="1144"/>
      <c r="E74" s="1144"/>
      <c r="F74" s="1144"/>
      <c r="G74" s="1144"/>
      <c r="K74" s="45"/>
      <c r="L74" s="45"/>
      <c r="N74" s="1188"/>
      <c r="O74" s="1188"/>
      <c r="P74" s="1188"/>
      <c r="Q74" s="1188"/>
      <c r="R74" s="1188"/>
      <c r="S74" s="1188"/>
      <c r="W74" s="126"/>
      <c r="X74" s="67"/>
      <c r="AR74" s="81">
        <f>ROW()</f>
        <v>74</v>
      </c>
    </row>
    <row r="75" spans="2:44" ht="15" customHeight="1">
      <c r="K75" s="45"/>
      <c r="L75" s="45"/>
      <c r="N75"/>
      <c r="O75"/>
      <c r="P75"/>
      <c r="Q75"/>
      <c r="R75"/>
      <c r="S75"/>
      <c r="W75" s="126"/>
      <c r="X75" s="67"/>
      <c r="AR75" s="81"/>
    </row>
    <row r="76" spans="2:44" ht="15" customHeight="1">
      <c r="B76" s="8" t="s">
        <v>1249</v>
      </c>
      <c r="I76" s="266">
        <v>2015</v>
      </c>
      <c r="K76" s="106"/>
      <c r="L76" s="45"/>
      <c r="P76" s="1151" t="s">
        <v>900</v>
      </c>
      <c r="Q76" s="1152"/>
      <c r="R76" s="1152"/>
      <c r="S76" s="1152"/>
      <c r="T76" s="1152"/>
      <c r="U76" s="1152"/>
      <c r="V76" s="1152"/>
      <c r="W76" s="1152"/>
      <c r="X76" s="1152"/>
      <c r="Y76" s="1152"/>
      <c r="Z76" s="1152"/>
      <c r="AA76" s="1152"/>
      <c r="AB76" s="1152"/>
      <c r="AC76" s="1152"/>
      <c r="AD76" s="1152"/>
      <c r="AE76" s="1152"/>
      <c r="AF76" s="1152"/>
      <c r="AG76" s="1152"/>
      <c r="AH76" s="1152"/>
      <c r="AI76" s="1152"/>
      <c r="AJ76" s="1152"/>
      <c r="AK76" s="1152"/>
      <c r="AL76" s="1152"/>
      <c r="AM76" s="1152"/>
      <c r="AN76" s="1152"/>
      <c r="AO76" s="1152"/>
      <c r="AP76" s="1153"/>
      <c r="AQ76" s="1152"/>
      <c r="AR76" s="81">
        <f>ROW()</f>
        <v>76</v>
      </c>
    </row>
    <row r="77" spans="2:44" ht="15" customHeight="1">
      <c r="I77" s="735"/>
      <c r="J77" s="735"/>
      <c r="K77" s="106"/>
      <c r="P77" s="1063"/>
      <c r="Q77" s="1064"/>
      <c r="R77" s="1065"/>
      <c r="S77" s="1064" t="s">
        <v>349</v>
      </c>
      <c r="T77" s="357" t="str">
        <f>IF(T80&gt;=$I53,"YES","NO")</f>
        <v>YES</v>
      </c>
      <c r="U77" s="357" t="str">
        <f t="shared" ref="U77:AQ77" si="0">IF(U80&gt;$I53,"YES","NO")</f>
        <v>YES</v>
      </c>
      <c r="V77" s="357" t="str">
        <f t="shared" si="0"/>
        <v>YES</v>
      </c>
      <c r="W77" s="357" t="str">
        <f t="shared" si="0"/>
        <v>YES</v>
      </c>
      <c r="X77" s="357" t="str">
        <f t="shared" si="0"/>
        <v>YES</v>
      </c>
      <c r="Y77" s="357" t="str">
        <f t="shared" si="0"/>
        <v>YES</v>
      </c>
      <c r="Z77" s="357" t="str">
        <f t="shared" si="0"/>
        <v>YES</v>
      </c>
      <c r="AA77" s="357" t="str">
        <f t="shared" si="0"/>
        <v>YES</v>
      </c>
      <c r="AB77" s="357" t="str">
        <f t="shared" si="0"/>
        <v>YES</v>
      </c>
      <c r="AC77" s="357" t="str">
        <f t="shared" si="0"/>
        <v>YES</v>
      </c>
      <c r="AD77" s="357" t="str">
        <f t="shared" si="0"/>
        <v>YES</v>
      </c>
      <c r="AE77" s="357" t="str">
        <f t="shared" si="0"/>
        <v>YES</v>
      </c>
      <c r="AF77" s="357" t="str">
        <f t="shared" si="0"/>
        <v>YES</v>
      </c>
      <c r="AG77" s="357" t="str">
        <f t="shared" si="0"/>
        <v>YES</v>
      </c>
      <c r="AH77" s="357" t="str">
        <f t="shared" si="0"/>
        <v>YES</v>
      </c>
      <c r="AI77" s="357" t="str">
        <f t="shared" si="0"/>
        <v>YES</v>
      </c>
      <c r="AJ77" s="357" t="str">
        <f t="shared" si="0"/>
        <v>YES</v>
      </c>
      <c r="AK77" s="357" t="str">
        <f t="shared" si="0"/>
        <v>YES</v>
      </c>
      <c r="AL77" s="357" t="str">
        <f t="shared" si="0"/>
        <v>YES</v>
      </c>
      <c r="AM77" s="357" t="str">
        <f t="shared" si="0"/>
        <v>YES</v>
      </c>
      <c r="AN77" s="357" t="str">
        <f t="shared" si="0"/>
        <v>YES</v>
      </c>
      <c r="AO77" s="357" t="str">
        <f t="shared" si="0"/>
        <v>YES</v>
      </c>
      <c r="AP77" s="357" t="str">
        <f t="shared" si="0"/>
        <v>YES</v>
      </c>
      <c r="AQ77" s="358" t="str">
        <f t="shared" si="0"/>
        <v>YES</v>
      </c>
      <c r="AR77" s="81">
        <f>ROW()</f>
        <v>77</v>
      </c>
    </row>
    <row r="78" spans="2:44" ht="15" customHeight="1">
      <c r="B78" s="1144" t="s">
        <v>1001</v>
      </c>
      <c r="C78" s="1182"/>
      <c r="D78" s="1182"/>
      <c r="E78" s="1182"/>
      <c r="F78" s="1182"/>
      <c r="G78" s="1182"/>
      <c r="H78" s="1182"/>
      <c r="I78" s="1182"/>
      <c r="J78" s="1182"/>
      <c r="K78" s="106"/>
      <c r="P78" s="1066"/>
      <c r="Q78" s="385"/>
      <c r="R78" s="361"/>
      <c r="S78" s="385" t="s">
        <v>348</v>
      </c>
      <c r="T78" s="359" t="str">
        <f t="shared" ref="T78:AQ78" si="1">IF(T80&gt;$I54,"YES","NO")</f>
        <v>NO</v>
      </c>
      <c r="U78" s="359" t="str">
        <f t="shared" si="1"/>
        <v>NO</v>
      </c>
      <c r="V78" s="359" t="str">
        <f t="shared" si="1"/>
        <v>NO</v>
      </c>
      <c r="W78" s="359" t="str">
        <f t="shared" si="1"/>
        <v>NO</v>
      </c>
      <c r="X78" s="359" t="str">
        <f t="shared" si="1"/>
        <v>NO</v>
      </c>
      <c r="Y78" s="359" t="str">
        <f t="shared" si="1"/>
        <v>NO</v>
      </c>
      <c r="Z78" s="359" t="str">
        <f t="shared" si="1"/>
        <v>NO</v>
      </c>
      <c r="AA78" s="359" t="str">
        <f t="shared" si="1"/>
        <v>NO</v>
      </c>
      <c r="AB78" s="359" t="str">
        <f t="shared" si="1"/>
        <v>NO</v>
      </c>
      <c r="AC78" s="359" t="str">
        <f t="shared" si="1"/>
        <v>NO</v>
      </c>
      <c r="AD78" s="359" t="str">
        <f t="shared" si="1"/>
        <v>NO</v>
      </c>
      <c r="AE78" s="359" t="str">
        <f t="shared" si="1"/>
        <v>NO</v>
      </c>
      <c r="AF78" s="359" t="str">
        <f t="shared" si="1"/>
        <v>NO</v>
      </c>
      <c r="AG78" s="359" t="str">
        <f t="shared" si="1"/>
        <v>NO</v>
      </c>
      <c r="AH78" s="359" t="str">
        <f t="shared" si="1"/>
        <v>NO</v>
      </c>
      <c r="AI78" s="359" t="str">
        <f t="shared" si="1"/>
        <v>NO</v>
      </c>
      <c r="AJ78" s="359" t="str">
        <f t="shared" si="1"/>
        <v>NO</v>
      </c>
      <c r="AK78" s="359" t="str">
        <f t="shared" si="1"/>
        <v>NO</v>
      </c>
      <c r="AL78" s="359" t="str">
        <f t="shared" si="1"/>
        <v>NO</v>
      </c>
      <c r="AM78" s="359" t="str">
        <f t="shared" si="1"/>
        <v>NO</v>
      </c>
      <c r="AN78" s="359" t="str">
        <f t="shared" si="1"/>
        <v>NO</v>
      </c>
      <c r="AO78" s="359" t="str">
        <f t="shared" si="1"/>
        <v>NO</v>
      </c>
      <c r="AP78" s="359" t="str">
        <f t="shared" si="1"/>
        <v>NO</v>
      </c>
      <c r="AQ78" s="360" t="str">
        <f t="shared" si="1"/>
        <v>NO</v>
      </c>
      <c r="AR78" s="81">
        <f>ROW()</f>
        <v>78</v>
      </c>
    </row>
    <row r="79" spans="2:44" ht="15" customHeight="1">
      <c r="B79" s="1182"/>
      <c r="C79" s="1182"/>
      <c r="D79" s="1182"/>
      <c r="E79" s="1182"/>
      <c r="F79" s="1182"/>
      <c r="G79" s="1182"/>
      <c r="H79" s="1182"/>
      <c r="I79" s="1182"/>
      <c r="J79" s="1182"/>
      <c r="K79" s="45"/>
      <c r="L79" s="45"/>
      <c r="O79" s="126"/>
      <c r="P79" s="386"/>
      <c r="Q79" s="387"/>
      <c r="R79" s="387"/>
      <c r="S79" s="388"/>
      <c r="T79" s="387">
        <f>IF(T77="NO",0,(IF(AND(T77="YES",T78="NO"),1,1)))</f>
        <v>1</v>
      </c>
      <c r="U79" s="387">
        <f t="shared" ref="U79" si="2">IF(U77="NO",0,(IF(AND(U77="YES",U78="NO"),T79+1,T79)))</f>
        <v>2</v>
      </c>
      <c r="V79" s="387">
        <f t="shared" ref="V79:AQ79" si="3">IF(V77="NO",0,(IF(AND(V77="YES",V78="NO"),U79+1,U79)))</f>
        <v>3</v>
      </c>
      <c r="W79" s="387">
        <f t="shared" si="3"/>
        <v>4</v>
      </c>
      <c r="X79" s="387">
        <f t="shared" si="3"/>
        <v>5</v>
      </c>
      <c r="Y79" s="387">
        <f t="shared" si="3"/>
        <v>6</v>
      </c>
      <c r="Z79" s="387">
        <f t="shared" si="3"/>
        <v>7</v>
      </c>
      <c r="AA79" s="387">
        <f t="shared" si="3"/>
        <v>8</v>
      </c>
      <c r="AB79" s="387">
        <f t="shared" si="3"/>
        <v>9</v>
      </c>
      <c r="AC79" s="387">
        <f t="shared" si="3"/>
        <v>10</v>
      </c>
      <c r="AD79" s="387">
        <f t="shared" si="3"/>
        <v>11</v>
      </c>
      <c r="AE79" s="387">
        <f t="shared" si="3"/>
        <v>12</v>
      </c>
      <c r="AF79" s="387">
        <f t="shared" si="3"/>
        <v>13</v>
      </c>
      <c r="AG79" s="387">
        <f t="shared" si="3"/>
        <v>14</v>
      </c>
      <c r="AH79" s="387">
        <f t="shared" si="3"/>
        <v>15</v>
      </c>
      <c r="AI79" s="387">
        <f t="shared" si="3"/>
        <v>16</v>
      </c>
      <c r="AJ79" s="387">
        <f t="shared" si="3"/>
        <v>17</v>
      </c>
      <c r="AK79" s="387">
        <f t="shared" si="3"/>
        <v>18</v>
      </c>
      <c r="AL79" s="387">
        <f t="shared" si="3"/>
        <v>19</v>
      </c>
      <c r="AM79" s="387">
        <f t="shared" si="3"/>
        <v>20</v>
      </c>
      <c r="AN79" s="387">
        <f t="shared" si="3"/>
        <v>21</v>
      </c>
      <c r="AO79" s="387">
        <f t="shared" si="3"/>
        <v>22</v>
      </c>
      <c r="AP79" s="387">
        <f t="shared" si="3"/>
        <v>23</v>
      </c>
      <c r="AQ79" s="388">
        <f t="shared" si="3"/>
        <v>24</v>
      </c>
      <c r="AR79" s="81">
        <f>ROW()</f>
        <v>79</v>
      </c>
    </row>
    <row r="80" spans="2:44" ht="15" customHeight="1">
      <c r="K80" s="45"/>
      <c r="O80" s="155"/>
      <c r="P80" s="389"/>
      <c r="Q80" s="390"/>
      <c r="R80" s="390"/>
      <c r="S80" s="391"/>
      <c r="T80" s="390">
        <f>I53</f>
        <v>2017</v>
      </c>
      <c r="U80" s="390">
        <f t="shared" ref="U80:AQ80" si="4">T80+1</f>
        <v>2018</v>
      </c>
      <c r="V80" s="390">
        <f t="shared" si="4"/>
        <v>2019</v>
      </c>
      <c r="W80" s="390">
        <f t="shared" si="4"/>
        <v>2020</v>
      </c>
      <c r="X80" s="390">
        <f t="shared" si="4"/>
        <v>2021</v>
      </c>
      <c r="Y80" s="390">
        <f t="shared" si="4"/>
        <v>2022</v>
      </c>
      <c r="Z80" s="390">
        <f t="shared" si="4"/>
        <v>2023</v>
      </c>
      <c r="AA80" s="390">
        <f t="shared" si="4"/>
        <v>2024</v>
      </c>
      <c r="AB80" s="390">
        <f t="shared" si="4"/>
        <v>2025</v>
      </c>
      <c r="AC80" s="390">
        <f t="shared" si="4"/>
        <v>2026</v>
      </c>
      <c r="AD80" s="390">
        <f t="shared" si="4"/>
        <v>2027</v>
      </c>
      <c r="AE80" s="390">
        <f t="shared" si="4"/>
        <v>2028</v>
      </c>
      <c r="AF80" s="390">
        <f t="shared" si="4"/>
        <v>2029</v>
      </c>
      <c r="AG80" s="390">
        <f t="shared" si="4"/>
        <v>2030</v>
      </c>
      <c r="AH80" s="390">
        <f t="shared" si="4"/>
        <v>2031</v>
      </c>
      <c r="AI80" s="390">
        <f t="shared" si="4"/>
        <v>2032</v>
      </c>
      <c r="AJ80" s="390">
        <f t="shared" si="4"/>
        <v>2033</v>
      </c>
      <c r="AK80" s="390">
        <f t="shared" si="4"/>
        <v>2034</v>
      </c>
      <c r="AL80" s="390">
        <f t="shared" si="4"/>
        <v>2035</v>
      </c>
      <c r="AM80" s="390">
        <f t="shared" si="4"/>
        <v>2036</v>
      </c>
      <c r="AN80" s="390">
        <f t="shared" si="4"/>
        <v>2037</v>
      </c>
      <c r="AO80" s="390">
        <f t="shared" si="4"/>
        <v>2038</v>
      </c>
      <c r="AP80" s="390">
        <f t="shared" si="4"/>
        <v>2039</v>
      </c>
      <c r="AQ80" s="391">
        <f t="shared" si="4"/>
        <v>2040</v>
      </c>
      <c r="AR80" s="81">
        <f>ROW()</f>
        <v>80</v>
      </c>
    </row>
    <row r="81" spans="1:44" ht="15" customHeight="1">
      <c r="B81" s="208" t="s">
        <v>346</v>
      </c>
      <c r="O81" s="1071" t="s">
        <v>347</v>
      </c>
      <c r="P81" s="1067"/>
      <c r="Q81" s="392"/>
      <c r="R81" s="361"/>
      <c r="S81" s="385" t="s">
        <v>452</v>
      </c>
      <c r="T81" s="392">
        <f t="shared" ref="T81:AQ81" si="5">IF($I58=1,MAX(0,$I$56*MIN(1,T79)+$I$60*(T79-1)),IF(T79=0,0,($I$56*(1+$I$64)^(T79-1))))</f>
        <v>11.337868480725623</v>
      </c>
      <c r="U81" s="392">
        <f t="shared" si="5"/>
        <v>22.675736961451246</v>
      </c>
      <c r="V81" s="392">
        <f t="shared" si="5"/>
        <v>34.013605442176868</v>
      </c>
      <c r="W81" s="392">
        <f t="shared" si="5"/>
        <v>45.351473922902493</v>
      </c>
      <c r="X81" s="392">
        <f t="shared" si="5"/>
        <v>56.689342403628117</v>
      </c>
      <c r="Y81" s="392">
        <f t="shared" si="5"/>
        <v>68.027210884353735</v>
      </c>
      <c r="Z81" s="392">
        <f t="shared" si="5"/>
        <v>79.365079365079353</v>
      </c>
      <c r="AA81" s="392">
        <f t="shared" si="5"/>
        <v>90.702947845804985</v>
      </c>
      <c r="AB81" s="392">
        <f t="shared" si="5"/>
        <v>102.0408163265306</v>
      </c>
      <c r="AC81" s="392">
        <f t="shared" si="5"/>
        <v>113.37868480725622</v>
      </c>
      <c r="AD81" s="392">
        <f t="shared" si="5"/>
        <v>124.71655328798185</v>
      </c>
      <c r="AE81" s="392">
        <f t="shared" si="5"/>
        <v>136.05442176870747</v>
      </c>
      <c r="AF81" s="392">
        <f t="shared" si="5"/>
        <v>147.3922902494331</v>
      </c>
      <c r="AG81" s="392">
        <f t="shared" si="5"/>
        <v>158.73015873015873</v>
      </c>
      <c r="AH81" s="392">
        <f t="shared" si="5"/>
        <v>170.06802721088437</v>
      </c>
      <c r="AI81" s="392">
        <f t="shared" si="5"/>
        <v>181.40589569160997</v>
      </c>
      <c r="AJ81" s="392">
        <f t="shared" si="5"/>
        <v>192.7437641723356</v>
      </c>
      <c r="AK81" s="392">
        <f t="shared" si="5"/>
        <v>204.08163265306123</v>
      </c>
      <c r="AL81" s="392">
        <f t="shared" si="5"/>
        <v>215.41950113378684</v>
      </c>
      <c r="AM81" s="392">
        <f t="shared" si="5"/>
        <v>226.75736961451247</v>
      </c>
      <c r="AN81" s="392">
        <f t="shared" si="5"/>
        <v>238.0952380952381</v>
      </c>
      <c r="AO81" s="392">
        <f t="shared" si="5"/>
        <v>249.43310657596371</v>
      </c>
      <c r="AP81" s="392">
        <f t="shared" si="5"/>
        <v>260.77097505668934</v>
      </c>
      <c r="AQ81" s="393">
        <f t="shared" si="5"/>
        <v>272.10884353741494</v>
      </c>
      <c r="AR81" s="81">
        <f>ROW()</f>
        <v>81</v>
      </c>
    </row>
    <row r="82" spans="1:44" ht="15" customHeight="1">
      <c r="B82" s="208" t="s">
        <v>1240</v>
      </c>
      <c r="C82" s="105"/>
      <c r="O82" s="1071" t="str">
        <f>CONCATENATE("Reflects inflator (escalator) if Cell J",Summary!$AR$69, " was set to &lt;Real&gt;. Inflator starts in first tax year.")</f>
        <v>Reflects inflator (escalator) if Cell J69 was set to &lt;Real&gt;. Inflator starts in first tax year.</v>
      </c>
      <c r="P82" s="1067"/>
      <c r="Q82" s="392"/>
      <c r="R82" s="361"/>
      <c r="S82" s="385" t="s">
        <v>453</v>
      </c>
      <c r="T82" s="392">
        <f>T81*IF($I$69="Real",(AEO!$S$28)^(T80-$I$53),1)</f>
        <v>11.337868480725623</v>
      </c>
      <c r="U82" s="392">
        <f>U81*IF($I$69="Real",(AEO!$S$28)^(U80-$I$53),1)</f>
        <v>23.153901748198756</v>
      </c>
      <c r="V82" s="392">
        <f>V81*IF($I$69="Real",(AEO!$S$28)^(V80-$I$53),1)</f>
        <v>35.463224441830718</v>
      </c>
      <c r="W82" s="392">
        <f>W81*IF($I$69="Real",(AEO!$S$28)^(W80-$I$53),1)</f>
        <v>48.28138644674759</v>
      </c>
      <c r="X82" s="392">
        <f>X81*IF($I$69="Real",(AEO!$S$28)^(X80-$I$53),1)</f>
        <v>61.624374102771327</v>
      </c>
      <c r="Y82" s="392">
        <f>Y81*IF($I$69="Real",(AEO!$S$28)^(Y80-$I$53),1)</f>
        <v>75.508621697038407</v>
      </c>
      <c r="Z82" s="392">
        <f>Z81*IF($I$69="Real",(AEO!$S$28)^(Z80-$I$53),1)</f>
        <v>89.951023247233749</v>
      </c>
      <c r="AA82" s="392">
        <f>AA81*IF($I$69="Real",(AEO!$S$28)^(AA80-$I$53),1)</f>
        <v>104.96894458258619</v>
      </c>
      <c r="AB82" s="392">
        <f>AB81*IF($I$69="Real",(AEO!$S$28)^(AB80-$I$53),1)</f>
        <v>120.58023572994358</v>
      </c>
      <c r="AC82" s="392">
        <f>AC81*IF($I$69="Real",(AEO!$S$28)^(AC80-$I$53),1)</f>
        <v>136.80324361242219</v>
      </c>
      <c r="AD82" s="392">
        <f>AD81*IF($I$69="Real",(AEO!$S$28)^(AD80-$I$53),1)</f>
        <v>153.65682506830512</v>
      </c>
      <c r="AE82" s="392">
        <f>AE81*IF($I$69="Real",(AEO!$S$28)^(AE80-$I$53),1)</f>
        <v>171.1603601980494</v>
      </c>
      <c r="AF82" s="392">
        <f>AF81*IF($I$69="Real",(AEO!$S$28)^(AF80-$I$53),1)</f>
        <v>189.33376604745069</v>
      </c>
      <c r="AG82" s="392">
        <f>AG81*IF($I$69="Real",(AEO!$S$28)^(AG80-$I$53),1)</f>
        <v>208.19751063520698</v>
      </c>
      <c r="AH82" s="392">
        <f>AH81*IF($I$69="Real",(AEO!$S$28)^(AH80-$I$53),1)</f>
        <v>227.77262733332276</v>
      </c>
      <c r="AI82" s="392">
        <f>AI81*IF($I$69="Real",(AEO!$S$28)^(AI80-$I$53),1)</f>
        <v>248.08072960899591</v>
      </c>
      <c r="AJ82" s="392">
        <f>AJ81*IF($I$69="Real",(AEO!$S$28)^(AJ80-$I$53),1)</f>
        <v>269.1440261368387</v>
      </c>
      <c r="AK82" s="392">
        <f>AK81*IF($I$69="Real",(AEO!$S$28)^(AK80-$I$53),1)</f>
        <v>290.98533629049541</v>
      </c>
      <c r="AL82" s="392">
        <f>AL81*IF($I$69="Real",(AEO!$S$28)^(AL80-$I$53),1)</f>
        <v>313.62810602293854</v>
      </c>
      <c r="AM82" s="392">
        <f>AM81*IF($I$69="Real",(AEO!$S$28)^(AM80-$I$53),1)</f>
        <v>337.09642414494658</v>
      </c>
      <c r="AN82" s="392">
        <f>AN81*IF($I$69="Real",(AEO!$S$28)^(AN80-$I$53),1)</f>
        <v>361.41503901149451</v>
      </c>
      <c r="AO82" s="392">
        <f>AO81*IF($I$69="Real",(AEO!$S$28)^(AO80-$I$53),1)</f>
        <v>386.60937562602271</v>
      </c>
      <c r="AP82" s="392">
        <f>AP81*IF($I$69="Real",(AEO!$S$28)^(AP80-$I$53),1)</f>
        <v>412.70555317278786</v>
      </c>
      <c r="AQ82" s="393">
        <f>AQ81*IF($I$69="Real",(AEO!$S$28)^(AQ80-$I$53),1)</f>
        <v>439.73040298774407</v>
      </c>
      <c r="AR82" s="81">
        <f>ROW()</f>
        <v>82</v>
      </c>
    </row>
    <row r="83" spans="1:44" ht="15" customHeight="1">
      <c r="B83" s="208" t="str">
        <f>CONCATENATE("In ",I76, " dollars")</f>
        <v>In 2015 dollars</v>
      </c>
      <c r="C83" s="105"/>
      <c r="O83" s="1072" t="s">
        <v>1241</v>
      </c>
      <c r="P83" s="1068"/>
      <c r="Q83" s="394"/>
      <c r="R83" s="1069"/>
      <c r="S83" s="1070" t="str">
        <f>CONCATENATE("Tax level, in ",I76, " dollars:")</f>
        <v>Tax level, in 2015 dollars:</v>
      </c>
      <c r="T83" s="394">
        <f>T82/(AEO!$S$28)^(T80-$I$76)</f>
        <v>10.87441401983205</v>
      </c>
      <c r="U83" s="394">
        <f>U82/(AEO!$S$28)^(U80-$I$76)</f>
        <v>21.748828039664104</v>
      </c>
      <c r="V83" s="394">
        <f>V82/(AEO!$S$28)^(V80-$I$76)</f>
        <v>32.623242059496157</v>
      </c>
      <c r="W83" s="394">
        <f>W82/(AEO!$S$28)^(W80-$I$76)</f>
        <v>43.497656079328209</v>
      </c>
      <c r="X83" s="394">
        <f>X82/(AEO!$S$28)^(X80-$I$76)</f>
        <v>54.372070099160254</v>
      </c>
      <c r="Y83" s="394">
        <f>Y82/(AEO!$S$28)^(Y80-$I$76)</f>
        <v>65.246484118992299</v>
      </c>
      <c r="Z83" s="394">
        <f>Z82/(AEO!$S$28)^(Z80-$I$76)</f>
        <v>76.120898138824344</v>
      </c>
      <c r="AA83" s="394">
        <f>AA82/(AEO!$S$28)^(AA80-$I$76)</f>
        <v>86.995312158656404</v>
      </c>
      <c r="AB83" s="394">
        <f>AB82/(AEO!$S$28)^(AB80-$I$76)</f>
        <v>97.869726178488449</v>
      </c>
      <c r="AC83" s="394">
        <f>AC82/(AEO!$S$28)^(AC80-$I$76)</f>
        <v>108.74414019832052</v>
      </c>
      <c r="AD83" s="394">
        <f>AD82/(AEO!$S$28)^(AD80-$I$76)</f>
        <v>119.61855421815258</v>
      </c>
      <c r="AE83" s="394">
        <f>AE82/(AEO!$S$28)^(AE80-$I$76)</f>
        <v>130.4929682379846</v>
      </c>
      <c r="AF83" s="394">
        <f>AF82/(AEO!$S$28)^(AF80-$I$76)</f>
        <v>141.36738225781667</v>
      </c>
      <c r="AG83" s="394">
        <f>AG82/(AEO!$S$28)^(AG80-$I$76)</f>
        <v>152.24179627764875</v>
      </c>
      <c r="AH83" s="394">
        <f>AH82/(AEO!$S$28)^(AH80-$I$76)</f>
        <v>163.11621029748079</v>
      </c>
      <c r="AI83" s="394">
        <f>AI82/(AEO!$S$28)^(AI80-$I$76)</f>
        <v>173.99062431731281</v>
      </c>
      <c r="AJ83" s="394">
        <f>AJ82/(AEO!$S$28)^(AJ80-$I$76)</f>
        <v>184.86503833714488</v>
      </c>
      <c r="AK83" s="394">
        <f>AK82/(AEO!$S$28)^(AK80-$I$76)</f>
        <v>195.73945235697698</v>
      </c>
      <c r="AL83" s="394">
        <f>AL82/(AEO!$S$28)^(AL80-$I$76)</f>
        <v>206.61386637680897</v>
      </c>
      <c r="AM83" s="394">
        <f>AM82/(AEO!$S$28)^(AM80-$I$76)</f>
        <v>217.48828039664099</v>
      </c>
      <c r="AN83" s="394">
        <f>AN82/(AEO!$S$28)^(AN80-$I$76)</f>
        <v>228.36269441647306</v>
      </c>
      <c r="AO83" s="394">
        <f>AO82/(AEO!$S$28)^(AO80-$I$76)</f>
        <v>239.23710843630516</v>
      </c>
      <c r="AP83" s="394">
        <f>AP82/(AEO!$S$28)^(AP80-$I$76)</f>
        <v>250.11152245613718</v>
      </c>
      <c r="AQ83" s="394">
        <f>AQ82/(AEO!$S$28)^(AQ80-$I$76)</f>
        <v>260.9859364759692</v>
      </c>
      <c r="AR83" s="81">
        <f>ROW()</f>
        <v>83</v>
      </c>
    </row>
    <row r="84" spans="1:44" ht="15" customHeight="1">
      <c r="B84" s="208"/>
      <c r="C84" s="105"/>
      <c r="E84" s="31"/>
      <c r="N84" s="799"/>
      <c r="O84" s="800"/>
      <c r="P84" s="801"/>
      <c r="Q84" s="801"/>
      <c r="R84" s="801"/>
      <c r="S84" s="801"/>
      <c r="T84" s="801"/>
      <c r="U84" s="801"/>
      <c r="V84" s="801"/>
      <c r="W84" s="801"/>
      <c r="X84" s="801"/>
      <c r="Y84" s="801"/>
      <c r="Z84" s="801"/>
      <c r="AA84" s="801"/>
      <c r="AB84" s="801"/>
      <c r="AC84" s="801"/>
      <c r="AD84" s="801"/>
      <c r="AE84" s="801"/>
      <c r="AF84" s="801"/>
      <c r="AG84" s="801"/>
      <c r="AH84" s="801"/>
      <c r="AI84" s="801"/>
      <c r="AJ84" s="801"/>
      <c r="AK84" s="801"/>
      <c r="AL84" s="801"/>
      <c r="AM84" s="801"/>
      <c r="AN84" s="801"/>
      <c r="AO84" s="801"/>
      <c r="AP84" s="801"/>
      <c r="AQ84" s="801"/>
      <c r="AR84" s="81">
        <f>ROW()</f>
        <v>84</v>
      </c>
    </row>
    <row r="85" spans="1:44" ht="15" customHeight="1">
      <c r="G85" s="1143" t="str">
        <f>CONCATENATE("Figures in four rows at right reflect 'response ceiling' stipulated in Cell J",AR73, ". 'Felt' tax is tax increment to which producers and consumers are assumed to respond via demand- and supply-side elasticities assumed in the model.")</f>
        <v>Figures in four rows at right reflect 'response ceiling' stipulated in Cell J73. 'Felt' tax is tax increment to which producers and consumers are assumed to respond via demand- and supply-side elasticities assumed in the model.</v>
      </c>
      <c r="H85" s="1155"/>
      <c r="I85" s="1155"/>
      <c r="J85" s="1155"/>
      <c r="K85" s="1155"/>
      <c r="L85" s="1155"/>
      <c r="M85" s="1155"/>
      <c r="N85" s="1155"/>
      <c r="O85" s="1155"/>
      <c r="Q85" s="361"/>
      <c r="R85" s="361"/>
      <c r="S85" s="385" t="str">
        <f>CONCATENATE("'Felt' Tax Increment, ",I$76, " $:")</f>
        <v>'Felt' Tax Increment, 2015 $:</v>
      </c>
      <c r="T85" s="392">
        <f>MIN($I$73,T83)</f>
        <v>10.87441401983205</v>
      </c>
      <c r="U85" s="392">
        <f t="shared" ref="U85:AQ85" si="6">MIN($I$73,U83-T83+T87)</f>
        <v>10.874414019832054</v>
      </c>
      <c r="V85" s="392">
        <f t="shared" si="6"/>
        <v>10.874414019832052</v>
      </c>
      <c r="W85" s="392">
        <f t="shared" si="6"/>
        <v>10.874414019832052</v>
      </c>
      <c r="X85" s="392">
        <f t="shared" si="6"/>
        <v>10.874414019832045</v>
      </c>
      <c r="Y85" s="392">
        <f t="shared" si="6"/>
        <v>10.874414019832045</v>
      </c>
      <c r="Z85" s="392">
        <f t="shared" si="6"/>
        <v>10.874414019832045</v>
      </c>
      <c r="AA85" s="392">
        <f t="shared" si="6"/>
        <v>10.874414019832059</v>
      </c>
      <c r="AB85" s="392">
        <f t="shared" si="6"/>
        <v>10.874414019832045</v>
      </c>
      <c r="AC85" s="392">
        <f t="shared" si="6"/>
        <v>10.874414019832074</v>
      </c>
      <c r="AD85" s="392">
        <f t="shared" si="6"/>
        <v>10.874414019832059</v>
      </c>
      <c r="AE85" s="392">
        <f t="shared" si="6"/>
        <v>10.874414019832017</v>
      </c>
      <c r="AF85" s="392">
        <f t="shared" si="6"/>
        <v>10.874414019832074</v>
      </c>
      <c r="AG85" s="392">
        <f t="shared" si="6"/>
        <v>10.874414019832074</v>
      </c>
      <c r="AH85" s="392">
        <f t="shared" si="6"/>
        <v>10.874414019832045</v>
      </c>
      <c r="AI85" s="392">
        <f t="shared" si="6"/>
        <v>10.874414019832017</v>
      </c>
      <c r="AJ85" s="392">
        <f t="shared" si="6"/>
        <v>10.874414019832074</v>
      </c>
      <c r="AK85" s="392">
        <f t="shared" si="6"/>
        <v>10.874414019832102</v>
      </c>
      <c r="AL85" s="392">
        <f t="shared" si="6"/>
        <v>10.874414019831988</v>
      </c>
      <c r="AM85" s="392">
        <f t="shared" si="6"/>
        <v>10.874414019832017</v>
      </c>
      <c r="AN85" s="392">
        <f t="shared" si="6"/>
        <v>10.874414019832074</v>
      </c>
      <c r="AO85" s="392">
        <f t="shared" si="6"/>
        <v>10.874414019832102</v>
      </c>
      <c r="AP85" s="392">
        <f t="shared" si="6"/>
        <v>10.874414019832017</v>
      </c>
      <c r="AQ85" s="392">
        <f t="shared" si="6"/>
        <v>10.874414019832017</v>
      </c>
      <c r="AR85" s="81">
        <f>ROW()</f>
        <v>85</v>
      </c>
    </row>
    <row r="86" spans="1:44" ht="15" customHeight="1">
      <c r="G86" s="1155"/>
      <c r="H86" s="1155"/>
      <c r="I86" s="1155"/>
      <c r="J86" s="1155"/>
      <c r="K86" s="1155"/>
      <c r="L86" s="1155"/>
      <c r="M86" s="1155"/>
      <c r="N86" s="1155"/>
      <c r="O86" s="1155"/>
      <c r="Q86" s="361"/>
      <c r="R86" s="361"/>
      <c r="S86" s="385" t="str">
        <f>CONCATENATE("'Felt' Tax, ",I$76, " $:")</f>
        <v>'Felt' Tax, 2015 $:</v>
      </c>
      <c r="T86" s="392">
        <f>T85</f>
        <v>10.87441401983205</v>
      </c>
      <c r="U86" s="392">
        <f t="shared" ref="U86:AD86" si="7">U85+T86</f>
        <v>21.748828039664104</v>
      </c>
      <c r="V86" s="392">
        <f t="shared" si="7"/>
        <v>32.623242059496157</v>
      </c>
      <c r="W86" s="392">
        <f t="shared" si="7"/>
        <v>43.497656079328209</v>
      </c>
      <c r="X86" s="392">
        <f t="shared" si="7"/>
        <v>54.372070099160254</v>
      </c>
      <c r="Y86" s="392">
        <f t="shared" si="7"/>
        <v>65.246484118992299</v>
      </c>
      <c r="Z86" s="392">
        <f t="shared" si="7"/>
        <v>76.120898138824344</v>
      </c>
      <c r="AA86" s="392">
        <f t="shared" si="7"/>
        <v>86.995312158656404</v>
      </c>
      <c r="AB86" s="392">
        <f t="shared" si="7"/>
        <v>97.869726178488449</v>
      </c>
      <c r="AC86" s="392">
        <f t="shared" si="7"/>
        <v>108.74414019832052</v>
      </c>
      <c r="AD86" s="392">
        <f t="shared" si="7"/>
        <v>119.61855421815258</v>
      </c>
      <c r="AE86" s="392">
        <f t="shared" ref="AE86:AQ86" si="8">AE85+AD86</f>
        <v>130.4929682379846</v>
      </c>
      <c r="AF86" s="392">
        <f t="shared" si="8"/>
        <v>141.36738225781667</v>
      </c>
      <c r="AG86" s="392">
        <f t="shared" si="8"/>
        <v>152.24179627764875</v>
      </c>
      <c r="AH86" s="392">
        <f t="shared" si="8"/>
        <v>163.11621029748079</v>
      </c>
      <c r="AI86" s="392">
        <f t="shared" si="8"/>
        <v>173.99062431731281</v>
      </c>
      <c r="AJ86" s="392">
        <f t="shared" si="8"/>
        <v>184.86503833714488</v>
      </c>
      <c r="AK86" s="392">
        <f t="shared" si="8"/>
        <v>195.73945235697698</v>
      </c>
      <c r="AL86" s="392">
        <f t="shared" si="8"/>
        <v>206.61386637680897</v>
      </c>
      <c r="AM86" s="392">
        <f t="shared" si="8"/>
        <v>217.48828039664099</v>
      </c>
      <c r="AN86" s="392">
        <f t="shared" si="8"/>
        <v>228.36269441647306</v>
      </c>
      <c r="AO86" s="392">
        <f t="shared" si="8"/>
        <v>239.23710843630516</v>
      </c>
      <c r="AP86" s="392">
        <f t="shared" si="8"/>
        <v>250.11152245613718</v>
      </c>
      <c r="AQ86" s="392">
        <f t="shared" si="8"/>
        <v>260.9859364759692</v>
      </c>
      <c r="AR86" s="81">
        <f>ROW()</f>
        <v>86</v>
      </c>
    </row>
    <row r="87" spans="1:44" ht="15" customHeight="1">
      <c r="G87" s="1155"/>
      <c r="H87" s="1155"/>
      <c r="I87" s="1155"/>
      <c r="J87" s="1155"/>
      <c r="K87" s="1155"/>
      <c r="L87" s="1155"/>
      <c r="M87" s="1155"/>
      <c r="N87" s="1155"/>
      <c r="O87" s="1155"/>
      <c r="Q87" s="361"/>
      <c r="R87" s="361"/>
      <c r="S87" s="385" t="str">
        <f>CONCATENATE("Carryover Tax, ",I$76, " $:")</f>
        <v>Carryover Tax, 2015 $:</v>
      </c>
      <c r="T87" s="392">
        <f t="shared" ref="T87:AQ87" si="9">T83-T86</f>
        <v>0</v>
      </c>
      <c r="U87" s="392">
        <f t="shared" si="9"/>
        <v>0</v>
      </c>
      <c r="V87" s="392">
        <f t="shared" si="9"/>
        <v>0</v>
      </c>
      <c r="W87" s="392">
        <f t="shared" si="9"/>
        <v>0</v>
      </c>
      <c r="X87" s="392">
        <f t="shared" si="9"/>
        <v>0</v>
      </c>
      <c r="Y87" s="392">
        <f t="shared" si="9"/>
        <v>0</v>
      </c>
      <c r="Z87" s="392">
        <f t="shared" si="9"/>
        <v>0</v>
      </c>
      <c r="AA87" s="392">
        <f t="shared" si="9"/>
        <v>0</v>
      </c>
      <c r="AB87" s="392">
        <f t="shared" si="9"/>
        <v>0</v>
      </c>
      <c r="AC87" s="392">
        <f t="shared" si="9"/>
        <v>0</v>
      </c>
      <c r="AD87" s="392">
        <f t="shared" si="9"/>
        <v>0</v>
      </c>
      <c r="AE87" s="392">
        <f t="shared" si="9"/>
        <v>0</v>
      </c>
      <c r="AF87" s="392">
        <f t="shared" si="9"/>
        <v>0</v>
      </c>
      <c r="AG87" s="392">
        <f t="shared" si="9"/>
        <v>0</v>
      </c>
      <c r="AH87" s="392">
        <f t="shared" si="9"/>
        <v>0</v>
      </c>
      <c r="AI87" s="392">
        <f t="shared" si="9"/>
        <v>0</v>
      </c>
      <c r="AJ87" s="392">
        <f t="shared" si="9"/>
        <v>0</v>
      </c>
      <c r="AK87" s="392">
        <f t="shared" si="9"/>
        <v>0</v>
      </c>
      <c r="AL87" s="392">
        <f t="shared" si="9"/>
        <v>0</v>
      </c>
      <c r="AM87" s="392">
        <f t="shared" si="9"/>
        <v>0</v>
      </c>
      <c r="AN87" s="392">
        <f t="shared" si="9"/>
        <v>0</v>
      </c>
      <c r="AO87" s="392">
        <f t="shared" si="9"/>
        <v>0</v>
      </c>
      <c r="AP87" s="392">
        <f t="shared" si="9"/>
        <v>0</v>
      </c>
      <c r="AQ87" s="392">
        <f t="shared" si="9"/>
        <v>0</v>
      </c>
      <c r="AR87" s="81">
        <f>ROW()</f>
        <v>87</v>
      </c>
    </row>
    <row r="88" spans="1:44" ht="15" customHeight="1">
      <c r="C88" s="344"/>
      <c r="D88" s="344"/>
      <c r="G88" s="1155"/>
      <c r="H88" s="1155"/>
      <c r="I88" s="1155"/>
      <c r="J88" s="1155"/>
      <c r="K88" s="1155"/>
      <c r="L88" s="1155"/>
      <c r="M88" s="1155"/>
      <c r="N88" s="1155"/>
      <c r="O88" s="1155"/>
      <c r="Q88" s="361"/>
      <c r="R88" s="361"/>
      <c r="S88" s="385" t="s">
        <v>848</v>
      </c>
      <c r="T88" s="392">
        <f>T86*(AEO!$S$28)^(T80-2015)</f>
        <v>11.337868480725623</v>
      </c>
      <c r="U88" s="392">
        <f>U86*(AEO!$S$28)^(U80-2015)</f>
        <v>23.153901748198756</v>
      </c>
      <c r="V88" s="392">
        <f>V86*(AEO!$S$28)^(V80-2015)</f>
        <v>35.463224441830718</v>
      </c>
      <c r="W88" s="392">
        <f>W86*(AEO!$S$28)^(W80-2015)</f>
        <v>48.281386446747597</v>
      </c>
      <c r="X88" s="392">
        <f>X86*(AEO!$S$28)^(X80-2015)</f>
        <v>61.624374102771327</v>
      </c>
      <c r="Y88" s="392">
        <f>Y86*(AEO!$S$28)^(Y80-2015)</f>
        <v>75.508621697038393</v>
      </c>
      <c r="Z88" s="392">
        <f>Z86*(AEO!$S$28)^(Z80-2015)</f>
        <v>89.951023247233749</v>
      </c>
      <c r="AA88" s="392">
        <f>AA86*(AEO!$S$28)^(AA80-2015)</f>
        <v>104.96894458258619</v>
      </c>
      <c r="AB88" s="392">
        <f>AB86*(AEO!$S$28)^(AB80-2015)</f>
        <v>120.58023572994358</v>
      </c>
      <c r="AC88" s="392">
        <f>AC86*(AEO!$S$28)^(AC80-2015)</f>
        <v>136.80324361242219</v>
      </c>
      <c r="AD88" s="392">
        <f>AD86*(AEO!$S$28)^(AD80-2015)</f>
        <v>153.65682506830512</v>
      </c>
      <c r="AE88" s="392">
        <f>AE86*(AEO!$S$28)^(AE80-2015)</f>
        <v>171.1603601980494</v>
      </c>
      <c r="AF88" s="392">
        <f>AF86*(AEO!$S$28)^(AF80-2015)</f>
        <v>189.33376604745072</v>
      </c>
      <c r="AG88" s="392">
        <f>AG86*(AEO!$S$28)^(AG80-2015)</f>
        <v>208.19751063520698</v>
      </c>
      <c r="AH88" s="392">
        <f>AH86*(AEO!$S$28)^(AH80-2015)</f>
        <v>227.77262733332276</v>
      </c>
      <c r="AI88" s="392">
        <f>AI86*(AEO!$S$28)^(AI80-2015)</f>
        <v>248.08072960899591</v>
      </c>
      <c r="AJ88" s="392">
        <f>AJ86*(AEO!$S$28)^(AJ80-2015)</f>
        <v>269.1440261368387</v>
      </c>
      <c r="AK88" s="392">
        <f>AK86*(AEO!$S$28)^(AK80-2015)</f>
        <v>290.98533629049541</v>
      </c>
      <c r="AL88" s="392">
        <f>AL86*(AEO!$S$28)^(AL80-2015)</f>
        <v>313.62810602293854</v>
      </c>
      <c r="AM88" s="392">
        <f>AM86*(AEO!$S$28)^(AM80-2015)</f>
        <v>337.09642414494658</v>
      </c>
      <c r="AN88" s="392">
        <f>AN86*(AEO!$S$28)^(AN80-2015)</f>
        <v>361.41503901149451</v>
      </c>
      <c r="AO88" s="392">
        <f>AO86*(AEO!$S$28)^(AO80-2015)</f>
        <v>386.60937562602271</v>
      </c>
      <c r="AP88" s="392">
        <f>AP86*(AEO!$S$28)^(AP80-2015)</f>
        <v>412.70555317278786</v>
      </c>
      <c r="AQ88" s="392">
        <f>AQ86*(AEO!$S$28)^(AQ80-2015)</f>
        <v>439.73040298774407</v>
      </c>
      <c r="AR88" s="81">
        <f>ROW()</f>
        <v>88</v>
      </c>
    </row>
    <row r="89" spans="1:44" ht="15" customHeight="1">
      <c r="K89" s="106"/>
      <c r="L89" s="798"/>
      <c r="AR89" s="81">
        <f>ROW()</f>
        <v>89</v>
      </c>
    </row>
    <row r="90" spans="1:44" ht="15" customHeight="1">
      <c r="A90" s="67"/>
      <c r="B90" s="57" t="s">
        <v>289</v>
      </c>
      <c r="C90" s="172"/>
      <c r="D90" s="172"/>
      <c r="F90" s="1156" t="s">
        <v>491</v>
      </c>
      <c r="G90" s="1156"/>
      <c r="H90" s="1156" t="s">
        <v>492</v>
      </c>
      <c r="I90" s="1156"/>
      <c r="K90" s="106"/>
      <c r="L90" s="126"/>
      <c r="M90" s="126"/>
      <c r="N90" s="126"/>
      <c r="O90" s="126"/>
      <c r="T90" s="1156" t="s">
        <v>491</v>
      </c>
      <c r="U90" s="1156"/>
      <c r="V90" s="1156" t="s">
        <v>494</v>
      </c>
      <c r="W90" s="1156"/>
      <c r="AR90" s="81">
        <f>ROW()</f>
        <v>90</v>
      </c>
    </row>
    <row r="91" spans="1:44" ht="15" customHeight="1">
      <c r="A91" s="67"/>
      <c r="B91" s="1" t="s">
        <v>1251</v>
      </c>
      <c r="C91" s="172"/>
      <c r="D91" s="172"/>
      <c r="E91" s="172"/>
      <c r="F91" s="402"/>
      <c r="G91" s="1157" t="s">
        <v>905</v>
      </c>
      <c r="H91" s="402"/>
      <c r="I91" s="1157" t="s">
        <v>905</v>
      </c>
      <c r="L91" s="67"/>
      <c r="O91" s="172"/>
      <c r="T91" s="402"/>
      <c r="U91" s="1157" t="s">
        <v>905</v>
      </c>
      <c r="V91" s="402"/>
      <c r="W91" s="1157" t="s">
        <v>905</v>
      </c>
      <c r="AR91" s="81">
        <f>ROW()</f>
        <v>91</v>
      </c>
    </row>
    <row r="92" spans="1:44" ht="15" customHeight="1">
      <c r="A92" s="67"/>
      <c r="B92" s="208" t="s">
        <v>1250</v>
      </c>
      <c r="C92" s="172"/>
      <c r="D92" s="172"/>
      <c r="E92" s="172"/>
      <c r="F92" s="403" t="s">
        <v>904</v>
      </c>
      <c r="G92" s="1158"/>
      <c r="H92" s="403" t="s">
        <v>904</v>
      </c>
      <c r="I92" s="1158"/>
      <c r="P92" s="1" t="s">
        <v>357</v>
      </c>
      <c r="Q92"/>
      <c r="T92" s="403" t="s">
        <v>904</v>
      </c>
      <c r="U92" s="1158"/>
      <c r="V92" s="403" t="s">
        <v>904</v>
      </c>
      <c r="W92" s="1158"/>
      <c r="AR92" s="81">
        <f>ROW()</f>
        <v>92</v>
      </c>
    </row>
    <row r="93" spans="1:44" ht="15" customHeight="1">
      <c r="A93" s="67"/>
      <c r="B93" s="836" t="s">
        <v>1252</v>
      </c>
      <c r="C93" s="837"/>
      <c r="D93" s="837"/>
      <c r="E93" s="837"/>
      <c r="F93" s="841">
        <f>HLOOKUP(2030,$T$150:$AP$169,13)</f>
        <v>-0.48052935362418614</v>
      </c>
      <c r="G93" s="841">
        <f>HLOOKUP(10,$T$148:$AP$169,15)</f>
        <v>-0.41390465623343764</v>
      </c>
      <c r="H93" s="842">
        <f>ROUND(HLOOKUP(2030,$T$110:$AP$127,18)-$I$115,-1)</f>
        <v>-2790</v>
      </c>
      <c r="I93" s="842">
        <f>ROUND(HLOOKUP(10,$T$103:$AP$127,25)-$I$115,-1)</f>
        <v>-2410</v>
      </c>
      <c r="P93" s="836" t="s">
        <v>353</v>
      </c>
      <c r="Q93" s="837"/>
      <c r="R93" s="840"/>
      <c r="S93" s="840"/>
      <c r="T93" s="841">
        <f>HLOOKUP(2030,$T$184:$AP$205,15)/$I$186-1</f>
        <v>-0.31494309818007427</v>
      </c>
      <c r="U93" s="841">
        <f>HLOOKUP(10,$T$182:$AP$205,17)/$I$186-1</f>
        <v>-0.25843422414261286</v>
      </c>
      <c r="V93" s="842">
        <f>ROUND((HLOOKUP(2030,$T$184:$AP$205,15)-$I$186),-1)</f>
        <v>-6550</v>
      </c>
      <c r="W93" s="842">
        <f>ROUND((HLOOKUP(10,$T$182:$AP$205,17)-$I$186),-1)</f>
        <v>-5380</v>
      </c>
      <c r="AR93" s="81">
        <f>ROW()</f>
        <v>93</v>
      </c>
    </row>
    <row r="94" spans="1:44" ht="15" customHeight="1">
      <c r="A94" s="67"/>
      <c r="B94" s="838" t="s">
        <v>1253</v>
      </c>
      <c r="C94" s="839"/>
      <c r="D94" s="839"/>
      <c r="E94" s="839"/>
      <c r="F94" s="841">
        <f>HLOOKUP(2030,$T$150:$AP$169,3)</f>
        <v>-0.38843973074915727</v>
      </c>
      <c r="G94" s="841">
        <f>HLOOKUP(10,$T$148:$AP$169,5)</f>
        <v>-0.31540788226587835</v>
      </c>
      <c r="H94" s="842">
        <f>ROUND(HLOOKUP(2030,$T$110:$AP$138,29),-1)</f>
        <v>-1920</v>
      </c>
      <c r="I94" s="842">
        <f>ROUND(HLOOKUP(10,$T$103:$AP$138,36),-1)</f>
        <v>-1570</v>
      </c>
      <c r="P94" s="838" t="s">
        <v>1237</v>
      </c>
      <c r="Q94" s="839"/>
      <c r="R94" s="840"/>
      <c r="S94" s="840"/>
      <c r="T94" s="841">
        <f>HLOOKUP(2030,$T$184:$AP$205,15)/HLOOKUP(2030,$T$184:$AP$193,3)-1</f>
        <v>-0.25443033258306036</v>
      </c>
      <c r="U94" s="841">
        <f>HLOOKUP(10,$T$182:$AP$205,17)/HLOOKUP(10,$T$182:$AP$193,5)-1</f>
        <v>-0.19492195756985842</v>
      </c>
      <c r="V94" s="842">
        <f>ROUND((HLOOKUP(2030,$T$184:$AP$205,15)-HLOOKUP(2030,$T$184:$AP$193,3)),-1)</f>
        <v>-4860</v>
      </c>
      <c r="W94" s="842">
        <f>ROUND((HLOOKUP(10,$T$182:$AP$205,17)-HLOOKUP(10,$T$182:$AP$193,5)),-1)</f>
        <v>-3740</v>
      </c>
      <c r="AR94" s="81">
        <f>ROW()</f>
        <v>94</v>
      </c>
    </row>
    <row r="95" spans="1:44" ht="15" customHeight="1">
      <c r="A95" s="888">
        <v>1.25</v>
      </c>
      <c r="B95" s="8" t="str">
        <f>CONCATENATE("Note: 2015 U.S. CO2 emissions were approximately ",ROUND(-100*S162,1), "% below 2005 emissions.")</f>
        <v>Note: 2015 U.S. CO2 emissions were approximately 12.2% below 2005 emissions.</v>
      </c>
      <c r="C95" s="172"/>
      <c r="D95" s="172"/>
      <c r="E95" s="172"/>
      <c r="F95" s="172"/>
      <c r="G95" s="172"/>
      <c r="H95" s="172"/>
      <c r="I95" s="172"/>
      <c r="J95" s="209"/>
      <c r="L95" s="67"/>
      <c r="AR95" s="81">
        <f>ROW()</f>
        <v>95</v>
      </c>
    </row>
    <row r="96" spans="1:44" ht="15" customHeight="1">
      <c r="A96" s="67"/>
      <c r="B96" s="8"/>
      <c r="C96" s="600"/>
      <c r="D96" s="600"/>
      <c r="E96" s="600"/>
      <c r="F96" s="600"/>
      <c r="G96" s="600"/>
      <c r="H96" s="600"/>
      <c r="I96" s="600"/>
      <c r="J96" s="209"/>
      <c r="AR96" s="81">
        <f>ROW()</f>
        <v>96</v>
      </c>
    </row>
    <row r="97" spans="1:53" ht="15" customHeight="1">
      <c r="A97" s="67"/>
      <c r="B97" s="8"/>
      <c r="C97" s="542"/>
      <c r="D97" s="542"/>
      <c r="E97" s="542"/>
      <c r="F97" s="1146" t="s">
        <v>750</v>
      </c>
      <c r="G97" s="1146" t="s">
        <v>838</v>
      </c>
      <c r="H97" s="1146" t="s">
        <v>1205</v>
      </c>
      <c r="I97" s="542"/>
      <c r="AR97" s="81">
        <f>ROW()</f>
        <v>97</v>
      </c>
    </row>
    <row r="98" spans="1:53" ht="15" customHeight="1">
      <c r="A98" s="67"/>
      <c r="B98" s="8"/>
      <c r="C98" s="544"/>
      <c r="D98" s="544"/>
      <c r="E98" s="544"/>
      <c r="F98" s="1130"/>
      <c r="G98" s="1130"/>
      <c r="H98" s="1130"/>
      <c r="I98" s="544"/>
      <c r="AR98" s="81">
        <f>ROW()</f>
        <v>98</v>
      </c>
    </row>
    <row r="99" spans="1:53" ht="15" customHeight="1">
      <c r="A99" s="67"/>
      <c r="B99" s="172"/>
      <c r="C99" s="172"/>
      <c r="D99" s="172"/>
      <c r="E99" s="172"/>
      <c r="F99" s="1130"/>
      <c r="G99" s="1130"/>
      <c r="H99" s="1130"/>
      <c r="I99" s="172"/>
      <c r="AR99" s="81">
        <f>ROW()</f>
        <v>99</v>
      </c>
    </row>
    <row r="100" spans="1:53" ht="15" customHeight="1">
      <c r="A100" s="67"/>
      <c r="B100" s="1183" t="s">
        <v>1188</v>
      </c>
      <c r="C100" s="1184"/>
      <c r="D100" s="1184"/>
      <c r="E100" s="1184"/>
      <c r="F100" s="1130"/>
      <c r="G100" s="1130"/>
      <c r="H100" s="1130"/>
      <c r="I100" s="36">
        <f>I115-I116</f>
        <v>3398.705891565216</v>
      </c>
      <c r="R100"/>
      <c r="S100" s="36">
        <f>S115-S116</f>
        <v>3209.1690810128953</v>
      </c>
      <c r="AR100" s="81">
        <f>ROW()</f>
        <v>100</v>
      </c>
    </row>
    <row r="101" spans="1:53" ht="15" customHeight="1">
      <c r="A101" s="67"/>
      <c r="B101" s="1184"/>
      <c r="C101" s="1184"/>
      <c r="D101" s="1184"/>
      <c r="E101" s="1184"/>
      <c r="F101" s="1131"/>
      <c r="G101" s="1131"/>
      <c r="H101" s="1131"/>
      <c r="M101" s="179"/>
      <c r="R101" s="241"/>
      <c r="S101" s="241">
        <f>S100/I100</f>
        <v>0.94423265307459925</v>
      </c>
      <c r="T101" s="241"/>
      <c r="U101" s="241"/>
      <c r="AR101" s="81">
        <f>ROW()</f>
        <v>101</v>
      </c>
    </row>
    <row r="102" spans="1:53" ht="15" customHeight="1">
      <c r="A102" s="67"/>
      <c r="B102" s="92" t="s">
        <v>48</v>
      </c>
      <c r="C102" s="105"/>
      <c r="F102" s="353">
        <f>HLOOKUP(10,$T$148:$AP$170,16)</f>
        <v>-0.62595620111470207</v>
      </c>
      <c r="G102" s="353">
        <f>HLOOKUP(10,$T$148:$AP$160, 6)</f>
        <v>-0.48823829760251813</v>
      </c>
      <c r="H102" s="353">
        <f>HLOOKUP(10,$T$148:$AP$180, 26)</f>
        <v>0.54869536799458074</v>
      </c>
      <c r="N102" s="126"/>
      <c r="O102" s="126"/>
      <c r="P102" s="126"/>
      <c r="Q102" s="126"/>
      <c r="R102" s="126"/>
      <c r="S102" s="126"/>
      <c r="T102" s="33"/>
      <c r="AR102" s="81">
        <f>ROW()</f>
        <v>102</v>
      </c>
    </row>
    <row r="103" spans="1:53" ht="15" customHeight="1">
      <c r="A103" s="67"/>
      <c r="B103" s="92" t="s">
        <v>839</v>
      </c>
      <c r="F103" s="353">
        <f>HLOOKUP(10,$T$148:$AP$170,17)</f>
        <v>-0.20898071993612954</v>
      </c>
      <c r="G103" s="353">
        <f>HLOOKUP(10,$T$148:$AP$160, 7)</f>
        <v>-0.1517043314437847</v>
      </c>
      <c r="H103" s="353">
        <f>HLOOKUP(10,$T$148:$AP$180, 27)</f>
        <v>0.10754658850788856</v>
      </c>
      <c r="K103" s="106"/>
      <c r="N103" s="126"/>
      <c r="O103" s="126"/>
      <c r="R103" s="400"/>
      <c r="S103" s="400" t="s">
        <v>483</v>
      </c>
      <c r="T103">
        <f t="shared" ref="T103:AQ103" si="10">T$79</f>
        <v>1</v>
      </c>
      <c r="U103">
        <f t="shared" si="10"/>
        <v>2</v>
      </c>
      <c r="V103">
        <f t="shared" si="10"/>
        <v>3</v>
      </c>
      <c r="W103">
        <f t="shared" si="10"/>
        <v>4</v>
      </c>
      <c r="X103">
        <f t="shared" si="10"/>
        <v>5</v>
      </c>
      <c r="Y103">
        <f t="shared" si="10"/>
        <v>6</v>
      </c>
      <c r="Z103">
        <f t="shared" si="10"/>
        <v>7</v>
      </c>
      <c r="AA103">
        <f t="shared" si="10"/>
        <v>8</v>
      </c>
      <c r="AB103">
        <f t="shared" si="10"/>
        <v>9</v>
      </c>
      <c r="AC103">
        <f t="shared" si="10"/>
        <v>10</v>
      </c>
      <c r="AD103">
        <f t="shared" si="10"/>
        <v>11</v>
      </c>
      <c r="AE103">
        <f t="shared" si="10"/>
        <v>12</v>
      </c>
      <c r="AF103">
        <f t="shared" si="10"/>
        <v>13</v>
      </c>
      <c r="AG103">
        <f t="shared" si="10"/>
        <v>14</v>
      </c>
      <c r="AH103">
        <f t="shared" si="10"/>
        <v>15</v>
      </c>
      <c r="AI103">
        <f t="shared" si="10"/>
        <v>16</v>
      </c>
      <c r="AJ103">
        <f t="shared" si="10"/>
        <v>17</v>
      </c>
      <c r="AK103">
        <f t="shared" si="10"/>
        <v>18</v>
      </c>
      <c r="AL103">
        <f t="shared" si="10"/>
        <v>19</v>
      </c>
      <c r="AM103">
        <f t="shared" si="10"/>
        <v>20</v>
      </c>
      <c r="AN103">
        <f t="shared" si="10"/>
        <v>21</v>
      </c>
      <c r="AO103">
        <f t="shared" si="10"/>
        <v>22</v>
      </c>
      <c r="AP103">
        <f t="shared" si="10"/>
        <v>23</v>
      </c>
      <c r="AQ103">
        <f t="shared" si="10"/>
        <v>24</v>
      </c>
      <c r="AR103" s="81">
        <f>ROW()</f>
        <v>103</v>
      </c>
    </row>
    <row r="104" spans="1:53" ht="15" customHeight="1">
      <c r="A104" s="67"/>
      <c r="B104" s="92" t="s">
        <v>795</v>
      </c>
      <c r="C104" s="105"/>
      <c r="F104" s="353">
        <f>HLOOKUP(10,$T$148:$AP$170,18)</f>
        <v>-0.33263401345512489</v>
      </c>
      <c r="G104" s="353">
        <f>HLOOKUP(10,$T$148:$AP$160, 8)</f>
        <v>-0.30016799879799055</v>
      </c>
      <c r="H104" s="353">
        <f>HLOOKUP(10,$T$148:$AP$180, 28)</f>
        <v>9.3062632979724558E-2</v>
      </c>
      <c r="AR104" s="81">
        <f>ROW()</f>
        <v>104</v>
      </c>
    </row>
    <row r="105" spans="1:53" ht="15" customHeight="1">
      <c r="B105" s="92" t="s">
        <v>796</v>
      </c>
      <c r="F105" s="353">
        <f>HLOOKUP(10,$T$148:$AP$170,19)</f>
        <v>-0.42823529920265935</v>
      </c>
      <c r="G105" s="353">
        <f>HLOOKUP(10,$T$148:$AP$160, 9)</f>
        <v>-0.33834776339160194</v>
      </c>
      <c r="H105" s="353">
        <f>HLOOKUP(10,$T$148:$AP$180, 29)</f>
        <v>4.3317289602838469E-2</v>
      </c>
      <c r="M105"/>
      <c r="N105"/>
      <c r="O105"/>
      <c r="P105"/>
      <c r="Q105"/>
      <c r="R105"/>
      <c r="S105"/>
      <c r="AR105" s="81">
        <f>ROW()</f>
        <v>105</v>
      </c>
    </row>
    <row r="106" spans="1:53" ht="15" customHeight="1">
      <c r="B106" s="92" t="s">
        <v>1130</v>
      </c>
      <c r="F106" s="353">
        <f>HLOOKUP(10,$T$148:$AP$170,20)</f>
        <v>-5.5776981069950771E-2</v>
      </c>
      <c r="G106" s="353">
        <f>HLOOKUP(10,$T$148:$AP$160, 10)</f>
        <v>-8.9077884045857925E-2</v>
      </c>
      <c r="H106" s="353">
        <f>HLOOKUP(10,$T$148:$AP$180, 30)</f>
        <v>1.8009138923988918E-2</v>
      </c>
      <c r="I106" s="1125" t="s">
        <v>157</v>
      </c>
      <c r="J106" s="1125" t="s">
        <v>157</v>
      </c>
      <c r="K106" s="1125" t="s">
        <v>157</v>
      </c>
      <c r="L106" s="1125" t="s">
        <v>157</v>
      </c>
      <c r="M106" s="1125" t="s">
        <v>157</v>
      </c>
      <c r="N106" s="1125" t="s">
        <v>157</v>
      </c>
      <c r="O106" s="1133" t="s">
        <v>157</v>
      </c>
      <c r="P106" s="1125" t="s">
        <v>157</v>
      </c>
      <c r="Q106" s="1125" t="s">
        <v>157</v>
      </c>
      <c r="R106" s="1107" t="s">
        <v>157</v>
      </c>
      <c r="S106" s="1109" t="s">
        <v>366</v>
      </c>
      <c r="T106" s="1112" t="s">
        <v>80</v>
      </c>
      <c r="AR106" s="81">
        <f>ROW()</f>
        <v>106</v>
      </c>
    </row>
    <row r="107" spans="1:53" ht="15" customHeight="1">
      <c r="B107" s="92" t="s">
        <v>1182</v>
      </c>
      <c r="D107" s="6"/>
      <c r="F107" s="353">
        <f>HLOOKUP(10,$T$148:$AP$170,21)</f>
        <v>-0.22011475296372052</v>
      </c>
      <c r="G107" s="353">
        <f>HLOOKUP(10,$T$148:$AP$160, 11)</f>
        <v>-0.23448025796187769</v>
      </c>
      <c r="H107" s="353">
        <f>HLOOKUP(10,$T$148:$AP$180, 31)</f>
        <v>4.297307121990742E-2</v>
      </c>
      <c r="I107" s="1126"/>
      <c r="J107" s="1126"/>
      <c r="K107" s="1126"/>
      <c r="L107" s="1126"/>
      <c r="M107" s="1126"/>
      <c r="N107" s="1126"/>
      <c r="O107" s="1134"/>
      <c r="P107" s="1126"/>
      <c r="Q107" s="1126"/>
      <c r="R107" s="1108"/>
      <c r="S107" s="1110"/>
      <c r="T107" s="1113"/>
      <c r="V107" s="1154" t="str">
        <f>CONCATENATE("Columns extend through ",I54, ". Beyond that point (and likely before) the tax rate would almost certainly warrant adjustment.")</f>
        <v>Columns extend through 2040. Beyond that point (and likely before) the tax rate would almost certainly warrant adjustment.</v>
      </c>
      <c r="W107" s="1155"/>
      <c r="X107" s="1155"/>
      <c r="Y107" s="1155"/>
      <c r="AR107" s="81">
        <f>ROW()</f>
        <v>107</v>
      </c>
    </row>
    <row r="108" spans="1:53" ht="15" customHeight="1">
      <c r="B108" s="92" t="s">
        <v>727</v>
      </c>
      <c r="F108" s="353">
        <f>HLOOKUP(10,$T$148:$AP$170,22)</f>
        <v>-0.30712412096867603</v>
      </c>
      <c r="G108" s="353">
        <f>HLOOKUP(10,$T$148:$AP$160, 12)</f>
        <v>-0.33106245757222841</v>
      </c>
      <c r="H108" s="353">
        <f>HLOOKUP(10,$T$148:$AP$180, 32)</f>
        <v>0.12214799879276249</v>
      </c>
      <c r="I108" s="1126"/>
      <c r="J108" s="1126"/>
      <c r="K108" s="1126"/>
      <c r="L108" s="1126"/>
      <c r="M108" s="1126"/>
      <c r="N108" s="1126"/>
      <c r="O108" s="1134"/>
      <c r="P108" s="1126"/>
      <c r="Q108" s="1126"/>
      <c r="R108" s="1108"/>
      <c r="S108" s="1110"/>
      <c r="T108" s="1113"/>
      <c r="V108" s="1155"/>
      <c r="W108" s="1155"/>
      <c r="X108" s="1155"/>
      <c r="Y108" s="1155"/>
      <c r="AR108" s="81">
        <f>ROW()</f>
        <v>108</v>
      </c>
    </row>
    <row r="109" spans="1:53" ht="15" customHeight="1">
      <c r="B109" s="92" t="s">
        <v>797</v>
      </c>
      <c r="F109" s="353">
        <f>HLOOKUP(10,$T$148:$AP$170,23)</f>
        <v>-0.39793920213882894</v>
      </c>
      <c r="G109" s="353">
        <f>HLOOKUP(10,$T$148:$AP$160, 13)</f>
        <v>-0.16689615124161861</v>
      </c>
      <c r="H109" s="353">
        <f>HLOOKUP(10,$T$148:$AP$180, 33)</f>
        <v>2.4247911978308744E-2</v>
      </c>
      <c r="I109" s="1126"/>
      <c r="J109" s="1126"/>
      <c r="K109" s="1126"/>
      <c r="L109" s="1126"/>
      <c r="M109" s="1126"/>
      <c r="N109" s="1126"/>
      <c r="O109" s="1134"/>
      <c r="P109" s="1126"/>
      <c r="Q109" s="1126"/>
      <c r="R109" s="1108"/>
      <c r="S109" s="1111"/>
      <c r="T109" s="1114"/>
      <c r="U109" s="12"/>
      <c r="V109" s="1155"/>
      <c r="W109" s="1155"/>
      <c r="X109" s="1155"/>
      <c r="Y109" s="1155"/>
      <c r="AR109" s="81">
        <f>ROW()</f>
        <v>109</v>
      </c>
    </row>
    <row r="110" spans="1:53" ht="15" customHeight="1">
      <c r="B110" s="208" t="s">
        <v>91</v>
      </c>
      <c r="F110" s="354">
        <f>HLOOKUP(10,$T$148:$AP$170,15)</f>
        <v>-0.41390465623343764</v>
      </c>
      <c r="G110" s="354">
        <f>HLOOKUP(10,$T$148:$AP$160, 5)</f>
        <v>-0.31540788226587835</v>
      </c>
      <c r="H110" s="354">
        <f>SUM(H102:H109)</f>
        <v>1</v>
      </c>
      <c r="I110" s="122">
        <v>2005</v>
      </c>
      <c r="J110" s="122">
        <v>2006</v>
      </c>
      <c r="K110" s="122">
        <v>2007</v>
      </c>
      <c r="L110" s="212">
        <v>2008</v>
      </c>
      <c r="M110" s="122">
        <v>2009</v>
      </c>
      <c r="N110" s="122">
        <v>2010</v>
      </c>
      <c r="O110" s="351">
        <v>2011</v>
      </c>
      <c r="P110" s="122">
        <v>2012</v>
      </c>
      <c r="Q110" s="122">
        <v>2013</v>
      </c>
      <c r="R110" s="122">
        <v>2014</v>
      </c>
      <c r="S110" s="122">
        <v>2015</v>
      </c>
      <c r="T110" s="356">
        <f t="shared" ref="T110:AQ110" si="11">T80</f>
        <v>2017</v>
      </c>
      <c r="U110" s="12">
        <f t="shared" si="11"/>
        <v>2018</v>
      </c>
      <c r="V110" s="12">
        <f t="shared" si="11"/>
        <v>2019</v>
      </c>
      <c r="W110" s="12">
        <f t="shared" si="11"/>
        <v>2020</v>
      </c>
      <c r="X110" s="12">
        <f t="shared" si="11"/>
        <v>2021</v>
      </c>
      <c r="Y110" s="12">
        <f t="shared" si="11"/>
        <v>2022</v>
      </c>
      <c r="Z110" s="12">
        <f t="shared" si="11"/>
        <v>2023</v>
      </c>
      <c r="AA110" s="12">
        <f t="shared" si="11"/>
        <v>2024</v>
      </c>
      <c r="AB110" s="12">
        <f t="shared" si="11"/>
        <v>2025</v>
      </c>
      <c r="AC110" s="12">
        <f t="shared" si="11"/>
        <v>2026</v>
      </c>
      <c r="AD110" s="12">
        <f t="shared" si="11"/>
        <v>2027</v>
      </c>
      <c r="AE110" s="12">
        <f t="shared" si="11"/>
        <v>2028</v>
      </c>
      <c r="AF110" s="12">
        <f t="shared" si="11"/>
        <v>2029</v>
      </c>
      <c r="AG110" s="12">
        <f t="shared" si="11"/>
        <v>2030</v>
      </c>
      <c r="AH110" s="12">
        <f t="shared" si="11"/>
        <v>2031</v>
      </c>
      <c r="AI110" s="12">
        <f t="shared" si="11"/>
        <v>2032</v>
      </c>
      <c r="AJ110" s="12">
        <f t="shared" si="11"/>
        <v>2033</v>
      </c>
      <c r="AK110" s="12">
        <f t="shared" si="11"/>
        <v>2034</v>
      </c>
      <c r="AL110" s="12">
        <f t="shared" si="11"/>
        <v>2035</v>
      </c>
      <c r="AM110" s="12">
        <f t="shared" si="11"/>
        <v>2036</v>
      </c>
      <c r="AN110" s="12">
        <f t="shared" si="11"/>
        <v>2037</v>
      </c>
      <c r="AO110" s="12">
        <f t="shared" si="11"/>
        <v>2038</v>
      </c>
      <c r="AP110" s="12">
        <f t="shared" si="11"/>
        <v>2039</v>
      </c>
      <c r="AQ110" s="12">
        <f t="shared" si="11"/>
        <v>2040</v>
      </c>
      <c r="AR110" s="81">
        <f>ROW()</f>
        <v>110</v>
      </c>
    </row>
    <row r="111" spans="1:53" ht="15" customHeight="1">
      <c r="G111" s="103"/>
      <c r="H111" s="103"/>
      <c r="I111" s="12"/>
      <c r="J111" s="12"/>
      <c r="M111"/>
      <c r="N111"/>
      <c r="O111"/>
      <c r="P111"/>
      <c r="Q111"/>
      <c r="R111"/>
      <c r="S111"/>
      <c r="V111" s="12"/>
      <c r="W111" s="12"/>
      <c r="X111" s="12"/>
      <c r="Y111" s="12"/>
      <c r="Z111" s="12"/>
      <c r="AA111" s="12"/>
      <c r="AB111" s="12"/>
      <c r="AC111" s="12"/>
      <c r="AD111" s="12"/>
      <c r="AE111" s="12"/>
      <c r="AF111" s="12"/>
      <c r="AG111" s="12"/>
      <c r="AH111" s="12"/>
      <c r="AI111" s="12"/>
      <c r="AJ111" s="12"/>
      <c r="AK111" s="12"/>
      <c r="AL111" s="12"/>
      <c r="AM111" s="12"/>
      <c r="AN111" s="12"/>
      <c r="AO111" s="12"/>
      <c r="AP111" s="12"/>
      <c r="AQ111" s="12"/>
      <c r="AR111" s="81">
        <f>ROW()</f>
        <v>111</v>
      </c>
    </row>
    <row r="112" spans="1:53" ht="15" customHeight="1">
      <c r="B112" s="1" t="s">
        <v>1189</v>
      </c>
      <c r="G112" s="103"/>
      <c r="H112" s="1128" t="str">
        <f>CONCATENATE("Sector Shares of ",S110,"  Reduction from 2005")</f>
        <v>Sector Shares of 2015  Reduction from 2005</v>
      </c>
      <c r="I112" s="1079" t="s">
        <v>1216</v>
      </c>
      <c r="J112" s="1080"/>
      <c r="K112" s="1080"/>
      <c r="L112" s="1081"/>
      <c r="M112" s="1080"/>
      <c r="N112" s="1082"/>
      <c r="O112" s="1079"/>
      <c r="P112" s="1079"/>
      <c r="Q112" s="1079"/>
      <c r="R112" s="1079"/>
      <c r="S112" s="1083"/>
      <c r="T112" s="36"/>
      <c r="V112" s="12"/>
      <c r="W112" s="12"/>
      <c r="X112" s="12"/>
      <c r="Y112" s="12"/>
      <c r="Z112" s="12"/>
      <c r="AA112" s="12"/>
      <c r="AB112" s="12"/>
      <c r="AC112" s="12"/>
      <c r="AD112" s="12"/>
      <c r="AE112" s="12"/>
      <c r="AF112" s="12"/>
      <c r="AG112" s="12"/>
      <c r="AH112" s="12"/>
      <c r="AI112" s="12"/>
      <c r="AJ112" s="12"/>
      <c r="AK112" s="12"/>
      <c r="AL112" s="12"/>
      <c r="AM112" s="12"/>
      <c r="AN112" s="12"/>
      <c r="AO112" s="12"/>
      <c r="AP112" s="12"/>
      <c r="AQ112" s="12"/>
      <c r="AR112" s="81">
        <f>ROW()</f>
        <v>112</v>
      </c>
      <c r="AT112" s="1098" t="str">
        <f>CONCATENATE("Screenshot from EIA Annual Energy Outlook (AEO) 2015, showing forceast of 5,549 million metric tons of CO2 for 2040 under 'business as usual' (no carbon price, " &amp; "no Clean Power Plan). Our baseline f/c of ",ROUNDDOWN(AQ115/1000,0), ",",ROUND(AQ115-1000*ROUNDDOWN(AQ115/1000,0),0), " shown at left in Cell AQ",AR115, " matches that figure more or less exactly.")</f>
        <v>Screenshot from EIA Annual Energy Outlook (AEO) 2015, showing forceast of 5,549 million metric tons of CO2 for 2040 under 'business as usual' (no carbon price, no Clean Power Plan). Our baseline f/c of 4,982 shown at left in Cell AQ115 matches that figure more or less exactly.</v>
      </c>
      <c r="AU112" s="1099"/>
      <c r="AV112" s="1099"/>
      <c r="AW112" s="1099"/>
      <c r="AX112" s="1099"/>
      <c r="AY112" s="1099"/>
      <c r="AZ112" s="1099"/>
      <c r="BA112" s="1100"/>
    </row>
    <row r="113" spans="1:53" ht="15" customHeight="1">
      <c r="F113" s="1132" t="s">
        <v>907</v>
      </c>
      <c r="G113" s="1132"/>
      <c r="H113" s="1129"/>
      <c r="I113" s="1073" t="s">
        <v>1215</v>
      </c>
      <c r="J113" s="1074"/>
      <c r="K113" s="1074"/>
      <c r="L113" s="1075"/>
      <c r="M113" s="1074"/>
      <c r="N113" s="432"/>
      <c r="O113" s="432"/>
      <c r="P113" s="432"/>
      <c r="Q113" s="432"/>
      <c r="R113" s="432"/>
      <c r="S113" s="432"/>
      <c r="T113" s="432"/>
      <c r="U113" s="432"/>
      <c r="V113" s="1076"/>
      <c r="W113" s="1077"/>
      <c r="X113" s="12"/>
      <c r="Y113" s="12"/>
      <c r="Z113" s="12"/>
      <c r="AA113" s="12"/>
      <c r="AB113" s="12"/>
      <c r="AC113" s="12"/>
      <c r="AD113" s="12"/>
      <c r="AE113" s="12"/>
      <c r="AF113" s="12"/>
      <c r="AG113" s="12"/>
      <c r="AH113" s="12"/>
      <c r="AI113" s="12"/>
      <c r="AJ113" s="12"/>
      <c r="AK113" s="12"/>
      <c r="AL113" s="12"/>
      <c r="AM113" s="12"/>
      <c r="AN113" s="12"/>
      <c r="AO113" s="12"/>
      <c r="AP113" s="12"/>
      <c r="AQ113" s="12"/>
      <c r="AR113" s="81">
        <f>ROW()</f>
        <v>113</v>
      </c>
      <c r="AT113" s="1101"/>
      <c r="AU113" s="1102"/>
      <c r="AV113" s="1102"/>
      <c r="AW113" s="1102"/>
      <c r="AX113" s="1102"/>
      <c r="AY113" s="1102"/>
      <c r="AZ113" s="1102"/>
      <c r="BA113" s="1103"/>
    </row>
    <row r="114" spans="1:53" s="31" customFormat="1" ht="15" customHeight="1">
      <c r="A114"/>
      <c r="B114" s="559" t="s">
        <v>906</v>
      </c>
      <c r="F114" s="1124" t="s">
        <v>728</v>
      </c>
      <c r="G114" s="1124"/>
      <c r="H114" s="1130"/>
      <c r="I114" s="12" t="s">
        <v>275</v>
      </c>
      <c r="J114" s="12" t="s">
        <v>275</v>
      </c>
      <c r="K114" s="12" t="s">
        <v>275</v>
      </c>
      <c r="L114" s="12" t="s">
        <v>275</v>
      </c>
      <c r="M114" s="178" t="s">
        <v>275</v>
      </c>
      <c r="N114" s="178" t="s">
        <v>275</v>
      </c>
      <c r="O114" s="12" t="s">
        <v>275</v>
      </c>
      <c r="P114" s="12" t="s">
        <v>275</v>
      </c>
      <c r="Q114" s="12" t="s">
        <v>275</v>
      </c>
      <c r="R114" s="12" t="s">
        <v>275</v>
      </c>
      <c r="S114" s="12" t="s">
        <v>382</v>
      </c>
      <c r="T114" s="12" t="s">
        <v>276</v>
      </c>
      <c r="U114" s="33"/>
      <c r="V114" s="33"/>
      <c r="W114" s="33"/>
      <c r="X114" s="33"/>
      <c r="Y114" s="33"/>
      <c r="Z114" s="33"/>
      <c r="AA114" s="33"/>
      <c r="AB114" s="33"/>
      <c r="AC114" s="33"/>
      <c r="AD114" s="33"/>
      <c r="AE114" s="33"/>
      <c r="AF114" s="33"/>
      <c r="AG114" s="33"/>
      <c r="AH114" s="33"/>
      <c r="AI114" s="33"/>
      <c r="AJ114" s="33"/>
      <c r="AK114" s="33"/>
      <c r="AL114" s="33"/>
      <c r="AM114" s="33"/>
      <c r="AN114" s="33"/>
      <c r="AO114" s="33"/>
      <c r="AP114" s="33"/>
      <c r="AQ114" s="33"/>
      <c r="AR114" s="81">
        <f>ROW()</f>
        <v>114</v>
      </c>
      <c r="AT114" s="1104"/>
      <c r="AU114" s="1105"/>
      <c r="AV114" s="1105"/>
      <c r="AW114" s="1105"/>
      <c r="AX114" s="1105"/>
      <c r="AY114" s="1105"/>
      <c r="AZ114" s="1105"/>
      <c r="BA114" s="1106"/>
    </row>
    <row r="115" spans="1:53" s="8" customFormat="1" ht="15" customHeight="1">
      <c r="A115" s="31"/>
      <c r="B115" s="8" t="s">
        <v>96</v>
      </c>
      <c r="F115" s="573">
        <f>I110</f>
        <v>2005</v>
      </c>
      <c r="G115" s="573">
        <f>S110</f>
        <v>2015</v>
      </c>
      <c r="H115" s="1131"/>
      <c r="I115" s="378">
        <f t="shared" ref="I115:AP115" si="12">SUM(I116:I123)</f>
        <v>5811.705891565216</v>
      </c>
      <c r="J115" s="378">
        <f t="shared" si="12"/>
        <v>5741.3947512468221</v>
      </c>
      <c r="K115" s="378">
        <f t="shared" si="12"/>
        <v>5831.6621575089175</v>
      </c>
      <c r="L115" s="378">
        <f t="shared" si="12"/>
        <v>5629.4402855458411</v>
      </c>
      <c r="M115" s="378">
        <f t="shared" si="12"/>
        <v>5237.9790874120499</v>
      </c>
      <c r="N115" s="378">
        <f t="shared" si="12"/>
        <v>5421.3546132287674</v>
      </c>
      <c r="O115" s="378">
        <f t="shared" si="12"/>
        <v>5271.9587835203365</v>
      </c>
      <c r="P115" s="378">
        <f t="shared" si="12"/>
        <v>5061.796514329073</v>
      </c>
      <c r="Q115" s="378">
        <f t="shared" si="12"/>
        <v>5210.4666515024519</v>
      </c>
      <c r="R115" s="378">
        <f t="shared" si="12"/>
        <v>5265.4112730987672</v>
      </c>
      <c r="S115" s="378">
        <f t="shared" si="12"/>
        <v>5104.5387588362364</v>
      </c>
      <c r="T115" s="107">
        <f t="shared" si="12"/>
        <v>5046.5655113504927</v>
      </c>
      <c r="U115" s="107">
        <f t="shared" si="12"/>
        <v>5029.0196091770758</v>
      </c>
      <c r="V115" s="107">
        <f t="shared" si="12"/>
        <v>5011.7661930732556</v>
      </c>
      <c r="W115" s="107">
        <f t="shared" si="12"/>
        <v>4996.6967853840397</v>
      </c>
      <c r="X115" s="107">
        <f t="shared" si="12"/>
        <v>4982.1862657830388</v>
      </c>
      <c r="Y115" s="107">
        <f t="shared" si="12"/>
        <v>4977.2427579819168</v>
      </c>
      <c r="Z115" s="107">
        <f t="shared" si="12"/>
        <v>4977.9278678765377</v>
      </c>
      <c r="AA115" s="107">
        <f t="shared" si="12"/>
        <v>4978.6434462421412</v>
      </c>
      <c r="AB115" s="107">
        <f t="shared" si="12"/>
        <v>4977.8611055325591</v>
      </c>
      <c r="AC115" s="107">
        <f t="shared" si="12"/>
        <v>4975.5375122650157</v>
      </c>
      <c r="AD115" s="107">
        <f t="shared" si="12"/>
        <v>4965.5608677201562</v>
      </c>
      <c r="AE115" s="107">
        <f t="shared" si="12"/>
        <v>4955.7415341154447</v>
      </c>
      <c r="AF115" s="107">
        <f t="shared" si="12"/>
        <v>4946.0785287498356</v>
      </c>
      <c r="AG115" s="107">
        <f t="shared" si="12"/>
        <v>4936.5708791641691</v>
      </c>
      <c r="AH115" s="107">
        <f t="shared" si="12"/>
        <v>4936.3511241774959</v>
      </c>
      <c r="AI115" s="107">
        <f t="shared" si="12"/>
        <v>4935.6671283251453</v>
      </c>
      <c r="AJ115" s="107">
        <f t="shared" si="12"/>
        <v>4935.0429486801213</v>
      </c>
      <c r="AK115" s="107">
        <f t="shared" si="12"/>
        <v>4934.4805393085126</v>
      </c>
      <c r="AL115" s="107">
        <f t="shared" si="12"/>
        <v>4933.9818621789072</v>
      </c>
      <c r="AM115" s="107">
        <f t="shared" si="12"/>
        <v>4933.5488869980691</v>
      </c>
      <c r="AN115" s="107">
        <f t="shared" si="12"/>
        <v>4933.1835910508898</v>
      </c>
      <c r="AO115" s="107">
        <f t="shared" si="12"/>
        <v>4932.8879590446841</v>
      </c>
      <c r="AP115" s="107">
        <f t="shared" si="12"/>
        <v>4932.663982957909</v>
      </c>
      <c r="AQ115" s="107">
        <f t="shared" ref="AQ115" si="13">SUM(AQ116:AQ123)</f>
        <v>4981.5623040842993</v>
      </c>
      <c r="AR115" s="81">
        <f>ROW()</f>
        <v>115</v>
      </c>
      <c r="AT115" s="38"/>
      <c r="AU115" s="39"/>
      <c r="AV115" s="39"/>
      <c r="AW115" s="39"/>
      <c r="AX115" s="39"/>
      <c r="AY115" s="39"/>
      <c r="AZ115" s="39"/>
      <c r="BA115" s="792"/>
    </row>
    <row r="116" spans="1:53" s="31" customFormat="1" ht="15" customHeight="1">
      <c r="A116" s="8"/>
      <c r="B116" s="92" t="str">
        <f>B102</f>
        <v>Electricity Generation</v>
      </c>
      <c r="F116" s="782">
        <f t="shared" ref="F116:F123" si="14">I116/I$115</f>
        <v>0.41519650942799652</v>
      </c>
      <c r="G116" s="782">
        <f t="shared" ref="G116:G123" si="15">S116/S$115</f>
        <v>0.37131066436558097</v>
      </c>
      <c r="H116" s="401">
        <f t="shared" ref="H116:H123" si="16">(S116-I116)/($S$115-$I$115)</f>
        <v>0.73197734767325462</v>
      </c>
      <c r="I116" s="33">
        <f>Electricity!I50</f>
        <v>2413</v>
      </c>
      <c r="J116" s="33">
        <f>Electricity!J50</f>
        <v>2358.6</v>
      </c>
      <c r="K116" s="33">
        <f>Electricity!K50</f>
        <v>2425.1999999999998</v>
      </c>
      <c r="L116" s="33">
        <f>Electricity!L50</f>
        <v>2372.4</v>
      </c>
      <c r="M116" s="33">
        <f>Electricity!M50</f>
        <v>2156.9999999999995</v>
      </c>
      <c r="N116" s="33">
        <f>Electricity!N50</f>
        <v>2269</v>
      </c>
      <c r="O116" s="33">
        <f>Electricity!O50</f>
        <v>2167.8000000000002</v>
      </c>
      <c r="P116" s="33">
        <f>Electricity!P50</f>
        <v>2032.1000000000001</v>
      </c>
      <c r="Q116" s="33">
        <f>Electricity!Q50</f>
        <v>2048.7000000000003</v>
      </c>
      <c r="R116" s="33">
        <f>Electricity!R50</f>
        <v>2048.3000000000002</v>
      </c>
      <c r="S116" s="33">
        <f>Electricity!S50</f>
        <v>1895.3696778233411</v>
      </c>
      <c r="T116" s="33">
        <f>Electricity!T50</f>
        <v>1861.1586581214683</v>
      </c>
      <c r="U116" s="33">
        <f>Electricity!U50</f>
        <v>1852.0367050277744</v>
      </c>
      <c r="V116" s="33">
        <f>Electricity!V50</f>
        <v>1842.9594606577998</v>
      </c>
      <c r="W116" s="33">
        <f>Electricity!W50</f>
        <v>1833.9267058841315</v>
      </c>
      <c r="X116" s="33">
        <f>Electricity!X50</f>
        <v>1822.0221212183092</v>
      </c>
      <c r="Y116" s="33">
        <f>Electricity!Y50</f>
        <v>1810.194812888346</v>
      </c>
      <c r="Z116" s="33">
        <f>Electricity!Z50</f>
        <v>1798.4442792696796</v>
      </c>
      <c r="AA116" s="33">
        <f>Electricity!AA50</f>
        <v>1786.7700219939454</v>
      </c>
      <c r="AB116" s="33">
        <f>Electricity!AB50</f>
        <v>1775.1715459278446</v>
      </c>
      <c r="AC116" s="33">
        <f>Electricity!AC50</f>
        <v>1763.6483591521385</v>
      </c>
      <c r="AD116" s="33">
        <f>Electricity!AD50</f>
        <v>1752.1999729407914</v>
      </c>
      <c r="AE116" s="33">
        <f>Electricity!AE50</f>
        <v>1740.8259017402361</v>
      </c>
      <c r="AF116" s="33">
        <f>Electricity!AF50</f>
        <v>1729.5256631487853</v>
      </c>
      <c r="AG116" s="33">
        <f>Electricity!AG50</f>
        <v>1718.2987778961697</v>
      </c>
      <c r="AH116" s="33">
        <f>Electricity!AH50</f>
        <v>1714.9228964096872</v>
      </c>
      <c r="AI116" s="33">
        <f>Electricity!AI50</f>
        <v>1711.5536473994405</v>
      </c>
      <c r="AJ116" s="33">
        <f>Electricity!AJ50</f>
        <v>1708.191017834836</v>
      </c>
      <c r="AK116" s="33">
        <f>Electricity!AK50</f>
        <v>1704.83499471088</v>
      </c>
      <c r="AL116" s="33">
        <f>Electricity!AL50</f>
        <v>1701.4855650481304</v>
      </c>
      <c r="AM116" s="33">
        <f>Electricity!AM50</f>
        <v>1698.1427158926438</v>
      </c>
      <c r="AN116" s="33">
        <f>Electricity!AN50</f>
        <v>1694.8064343159288</v>
      </c>
      <c r="AO116" s="33">
        <f>Electricity!AO50</f>
        <v>1691.4767074148926</v>
      </c>
      <c r="AP116" s="33">
        <f>Electricity!AP50</f>
        <v>1688.1535223117933</v>
      </c>
      <c r="AQ116" s="33">
        <f>Electricity!AQ50</f>
        <v>1697.821621640066</v>
      </c>
      <c r="AR116" s="81">
        <f>ROW()</f>
        <v>116</v>
      </c>
      <c r="AT116" s="452"/>
      <c r="AU116" s="349"/>
      <c r="AV116" s="349"/>
      <c r="AW116" s="349"/>
      <c r="AX116" s="349"/>
      <c r="AY116" s="349"/>
      <c r="AZ116" s="349"/>
      <c r="BA116" s="793"/>
    </row>
    <row r="117" spans="1:53" s="31" customFormat="1" ht="15" customHeight="1">
      <c r="B117" s="92" t="str">
        <f>B103</f>
        <v>Personal Ground Travel (driving, boating, rec vehicles, etc.)</v>
      </c>
      <c r="F117" s="782">
        <f t="shared" si="14"/>
        <v>0.20528998236672236</v>
      </c>
      <c r="G117" s="782">
        <f t="shared" si="15"/>
        <v>0.21524761809679194</v>
      </c>
      <c r="H117" s="401">
        <f t="shared" si="16"/>
        <v>0.1334128614174474</v>
      </c>
      <c r="I117" s="108">
        <f>'Personal Ground Travel'!I51</f>
        <v>1193.0849999999996</v>
      </c>
      <c r="J117" s="108">
        <f>'Personal Ground Travel'!J51</f>
        <v>1188.3400000000001</v>
      </c>
      <c r="K117" s="108">
        <f>'Personal Ground Travel'!K51</f>
        <v>1167.73</v>
      </c>
      <c r="L117" s="108">
        <f>'Personal Ground Travel'!L51</f>
        <v>1113.7300000000002</v>
      </c>
      <c r="M117" s="108">
        <f>'Personal Ground Travel'!M51</f>
        <v>1088.0049999999994</v>
      </c>
      <c r="N117" s="108">
        <f>'Personal Ground Travel'!N51</f>
        <v>1081.1350000000002</v>
      </c>
      <c r="O117" s="108">
        <f>'Personal Ground Travel'!O51</f>
        <v>1060.7649999999994</v>
      </c>
      <c r="P117" s="108">
        <f>'Personal Ground Travel'!P51</f>
        <v>1055.2850000000001</v>
      </c>
      <c r="Q117" s="108">
        <f>'Personal Ground Travel'!Q51</f>
        <v>1054.4699999999998</v>
      </c>
      <c r="R117" s="108">
        <f>'Personal Ground Travel'!R51</f>
        <v>1071.0550000000001</v>
      </c>
      <c r="S117" s="108">
        <f>'Personal Ground Travel'!S51</f>
        <v>1098.7398093222546</v>
      </c>
      <c r="T117" s="33">
        <f>'Personal Ground Travel'!T51</f>
        <v>1087.8366656522489</v>
      </c>
      <c r="U117" s="33">
        <f>'Personal Ground Travel'!U51</f>
        <v>1089.8009463589901</v>
      </c>
      <c r="V117" s="33">
        <f>'Personal Ground Travel'!V51</f>
        <v>1092.6886680631335</v>
      </c>
      <c r="W117" s="33">
        <f>'Personal Ground Travel'!W51</f>
        <v>1098.409859110862</v>
      </c>
      <c r="X117" s="33">
        <f>'Personal Ground Travel'!X51</f>
        <v>1094.5047215664465</v>
      </c>
      <c r="Y117" s="33">
        <f>'Personal Ground Travel'!Y51</f>
        <v>1094.6404820888908</v>
      </c>
      <c r="Z117" s="33">
        <f>'Personal Ground Travel'!Z51</f>
        <v>1100.3942505650543</v>
      </c>
      <c r="AA117" s="33">
        <f>'Personal Ground Travel'!AA51</f>
        <v>1106.0772321039178</v>
      </c>
      <c r="AB117" s="33">
        <f>'Personal Ground Travel'!AB51</f>
        <v>1110.1365804063062</v>
      </c>
      <c r="AC117" s="33">
        <f>'Personal Ground Travel'!AC51</f>
        <v>1112.5286533187825</v>
      </c>
      <c r="AD117" s="33">
        <f>'Personal Ground Travel'!AD51</f>
        <v>1107.0426455205245</v>
      </c>
      <c r="AE117" s="33">
        <f>'Personal Ground Travel'!AE51</f>
        <v>1101.6163359430432</v>
      </c>
      <c r="AF117" s="33">
        <f>'Personal Ground Travel'!AF51</f>
        <v>1096.2491150855624</v>
      </c>
      <c r="AG117" s="33">
        <f>'Personal Ground Travel'!AG51</f>
        <v>1090.9403816097897</v>
      </c>
      <c r="AH117" s="33">
        <f>'Personal Ground Travel'!AH51</f>
        <v>1084.9424292240019</v>
      </c>
      <c r="AI117" s="33">
        <f>'Personal Ground Travel'!AI51</f>
        <v>1078.6490893990172</v>
      </c>
      <c r="AJ117" s="33">
        <f>'Personal Ground Travel'!AJ51</f>
        <v>1072.3253221441321</v>
      </c>
      <c r="AK117" s="33">
        <f>'Personal Ground Travel'!AK51</f>
        <v>1065.9721099645074</v>
      </c>
      <c r="AL117" s="33">
        <f>'Personal Ground Travel'!AL51</f>
        <v>1059.5904347586597</v>
      </c>
      <c r="AM117" s="33">
        <f>'Personal Ground Travel'!AM51</f>
        <v>1053.1812775751905</v>
      </c>
      <c r="AN117" s="33">
        <f>'Personal Ground Travel'!AN51</f>
        <v>1046.7456183713812</v>
      </c>
      <c r="AO117" s="33">
        <f>'Personal Ground Travel'!AO51</f>
        <v>1040.2844357737442</v>
      </c>
      <c r="AP117" s="33">
        <f>'Personal Ground Travel'!AP51</f>
        <v>1033.7987068405948</v>
      </c>
      <c r="AQ117" s="33">
        <f>'Personal Ground Travel'!AQ51</f>
        <v>1037.9193698156428</v>
      </c>
      <c r="AR117" s="81">
        <f>ROW()</f>
        <v>117</v>
      </c>
      <c r="AT117" s="452"/>
      <c r="AU117" s="349"/>
      <c r="AV117" s="349"/>
      <c r="AW117" s="349"/>
      <c r="AX117" s="349"/>
      <c r="AY117" s="349"/>
      <c r="AZ117" s="349"/>
      <c r="BA117" s="793"/>
    </row>
    <row r="118" spans="1:53" s="31" customFormat="1" ht="15" customHeight="1">
      <c r="B118" s="92" t="str">
        <f>B104</f>
        <v>Freight (goods movement by road, rail, ship, air)</v>
      </c>
      <c r="F118" s="782">
        <f t="shared" si="14"/>
        <v>8.7790918797266984E-2</v>
      </c>
      <c r="G118" s="782">
        <f t="shared" si="15"/>
        <v>9.4049656324104516E-2</v>
      </c>
      <c r="H118" s="401">
        <f t="shared" si="16"/>
        <v>4.2613524644576621E-2</v>
      </c>
      <c r="I118" s="108">
        <f>Freight!I35</f>
        <v>510.21500000000003</v>
      </c>
      <c r="J118" s="108">
        <f>Freight!J35</f>
        <v>525.87</v>
      </c>
      <c r="K118" s="108">
        <f>Freight!K35</f>
        <v>555.97</v>
      </c>
      <c r="L118" s="108">
        <f>Freight!L35</f>
        <v>530.87</v>
      </c>
      <c r="M118" s="108">
        <f>Freight!M35</f>
        <v>475.69499999999999</v>
      </c>
      <c r="N118" s="108">
        <f>Freight!N35</f>
        <v>499.36500000000001</v>
      </c>
      <c r="O118" s="108">
        <f>Freight!O35</f>
        <v>494.53499999999997</v>
      </c>
      <c r="P118" s="108">
        <f>Freight!P35</f>
        <v>481.71499999999997</v>
      </c>
      <c r="Q118" s="108">
        <f>Freight!Q35</f>
        <v>482.33000000000004</v>
      </c>
      <c r="R118" s="108">
        <f>Freight!R35</f>
        <v>482.54500000000002</v>
      </c>
      <c r="S118" s="108">
        <f>Freight!S35</f>
        <v>480.08011596161907</v>
      </c>
      <c r="T118" s="774">
        <f>Freight!T35</f>
        <v>480.16183873664647</v>
      </c>
      <c r="U118" s="774">
        <f>Freight!U35</f>
        <v>480.2435754231268</v>
      </c>
      <c r="V118" s="774">
        <f>Freight!V35</f>
        <v>480.32532602342843</v>
      </c>
      <c r="W118" s="774">
        <f>Freight!W35</f>
        <v>480.40709053991941</v>
      </c>
      <c r="X118" s="774">
        <f>Freight!X35</f>
        <v>479.52436741685352</v>
      </c>
      <c r="Y118" s="774">
        <f>Freight!Y35</f>
        <v>480.92044856359973</v>
      </c>
      <c r="Z118" s="774">
        <f>Freight!Z35</f>
        <v>482.32059424324723</v>
      </c>
      <c r="AA118" s="774">
        <f>Freight!AA35</f>
        <v>483.72481628922532</v>
      </c>
      <c r="AB118" s="774">
        <f>Freight!AB35</f>
        <v>485.13312656941514</v>
      </c>
      <c r="AC118" s="774">
        <f>Freight!AC35</f>
        <v>486.54553698624977</v>
      </c>
      <c r="AD118" s="774">
        <f>Freight!AD35</f>
        <v>487.96205947681494</v>
      </c>
      <c r="AE118" s="774">
        <f>Freight!AE35</f>
        <v>489.38270601294988</v>
      </c>
      <c r="AF118" s="774">
        <f>Freight!AF35</f>
        <v>490.80748860134833</v>
      </c>
      <c r="AG118" s="774">
        <f>Freight!AG35</f>
        <v>492.23641928366033</v>
      </c>
      <c r="AH118" s="774">
        <f>Freight!AH35</f>
        <v>493.26187810684075</v>
      </c>
      <c r="AI118" s="774">
        <f>Freight!AI35</f>
        <v>494.41980746068799</v>
      </c>
      <c r="AJ118" s="774">
        <f>Freight!AJ35</f>
        <v>495.58045504687391</v>
      </c>
      <c r="AK118" s="774">
        <f>Freight!AK35</f>
        <v>496.74382724643289</v>
      </c>
      <c r="AL118" s="774">
        <f>Freight!AL35</f>
        <v>497.90993045537874</v>
      </c>
      <c r="AM118" s="774">
        <f>Freight!AM35</f>
        <v>499.07877108473997</v>
      </c>
      <c r="AN118" s="774">
        <f>Freight!AN35</f>
        <v>500.25035556059493</v>
      </c>
      <c r="AO118" s="774">
        <f>Freight!AO35</f>
        <v>501.42469032410702</v>
      </c>
      <c r="AP118" s="774">
        <f>Freight!AP35</f>
        <v>502.6017818315604</v>
      </c>
      <c r="AQ118" s="774">
        <f>Freight!AQ35</f>
        <v>513.05702453472463</v>
      </c>
      <c r="AR118" s="81">
        <f>ROW()</f>
        <v>118</v>
      </c>
      <c r="AT118" s="452"/>
      <c r="AU118" s="349"/>
      <c r="AV118" s="349"/>
      <c r="AW118" s="349"/>
      <c r="AX118" s="349"/>
      <c r="AY118" s="349"/>
      <c r="AZ118" s="349"/>
      <c r="BA118" s="793"/>
    </row>
    <row r="119" spans="1:53" s="31" customFormat="1" ht="15" customHeight="1">
      <c r="B119" s="92" t="str">
        <f>B105</f>
        <v>Aviation (passenger only)</v>
      </c>
      <c r="F119" s="782">
        <f t="shared" si="14"/>
        <v>4.0005465578951176E-2</v>
      </c>
      <c r="G119" s="782">
        <f t="shared" si="15"/>
        <v>4.181737877489821E-2</v>
      </c>
      <c r="H119" s="401">
        <f t="shared" si="16"/>
        <v>2.6926547303060207E-2</v>
      </c>
      <c r="I119" s="108">
        <f>Aviation!I35</f>
        <v>232.5</v>
      </c>
      <c r="J119" s="108">
        <f>Aviation!J35</f>
        <v>230</v>
      </c>
      <c r="K119" s="108">
        <f>Aviation!K35</f>
        <v>228.6</v>
      </c>
      <c r="L119" s="108">
        <f>Aviation!L35</f>
        <v>213.6</v>
      </c>
      <c r="M119" s="108">
        <f>Aviation!M35</f>
        <v>193.3</v>
      </c>
      <c r="N119" s="108">
        <f>Aviation!N35</f>
        <v>200.8</v>
      </c>
      <c r="O119" s="108">
        <f>Aviation!O35</f>
        <v>201.70000000000002</v>
      </c>
      <c r="P119" s="108">
        <f>Aviation!P35</f>
        <v>197.5</v>
      </c>
      <c r="Q119" s="108">
        <f>Aviation!Q35</f>
        <v>203.8</v>
      </c>
      <c r="R119" s="108">
        <f>Aviation!R35</f>
        <v>204.1</v>
      </c>
      <c r="S119" s="108">
        <f>Aviation!S35</f>
        <v>213.45843074940368</v>
      </c>
      <c r="T119" s="774">
        <f>Aviation!T35</f>
        <v>209.91515519947166</v>
      </c>
      <c r="U119" s="774">
        <f>Aviation!U35</f>
        <v>206.43069579270471</v>
      </c>
      <c r="V119" s="774">
        <f>Aviation!V35</f>
        <v>203.00407621815887</v>
      </c>
      <c r="W119" s="774">
        <f>Aviation!W35</f>
        <v>199.63433637103714</v>
      </c>
      <c r="X119" s="774">
        <f>Aviation!X35</f>
        <v>196.59352336821541</v>
      </c>
      <c r="Y119" s="774">
        <f>Aviation!Y35</f>
        <v>197.45014971512342</v>
      </c>
      <c r="Z119" s="774">
        <f>Aviation!Z35</f>
        <v>198.31050868091751</v>
      </c>
      <c r="AA119" s="774">
        <f>Aviation!AA35</f>
        <v>199.17461652991634</v>
      </c>
      <c r="AB119" s="774">
        <f>Aviation!AB35</f>
        <v>200.04248959730754</v>
      </c>
      <c r="AC119" s="774">
        <f>Aviation!AC35</f>
        <v>200.91414428945711</v>
      </c>
      <c r="AD119" s="774">
        <f>Aviation!AD35</f>
        <v>201.78959708421914</v>
      </c>
      <c r="AE119" s="774">
        <f>Aviation!AE35</f>
        <v>202.66886453124758</v>
      </c>
      <c r="AF119" s="774">
        <f>Aviation!AF35</f>
        <v>203.55196325230884</v>
      </c>
      <c r="AG119" s="774">
        <f>Aviation!AG35</f>
        <v>204.43890994159619</v>
      </c>
      <c r="AH119" s="774">
        <f>Aviation!AH35</f>
        <v>205.49926552438674</v>
      </c>
      <c r="AI119" s="774">
        <f>Aviation!AI35</f>
        <v>206.70480562573709</v>
      </c>
      <c r="AJ119" s="774">
        <f>Aviation!AJ35</f>
        <v>207.91741790290405</v>
      </c>
      <c r="AK119" s="774">
        <f>Aviation!AK35</f>
        <v>209.13714384407257</v>
      </c>
      <c r="AL119" s="774">
        <f>Aviation!AL35</f>
        <v>210.36402518081383</v>
      </c>
      <c r="AM119" s="774">
        <f>Aviation!AM35</f>
        <v>211.59810388951294</v>
      </c>
      <c r="AN119" s="774">
        <f>Aviation!AN35</f>
        <v>212.83942219280507</v>
      </c>
      <c r="AO119" s="774">
        <f>Aviation!AO35</f>
        <v>214.0880225610201</v>
      </c>
      <c r="AP119" s="774">
        <f>Aviation!AP35</f>
        <v>215.34394771363574</v>
      </c>
      <c r="AQ119" s="774">
        <f>Aviation!AQ35</f>
        <v>220.05498756538378</v>
      </c>
      <c r="AR119" s="81">
        <f>ROW()</f>
        <v>119</v>
      </c>
      <c r="AT119" s="452"/>
      <c r="AU119" s="349"/>
      <c r="AV119" s="349"/>
      <c r="AW119" s="349"/>
      <c r="AX119" s="349"/>
      <c r="AY119" s="349"/>
      <c r="AZ119" s="349"/>
      <c r="BA119" s="793"/>
    </row>
    <row r="120" spans="1:53" s="31" customFormat="1" ht="15" customHeight="1">
      <c r="B120" s="92" t="s">
        <v>1130</v>
      </c>
      <c r="F120" s="782">
        <f t="shared" si="14"/>
        <v>5.2667006883557931E-2</v>
      </c>
      <c r="G120" s="782">
        <f t="shared" si="15"/>
        <v>6.3730793859975779E-2</v>
      </c>
      <c r="H120" s="788">
        <f t="shared" si="16"/>
        <v>-2.719463660472422E-2</v>
      </c>
      <c r="I120" s="108">
        <f>'Oil Refining'!I75</f>
        <v>306.0851541962794</v>
      </c>
      <c r="J120" s="108">
        <f>'Oil Refining'!J75</f>
        <v>304.83840012989168</v>
      </c>
      <c r="K120" s="108">
        <f>'Oil Refining'!K75</f>
        <v>306.95313738187377</v>
      </c>
      <c r="L120" s="108">
        <f>'Oil Refining'!L75</f>
        <v>293.26082151516505</v>
      </c>
      <c r="M120" s="108">
        <f>'Oil Refining'!M75</f>
        <v>286.24072207153802</v>
      </c>
      <c r="N120" s="108">
        <f>'Oil Refining'!N75</f>
        <v>296.79088500969584</v>
      </c>
      <c r="O120" s="108">
        <f>'Oil Refining'!O75</f>
        <v>299.15227953744244</v>
      </c>
      <c r="P120" s="108">
        <f>'Oil Refining'!P75</f>
        <v>302.05844775203627</v>
      </c>
      <c r="Q120" s="108">
        <f>'Oil Refining'!Q75</f>
        <v>308.56923791008637</v>
      </c>
      <c r="R120" s="108">
        <f>'Oil Refining'!R75</f>
        <v>316.00403237210276</v>
      </c>
      <c r="S120" s="108">
        <f>'Oil Refining'!S75</f>
        <v>325.31630738964878</v>
      </c>
      <c r="T120" s="108">
        <f>'Oil Refining'!T75</f>
        <v>320.90365597834347</v>
      </c>
      <c r="U120" s="108">
        <f>'Oil Refining'!U75</f>
        <v>319.98183803832188</v>
      </c>
      <c r="V120" s="108">
        <f>'Oil Refining'!V75</f>
        <v>319.25735116263439</v>
      </c>
      <c r="W120" s="108">
        <f>'Oil Refining'!W75</f>
        <v>319.08829586410587</v>
      </c>
      <c r="X120" s="108">
        <f>'Oil Refining'!X75</f>
        <v>316.96152541966785</v>
      </c>
      <c r="Y120" s="108">
        <f>'Oil Refining'!Y75</f>
        <v>316.36421247742243</v>
      </c>
      <c r="Z120" s="108">
        <f>'Oil Refining'!Z75</f>
        <v>316.82633478339915</v>
      </c>
      <c r="AA120" s="108">
        <f>'Oil Refining'!AA75</f>
        <v>317.27936405130686</v>
      </c>
      <c r="AB120" s="108">
        <f>'Oil Refining'!AB75</f>
        <v>317.43160259115683</v>
      </c>
      <c r="AC120" s="108">
        <f>'Oil Refining'!AC75</f>
        <v>317.27481777314773</v>
      </c>
      <c r="AD120" s="108">
        <f>'Oil Refining'!AD75</f>
        <v>315.64243635102014</v>
      </c>
      <c r="AE120" s="108">
        <f>'Oil Refining'!AE75</f>
        <v>314.02532849691846</v>
      </c>
      <c r="AF120" s="108">
        <f>'Oil Refining'!AF75</f>
        <v>312.42334522306214</v>
      </c>
      <c r="AG120" s="108">
        <f>'Oil Refining'!AG75</f>
        <v>310.83633942636078</v>
      </c>
      <c r="AH120" s="108">
        <f>'Oil Refining'!AH75</f>
        <v>309.05910937119148</v>
      </c>
      <c r="AI120" s="108">
        <f>'Oil Refining'!AI75</f>
        <v>307.26390680182925</v>
      </c>
      <c r="AJ120" s="108">
        <f>'Oil Refining'!AJ75</f>
        <v>305.46692144267371</v>
      </c>
      <c r="AK120" s="108">
        <f>'Oil Refining'!AK75</f>
        <v>303.66830923559945</v>
      </c>
      <c r="AL120" s="108">
        <f>'Oil Refining'!AL75</f>
        <v>301.86822624520983</v>
      </c>
      <c r="AM120" s="108">
        <f>'Oil Refining'!AM75</f>
        <v>300.0668286109709</v>
      </c>
      <c r="AN120" s="108">
        <f>'Oil Refining'!AN75</f>
        <v>298.26427249971749</v>
      </c>
      <c r="AO120" s="108">
        <f>'Oil Refining'!AO75</f>
        <v>296.46071405854752</v>
      </c>
      <c r="AP120" s="108">
        <f>'Oil Refining'!AP75</f>
        <v>294.65630936811658</v>
      </c>
      <c r="AQ120" s="108">
        <f>'Oil Refining'!AQ75</f>
        <v>296.65656628093535</v>
      </c>
      <c r="AR120" s="81">
        <f>ROW()</f>
        <v>120</v>
      </c>
      <c r="AT120" s="452"/>
      <c r="AU120" s="349"/>
      <c r="AV120" s="349"/>
      <c r="AW120" s="349"/>
      <c r="AX120" s="349"/>
      <c r="AY120" s="349"/>
      <c r="AZ120" s="349"/>
      <c r="BA120" s="793"/>
    </row>
    <row r="121" spans="1:53" s="31" customFormat="1" ht="15" customHeight="1">
      <c r="B121" s="92" t="s">
        <v>1182</v>
      </c>
      <c r="F121" s="782">
        <f t="shared" si="14"/>
        <v>4.8576332141013555E-2</v>
      </c>
      <c r="G121" s="782">
        <f t="shared" si="15"/>
        <v>5.5277306567837282E-2</v>
      </c>
      <c r="H121" s="401">
        <f t="shared" si="16"/>
        <v>2.0674297233634303E-4</v>
      </c>
      <c r="I121" s="108">
        <f>Other_Petrol!I46</f>
        <v>282.31135569455722</v>
      </c>
      <c r="J121" s="108">
        <f>Other_Petrol!J46</f>
        <v>306.99811885153406</v>
      </c>
      <c r="K121" s="108">
        <f>Other_Petrol!K46</f>
        <v>311.67055726003537</v>
      </c>
      <c r="L121" s="108">
        <f>Other_Petrol!L46</f>
        <v>281.2219367368487</v>
      </c>
      <c r="M121" s="108">
        <f>Other_Petrol!M46</f>
        <v>324.05935348673682</v>
      </c>
      <c r="N121" s="108">
        <f>Other_Petrol!N46</f>
        <v>334.16166892133862</v>
      </c>
      <c r="O121" s="108">
        <f>Other_Petrol!O46</f>
        <v>315.10554703951397</v>
      </c>
      <c r="P121" s="563">
        <f>Other_Petrol!P46</f>
        <v>288.66148481259364</v>
      </c>
      <c r="Q121" s="563">
        <f>Other_Petrol!Q46</f>
        <v>343.1128331016601</v>
      </c>
      <c r="R121" s="108">
        <f>Other_Petrol!R46</f>
        <v>337.53498763500778</v>
      </c>
      <c r="S121" s="108">
        <f>Other_Petrol!S46</f>
        <v>282.16515385959826</v>
      </c>
      <c r="T121" s="774">
        <f>Other_Petrol!T46</f>
        <v>285.45569337712743</v>
      </c>
      <c r="U121" s="774">
        <f>Other_Petrol!U46</f>
        <v>284.9614985657746</v>
      </c>
      <c r="V121" s="774">
        <f>Other_Petrol!V46</f>
        <v>284.25668407335758</v>
      </c>
      <c r="W121" s="774">
        <f>Other_Petrol!W46</f>
        <v>282.95262936964798</v>
      </c>
      <c r="X121" s="774">
        <f>Other_Petrol!X46</f>
        <v>285.70789734032928</v>
      </c>
      <c r="Y121" s="774">
        <f>Other_Petrol!Y46</f>
        <v>286.80370940452724</v>
      </c>
      <c r="Z121" s="774">
        <f>Other_Petrol!Z46</f>
        <v>286.75013596029987</v>
      </c>
      <c r="AA121" s="774">
        <f>Other_Petrol!AA46</f>
        <v>286.70674872690762</v>
      </c>
      <c r="AB121" s="774">
        <f>Other_Petrol!AB46</f>
        <v>286.99009951874638</v>
      </c>
      <c r="AC121" s="774">
        <f>Other_Petrol!AC46</f>
        <v>287.60912264759384</v>
      </c>
      <c r="AD121" s="774">
        <f>Other_Petrol!AD46</f>
        <v>289.829788645539</v>
      </c>
      <c r="AE121" s="774">
        <f>Other_Petrol!AE46</f>
        <v>292.03419901488456</v>
      </c>
      <c r="AF121" s="774">
        <f>Other_Petrol!AF46</f>
        <v>294.22251566479468</v>
      </c>
      <c r="AG121" s="774">
        <f>Other_Petrol!AG46</f>
        <v>296.39489845932144</v>
      </c>
      <c r="AH121" s="774">
        <f>Other_Petrol!AH46</f>
        <v>298.50473624758558</v>
      </c>
      <c r="AI121" s="774">
        <f>Other_Petrol!AI46</f>
        <v>300.63412968516508</v>
      </c>
      <c r="AJ121" s="774">
        <f>Other_Petrol!AJ46</f>
        <v>302.76550962830299</v>
      </c>
      <c r="AK121" s="774">
        <f>Other_Petrol!AK46</f>
        <v>304.89870686302032</v>
      </c>
      <c r="AL121" s="774">
        <f>Other_Petrol!AL46</f>
        <v>307.03355204215558</v>
      </c>
      <c r="AM121" s="774">
        <f>Other_Petrol!AM46</f>
        <v>309.1698757373112</v>
      </c>
      <c r="AN121" s="774">
        <f>Other_Petrol!AN46</f>
        <v>311.30750849039237</v>
      </c>
      <c r="AO121" s="774">
        <f>Other_Petrol!AO46</f>
        <v>313.44628086472784</v>
      </c>
      <c r="AP121" s="774">
        <f>Other_Petrol!AP46</f>
        <v>315.58602349575341</v>
      </c>
      <c r="AQ121" s="774">
        <f>Other_Petrol!AQ46</f>
        <v>326.63200404785186</v>
      </c>
      <c r="AR121" s="81">
        <f>ROW()</f>
        <v>121</v>
      </c>
      <c r="AT121" s="452"/>
      <c r="AU121" s="349"/>
      <c r="AV121" s="349"/>
      <c r="AW121" s="349"/>
      <c r="AX121" s="349"/>
      <c r="AY121" s="349"/>
      <c r="AZ121" s="349"/>
      <c r="BA121" s="793"/>
    </row>
    <row r="122" spans="1:53" s="31" customFormat="1" ht="15" customHeight="1">
      <c r="B122" s="92" t="str">
        <f t="shared" ref="B122:B123" si="17">B108</f>
        <v>"Other" Natural Gas (industry, heat/hot water, etc.)</v>
      </c>
      <c r="F122" s="782">
        <f t="shared" si="14"/>
        <v>9.6186798180151342E-2</v>
      </c>
      <c r="G122" s="782">
        <f t="shared" si="15"/>
        <v>0.11320557793965989</v>
      </c>
      <c r="H122" s="1078">
        <f t="shared" si="16"/>
        <v>-2.6659721249086565E-2</v>
      </c>
      <c r="I122" s="108">
        <f>'Other_Natural Gas'!I62</f>
        <v>559.00938167437994</v>
      </c>
      <c r="J122" s="108">
        <f>'Other_Natural Gas'!J62</f>
        <v>513.84823226539675</v>
      </c>
      <c r="K122" s="108">
        <f>'Other_Natural Gas'!K62</f>
        <v>540.83846286700918</v>
      </c>
      <c r="L122" s="108">
        <f>'Other_Natural Gas'!L62</f>
        <v>545.35752729382648</v>
      </c>
      <c r="M122" s="108">
        <f>'Other_Natural Gas'!M62</f>
        <v>471.87901185377547</v>
      </c>
      <c r="N122" s="108">
        <f>'Other_Natural Gas'!N62</f>
        <v>487.90205929773322</v>
      </c>
      <c r="O122" s="108">
        <f>'Other_Natural Gas'!O62</f>
        <v>495.10095694338077</v>
      </c>
      <c r="P122" s="108">
        <f>'Other_Natural Gas'!P62</f>
        <v>477.07658176444318</v>
      </c>
      <c r="Q122" s="108">
        <f>'Other_Natural Gas'!Q62</f>
        <v>524.68458049070568</v>
      </c>
      <c r="R122" s="108">
        <f>'Other_Natural Gas'!R62</f>
        <v>570.77225309165624</v>
      </c>
      <c r="S122" s="108">
        <f>'Other_Natural Gas'!S62</f>
        <v>577.86226030945033</v>
      </c>
      <c r="T122" s="775">
        <f>'Other_Natural Gas'!T62</f>
        <v>569.10829174750586</v>
      </c>
      <c r="U122" s="775">
        <f>'Other_Natural Gas'!U62</f>
        <v>564.03486215440967</v>
      </c>
      <c r="V122" s="775">
        <f>'Other_Natural Gas'!V62</f>
        <v>558.25415181616495</v>
      </c>
      <c r="W122" s="775">
        <f>'Other_Natural Gas'!W62</f>
        <v>551.77902345222833</v>
      </c>
      <c r="X122" s="775">
        <f>'Other_Natural Gas'!X62</f>
        <v>557.03496779637953</v>
      </c>
      <c r="Y122" s="775">
        <f>'Other_Natural Gas'!Y62</f>
        <v>561.38776217972111</v>
      </c>
      <c r="Z122" s="775">
        <f>'Other_Natural Gas'!Z62</f>
        <v>565.76208148764817</v>
      </c>
      <c r="AA122" s="775">
        <f>'Other_Natural Gas'!AA62</f>
        <v>570.15789438029447</v>
      </c>
      <c r="AB122" s="775">
        <f>'Other_Natural Gas'!AB62</f>
        <v>574.57516884322297</v>
      </c>
      <c r="AC122" s="775">
        <f>'Other_Natural Gas'!AC62</f>
        <v>579.01387221993764</v>
      </c>
      <c r="AD122" s="775">
        <f>'Other_Natural Gas'!AD62</f>
        <v>583.47397124479642</v>
      </c>
      <c r="AE122" s="775">
        <f>'Other_Natural Gas'!AE62</f>
        <v>587.95543207630408</v>
      </c>
      <c r="AF122" s="775">
        <f>'Other_Natural Gas'!AF62</f>
        <v>592.45822033076149</v>
      </c>
      <c r="AG122" s="775">
        <f>'Other_Natural Gas'!AG62</f>
        <v>596.98230111625082</v>
      </c>
      <c r="AH122" s="775">
        <f>'Other_Natural Gas'!AH62</f>
        <v>604.19465513778619</v>
      </c>
      <c r="AI122" s="775">
        <f>'Other_Natural Gas'!AI62</f>
        <v>611.07210493321656</v>
      </c>
      <c r="AJ122" s="775">
        <f>'Other_Natural Gas'!AJ62</f>
        <v>618.02658348852708</v>
      </c>
      <c r="AK122" s="775">
        <f>'Other_Natural Gas'!AK62</f>
        <v>625.05893894995882</v>
      </c>
      <c r="AL122" s="775">
        <f>'Other_Natural Gas'!AL62</f>
        <v>632.17002864592871</v>
      </c>
      <c r="AM122" s="775">
        <f>'Other_Natural Gas'!AM62</f>
        <v>639.36071918492439</v>
      </c>
      <c r="AN122" s="775">
        <f>'Other_Natural Gas'!AN62</f>
        <v>646.63188655443071</v>
      </c>
      <c r="AO122" s="775">
        <f>'Other_Natural Gas'!AO62</f>
        <v>653.98441622089717</v>
      </c>
      <c r="AP122" s="775">
        <f>'Other_Natural Gas'!AP62</f>
        <v>661.41920323075897</v>
      </c>
      <c r="AQ122" s="775">
        <f>'Other_Natural Gas'!AQ62</f>
        <v>668.93715231252088</v>
      </c>
      <c r="AR122" s="81">
        <f>ROW()</f>
        <v>122</v>
      </c>
      <c r="AT122" s="452"/>
      <c r="AU122" s="349"/>
      <c r="AV122" s="349"/>
      <c r="AW122" s="349"/>
      <c r="AX122" s="349"/>
      <c r="AY122" s="349"/>
      <c r="AZ122" s="349"/>
      <c r="BA122" s="793"/>
    </row>
    <row r="123" spans="1:53" s="31" customFormat="1" ht="15" customHeight="1">
      <c r="B123" s="92" t="str">
        <f t="shared" si="17"/>
        <v>Misc. (non-electric coal, non-energy FF's, U.S. territories)</v>
      </c>
      <c r="F123" s="782">
        <f t="shared" si="14"/>
        <v>5.42869866243402E-2</v>
      </c>
      <c r="G123" s="782">
        <f t="shared" si="15"/>
        <v>4.5361004071151505E-2</v>
      </c>
      <c r="H123" s="401">
        <f t="shared" si="16"/>
        <v>0.11871733384313501</v>
      </c>
      <c r="I123" s="108">
        <f>Miscellany!I53</f>
        <v>315.5</v>
      </c>
      <c r="J123" s="108">
        <f>Miscellany!J53</f>
        <v>312.90000000000003</v>
      </c>
      <c r="K123" s="108">
        <f>Miscellany!K53</f>
        <v>294.70000000000005</v>
      </c>
      <c r="L123" s="108">
        <f>Miscellany!L53</f>
        <v>279</v>
      </c>
      <c r="M123" s="108">
        <f>Miscellany!M53</f>
        <v>241.8</v>
      </c>
      <c r="N123" s="108">
        <f>Miscellany!N53</f>
        <v>252.2</v>
      </c>
      <c r="O123" s="108">
        <f>Miscellany!O53</f>
        <v>237.8</v>
      </c>
      <c r="P123" s="108">
        <f>Miscellany!P53</f>
        <v>227.39999999999998</v>
      </c>
      <c r="Q123" s="108">
        <f>Miscellany!Q53</f>
        <v>244.8</v>
      </c>
      <c r="R123" s="108">
        <f>Miscellany!R53</f>
        <v>235.1</v>
      </c>
      <c r="S123" s="108">
        <f>Miscellany!S53</f>
        <v>231.54700342092116</v>
      </c>
      <c r="T123" s="774">
        <f>Miscellany!T53</f>
        <v>232.02555253768097</v>
      </c>
      <c r="U123" s="774">
        <f>Miscellany!U53</f>
        <v>231.52948781597368</v>
      </c>
      <c r="V123" s="774">
        <f>Miscellany!V53</f>
        <v>231.02047505857806</v>
      </c>
      <c r="W123" s="774">
        <f>Miscellany!W53</f>
        <v>230.4988447921076</v>
      </c>
      <c r="X123" s="774">
        <f>Miscellany!X53</f>
        <v>229.83714165683742</v>
      </c>
      <c r="Y123" s="774">
        <f>Miscellany!Y53</f>
        <v>229.48118066428603</v>
      </c>
      <c r="Z123" s="774">
        <f>Miscellany!Z53</f>
        <v>229.11968288629234</v>
      </c>
      <c r="AA123" s="774">
        <f>Miscellany!AA53</f>
        <v>228.75275216662783</v>
      </c>
      <c r="AB123" s="774">
        <f>Miscellany!AB53</f>
        <v>228.38049207855974</v>
      </c>
      <c r="AC123" s="774">
        <f>Miscellany!AC53</f>
        <v>228.00300587770931</v>
      </c>
      <c r="AD123" s="774">
        <f>Miscellany!AD53</f>
        <v>227.62039645645135</v>
      </c>
      <c r="AE123" s="774">
        <f>Miscellany!AE53</f>
        <v>227.23276629986151</v>
      </c>
      <c r="AF123" s="774">
        <f>Miscellany!AF53</f>
        <v>226.84021744321259</v>
      </c>
      <c r="AG123" s="774">
        <f>Miscellany!AG53</f>
        <v>226.44285143102002</v>
      </c>
      <c r="AH123" s="774">
        <f>Miscellany!AH53</f>
        <v>225.96615415601607</v>
      </c>
      <c r="AI123" s="774">
        <f>Miscellany!AI53</f>
        <v>225.36963702005141</v>
      </c>
      <c r="AJ123" s="774">
        <f>Miscellany!AJ53</f>
        <v>224.76972119187212</v>
      </c>
      <c r="AK123" s="774">
        <f>Miscellany!AK53</f>
        <v>224.16650849404132</v>
      </c>
      <c r="AL123" s="774">
        <f>Miscellany!AL53</f>
        <v>223.5600998026305</v>
      </c>
      <c r="AM123" s="774">
        <f>Miscellany!AM53</f>
        <v>222.95059502277618</v>
      </c>
      <c r="AN123" s="774">
        <f>Miscellany!AN53</f>
        <v>222.33809306563941</v>
      </c>
      <c r="AO123" s="774">
        <f>Miscellany!AO53</f>
        <v>221.7226918267479</v>
      </c>
      <c r="AP123" s="774">
        <f>Miscellany!AP53</f>
        <v>221.10448816569519</v>
      </c>
      <c r="AQ123" s="774">
        <f>Miscellany!AQ53</f>
        <v>220.48357788717388</v>
      </c>
      <c r="AR123" s="81">
        <f>ROW()</f>
        <v>123</v>
      </c>
      <c r="AT123" s="452"/>
      <c r="AU123" s="349"/>
      <c r="AV123" s="349"/>
      <c r="AW123" s="349"/>
      <c r="AX123" s="349"/>
      <c r="AY123" s="349"/>
      <c r="AZ123" s="349"/>
      <c r="BA123" s="793"/>
    </row>
    <row r="124" spans="1:53" s="31" customFormat="1" ht="15" customHeight="1">
      <c r="E124" s="375"/>
      <c r="F124" s="375"/>
      <c r="G124" s="376"/>
      <c r="H124" s="376"/>
      <c r="I124" s="377" t="s">
        <v>908</v>
      </c>
      <c r="J124" s="379">
        <f t="shared" ref="J124:AQ124" si="18">(J115-$I$115)/$I$115</f>
        <v>-1.2098193134728227E-2</v>
      </c>
      <c r="K124" s="379">
        <f t="shared" si="18"/>
        <v>3.4338052055705218E-3</v>
      </c>
      <c r="L124" s="379">
        <f t="shared" si="18"/>
        <v>-3.1361808291762487E-2</v>
      </c>
      <c r="M124" s="379">
        <f t="shared" si="18"/>
        <v>-9.8719173829123222E-2</v>
      </c>
      <c r="N124" s="379">
        <f t="shared" si="18"/>
        <v>-6.7166385501885514E-2</v>
      </c>
      <c r="O124" s="379">
        <f t="shared" si="18"/>
        <v>-9.2872405816033843E-2</v>
      </c>
      <c r="P124" s="379">
        <f t="shared" si="18"/>
        <v>-0.12903429582087411</v>
      </c>
      <c r="Q124" s="379">
        <f t="shared" si="18"/>
        <v>-0.10345314289482009</v>
      </c>
      <c r="R124" s="379">
        <f t="shared" si="18"/>
        <v>-9.3999013139895837E-2</v>
      </c>
      <c r="S124" s="379">
        <f t="shared" si="18"/>
        <v>-0.12167978661055824</v>
      </c>
      <c r="T124" s="383">
        <f t="shared" si="18"/>
        <v>-0.13165504147847626</v>
      </c>
      <c r="U124" s="383">
        <f t="shared" si="18"/>
        <v>-0.13467410378148817</v>
      </c>
      <c r="V124" s="383">
        <f t="shared" si="18"/>
        <v>-0.13764283902476002</v>
      </c>
      <c r="W124" s="383">
        <f t="shared" si="18"/>
        <v>-0.14023577954349598</v>
      </c>
      <c r="X124" s="383">
        <f t="shared" si="18"/>
        <v>-0.14273255413459504</v>
      </c>
      <c r="Y124" s="383">
        <f t="shared" si="18"/>
        <v>-0.14358316631170071</v>
      </c>
      <c r="Z124" s="383">
        <f t="shared" si="18"/>
        <v>-0.14346528183726176</v>
      </c>
      <c r="AA124" s="383">
        <f t="shared" si="18"/>
        <v>-0.14334215475909318</v>
      </c>
      <c r="AB124" s="383">
        <f t="shared" si="18"/>
        <v>-0.143476769401365</v>
      </c>
      <c r="AC124" s="383">
        <f t="shared" si="18"/>
        <v>-0.14387658200559808</v>
      </c>
      <c r="AD124" s="383">
        <f t="shared" si="18"/>
        <v>-0.14559322849993273</v>
      </c>
      <c r="AE124" s="383">
        <f t="shared" si="18"/>
        <v>-0.14728280704845542</v>
      </c>
      <c r="AF124" s="383">
        <f t="shared" si="18"/>
        <v>-0.14894548674111388</v>
      </c>
      <c r="AG124" s="383">
        <f t="shared" si="18"/>
        <v>-0.15058143490557027</v>
      </c>
      <c r="AH124" s="383">
        <f t="shared" si="18"/>
        <v>-0.15061924738107635</v>
      </c>
      <c r="AI124" s="383">
        <f t="shared" si="18"/>
        <v>-0.15073694016614025</v>
      </c>
      <c r="AJ124" s="383">
        <f t="shared" si="18"/>
        <v>-0.15084434058465246</v>
      </c>
      <c r="AK124" s="383">
        <f t="shared" si="18"/>
        <v>-0.15094111240726396</v>
      </c>
      <c r="AL124" s="383">
        <f t="shared" si="18"/>
        <v>-0.15102691804487012</v>
      </c>
      <c r="AM124" s="383">
        <f t="shared" si="18"/>
        <v>-0.15110141857688544</v>
      </c>
      <c r="AN124" s="383">
        <f t="shared" si="18"/>
        <v>-0.15116427377878225</v>
      </c>
      <c r="AO124" s="383">
        <f t="shared" si="18"/>
        <v>-0.15121514214888249</v>
      </c>
      <c r="AP124" s="383">
        <f t="shared" si="18"/>
        <v>-0.15125368093438782</v>
      </c>
      <c r="AQ124" s="383">
        <f t="shared" si="18"/>
        <v>-0.14283991705184884</v>
      </c>
      <c r="AR124" s="81">
        <f>ROW()</f>
        <v>124</v>
      </c>
      <c r="AT124" s="452"/>
      <c r="AU124" s="349"/>
      <c r="AV124" s="349"/>
      <c r="AW124" s="349"/>
      <c r="AX124" s="349"/>
      <c r="AY124" s="349"/>
      <c r="AZ124" s="349"/>
      <c r="BA124" s="793"/>
    </row>
    <row r="125" spans="1:53" ht="15" customHeight="1">
      <c r="M125"/>
      <c r="N125"/>
      <c r="O125"/>
      <c r="P125"/>
      <c r="Q125"/>
      <c r="R125"/>
      <c r="S125"/>
      <c r="T125" s="36"/>
      <c r="AR125" s="81">
        <f>ROW()</f>
        <v>125</v>
      </c>
      <c r="AT125" s="240"/>
      <c r="AU125" s="67"/>
      <c r="AV125" s="67"/>
      <c r="AW125" s="67"/>
      <c r="AX125" s="67"/>
      <c r="AY125" s="67"/>
      <c r="AZ125" s="67"/>
      <c r="BA125" s="26"/>
    </row>
    <row r="126" spans="1:53" s="31" customFormat="1" ht="15" customHeight="1">
      <c r="B126" s="559" t="str">
        <f>CONCATENATE("Projected, with carbon tax taking effect in ",$I$53,"")</f>
        <v>Projected, with carbon tax taking effect in 2017</v>
      </c>
      <c r="I126" s="114"/>
      <c r="J126" s="114"/>
      <c r="K126" s="114"/>
      <c r="L126" s="114"/>
      <c r="M126" s="12"/>
      <c r="N126" s="12"/>
      <c r="O126" s="12"/>
      <c r="P126" s="12">
        <f t="shared" ref="P126:T126" si="19">P80</f>
        <v>0</v>
      </c>
      <c r="Q126" s="12">
        <f t="shared" si="19"/>
        <v>0</v>
      </c>
      <c r="R126" s="12">
        <f t="shared" si="19"/>
        <v>0</v>
      </c>
      <c r="S126" s="12">
        <f t="shared" si="19"/>
        <v>0</v>
      </c>
      <c r="T126" s="12">
        <f t="shared" si="19"/>
        <v>2017</v>
      </c>
      <c r="U126" s="12">
        <f>U80</f>
        <v>2018</v>
      </c>
      <c r="V126" s="12">
        <f t="shared" ref="V126:AQ126" si="20">V80</f>
        <v>2019</v>
      </c>
      <c r="W126" s="12">
        <f t="shared" si="20"/>
        <v>2020</v>
      </c>
      <c r="X126" s="12">
        <f t="shared" si="20"/>
        <v>2021</v>
      </c>
      <c r="Y126" s="12">
        <f t="shared" si="20"/>
        <v>2022</v>
      </c>
      <c r="Z126" s="12">
        <f t="shared" si="20"/>
        <v>2023</v>
      </c>
      <c r="AA126" s="12">
        <f t="shared" si="20"/>
        <v>2024</v>
      </c>
      <c r="AB126" s="12">
        <f t="shared" si="20"/>
        <v>2025</v>
      </c>
      <c r="AC126" s="12">
        <f t="shared" si="20"/>
        <v>2026</v>
      </c>
      <c r="AD126" s="12">
        <f t="shared" si="20"/>
        <v>2027</v>
      </c>
      <c r="AE126" s="12">
        <f t="shared" si="20"/>
        <v>2028</v>
      </c>
      <c r="AF126" s="12">
        <f t="shared" si="20"/>
        <v>2029</v>
      </c>
      <c r="AG126" s="12">
        <f t="shared" si="20"/>
        <v>2030</v>
      </c>
      <c r="AH126" s="12">
        <f t="shared" si="20"/>
        <v>2031</v>
      </c>
      <c r="AI126" s="12">
        <f t="shared" si="20"/>
        <v>2032</v>
      </c>
      <c r="AJ126" s="12">
        <f t="shared" si="20"/>
        <v>2033</v>
      </c>
      <c r="AK126" s="12">
        <f t="shared" si="20"/>
        <v>2034</v>
      </c>
      <c r="AL126" s="12">
        <f t="shared" si="20"/>
        <v>2035</v>
      </c>
      <c r="AM126" s="12">
        <f t="shared" si="20"/>
        <v>2036</v>
      </c>
      <c r="AN126" s="12">
        <f t="shared" si="20"/>
        <v>2037</v>
      </c>
      <c r="AO126" s="12">
        <f t="shared" si="20"/>
        <v>2038</v>
      </c>
      <c r="AP126" s="12">
        <f t="shared" si="20"/>
        <v>2039</v>
      </c>
      <c r="AQ126" s="12">
        <f t="shared" si="20"/>
        <v>2040</v>
      </c>
      <c r="AR126" s="81">
        <f>ROW()</f>
        <v>126</v>
      </c>
      <c r="AT126" s="452"/>
      <c r="AU126" s="349"/>
      <c r="AV126" s="349"/>
      <c r="AW126" s="349"/>
      <c r="AX126" s="349"/>
      <c r="AY126" s="349"/>
      <c r="AZ126" s="349"/>
      <c r="BA126" s="793"/>
    </row>
    <row r="127" spans="1:53" s="8" customFormat="1" ht="15" customHeight="1">
      <c r="A127" s="31"/>
      <c r="B127" s="8" t="s">
        <v>408</v>
      </c>
      <c r="I127" s="24">
        <f t="shared" ref="I127:AP127" si="21">SUM(I128:I135)</f>
        <v>5811.705891565216</v>
      </c>
      <c r="J127" s="24">
        <f t="shared" si="21"/>
        <v>5741.3947512468221</v>
      </c>
      <c r="K127" s="24">
        <f t="shared" si="21"/>
        <v>5831.6621575089175</v>
      </c>
      <c r="L127" s="24">
        <f t="shared" si="21"/>
        <v>5629.4402855458411</v>
      </c>
      <c r="M127" s="24">
        <f t="shared" si="21"/>
        <v>5237.9790874120499</v>
      </c>
      <c r="N127" s="24">
        <f t="shared" si="21"/>
        <v>5421.3546132287674</v>
      </c>
      <c r="O127" s="24">
        <f t="shared" si="21"/>
        <v>5271.9587835203365</v>
      </c>
      <c r="P127" s="24">
        <f t="shared" si="21"/>
        <v>5061.796514329073</v>
      </c>
      <c r="Q127" s="24">
        <f t="shared" si="21"/>
        <v>5210.4666515024519</v>
      </c>
      <c r="R127" s="24">
        <f t="shared" ref="R127:S127" si="22">SUM(R128:R135)</f>
        <v>5265.4112730987672</v>
      </c>
      <c r="S127" s="24">
        <f t="shared" si="22"/>
        <v>5104.5387588362364</v>
      </c>
      <c r="T127" s="24">
        <f t="shared" si="21"/>
        <v>4804.5672943417485</v>
      </c>
      <c r="U127" s="24">
        <f t="shared" si="21"/>
        <v>4571.5969475236061</v>
      </c>
      <c r="V127" s="24">
        <f t="shared" si="21"/>
        <v>4366.3671264869035</v>
      </c>
      <c r="W127" s="24">
        <f t="shared" si="21"/>
        <v>4185.3280177723309</v>
      </c>
      <c r="X127" s="24">
        <f t="shared" si="21"/>
        <v>4018.9809123075147</v>
      </c>
      <c r="Y127" s="24">
        <f t="shared" si="21"/>
        <v>3873.4183585679589</v>
      </c>
      <c r="Z127" s="24">
        <f t="shared" si="21"/>
        <v>3744.3933367446161</v>
      </c>
      <c r="AA127" s="24">
        <f t="shared" si="21"/>
        <v>3625.0125223660971</v>
      </c>
      <c r="AB127" s="24">
        <f t="shared" si="21"/>
        <v>3512.6285343834284</v>
      </c>
      <c r="AC127" s="24">
        <f t="shared" si="21"/>
        <v>3406.2137623870713</v>
      </c>
      <c r="AD127" s="24">
        <f t="shared" si="21"/>
        <v>3299.819374038455</v>
      </c>
      <c r="AE127" s="24">
        <f t="shared" si="21"/>
        <v>3200.0306182053191</v>
      </c>
      <c r="AF127" s="24">
        <f t="shared" si="21"/>
        <v>3106.648941185776</v>
      </c>
      <c r="AG127" s="24">
        <f t="shared" si="21"/>
        <v>3019.010616037508</v>
      </c>
      <c r="AH127" s="24">
        <f t="shared" si="21"/>
        <v>2938.6126092781701</v>
      </c>
      <c r="AI127" s="24">
        <f t="shared" si="21"/>
        <v>2862.1350350781963</v>
      </c>
      <c r="AJ127" s="24">
        <f t="shared" si="21"/>
        <v>2789.6677011175238</v>
      </c>
      <c r="AK127" s="24">
        <f t="shared" si="21"/>
        <v>2720.8691597313632</v>
      </c>
      <c r="AL127" s="24">
        <f t="shared" si="21"/>
        <v>2655.4384955128794</v>
      </c>
      <c r="AM127" s="24">
        <f t="shared" si="21"/>
        <v>2593.1716197677424</v>
      </c>
      <c r="AN127" s="24">
        <f t="shared" si="21"/>
        <v>2533.7775462375603</v>
      </c>
      <c r="AO127" s="24">
        <f t="shared" si="21"/>
        <v>2477.0442876425464</v>
      </c>
      <c r="AP127" s="24">
        <f t="shared" si="21"/>
        <v>2422.7818394032015</v>
      </c>
      <c r="AQ127" s="24">
        <f t="shared" ref="AQ127" si="23">SUM(AQ128:AQ135)</f>
        <v>2395.819955976433</v>
      </c>
      <c r="AR127" s="81">
        <f>ROW()</f>
        <v>127</v>
      </c>
      <c r="AT127" s="794"/>
      <c r="AU127" s="105"/>
      <c r="AV127" s="105"/>
      <c r="AW127" s="105"/>
      <c r="AX127" s="105"/>
      <c r="AY127" s="105"/>
      <c r="AZ127" s="105"/>
      <c r="BA127" s="795"/>
    </row>
    <row r="128" spans="1:53" s="31" customFormat="1" ht="15" customHeight="1">
      <c r="A128" s="8"/>
      <c r="B128" s="124" t="str">
        <f>B$116</f>
        <v>Electricity Generation</v>
      </c>
      <c r="H128" s="32"/>
      <c r="I128" s="33">
        <f>I116</f>
        <v>2413</v>
      </c>
      <c r="J128" s="33">
        <f t="shared" ref="J128:P128" si="24">J116</f>
        <v>2358.6</v>
      </c>
      <c r="K128" s="33">
        <f t="shared" si="24"/>
        <v>2425.1999999999998</v>
      </c>
      <c r="L128" s="33">
        <f t="shared" si="24"/>
        <v>2372.4</v>
      </c>
      <c r="M128" s="33">
        <f t="shared" si="24"/>
        <v>2156.9999999999995</v>
      </c>
      <c r="N128" s="33">
        <f t="shared" si="24"/>
        <v>2269</v>
      </c>
      <c r="O128" s="33">
        <f t="shared" si="24"/>
        <v>2167.8000000000002</v>
      </c>
      <c r="P128" s="33">
        <f t="shared" si="24"/>
        <v>2032.1000000000001</v>
      </c>
      <c r="Q128" s="33">
        <f t="shared" ref="Q128" si="25">Q116</f>
        <v>2048.7000000000003</v>
      </c>
      <c r="R128" s="33">
        <f t="shared" ref="R128:S128" si="26">R116</f>
        <v>2048.3000000000002</v>
      </c>
      <c r="S128" s="33">
        <f t="shared" si="26"/>
        <v>1895.3696778233411</v>
      </c>
      <c r="T128" s="33">
        <f>Electricity!T77</f>
        <v>1708.6951648869037</v>
      </c>
      <c r="U128" s="33">
        <f>Electricity!U77</f>
        <v>1570.754716977109</v>
      </c>
      <c r="V128" s="33">
        <f>Electricity!V77</f>
        <v>1451.3128052629102</v>
      </c>
      <c r="W128" s="33">
        <f>Electricity!W77</f>
        <v>1346.6310361745989</v>
      </c>
      <c r="X128" s="33">
        <f>Electricity!X77</f>
        <v>1251.9237903599949</v>
      </c>
      <c r="Y128" s="33">
        <f>Electricity!Y77</f>
        <v>1167.383264321614</v>
      </c>
      <c r="Z128" s="33">
        <f>Electricity!Z77</f>
        <v>1091.3533465396845</v>
      </c>
      <c r="AA128" s="33">
        <f>Electricity!AA77</f>
        <v>1022.5327803728325</v>
      </c>
      <c r="AB128" s="33">
        <f>Electricity!AB77</f>
        <v>959.88377316450317</v>
      </c>
      <c r="AC128" s="33">
        <f>Electricity!AC77</f>
        <v>902.56768671022394</v>
      </c>
      <c r="AD128" s="33">
        <f>Electricity!AD77</f>
        <v>849.89883450316222</v>
      </c>
      <c r="AE128" s="33">
        <f>Electricity!AE77</f>
        <v>801.31066963894386</v>
      </c>
      <c r="AF128" s="33">
        <f>Electricity!AF77</f>
        <v>756.33062883959576</v>
      </c>
      <c r="AG128" s="33">
        <f>Electricity!AG77</f>
        <v>714.56113670244486</v>
      </c>
      <c r="AH128" s="33">
        <f>Electricity!AH77</f>
        <v>677.90602020010067</v>
      </c>
      <c r="AI128" s="33">
        <f>Electricity!AI77</f>
        <v>643.60209281336267</v>
      </c>
      <c r="AJ128" s="33">
        <f>Electricity!AJ77</f>
        <v>611.43077835529857</v>
      </c>
      <c r="AK128" s="33">
        <f>Electricity!AK77</f>
        <v>581.20180474768756</v>
      </c>
      <c r="AL128" s="33">
        <f>Electricity!AL77</f>
        <v>552.74866545672478</v>
      </c>
      <c r="AM128" s="33">
        <f>Electricity!AM77</f>
        <v>525.92493101244918</v>
      </c>
      <c r="AN128" s="33">
        <f>Electricity!AN77</f>
        <v>500.60122921808289</v>
      </c>
      <c r="AO128" s="33">
        <f>Electricity!AO77</f>
        <v>476.66275584785006</v>
      </c>
      <c r="AP128" s="33">
        <f>Electricity!AP77</f>
        <v>454.00720954632419</v>
      </c>
      <c r="AQ128" s="33">
        <f>Electricity!AQ77</f>
        <v>435.87660543659445</v>
      </c>
      <c r="AR128" s="81">
        <f>ROW()</f>
        <v>128</v>
      </c>
      <c r="AT128" s="454"/>
      <c r="AU128" s="796"/>
      <c r="AV128" s="796"/>
      <c r="AW128" s="796"/>
      <c r="AX128" s="796"/>
      <c r="AY128" s="796"/>
      <c r="AZ128" s="796"/>
      <c r="BA128" s="797"/>
    </row>
    <row r="129" spans="1:44" s="31" customFormat="1" ht="15" customHeight="1">
      <c r="B129" s="124" t="str">
        <f>B$117</f>
        <v>Personal Ground Travel (driving, boating, rec vehicles, etc.)</v>
      </c>
      <c r="H129" s="32"/>
      <c r="I129" s="33">
        <f t="shared" ref="I129:P129" si="27">I117</f>
        <v>1193.0849999999996</v>
      </c>
      <c r="J129" s="33">
        <f t="shared" si="27"/>
        <v>1188.3400000000001</v>
      </c>
      <c r="K129" s="33">
        <f t="shared" si="27"/>
        <v>1167.73</v>
      </c>
      <c r="L129" s="33">
        <f t="shared" si="27"/>
        <v>1113.7300000000002</v>
      </c>
      <c r="M129" s="33">
        <f t="shared" si="27"/>
        <v>1088.0049999999994</v>
      </c>
      <c r="N129" s="33">
        <f t="shared" si="27"/>
        <v>1081.1350000000002</v>
      </c>
      <c r="O129" s="33">
        <f t="shared" si="27"/>
        <v>1060.7649999999994</v>
      </c>
      <c r="P129" s="33">
        <f t="shared" si="27"/>
        <v>1055.2850000000001</v>
      </c>
      <c r="Q129" s="33">
        <f t="shared" ref="Q129:R129" si="28">Q117</f>
        <v>1054.4699999999998</v>
      </c>
      <c r="R129" s="33">
        <f t="shared" si="28"/>
        <v>1071.0550000000001</v>
      </c>
      <c r="S129" s="33">
        <f t="shared" ref="S129" si="29">S117</f>
        <v>1098.7398093222546</v>
      </c>
      <c r="T129" s="33">
        <f>'Personal Ground Travel'!T76</f>
        <v>1084.105081251932</v>
      </c>
      <c r="U129" s="33">
        <f>'Personal Ground Travel'!U76</f>
        <v>1068.7085362106964</v>
      </c>
      <c r="V129" s="33">
        <f>'Personal Ground Travel'!V76</f>
        <v>1053.8966796519292</v>
      </c>
      <c r="W129" s="33">
        <f>'Personal Ground Travel'!W76</f>
        <v>1041.4748203084253</v>
      </c>
      <c r="X129" s="33">
        <f>'Personal Ground Travel'!X76</f>
        <v>1019.8546427559528</v>
      </c>
      <c r="Y129" s="33">
        <f>'Personal Ground Travel'!Y76</f>
        <v>1001.772369879881</v>
      </c>
      <c r="Z129" s="33">
        <f>'Personal Ground Travel'!Z76</f>
        <v>988.59679392679527</v>
      </c>
      <c r="AA129" s="33">
        <f>'Personal Ground Travel'!AA76</f>
        <v>975.15485028986882</v>
      </c>
      <c r="AB129" s="33">
        <f>'Personal Ground Travel'!AB76</f>
        <v>960.17832641399991</v>
      </c>
      <c r="AC129" s="33">
        <f>'Personal Ground Travel'!AC76</f>
        <v>943.75323775500249</v>
      </c>
      <c r="AD129" s="33">
        <f>'Personal Ground Travel'!AD76</f>
        <v>920.96510020418236</v>
      </c>
      <c r="AE129" s="33">
        <f>'Personal Ground Travel'!AE76</f>
        <v>898.94176090737335</v>
      </c>
      <c r="AF129" s="33">
        <f>'Personal Ground Travel'!AF76</f>
        <v>878.0413742428774</v>
      </c>
      <c r="AG129" s="33">
        <f>'Personal Ground Travel'!AG76</f>
        <v>858.15810712319012</v>
      </c>
      <c r="AH129" s="33">
        <f>'Personal Ground Travel'!AH76</f>
        <v>838.62284291729964</v>
      </c>
      <c r="AI129" s="33">
        <f>'Personal Ground Travel'!AI76</f>
        <v>819.70902769846612</v>
      </c>
      <c r="AJ129" s="33">
        <f>'Personal Ground Travel'!AJ76</f>
        <v>801.56792779523562</v>
      </c>
      <c r="AK129" s="33">
        <f>'Personal Ground Travel'!AK76</f>
        <v>784.13816192614343</v>
      </c>
      <c r="AL129" s="33">
        <f>'Personal Ground Travel'!AL76</f>
        <v>767.36539977670827</v>
      </c>
      <c r="AM129" s="33">
        <f>'Personal Ground Travel'!AM76</f>
        <v>751.25185546320733</v>
      </c>
      <c r="AN129" s="33">
        <f>'Personal Ground Travel'!AN76</f>
        <v>735.7103264369407</v>
      </c>
      <c r="AO129" s="33">
        <f>'Personal Ground Travel'!AO76</f>
        <v>720.70170739264688</v>
      </c>
      <c r="AP129" s="33">
        <f>'Personal Ground Travel'!AP76</f>
        <v>706.19079837983577</v>
      </c>
      <c r="AQ129" s="33">
        <f>'Personal Ground Travel'!AQ76</f>
        <v>699.0778177418498</v>
      </c>
      <c r="AR129" s="81">
        <f>ROW()</f>
        <v>129</v>
      </c>
    </row>
    <row r="130" spans="1:44" s="31" customFormat="1" ht="15" customHeight="1">
      <c r="B130" s="124" t="str">
        <f>B$118</f>
        <v>Freight (goods movement by road, rail, ship, air)</v>
      </c>
      <c r="H130" s="32"/>
      <c r="I130" s="33">
        <f t="shared" ref="I130:P130" si="30">I118</f>
        <v>510.21500000000003</v>
      </c>
      <c r="J130" s="33">
        <f t="shared" si="30"/>
        <v>525.87</v>
      </c>
      <c r="K130" s="33">
        <f t="shared" si="30"/>
        <v>555.97</v>
      </c>
      <c r="L130" s="33">
        <f t="shared" si="30"/>
        <v>530.87</v>
      </c>
      <c r="M130" s="33">
        <f t="shared" si="30"/>
        <v>475.69499999999999</v>
      </c>
      <c r="N130" s="33">
        <f t="shared" si="30"/>
        <v>499.36500000000001</v>
      </c>
      <c r="O130" s="33">
        <f t="shared" si="30"/>
        <v>494.53499999999997</v>
      </c>
      <c r="P130" s="33">
        <f t="shared" si="30"/>
        <v>481.71499999999997</v>
      </c>
      <c r="Q130" s="33">
        <f t="shared" ref="Q130:R130" si="31">Q118</f>
        <v>482.33000000000004</v>
      </c>
      <c r="R130" s="33">
        <f t="shared" si="31"/>
        <v>482.54500000000002</v>
      </c>
      <c r="S130" s="33">
        <f t="shared" ref="S130" si="32">S118</f>
        <v>480.08011596161907</v>
      </c>
      <c r="T130" s="33">
        <f>Freight!T69</f>
        <v>456.302131443706</v>
      </c>
      <c r="U130" s="33">
        <f>Freight!U69</f>
        <v>438.14389993478449</v>
      </c>
      <c r="V130" s="33">
        <f>Freight!V69</f>
        <v>421.70071892093495</v>
      </c>
      <c r="W130" s="33">
        <f>Freight!W69</f>
        <v>406.71218498643503</v>
      </c>
      <c r="X130" s="33">
        <f>Freight!X69</f>
        <v>392.2314011649259</v>
      </c>
      <c r="Y130" s="33">
        <f>Freight!Y69</f>
        <v>380.39062425327268</v>
      </c>
      <c r="Z130" s="33">
        <f>Freight!Z69</f>
        <v>369.3873214152423</v>
      </c>
      <c r="AA130" s="33">
        <f>Freight!AA69</f>
        <v>359.1239625084412</v>
      </c>
      <c r="AB130" s="33">
        <f>Freight!AB69</f>
        <v>349.51823997069306</v>
      </c>
      <c r="AC130" s="33">
        <f>Freight!AC69</f>
        <v>340.50013682499349</v>
      </c>
      <c r="AD130" s="33">
        <f>Freight!AD69</f>
        <v>332.00965740631182</v>
      </c>
      <c r="AE130" s="33">
        <f>Freight!AE69</f>
        <v>323.99505067083305</v>
      </c>
      <c r="AF130" s="33">
        <f>Freight!AF69</f>
        <v>316.41140444972632</v>
      </c>
      <c r="AG130" s="33">
        <f>Freight!AG69</f>
        <v>309.21952241145436</v>
      </c>
      <c r="AH130" s="33">
        <f>Freight!AH69</f>
        <v>302.17754090278208</v>
      </c>
      <c r="AI130" s="33">
        <f>Freight!AI69</f>
        <v>295.52905929254979</v>
      </c>
      <c r="AJ130" s="33">
        <f>Freight!AJ69</f>
        <v>289.18735047992635</v>
      </c>
      <c r="AK130" s="33">
        <f>Freight!AK69</f>
        <v>283.12800251100646</v>
      </c>
      <c r="AL130" s="33">
        <f>Freight!AL69</f>
        <v>277.32923490886174</v>
      </c>
      <c r="AM130" s="33">
        <f>Freight!AM69</f>
        <v>271.77154394209742</v>
      </c>
      <c r="AN130" s="33">
        <f>Freight!AN69</f>
        <v>266.43740480586632</v>
      </c>
      <c r="AO130" s="33">
        <f>Freight!AO69</f>
        <v>261.31102022016654</v>
      </c>
      <c r="AP130" s="33">
        <f>Freight!AP69</f>
        <v>256.37810712292458</v>
      </c>
      <c r="AQ130" s="33">
        <f>Freight!AQ69</f>
        <v>256.25852784300031</v>
      </c>
      <c r="AR130" s="81">
        <f>ROW()</f>
        <v>130</v>
      </c>
    </row>
    <row r="131" spans="1:44" s="31" customFormat="1" ht="15" customHeight="1">
      <c r="B131" s="124" t="str">
        <f>B$119</f>
        <v>Aviation (passenger only)</v>
      </c>
      <c r="H131" s="32"/>
      <c r="I131" s="33">
        <f t="shared" ref="I131:P132" si="33">I119</f>
        <v>232.5</v>
      </c>
      <c r="J131" s="33">
        <f t="shared" si="33"/>
        <v>230</v>
      </c>
      <c r="K131" s="33">
        <f t="shared" si="33"/>
        <v>228.6</v>
      </c>
      <c r="L131" s="33">
        <f t="shared" si="33"/>
        <v>213.6</v>
      </c>
      <c r="M131" s="33">
        <f t="shared" si="33"/>
        <v>193.3</v>
      </c>
      <c r="N131" s="33">
        <f t="shared" si="33"/>
        <v>200.8</v>
      </c>
      <c r="O131" s="33">
        <f t="shared" si="33"/>
        <v>201.70000000000002</v>
      </c>
      <c r="P131" s="33">
        <f t="shared" si="33"/>
        <v>197.5</v>
      </c>
      <c r="Q131" s="33">
        <f t="shared" ref="Q131:R132" si="34">Q119</f>
        <v>203.8</v>
      </c>
      <c r="R131" s="33">
        <f t="shared" si="34"/>
        <v>204.1</v>
      </c>
      <c r="S131" s="33">
        <f t="shared" ref="S131:S132" si="35">S119</f>
        <v>213.45843074940368</v>
      </c>
      <c r="T131" s="33">
        <f>Aviation!T69</f>
        <v>195.73534939421813</v>
      </c>
      <c r="U131" s="33">
        <f>Aviation!U69</f>
        <v>183.44239762936223</v>
      </c>
      <c r="V131" s="33">
        <f>Aviation!V69</f>
        <v>172.67497093633398</v>
      </c>
      <c r="W131" s="33">
        <f>Aviation!W69</f>
        <v>163.14044112898549</v>
      </c>
      <c r="X131" s="33">
        <f>Aviation!X69</f>
        <v>154.85591407440091</v>
      </c>
      <c r="Y131" s="33">
        <f>Aviation!Y69</f>
        <v>149.75166319040889</v>
      </c>
      <c r="Z131" s="33">
        <f>Aviation!Z69</f>
        <v>145.05433263403202</v>
      </c>
      <c r="AA131" s="33">
        <f>Aviation!AA69</f>
        <v>140.7130506498105</v>
      </c>
      <c r="AB131" s="33">
        <f>Aviation!AB69</f>
        <v>136.68531152368863</v>
      </c>
      <c r="AC131" s="33">
        <f>Aviation!AC69</f>
        <v>132.93529293538171</v>
      </c>
      <c r="AD131" s="33">
        <f>Aviation!AD69</f>
        <v>129.4325682341512</v>
      </c>
      <c r="AE131" s="33">
        <f>Aviation!AE69</f>
        <v>126.15110877053968</v>
      </c>
      <c r="AF131" s="33">
        <f>Aviation!AF69</f>
        <v>123.06850224586769</v>
      </c>
      <c r="AG131" s="33">
        <f>Aviation!AG69</f>
        <v>120.16533399574932</v>
      </c>
      <c r="AH131" s="33">
        <f>Aviation!AH69</f>
        <v>117.54061523138634</v>
      </c>
      <c r="AI131" s="33">
        <f>Aviation!AI69</f>
        <v>115.11136996837544</v>
      </c>
      <c r="AJ131" s="33">
        <f>Aviation!AJ69</f>
        <v>112.80970927445668</v>
      </c>
      <c r="AK131" s="33">
        <f>Aviation!AK69</f>
        <v>110.62469884761693</v>
      </c>
      <c r="AL131" s="33">
        <f>Aviation!AL69</f>
        <v>108.5466349358247</v>
      </c>
      <c r="AM131" s="33">
        <f>Aviation!AM69</f>
        <v>106.5668726504322</v>
      </c>
      <c r="AN131" s="33">
        <f>Aviation!AN69</f>
        <v>104.67768261294096</v>
      </c>
      <c r="AO131" s="33">
        <f>Aviation!AO69</f>
        <v>102.87213058187612</v>
      </c>
      <c r="AP131" s="33">
        <f>Aviation!AP69</f>
        <v>101.14397583885327</v>
      </c>
      <c r="AQ131" s="33">
        <f>Aviation!AQ69</f>
        <v>101.07113323306478</v>
      </c>
      <c r="AR131" s="81">
        <f>ROW()</f>
        <v>131</v>
      </c>
    </row>
    <row r="132" spans="1:44" s="31" customFormat="1" ht="15" customHeight="1">
      <c r="B132" s="92" t="s">
        <v>1130</v>
      </c>
      <c r="H132" s="32"/>
      <c r="I132" s="33">
        <f t="shared" si="33"/>
        <v>306.0851541962794</v>
      </c>
      <c r="J132" s="33">
        <f t="shared" si="33"/>
        <v>304.83840012989168</v>
      </c>
      <c r="K132" s="33">
        <f t="shared" si="33"/>
        <v>306.95313738187377</v>
      </c>
      <c r="L132" s="33">
        <f t="shared" si="33"/>
        <v>293.26082151516505</v>
      </c>
      <c r="M132" s="33">
        <f t="shared" si="33"/>
        <v>286.24072207153802</v>
      </c>
      <c r="N132" s="33">
        <f t="shared" si="33"/>
        <v>296.79088500969584</v>
      </c>
      <c r="O132" s="33">
        <f t="shared" si="33"/>
        <v>299.15227953744244</v>
      </c>
      <c r="P132" s="33">
        <f t="shared" si="33"/>
        <v>302.05844775203627</v>
      </c>
      <c r="Q132" s="33">
        <f t="shared" si="34"/>
        <v>308.56923791008637</v>
      </c>
      <c r="R132" s="33">
        <f t="shared" si="34"/>
        <v>316.00403237210276</v>
      </c>
      <c r="S132" s="33">
        <f t="shared" si="35"/>
        <v>325.31630738964878</v>
      </c>
      <c r="T132" s="33">
        <f>'Oil Refining'!T79</f>
        <v>319.39025977315725</v>
      </c>
      <c r="U132" s="33">
        <f>'Oil Refining'!U79</f>
        <v>314.84784063596481</v>
      </c>
      <c r="V132" s="33">
        <f>'Oil Refining'!V79</f>
        <v>310.80344912888842</v>
      </c>
      <c r="W132" s="33">
        <f>'Oil Refining'!W79</f>
        <v>307.54377025985411</v>
      </c>
      <c r="X132" s="33">
        <f>'Oil Refining'!X79</f>
        <v>302.58644019406728</v>
      </c>
      <c r="Y132" s="33">
        <f>'Oil Refining'!Y79</f>
        <v>299.0731175650912</v>
      </c>
      <c r="Z132" s="33">
        <f>'Oil Refining'!Z79</f>
        <v>296.67469139961861</v>
      </c>
      <c r="AA132" s="33">
        <f>'Oil Refining'!AA79</f>
        <v>294.341390542998</v>
      </c>
      <c r="AB132" s="33">
        <f>'Oil Refining'!AB79</f>
        <v>291.79012846797707</v>
      </c>
      <c r="AC132" s="33">
        <f>'Oil Refining'!AC79</f>
        <v>289.01264834488057</v>
      </c>
      <c r="AD132" s="33">
        <f>'Oil Refining'!AD79</f>
        <v>284.94424474469827</v>
      </c>
      <c r="AE132" s="33">
        <f>'Oil Refining'!AE79</f>
        <v>281.05483073950626</v>
      </c>
      <c r="AF132" s="33">
        <f>'Oil Refining'!AF79</f>
        <v>277.41628190608071</v>
      </c>
      <c r="AG132" s="33">
        <f>'Oil Refining'!AG79</f>
        <v>274.00366198953856</v>
      </c>
      <c r="AH132" s="33">
        <f>'Oil Refining'!AH79</f>
        <v>270.62654673286198</v>
      </c>
      <c r="AI132" s="33">
        <f>'Oil Refining'!AI79</f>
        <v>267.40166971263659</v>
      </c>
      <c r="AJ132" s="33">
        <f>'Oil Refining'!AJ79</f>
        <v>264.34140093370212</v>
      </c>
      <c r="AK132" s="33">
        <f>'Oil Refining'!AK79</f>
        <v>261.43109689828339</v>
      </c>
      <c r="AL132" s="33">
        <f>'Oil Refining'!AL79</f>
        <v>258.65778926358411</v>
      </c>
      <c r="AM132" s="33">
        <f>'Oil Refining'!AM79</f>
        <v>256.0217506440444</v>
      </c>
      <c r="AN132" s="33">
        <f>'Oil Refining'!AN79</f>
        <v>253.50265605081276</v>
      </c>
      <c r="AO132" s="33">
        <f>'Oil Refining'!AO79</f>
        <v>251.09121958138221</v>
      </c>
      <c r="AP132" s="33">
        <f>'Oil Refining'!AP79</f>
        <v>248.77908476406921</v>
      </c>
      <c r="AQ132" s="33">
        <f>'Oil Refining'!AQ79</f>
        <v>249.65696299109575</v>
      </c>
      <c r="AR132" s="81">
        <f>ROW()</f>
        <v>132</v>
      </c>
    </row>
    <row r="133" spans="1:44" s="31" customFormat="1" ht="15" customHeight="1">
      <c r="B133" s="92" t="s">
        <v>1182</v>
      </c>
      <c r="H133" s="32"/>
      <c r="I133" s="33">
        <f t="shared" ref="I133:P133" si="36">I121</f>
        <v>282.31135569455722</v>
      </c>
      <c r="J133" s="33">
        <f t="shared" si="36"/>
        <v>306.99811885153406</v>
      </c>
      <c r="K133" s="33">
        <f t="shared" si="36"/>
        <v>311.67055726003537</v>
      </c>
      <c r="L133" s="33">
        <f t="shared" si="36"/>
        <v>281.2219367368487</v>
      </c>
      <c r="M133" s="33">
        <f t="shared" si="36"/>
        <v>324.05935348673682</v>
      </c>
      <c r="N133" s="33">
        <f t="shared" si="36"/>
        <v>334.16166892133862</v>
      </c>
      <c r="O133" s="33">
        <f t="shared" si="36"/>
        <v>315.10554703951397</v>
      </c>
      <c r="P133" s="33">
        <f t="shared" si="36"/>
        <v>288.66148481259364</v>
      </c>
      <c r="Q133" s="33">
        <f t="shared" ref="Q133:R133" si="37">Q121</f>
        <v>343.1128331016601</v>
      </c>
      <c r="R133" s="33">
        <f t="shared" si="37"/>
        <v>337.53498763500778</v>
      </c>
      <c r="S133" s="33">
        <f t="shared" ref="S133" si="38">S121</f>
        <v>282.16515385959826</v>
      </c>
      <c r="T133" s="33">
        <f>Other_Petrol!T72</f>
        <v>275.38694123328776</v>
      </c>
      <c r="U133" s="33">
        <f>Other_Petrol!U72</f>
        <v>266.25521718354213</v>
      </c>
      <c r="V133" s="33">
        <f>Other_Petrol!V72</f>
        <v>257.79409579949009</v>
      </c>
      <c r="W133" s="33">
        <f>Other_Petrol!W72</f>
        <v>249.54878577097196</v>
      </c>
      <c r="X133" s="33">
        <f>Other_Petrol!X72</f>
        <v>245.48801869654858</v>
      </c>
      <c r="Y133" s="33">
        <f>Other_Petrol!Y72</f>
        <v>240.27047297642196</v>
      </c>
      <c r="Z133" s="33">
        <f>Other_Petrol!Z72</f>
        <v>234.50615101778746</v>
      </c>
      <c r="AA133" s="33">
        <f>Other_Petrol!AA72</f>
        <v>229.14025990967087</v>
      </c>
      <c r="AB133" s="33">
        <f>Other_Petrol!AB72</f>
        <v>224.37692897301838</v>
      </c>
      <c r="AC133" s="33">
        <f>Other_Petrol!AC72</f>
        <v>220.17046137699671</v>
      </c>
      <c r="AD133" s="33">
        <f>Other_Petrol!AD72</f>
        <v>217.4246307672116</v>
      </c>
      <c r="AE133" s="33">
        <f>Other_Petrol!AE72</f>
        <v>214.85412173609507</v>
      </c>
      <c r="AF133" s="33">
        <f>Other_Petrol!AF72</f>
        <v>212.44133395773144</v>
      </c>
      <c r="AG133" s="33">
        <f>Other_Petrol!AG72</f>
        <v>210.17090156199413</v>
      </c>
      <c r="AH133" s="33">
        <f>Other_Petrol!AH72</f>
        <v>208.02457267251307</v>
      </c>
      <c r="AI133" s="33">
        <f>Other_Petrol!AI72</f>
        <v>206.0061937410814</v>
      </c>
      <c r="AJ133" s="33">
        <f>Other_Petrol!AJ72</f>
        <v>204.10643462284941</v>
      </c>
      <c r="AK133" s="33">
        <f>Other_Petrol!AK72</f>
        <v>202.31508394602946</v>
      </c>
      <c r="AL133" s="33">
        <f>Other_Petrol!AL72</f>
        <v>200.62301403313339</v>
      </c>
      <c r="AM133" s="33">
        <f>Other_Petrol!AM72</f>
        <v>199.0220358456472</v>
      </c>
      <c r="AN133" s="33">
        <f>Other_Petrol!AN72</f>
        <v>197.50477696802577</v>
      </c>
      <c r="AO133" s="33">
        <f>Other_Petrol!AO72</f>
        <v>196.06457843777815</v>
      </c>
      <c r="AP133" s="33">
        <f>Other_Petrol!AP72</f>
        <v>194.69540708441781</v>
      </c>
      <c r="AQ133" s="33">
        <f>Other_Petrol!AQ72</f>
        <v>198.81228524851397</v>
      </c>
      <c r="AR133" s="81">
        <f>ROW()</f>
        <v>133</v>
      </c>
    </row>
    <row r="134" spans="1:44" s="31" customFormat="1" ht="15" customHeight="1">
      <c r="B134" s="124" t="str">
        <f>B$122</f>
        <v>"Other" Natural Gas (industry, heat/hot water, etc.)</v>
      </c>
      <c r="H134" s="32"/>
      <c r="I134" s="33">
        <f t="shared" ref="I134:Q135" si="39">I122</f>
        <v>559.00938167437994</v>
      </c>
      <c r="J134" s="33">
        <f t="shared" si="39"/>
        <v>513.84823226539675</v>
      </c>
      <c r="K134" s="33">
        <f t="shared" si="39"/>
        <v>540.83846286700918</v>
      </c>
      <c r="L134" s="33">
        <f t="shared" si="39"/>
        <v>545.35752729382648</v>
      </c>
      <c r="M134" s="33">
        <f t="shared" si="39"/>
        <v>471.87901185377547</v>
      </c>
      <c r="N134" s="33">
        <f t="shared" si="39"/>
        <v>487.90205929773322</v>
      </c>
      <c r="O134" s="33">
        <f t="shared" si="39"/>
        <v>495.10095694338077</v>
      </c>
      <c r="P134" s="33">
        <f t="shared" si="39"/>
        <v>477.07658176444318</v>
      </c>
      <c r="Q134" s="33">
        <f t="shared" ref="Q134:R134" si="40">Q122</f>
        <v>524.68458049070568</v>
      </c>
      <c r="R134" s="33">
        <f t="shared" si="40"/>
        <v>570.77225309165624</v>
      </c>
      <c r="S134" s="33">
        <f t="shared" ref="S134" si="41">S122</f>
        <v>577.86226030945033</v>
      </c>
      <c r="T134" s="33">
        <f>'Other_Natural Gas'!T79</f>
        <v>537.95690297561214</v>
      </c>
      <c r="U134" s="33">
        <f>'Other_Natural Gas'!U79</f>
        <v>507.60045049424406</v>
      </c>
      <c r="V134" s="33">
        <f>'Other_Natural Gas'!V79</f>
        <v>481.1741071683166</v>
      </c>
      <c r="W134" s="33">
        <f>'Other_Natural Gas'!W79</f>
        <v>457.81873181564265</v>
      </c>
      <c r="X134" s="33">
        <f>'Other_Natural Gas'!X79</f>
        <v>443.98727327618275</v>
      </c>
      <c r="Y134" s="33">
        <f>'Other_Natural Gas'!Y79</f>
        <v>430.69008039432583</v>
      </c>
      <c r="Z134" s="33">
        <f>'Other_Natural Gas'!Z79</f>
        <v>418.5114365230653</v>
      </c>
      <c r="AA134" s="33">
        <f>'Other_Natural Gas'!AA79</f>
        <v>407.30247577786616</v>
      </c>
      <c r="AB134" s="33">
        <f>'Other_Natural Gas'!AB79</f>
        <v>396.94066816608068</v>
      </c>
      <c r="AC134" s="33">
        <f>'Other_Natural Gas'!AC79</f>
        <v>387.32411671439286</v>
      </c>
      <c r="AD134" s="33">
        <f>'Other_Natural Gas'!AD79</f>
        <v>378.36729480135062</v>
      </c>
      <c r="AE134" s="33">
        <f>'Other_Natural Gas'!AE79</f>
        <v>369.99781268915007</v>
      </c>
      <c r="AF134" s="33">
        <f>'Other_Natural Gas'!AF79</f>
        <v>362.15393190502408</v>
      </c>
      <c r="AG134" s="33">
        <f>'Other_Natural Gas'!AG79</f>
        <v>354.78263129171239</v>
      </c>
      <c r="AH134" s="33">
        <f>'Other_Natural Gas'!AH79</f>
        <v>348.55132889993263</v>
      </c>
      <c r="AI134" s="33">
        <f>'Other_Natural Gas'!AI79</f>
        <v>342.402055673794</v>
      </c>
      <c r="AJ134" s="33">
        <f>'Other_Natural Gas'!AJ79</f>
        <v>336.55237714555392</v>
      </c>
      <c r="AK134" s="33">
        <f>'Other_Natural Gas'!AK79</f>
        <v>330.97852408082849</v>
      </c>
      <c r="AL134" s="33">
        <f>'Other_Natural Gas'!AL79</f>
        <v>325.65929012842537</v>
      </c>
      <c r="AM134" s="33">
        <f>'Other_Natural Gas'!AM79</f>
        <v>320.57568696965967</v>
      </c>
      <c r="AN134" s="33">
        <f>'Other_Natural Gas'!AN79</f>
        <v>315.71065454765557</v>
      </c>
      <c r="AO134" s="33">
        <f>'Other_Natural Gas'!AO79</f>
        <v>311.0488162716108</v>
      </c>
      <c r="AP134" s="33">
        <f>'Other_Natural Gas'!AP79</f>
        <v>306.57627117157921</v>
      </c>
      <c r="AQ134" s="33">
        <f>'Other_Natural Gas'!AQ79</f>
        <v>302.28041658733366</v>
      </c>
      <c r="AR134" s="81">
        <f>ROW()</f>
        <v>134</v>
      </c>
    </row>
    <row r="135" spans="1:44" s="31" customFormat="1" ht="15" customHeight="1">
      <c r="B135" s="124" t="str">
        <f>B$123</f>
        <v>Misc. (non-electric coal, non-energy FF's, U.S. territories)</v>
      </c>
      <c r="H135" s="32"/>
      <c r="I135" s="33">
        <f t="shared" si="39"/>
        <v>315.5</v>
      </c>
      <c r="J135" s="33">
        <f t="shared" si="39"/>
        <v>312.90000000000003</v>
      </c>
      <c r="K135" s="33">
        <f t="shared" si="39"/>
        <v>294.70000000000005</v>
      </c>
      <c r="L135" s="33">
        <f t="shared" si="39"/>
        <v>279</v>
      </c>
      <c r="M135" s="33">
        <f t="shared" si="39"/>
        <v>241.8</v>
      </c>
      <c r="N135" s="33">
        <f t="shared" si="39"/>
        <v>252.2</v>
      </c>
      <c r="O135" s="33">
        <f t="shared" si="39"/>
        <v>237.8</v>
      </c>
      <c r="P135" s="33">
        <f t="shared" si="39"/>
        <v>227.39999999999998</v>
      </c>
      <c r="Q135" s="33">
        <f t="shared" si="39"/>
        <v>244.8</v>
      </c>
      <c r="R135" s="33">
        <f t="shared" ref="R135:S135" si="42">R123</f>
        <v>235.1</v>
      </c>
      <c r="S135" s="33">
        <f t="shared" si="42"/>
        <v>231.54700342092116</v>
      </c>
      <c r="T135" s="33">
        <f>Miscellany!T82</f>
        <v>226.99546338293121</v>
      </c>
      <c r="U135" s="33">
        <f>Miscellany!U82</f>
        <v>221.84388845790292</v>
      </c>
      <c r="V135" s="33">
        <f>Miscellany!V82</f>
        <v>217.01029961810053</v>
      </c>
      <c r="W135" s="33">
        <f>Miscellany!W82</f>
        <v>212.4582473274175</v>
      </c>
      <c r="X135" s="33">
        <f>Miscellany!X82</f>
        <v>208.05343178544132</v>
      </c>
      <c r="Y135" s="33">
        <f>Miscellany!Y82</f>
        <v>204.08676598694313</v>
      </c>
      <c r="Z135" s="33">
        <f>Miscellany!Z82</f>
        <v>200.30926328839107</v>
      </c>
      <c r="AA135" s="33">
        <f>Miscellany!AA82</f>
        <v>196.70375231460869</v>
      </c>
      <c r="AB135" s="33">
        <f>Miscellany!AB82</f>
        <v>193.25515770346757</v>
      </c>
      <c r="AC135" s="33">
        <f>Miscellany!AC82</f>
        <v>189.95018172519949</v>
      </c>
      <c r="AD135" s="33">
        <f>Miscellany!AD82</f>
        <v>186.77704337738695</v>
      </c>
      <c r="AE135" s="33">
        <f>Miscellany!AE82</f>
        <v>183.7252630528784</v>
      </c>
      <c r="AF135" s="33">
        <f>Miscellany!AF82</f>
        <v>180.7854836388729</v>
      </c>
      <c r="AG135" s="33">
        <f>Miscellany!AG82</f>
        <v>177.94932096142472</v>
      </c>
      <c r="AH135" s="33">
        <f>Miscellany!AH82</f>
        <v>175.1631417212937</v>
      </c>
      <c r="AI135" s="33">
        <f>Miscellany!AI82</f>
        <v>172.37356617792992</v>
      </c>
      <c r="AJ135" s="33">
        <f>Miscellany!AJ82</f>
        <v>169.67172251050087</v>
      </c>
      <c r="AK135" s="33">
        <f>Miscellany!AK82</f>
        <v>167.05178677376762</v>
      </c>
      <c r="AL135" s="33">
        <f>Miscellany!AL82</f>
        <v>164.50846700961711</v>
      </c>
      <c r="AM135" s="33">
        <f>Miscellany!AM82</f>
        <v>162.03694324020486</v>
      </c>
      <c r="AN135" s="33">
        <f>Miscellany!AN82</f>
        <v>159.63281559723538</v>
      </c>
      <c r="AO135" s="33">
        <f>Miscellany!AO82</f>
        <v>157.29205930923564</v>
      </c>
      <c r="AP135" s="33">
        <f>Miscellany!AP82</f>
        <v>155.01098549519727</v>
      </c>
      <c r="AQ135" s="33">
        <f>Miscellany!AQ82</f>
        <v>152.7862068949803</v>
      </c>
      <c r="AR135" s="81">
        <f>ROW()</f>
        <v>135</v>
      </c>
    </row>
    <row r="136" spans="1:44" s="31" customFormat="1" ht="15" customHeight="1">
      <c r="E136" s="375"/>
      <c r="F136" s="375"/>
      <c r="G136" s="376"/>
      <c r="H136" s="376"/>
      <c r="I136" s="377" t="s">
        <v>445</v>
      </c>
      <c r="J136" s="379">
        <f t="shared" ref="J136:S136" si="43">(J127-$I$127)/$I$127</f>
        <v>-1.2098193134728227E-2</v>
      </c>
      <c r="K136" s="379">
        <f t="shared" si="43"/>
        <v>3.4338052055705218E-3</v>
      </c>
      <c r="L136" s="379">
        <f t="shared" si="43"/>
        <v>-3.1361808291762487E-2</v>
      </c>
      <c r="M136" s="379">
        <f t="shared" si="43"/>
        <v>-9.8719173829123222E-2</v>
      </c>
      <c r="N136" s="379">
        <f t="shared" si="43"/>
        <v>-6.7166385501885514E-2</v>
      </c>
      <c r="O136" s="379">
        <f t="shared" si="43"/>
        <v>-9.2872405816033843E-2</v>
      </c>
      <c r="P136" s="379">
        <f t="shared" si="43"/>
        <v>-0.12903429582087411</v>
      </c>
      <c r="Q136" s="379">
        <f t="shared" si="43"/>
        <v>-0.10345314289482009</v>
      </c>
      <c r="R136" s="379">
        <f t="shared" si="43"/>
        <v>-9.3999013139895837E-2</v>
      </c>
      <c r="S136" s="379">
        <f t="shared" si="43"/>
        <v>-0.12167978661055824</v>
      </c>
      <c r="T136" s="383">
        <f t="shared" ref="T136:AP136" si="44">(T127-$I$127)/$I$127</f>
        <v>-0.1732948321912112</v>
      </c>
      <c r="U136" s="383">
        <f t="shared" si="44"/>
        <v>-0.21338122870970372</v>
      </c>
      <c r="V136" s="383">
        <f t="shared" si="44"/>
        <v>-0.24869440953231925</v>
      </c>
      <c r="W136" s="383">
        <f t="shared" si="44"/>
        <v>-0.27984517870274866</v>
      </c>
      <c r="X136" s="383">
        <f t="shared" si="44"/>
        <v>-0.30846794602245131</v>
      </c>
      <c r="Y136" s="383">
        <f t="shared" si="44"/>
        <v>-0.33351438788572885</v>
      </c>
      <c r="Z136" s="383">
        <f t="shared" si="44"/>
        <v>-0.35571527420563065</v>
      </c>
      <c r="AA136" s="383">
        <f t="shared" si="44"/>
        <v>-0.37625671532566074</v>
      </c>
      <c r="AB136" s="383">
        <f t="shared" si="44"/>
        <v>-0.39559423688637435</v>
      </c>
      <c r="AC136" s="383">
        <f t="shared" si="44"/>
        <v>-0.41390465623343758</v>
      </c>
      <c r="AD136" s="383">
        <f t="shared" si="44"/>
        <v>-0.43221156823719731</v>
      </c>
      <c r="AE136" s="383">
        <f t="shared" si="44"/>
        <v>-0.44938187205074087</v>
      </c>
      <c r="AF136" s="383">
        <f t="shared" si="44"/>
        <v>-0.46544973211831109</v>
      </c>
      <c r="AG136" s="383">
        <f t="shared" si="44"/>
        <v>-0.4805293536241862</v>
      </c>
      <c r="AH136" s="383">
        <f t="shared" si="44"/>
        <v>-0.49436315875118392</v>
      </c>
      <c r="AI136" s="383">
        <f t="shared" si="44"/>
        <v>-0.5075223886962108</v>
      </c>
      <c r="AJ136" s="383">
        <f t="shared" si="44"/>
        <v>-0.51999159056443456</v>
      </c>
      <c r="AK136" s="383">
        <f t="shared" si="44"/>
        <v>-0.53182951606682638</v>
      </c>
      <c r="AL136" s="383">
        <f t="shared" si="44"/>
        <v>-0.54308794266983917</v>
      </c>
      <c r="AM136" s="383">
        <f t="shared" si="44"/>
        <v>-0.55380198720459572</v>
      </c>
      <c r="AN136" s="383">
        <f t="shared" si="44"/>
        <v>-0.56402171866354367</v>
      </c>
      <c r="AO136" s="383">
        <f t="shared" si="44"/>
        <v>-0.57378361295990743</v>
      </c>
      <c r="AP136" s="383">
        <f t="shared" si="44"/>
        <v>-0.58312036352020302</v>
      </c>
      <c r="AQ136" s="383">
        <f t="shared" ref="AQ136" si="45">(AQ127-$I$127)/$I$127</f>
        <v>-0.5877596009368623</v>
      </c>
      <c r="AR136" s="81">
        <f>ROW()</f>
        <v>136</v>
      </c>
    </row>
    <row r="137" spans="1:44" s="31" customFormat="1" ht="15" customHeight="1">
      <c r="B137" s="559" t="str">
        <f>CONCATENATE("Projected, with carbon tax taking effect in ",$I$53,"")</f>
        <v>Projected, with carbon tax taking effect in 2017</v>
      </c>
      <c r="E137" s="380"/>
      <c r="F137" s="380"/>
      <c r="G137" s="381"/>
      <c r="H137" s="381"/>
      <c r="I137" s="382"/>
      <c r="K137"/>
      <c r="M137" s="126"/>
      <c r="N137" s="126"/>
      <c r="O137" s="126"/>
      <c r="P137" s="126"/>
      <c r="Q137" s="126"/>
      <c r="R137" s="126"/>
      <c r="S137" s="126"/>
      <c r="T137" s="34"/>
      <c r="U137" s="34"/>
      <c r="V137" s="34"/>
      <c r="W137" s="34"/>
      <c r="X137" s="34"/>
      <c r="Y137" s="34"/>
      <c r="Z137" s="34"/>
      <c r="AA137" s="34"/>
      <c r="AB137" s="34"/>
      <c r="AC137" s="34"/>
      <c r="AD137" s="34"/>
      <c r="AE137" s="34"/>
      <c r="AF137" s="34"/>
      <c r="AG137" s="34"/>
      <c r="AH137" s="34"/>
      <c r="AI137" s="34"/>
      <c r="AJ137" s="34"/>
      <c r="AK137" s="34"/>
      <c r="AL137" s="34"/>
      <c r="AM137" s="34"/>
      <c r="AN137" s="34"/>
      <c r="AO137" s="34"/>
      <c r="AP137" s="34"/>
      <c r="AQ137" s="34"/>
      <c r="AR137" s="81">
        <f>ROW()</f>
        <v>137</v>
      </c>
    </row>
    <row r="138" spans="1:44" s="8" customFormat="1" ht="15" customHeight="1">
      <c r="A138" s="31"/>
      <c r="B138" s="8" t="s">
        <v>485</v>
      </c>
      <c r="H138" s="23"/>
      <c r="I138" s="1159" t="s">
        <v>1255</v>
      </c>
      <c r="J138" s="1160"/>
      <c r="K138" s="1160"/>
      <c r="L138" s="1160"/>
      <c r="M138" s="1160"/>
      <c r="N138" s="1161"/>
      <c r="O138" s="129"/>
      <c r="P138" s="129"/>
      <c r="Q138" s="129"/>
      <c r="R138" s="129"/>
      <c r="S138" s="129"/>
      <c r="T138" s="24">
        <f t="shared" ref="T138:AP138" si="46">SUM(T139:T146)</f>
        <v>-241.99821700874486</v>
      </c>
      <c r="U138" s="24">
        <f t="shared" si="46"/>
        <v>-457.4226616534699</v>
      </c>
      <c r="V138" s="24">
        <f t="shared" si="46"/>
        <v>-645.39906658635164</v>
      </c>
      <c r="W138" s="24">
        <f t="shared" si="46"/>
        <v>-811.36876761170902</v>
      </c>
      <c r="X138" s="24">
        <f t="shared" si="46"/>
        <v>-963.20535347552425</v>
      </c>
      <c r="Y138" s="24">
        <f t="shared" si="46"/>
        <v>-1103.824399413958</v>
      </c>
      <c r="Z138" s="24">
        <f t="shared" si="46"/>
        <v>-1233.5345311319215</v>
      </c>
      <c r="AA138" s="24">
        <f t="shared" si="46"/>
        <v>-1353.630923876045</v>
      </c>
      <c r="AB138" s="24">
        <f t="shared" si="46"/>
        <v>-1465.2325711491312</v>
      </c>
      <c r="AC138" s="24">
        <f t="shared" si="46"/>
        <v>-1569.3237498779454</v>
      </c>
      <c r="AD138" s="24">
        <f t="shared" si="46"/>
        <v>-1665.741493681702</v>
      </c>
      <c r="AE138" s="24">
        <f t="shared" si="46"/>
        <v>-1755.7109159101253</v>
      </c>
      <c r="AF138" s="24">
        <f t="shared" si="46"/>
        <v>-1839.4295875640596</v>
      </c>
      <c r="AG138" s="24">
        <f t="shared" si="46"/>
        <v>-1917.5602631266604</v>
      </c>
      <c r="AH138" s="24">
        <f t="shared" si="46"/>
        <v>-1997.7385148993253</v>
      </c>
      <c r="AI138" s="24">
        <f t="shared" si="46"/>
        <v>-2073.532093246949</v>
      </c>
      <c r="AJ138" s="24">
        <f t="shared" si="46"/>
        <v>-2145.3752475625988</v>
      </c>
      <c r="AK138" s="24">
        <f t="shared" si="46"/>
        <v>-2213.6113795771494</v>
      </c>
      <c r="AL138" s="24">
        <f t="shared" si="46"/>
        <v>-2278.5433666660283</v>
      </c>
      <c r="AM138" s="24">
        <f t="shared" si="46"/>
        <v>-2340.377267230328</v>
      </c>
      <c r="AN138" s="24">
        <f t="shared" si="46"/>
        <v>-2399.4060448133296</v>
      </c>
      <c r="AO138" s="24">
        <f t="shared" si="46"/>
        <v>-2455.8436714021382</v>
      </c>
      <c r="AP138" s="24">
        <f t="shared" si="46"/>
        <v>-2509.882143554707</v>
      </c>
      <c r="AQ138" s="24">
        <f t="shared" ref="AQ138" si="47">SUM(AQ139:AQ146)</f>
        <v>-2585.7423481078663</v>
      </c>
      <c r="AR138" s="81">
        <f>ROW()</f>
        <v>138</v>
      </c>
    </row>
    <row r="139" spans="1:44" ht="15" customHeight="1">
      <c r="A139" s="8"/>
      <c r="B139" s="124" t="str">
        <f>B$116</f>
        <v>Electricity Generation</v>
      </c>
      <c r="I139" s="1162"/>
      <c r="J139" s="1163"/>
      <c r="K139" s="1163"/>
      <c r="L139" s="1163"/>
      <c r="M139" s="1163"/>
      <c r="N139" s="1164"/>
      <c r="T139" s="33">
        <f t="shared" ref="T139:AP139" si="48">T128-T116</f>
        <v>-152.46349323456457</v>
      </c>
      <c r="U139" s="33">
        <f t="shared" si="48"/>
        <v>-281.2819880506654</v>
      </c>
      <c r="V139" s="33">
        <f t="shared" si="48"/>
        <v>-391.64665539488965</v>
      </c>
      <c r="W139" s="33">
        <f t="shared" si="48"/>
        <v>-487.2956697095326</v>
      </c>
      <c r="X139" s="33">
        <f t="shared" si="48"/>
        <v>-570.09833085831428</v>
      </c>
      <c r="Y139" s="33">
        <f t="shared" si="48"/>
        <v>-642.81154856673197</v>
      </c>
      <c r="Z139" s="33">
        <f t="shared" si="48"/>
        <v>-707.09093272999507</v>
      </c>
      <c r="AA139" s="33">
        <f t="shared" si="48"/>
        <v>-764.23724162111296</v>
      </c>
      <c r="AB139" s="33">
        <f t="shared" si="48"/>
        <v>-815.28777276334142</v>
      </c>
      <c r="AC139" s="33">
        <f t="shared" si="48"/>
        <v>-861.08067244191454</v>
      </c>
      <c r="AD139" s="33">
        <f t="shared" si="48"/>
        <v>-902.30113843762922</v>
      </c>
      <c r="AE139" s="33">
        <f t="shared" si="48"/>
        <v>-939.51523210129221</v>
      </c>
      <c r="AF139" s="33">
        <f t="shared" si="48"/>
        <v>-973.19503430918951</v>
      </c>
      <c r="AG139" s="33">
        <f t="shared" si="48"/>
        <v>-1003.7376411937248</v>
      </c>
      <c r="AH139" s="33">
        <f t="shared" si="48"/>
        <v>-1037.0168762095864</v>
      </c>
      <c r="AI139" s="33">
        <f t="shared" si="48"/>
        <v>-1067.9515545860777</v>
      </c>
      <c r="AJ139" s="33">
        <f t="shared" si="48"/>
        <v>-1096.7602394795374</v>
      </c>
      <c r="AK139" s="33">
        <f t="shared" si="48"/>
        <v>-1123.6331899631923</v>
      </c>
      <c r="AL139" s="33">
        <f t="shared" si="48"/>
        <v>-1148.7368995914057</v>
      </c>
      <c r="AM139" s="33">
        <f t="shared" si="48"/>
        <v>-1172.2177848801946</v>
      </c>
      <c r="AN139" s="33">
        <f t="shared" si="48"/>
        <v>-1194.2052050978459</v>
      </c>
      <c r="AO139" s="33">
        <f t="shared" si="48"/>
        <v>-1214.8139515670425</v>
      </c>
      <c r="AP139" s="33">
        <f t="shared" si="48"/>
        <v>-1234.146312765469</v>
      </c>
      <c r="AQ139" s="33">
        <f t="shared" ref="AQ139" si="49">AQ128-AQ116</f>
        <v>-1261.9450162034716</v>
      </c>
      <c r="AR139" s="81">
        <f>ROW()</f>
        <v>139</v>
      </c>
    </row>
    <row r="140" spans="1:44" s="31" customFormat="1" ht="15" customHeight="1">
      <c r="A140"/>
      <c r="B140" s="124" t="str">
        <f>B$117</f>
        <v>Personal Ground Travel (driving, boating, rec vehicles, etc.)</v>
      </c>
      <c r="H140" s="32"/>
      <c r="I140" s="1165" t="s">
        <v>1244</v>
      </c>
      <c r="J140" s="1166"/>
      <c r="K140" s="1166"/>
      <c r="L140" s="1166"/>
      <c r="M140" s="1166"/>
      <c r="N140" s="1167"/>
      <c r="O140" s="126"/>
      <c r="P140" s="126"/>
      <c r="Q140" s="126"/>
      <c r="R140" s="126"/>
      <c r="S140" s="126"/>
      <c r="T140" s="33">
        <f t="shared" ref="T140:AP140" si="50">T129-T117</f>
        <v>-3.7315844003169332</v>
      </c>
      <c r="U140" s="33">
        <f t="shared" si="50"/>
        <v>-21.092410148293766</v>
      </c>
      <c r="V140" s="33">
        <f t="shared" si="50"/>
        <v>-38.791988411204329</v>
      </c>
      <c r="W140" s="33">
        <f t="shared" si="50"/>
        <v>-56.935038802436793</v>
      </c>
      <c r="X140" s="33">
        <f t="shared" si="50"/>
        <v>-74.65007881049371</v>
      </c>
      <c r="Y140" s="33">
        <f t="shared" si="50"/>
        <v>-92.868112209009837</v>
      </c>
      <c r="Z140" s="33">
        <f t="shared" si="50"/>
        <v>-111.79745663825906</v>
      </c>
      <c r="AA140" s="33">
        <f t="shared" si="50"/>
        <v>-130.922381814049</v>
      </c>
      <c r="AB140" s="33">
        <f t="shared" si="50"/>
        <v>-149.95825399230625</v>
      </c>
      <c r="AC140" s="33">
        <f t="shared" si="50"/>
        <v>-168.77541556378003</v>
      </c>
      <c r="AD140" s="33">
        <f t="shared" si="50"/>
        <v>-186.07754531634214</v>
      </c>
      <c r="AE140" s="33">
        <f t="shared" si="50"/>
        <v>-202.67457503566982</v>
      </c>
      <c r="AF140" s="33">
        <f t="shared" si="50"/>
        <v>-218.20774084268498</v>
      </c>
      <c r="AG140" s="33">
        <f t="shared" si="50"/>
        <v>-232.78227448659959</v>
      </c>
      <c r="AH140" s="33">
        <f t="shared" si="50"/>
        <v>-246.31958630670226</v>
      </c>
      <c r="AI140" s="33">
        <f t="shared" si="50"/>
        <v>-258.94006170055104</v>
      </c>
      <c r="AJ140" s="33">
        <f t="shared" si="50"/>
        <v>-270.75739434889647</v>
      </c>
      <c r="AK140" s="33">
        <f t="shared" si="50"/>
        <v>-281.83394803836393</v>
      </c>
      <c r="AL140" s="33">
        <f t="shared" si="50"/>
        <v>-292.22503498195147</v>
      </c>
      <c r="AM140" s="33">
        <f t="shared" si="50"/>
        <v>-301.92942211198317</v>
      </c>
      <c r="AN140" s="33">
        <f t="shared" si="50"/>
        <v>-311.03529193444047</v>
      </c>
      <c r="AO140" s="33">
        <f t="shared" si="50"/>
        <v>-319.58272838109735</v>
      </c>
      <c r="AP140" s="33">
        <f t="shared" si="50"/>
        <v>-327.60790846075906</v>
      </c>
      <c r="AQ140" s="33">
        <f t="shared" ref="AQ140" si="51">AQ129-AQ117</f>
        <v>-338.84155207379297</v>
      </c>
      <c r="AR140" s="81">
        <f>ROW()</f>
        <v>140</v>
      </c>
    </row>
    <row r="141" spans="1:44" s="31" customFormat="1" ht="15" customHeight="1">
      <c r="B141" s="124" t="str">
        <f>B$118</f>
        <v>Freight (goods movement by road, rail, ship, air)</v>
      </c>
      <c r="H141" s="32"/>
      <c r="I141" s="1168"/>
      <c r="J141" s="1166"/>
      <c r="K141" s="1166"/>
      <c r="L141" s="1166"/>
      <c r="M141" s="1166"/>
      <c r="N141" s="1167"/>
      <c r="O141" s="126"/>
      <c r="P141" s="126"/>
      <c r="Q141" s="126"/>
      <c r="R141" s="126"/>
      <c r="S141" s="126"/>
      <c r="T141" s="33">
        <f t="shared" ref="T141:AP141" si="52">T130-T118</f>
        <v>-23.85970729294047</v>
      </c>
      <c r="U141" s="33">
        <f t="shared" si="52"/>
        <v>-42.099675488342314</v>
      </c>
      <c r="V141" s="33">
        <f t="shared" si="52"/>
        <v>-58.624607102493485</v>
      </c>
      <c r="W141" s="33">
        <f t="shared" si="52"/>
        <v>-73.694905553484375</v>
      </c>
      <c r="X141" s="33">
        <f t="shared" si="52"/>
        <v>-87.292966251927623</v>
      </c>
      <c r="Y141" s="33">
        <f t="shared" si="52"/>
        <v>-100.52982431032706</v>
      </c>
      <c r="Z141" s="33">
        <f t="shared" si="52"/>
        <v>-112.93327282800493</v>
      </c>
      <c r="AA141" s="33">
        <f t="shared" si="52"/>
        <v>-124.60085378078412</v>
      </c>
      <c r="AB141" s="33">
        <f t="shared" si="52"/>
        <v>-135.61488659872208</v>
      </c>
      <c r="AC141" s="33">
        <f t="shared" si="52"/>
        <v>-146.04540016125628</v>
      </c>
      <c r="AD141" s="33">
        <f t="shared" si="52"/>
        <v>-155.95240207050313</v>
      </c>
      <c r="AE141" s="33">
        <f t="shared" si="52"/>
        <v>-165.38765534211683</v>
      </c>
      <c r="AF141" s="33">
        <f t="shared" si="52"/>
        <v>-174.39608415162201</v>
      </c>
      <c r="AG141" s="33">
        <f t="shared" si="52"/>
        <v>-183.01689687220596</v>
      </c>
      <c r="AH141" s="33">
        <f t="shared" si="52"/>
        <v>-191.08433720405867</v>
      </c>
      <c r="AI141" s="33">
        <f t="shared" si="52"/>
        <v>-198.8907481681382</v>
      </c>
      <c r="AJ141" s="33">
        <f t="shared" si="52"/>
        <v>-206.39310456694756</v>
      </c>
      <c r="AK141" s="33">
        <f t="shared" si="52"/>
        <v>-213.61582473542643</v>
      </c>
      <c r="AL141" s="33">
        <f t="shared" si="52"/>
        <v>-220.58069554651701</v>
      </c>
      <c r="AM141" s="33">
        <f t="shared" si="52"/>
        <v>-227.30722714264255</v>
      </c>
      <c r="AN141" s="33">
        <f t="shared" si="52"/>
        <v>-233.8129507547286</v>
      </c>
      <c r="AO141" s="33">
        <f t="shared" si="52"/>
        <v>-240.11367010394048</v>
      </c>
      <c r="AP141" s="33">
        <f t="shared" si="52"/>
        <v>-246.22367470863583</v>
      </c>
      <c r="AQ141" s="33">
        <f t="shared" ref="AQ141" si="53">AQ130-AQ118</f>
        <v>-256.79849669172432</v>
      </c>
      <c r="AR141" s="81">
        <f>ROW()</f>
        <v>141</v>
      </c>
    </row>
    <row r="142" spans="1:44" s="31" customFormat="1" ht="15" customHeight="1">
      <c r="B142" s="124" t="str">
        <f>B$119</f>
        <v>Aviation (passenger only)</v>
      </c>
      <c r="H142" s="32"/>
      <c r="I142" s="1168"/>
      <c r="J142" s="1166"/>
      <c r="K142" s="1166"/>
      <c r="L142" s="1166"/>
      <c r="M142" s="1166"/>
      <c r="N142" s="1167"/>
      <c r="O142" s="126"/>
      <c r="P142" s="126"/>
      <c r="Q142" s="126"/>
      <c r="R142" s="126"/>
      <c r="S142" s="126"/>
      <c r="T142" s="33">
        <f t="shared" ref="T142:AP143" si="54">T131-T119</f>
        <v>-14.179805805253523</v>
      </c>
      <c r="U142" s="33">
        <f t="shared" si="54"/>
        <v>-22.988298163342478</v>
      </c>
      <c r="V142" s="33">
        <f t="shared" si="54"/>
        <v>-30.329105281824894</v>
      </c>
      <c r="W142" s="33">
        <f t="shared" si="54"/>
        <v>-36.49389524205165</v>
      </c>
      <c r="X142" s="33">
        <f t="shared" si="54"/>
        <v>-41.737609293814501</v>
      </c>
      <c r="Y142" s="33">
        <f t="shared" si="54"/>
        <v>-47.698486524714525</v>
      </c>
      <c r="Z142" s="33">
        <f t="shared" si="54"/>
        <v>-53.256176046885486</v>
      </c>
      <c r="AA142" s="33">
        <f t="shared" si="54"/>
        <v>-58.461565880105837</v>
      </c>
      <c r="AB142" s="33">
        <f t="shared" si="54"/>
        <v>-63.357178073618911</v>
      </c>
      <c r="AC142" s="33">
        <f t="shared" si="54"/>
        <v>-67.978851354075402</v>
      </c>
      <c r="AD142" s="33">
        <f t="shared" si="54"/>
        <v>-72.357028850067934</v>
      </c>
      <c r="AE142" s="33">
        <f t="shared" si="54"/>
        <v>-76.5177557607079</v>
      </c>
      <c r="AF142" s="33">
        <f t="shared" si="54"/>
        <v>-80.483461006441146</v>
      </c>
      <c r="AG142" s="33">
        <f t="shared" si="54"/>
        <v>-84.273575945846872</v>
      </c>
      <c r="AH142" s="33">
        <f t="shared" si="54"/>
        <v>-87.958650293000403</v>
      </c>
      <c r="AI142" s="33">
        <f t="shared" si="54"/>
        <v>-91.593435657361653</v>
      </c>
      <c r="AJ142" s="33">
        <f t="shared" si="54"/>
        <v>-95.107708628447369</v>
      </c>
      <c r="AK142" s="33">
        <f t="shared" si="54"/>
        <v>-98.512444996455642</v>
      </c>
      <c r="AL142" s="33">
        <f t="shared" si="54"/>
        <v>-101.81739024498913</v>
      </c>
      <c r="AM142" s="33">
        <f t="shared" si="54"/>
        <v>-105.03123123908074</v>
      </c>
      <c r="AN142" s="33">
        <f t="shared" si="54"/>
        <v>-108.16173957986412</v>
      </c>
      <c r="AO142" s="33">
        <f t="shared" si="54"/>
        <v>-111.21589197914398</v>
      </c>
      <c r="AP142" s="33">
        <f t="shared" si="54"/>
        <v>-114.19997187478248</v>
      </c>
      <c r="AQ142" s="33">
        <f t="shared" ref="AQ142:AQ143" si="55">AQ131-AQ119</f>
        <v>-118.983854332319</v>
      </c>
      <c r="AR142" s="81">
        <f>ROW()</f>
        <v>142</v>
      </c>
    </row>
    <row r="143" spans="1:44" s="31" customFormat="1" ht="15" customHeight="1">
      <c r="B143" s="92" t="s">
        <v>1130</v>
      </c>
      <c r="H143" s="32"/>
      <c r="I143" s="1168"/>
      <c r="J143" s="1166"/>
      <c r="K143" s="1166"/>
      <c r="L143" s="1166"/>
      <c r="M143" s="1166"/>
      <c r="N143" s="1167"/>
      <c r="O143" s="126"/>
      <c r="P143" s="126"/>
      <c r="Q143" s="126"/>
      <c r="R143" s="126"/>
      <c r="S143" s="126"/>
      <c r="T143" s="33">
        <f t="shared" si="54"/>
        <v>-1.5133962051862113</v>
      </c>
      <c r="U143" s="33">
        <f t="shared" si="54"/>
        <v>-5.1339974023570676</v>
      </c>
      <c r="V143" s="33">
        <f t="shared" si="54"/>
        <v>-8.453902033745976</v>
      </c>
      <c r="W143" s="33">
        <f t="shared" si="54"/>
        <v>-11.54452560425176</v>
      </c>
      <c r="X143" s="33">
        <f t="shared" si="54"/>
        <v>-14.375085225600571</v>
      </c>
      <c r="Y143" s="33">
        <f t="shared" si="54"/>
        <v>-17.291094912331232</v>
      </c>
      <c r="Z143" s="33">
        <f t="shared" si="54"/>
        <v>-20.151643383780538</v>
      </c>
      <c r="AA143" s="33">
        <f t="shared" si="54"/>
        <v>-22.937973508308858</v>
      </c>
      <c r="AB143" s="33">
        <f t="shared" si="54"/>
        <v>-25.641474123179762</v>
      </c>
      <c r="AC143" s="33">
        <f t="shared" si="54"/>
        <v>-28.262169428267157</v>
      </c>
      <c r="AD143" s="33">
        <f t="shared" si="54"/>
        <v>-30.69819160632187</v>
      </c>
      <c r="AE143" s="33">
        <f t="shared" si="54"/>
        <v>-32.970497757412204</v>
      </c>
      <c r="AF143" s="33">
        <f t="shared" si="54"/>
        <v>-35.00706331698143</v>
      </c>
      <c r="AG143" s="33">
        <f t="shared" si="54"/>
        <v>-36.832677436822223</v>
      </c>
      <c r="AH143" s="33">
        <f t="shared" si="54"/>
        <v>-38.4325626383295</v>
      </c>
      <c r="AI143" s="33">
        <f t="shared" si="54"/>
        <v>-39.862237089192661</v>
      </c>
      <c r="AJ143" s="33">
        <f t="shared" si="54"/>
        <v>-41.12552050897159</v>
      </c>
      <c r="AK143" s="33">
        <f t="shared" si="54"/>
        <v>-42.237212337316066</v>
      </c>
      <c r="AL143" s="33">
        <f t="shared" si="54"/>
        <v>-43.210436981625719</v>
      </c>
      <c r="AM143" s="33">
        <f t="shared" si="54"/>
        <v>-44.045077966926499</v>
      </c>
      <c r="AN143" s="33">
        <f t="shared" si="54"/>
        <v>-44.761616448904732</v>
      </c>
      <c r="AO143" s="33">
        <f t="shared" si="54"/>
        <v>-45.369494477165318</v>
      </c>
      <c r="AP143" s="33">
        <f t="shared" si="54"/>
        <v>-45.87722460404737</v>
      </c>
      <c r="AQ143" s="33">
        <f t="shared" si="55"/>
        <v>-46.999603289839598</v>
      </c>
      <c r="AR143" s="81">
        <f>ROW()</f>
        <v>143</v>
      </c>
    </row>
    <row r="144" spans="1:44" s="31" customFormat="1" ht="15" customHeight="1">
      <c r="B144" s="92" t="s">
        <v>1182</v>
      </c>
      <c r="H144" s="32"/>
      <c r="I144" s="1169"/>
      <c r="J144" s="1170"/>
      <c r="K144" s="1170"/>
      <c r="L144" s="1170"/>
      <c r="M144" s="1170"/>
      <c r="N144" s="1171"/>
      <c r="O144" s="126"/>
      <c r="P144" s="126"/>
      <c r="Q144" s="126"/>
      <c r="R144" s="126"/>
      <c r="S144" s="126"/>
      <c r="T144" s="33">
        <f t="shared" ref="T144:AP144" si="56">T133-T121</f>
        <v>-10.068752143839674</v>
      </c>
      <c r="U144" s="33">
        <f t="shared" si="56"/>
        <v>-18.706281382232476</v>
      </c>
      <c r="V144" s="33">
        <f t="shared" si="56"/>
        <v>-26.462588273867482</v>
      </c>
      <c r="W144" s="33">
        <f t="shared" si="56"/>
        <v>-33.403843598676019</v>
      </c>
      <c r="X144" s="33">
        <f t="shared" si="56"/>
        <v>-40.219878643780703</v>
      </c>
      <c r="Y144" s="33">
        <f t="shared" si="56"/>
        <v>-46.533236428105283</v>
      </c>
      <c r="Z144" s="33">
        <f t="shared" si="56"/>
        <v>-52.243984942512412</v>
      </c>
      <c r="AA144" s="33">
        <f t="shared" si="56"/>
        <v>-57.566488817236745</v>
      </c>
      <c r="AB144" s="33">
        <f t="shared" si="56"/>
        <v>-62.613170545727996</v>
      </c>
      <c r="AC144" s="33">
        <f t="shared" si="56"/>
        <v>-67.438661270597123</v>
      </c>
      <c r="AD144" s="33">
        <f t="shared" si="56"/>
        <v>-72.405157878327401</v>
      </c>
      <c r="AE144" s="33">
        <f t="shared" si="56"/>
        <v>-77.180077278789497</v>
      </c>
      <c r="AF144" s="33">
        <f t="shared" si="56"/>
        <v>-81.78118170706324</v>
      </c>
      <c r="AG144" s="33">
        <f t="shared" si="56"/>
        <v>-86.223996897327311</v>
      </c>
      <c r="AH144" s="33">
        <f t="shared" si="56"/>
        <v>-90.48016357507251</v>
      </c>
      <c r="AI144" s="33">
        <f t="shared" si="56"/>
        <v>-94.627935944083674</v>
      </c>
      <c r="AJ144" s="33">
        <f t="shared" si="56"/>
        <v>-98.659075005453587</v>
      </c>
      <c r="AK144" s="33">
        <f t="shared" si="56"/>
        <v>-102.58362291699086</v>
      </c>
      <c r="AL144" s="33">
        <f t="shared" si="56"/>
        <v>-106.41053800902219</v>
      </c>
      <c r="AM144" s="33">
        <f t="shared" si="56"/>
        <v>-110.14783989166401</v>
      </c>
      <c r="AN144" s="33">
        <f t="shared" si="56"/>
        <v>-113.8027315223666</v>
      </c>
      <c r="AO144" s="33">
        <f t="shared" si="56"/>
        <v>-117.38170242694969</v>
      </c>
      <c r="AP144" s="33">
        <f t="shared" si="56"/>
        <v>-120.8906164113356</v>
      </c>
      <c r="AQ144" s="33">
        <f t="shared" ref="AQ144" si="57">AQ133-AQ121</f>
        <v>-127.81971879933789</v>
      </c>
      <c r="AR144" s="81">
        <f>ROW()</f>
        <v>144</v>
      </c>
    </row>
    <row r="145" spans="2:44" s="31" customFormat="1" ht="15" customHeight="1">
      <c r="B145" s="124" t="str">
        <f>B$122</f>
        <v>"Other" Natural Gas (industry, heat/hot water, etc.)</v>
      </c>
      <c r="H145" s="32"/>
      <c r="I145" s="1159" t="s">
        <v>1256</v>
      </c>
      <c r="J145" s="1172"/>
      <c r="K145" s="1172"/>
      <c r="L145" s="1172"/>
      <c r="M145" s="1172"/>
      <c r="N145" s="1173"/>
      <c r="O145" s="126"/>
      <c r="P145" s="126"/>
      <c r="Q145" s="126"/>
      <c r="R145" s="126"/>
      <c r="S145" s="126"/>
      <c r="T145" s="33">
        <f t="shared" ref="T145:AP145" si="58">T134-T122</f>
        <v>-31.151388771893721</v>
      </c>
      <c r="U145" s="33">
        <f t="shared" si="58"/>
        <v>-56.434411660165608</v>
      </c>
      <c r="V145" s="33">
        <f t="shared" si="58"/>
        <v>-77.080044647848354</v>
      </c>
      <c r="W145" s="33">
        <f t="shared" si="58"/>
        <v>-93.96029163658568</v>
      </c>
      <c r="X145" s="33">
        <f t="shared" si="58"/>
        <v>-113.04769452019679</v>
      </c>
      <c r="Y145" s="33">
        <f t="shared" si="58"/>
        <v>-130.69768178539528</v>
      </c>
      <c r="Z145" s="33">
        <f t="shared" si="58"/>
        <v>-147.25064496458288</v>
      </c>
      <c r="AA145" s="33">
        <f t="shared" si="58"/>
        <v>-162.8554186024283</v>
      </c>
      <c r="AB145" s="33">
        <f t="shared" si="58"/>
        <v>-177.63450067714228</v>
      </c>
      <c r="AC145" s="33">
        <f t="shared" si="58"/>
        <v>-191.68975550554478</v>
      </c>
      <c r="AD145" s="33">
        <f t="shared" si="58"/>
        <v>-205.10667644344579</v>
      </c>
      <c r="AE145" s="33">
        <f t="shared" si="58"/>
        <v>-217.95761938715401</v>
      </c>
      <c r="AF145" s="33">
        <f t="shared" si="58"/>
        <v>-230.30428842573741</v>
      </c>
      <c r="AG145" s="33">
        <f t="shared" si="58"/>
        <v>-242.19966982453843</v>
      </c>
      <c r="AH145" s="33">
        <f t="shared" si="58"/>
        <v>-255.64332623785356</v>
      </c>
      <c r="AI145" s="33">
        <f t="shared" si="58"/>
        <v>-268.67004925942257</v>
      </c>
      <c r="AJ145" s="33">
        <f t="shared" si="58"/>
        <v>-281.47420634297316</v>
      </c>
      <c r="AK145" s="33">
        <f t="shared" si="58"/>
        <v>-294.08041486913032</v>
      </c>
      <c r="AL145" s="33">
        <f t="shared" si="58"/>
        <v>-306.51073851750334</v>
      </c>
      <c r="AM145" s="33">
        <f t="shared" si="58"/>
        <v>-318.78503221526472</v>
      </c>
      <c r="AN145" s="33">
        <f t="shared" si="58"/>
        <v>-330.92123200677514</v>
      </c>
      <c r="AO145" s="33">
        <f t="shared" si="58"/>
        <v>-342.93559994928637</v>
      </c>
      <c r="AP145" s="33">
        <f t="shared" si="58"/>
        <v>-354.84293205917976</v>
      </c>
      <c r="AQ145" s="33">
        <f t="shared" ref="AQ145" si="59">AQ134-AQ122</f>
        <v>-366.65673572518722</v>
      </c>
      <c r="AR145" s="81">
        <f>ROW()</f>
        <v>145</v>
      </c>
    </row>
    <row r="146" spans="2:44" s="31" customFormat="1" ht="15" customHeight="1">
      <c r="B146" s="124" t="str">
        <f>B$123</f>
        <v>Misc. (non-electric coal, non-energy FF's, U.S. territories)</v>
      </c>
      <c r="H146" s="32"/>
      <c r="I146" s="1174"/>
      <c r="J146" s="1175"/>
      <c r="K146" s="1175"/>
      <c r="L146" s="1175"/>
      <c r="M146" s="1175"/>
      <c r="N146" s="1176"/>
      <c r="O146" s="126"/>
      <c r="P146" s="126"/>
      <c r="Q146" s="126"/>
      <c r="R146" s="126"/>
      <c r="S146" s="126"/>
      <c r="T146" s="33">
        <f t="shared" ref="T146:AP146" si="60">T135-T123</f>
        <v>-5.0300891547497599</v>
      </c>
      <c r="U146" s="33">
        <f t="shared" si="60"/>
        <v>-9.6855993580707604</v>
      </c>
      <c r="V146" s="33">
        <f t="shared" si="60"/>
        <v>-14.010175440477525</v>
      </c>
      <c r="W146" s="33">
        <f t="shared" si="60"/>
        <v>-18.040597464690109</v>
      </c>
      <c r="X146" s="33">
        <f t="shared" si="60"/>
        <v>-21.783709871396098</v>
      </c>
      <c r="Y146" s="33">
        <f t="shared" si="60"/>
        <v>-25.394414677342894</v>
      </c>
      <c r="Z146" s="33">
        <f t="shared" si="60"/>
        <v>-28.810419597901273</v>
      </c>
      <c r="AA146" s="33">
        <f t="shared" si="60"/>
        <v>-32.048999852019136</v>
      </c>
      <c r="AB146" s="33">
        <f t="shared" si="60"/>
        <v>-35.125334375092166</v>
      </c>
      <c r="AC146" s="33">
        <f t="shared" si="60"/>
        <v>-38.052824152509828</v>
      </c>
      <c r="AD146" s="33">
        <f t="shared" si="60"/>
        <v>-40.8433530790644</v>
      </c>
      <c r="AE146" s="33">
        <f t="shared" si="60"/>
        <v>-43.507503246983106</v>
      </c>
      <c r="AF146" s="33">
        <f t="shared" si="60"/>
        <v>-46.054733804339691</v>
      </c>
      <c r="AG146" s="33">
        <f t="shared" si="60"/>
        <v>-48.493530469595299</v>
      </c>
      <c r="AH146" s="33">
        <f t="shared" si="60"/>
        <v>-50.803012434722376</v>
      </c>
      <c r="AI146" s="33">
        <f t="shared" si="60"/>
        <v>-52.996070842121497</v>
      </c>
      <c r="AJ146" s="33">
        <f t="shared" si="60"/>
        <v>-55.097998681371251</v>
      </c>
      <c r="AK146" s="33">
        <f t="shared" si="60"/>
        <v>-57.114721720273707</v>
      </c>
      <c r="AL146" s="33">
        <f t="shared" si="60"/>
        <v>-59.051632793013397</v>
      </c>
      <c r="AM146" s="33">
        <f t="shared" si="60"/>
        <v>-60.913651782571321</v>
      </c>
      <c r="AN146" s="33">
        <f t="shared" si="60"/>
        <v>-62.705277468404034</v>
      </c>
      <c r="AO146" s="33">
        <f t="shared" si="60"/>
        <v>-64.430632517512265</v>
      </c>
      <c r="AP146" s="33">
        <f t="shared" si="60"/>
        <v>-66.093502670497912</v>
      </c>
      <c r="AQ146" s="33">
        <f t="shared" ref="AQ146" si="61">AQ135-AQ123</f>
        <v>-67.697370992193584</v>
      </c>
      <c r="AR146" s="81">
        <f>ROW()</f>
        <v>146</v>
      </c>
    </row>
    <row r="147" spans="2:44" s="31" customFormat="1" ht="15" customHeight="1">
      <c r="H147" s="32"/>
      <c r="I147" s="1177"/>
      <c r="J147" s="1178"/>
      <c r="K147" s="1178"/>
      <c r="L147" s="1178"/>
      <c r="M147" s="1178"/>
      <c r="N147" s="1179"/>
      <c r="O147" s="126"/>
      <c r="P147" s="126"/>
      <c r="Q147" s="126"/>
      <c r="R147" s="126"/>
      <c r="S147" s="126"/>
      <c r="T147" s="33"/>
      <c r="U147" s="33"/>
      <c r="V147" s="33"/>
      <c r="W147" s="33"/>
      <c r="X147" s="33"/>
      <c r="Y147" s="33"/>
      <c r="Z147" s="33"/>
      <c r="AA147" s="33"/>
      <c r="AB147" s="33"/>
      <c r="AC147" s="33"/>
      <c r="AD147" s="33"/>
      <c r="AE147" s="33"/>
      <c r="AF147" s="33"/>
      <c r="AG147" s="33"/>
      <c r="AH147" s="33"/>
      <c r="AI147" s="33"/>
      <c r="AJ147" s="33"/>
      <c r="AK147" s="33"/>
      <c r="AL147" s="33"/>
      <c r="AM147" s="33"/>
      <c r="AN147" s="33"/>
      <c r="AO147" s="33"/>
      <c r="AP147" s="33"/>
      <c r="AQ147" s="33"/>
      <c r="AR147" s="81">
        <f>ROW()</f>
        <v>147</v>
      </c>
    </row>
    <row r="148" spans="2:44" s="31" customFormat="1" ht="15" customHeight="1">
      <c r="B148" s="1" t="s">
        <v>1190</v>
      </c>
      <c r="H148" s="32"/>
      <c r="I148"/>
      <c r="J148"/>
      <c r="K148"/>
      <c r="L148"/>
      <c r="M148"/>
      <c r="N148"/>
      <c r="O148" s="126"/>
      <c r="R148" s="400"/>
      <c r="S148" s="400" t="s">
        <v>483</v>
      </c>
      <c r="T148">
        <f t="shared" ref="T148:AQ148" si="62">T$79</f>
        <v>1</v>
      </c>
      <c r="U148">
        <f t="shared" si="62"/>
        <v>2</v>
      </c>
      <c r="V148">
        <f t="shared" si="62"/>
        <v>3</v>
      </c>
      <c r="W148">
        <f t="shared" si="62"/>
        <v>4</v>
      </c>
      <c r="X148">
        <f t="shared" si="62"/>
        <v>5</v>
      </c>
      <c r="Y148">
        <f t="shared" si="62"/>
        <v>6</v>
      </c>
      <c r="Z148">
        <f t="shared" si="62"/>
        <v>7</v>
      </c>
      <c r="AA148">
        <f t="shared" si="62"/>
        <v>8</v>
      </c>
      <c r="AB148">
        <f t="shared" si="62"/>
        <v>9</v>
      </c>
      <c r="AC148">
        <f t="shared" si="62"/>
        <v>10</v>
      </c>
      <c r="AD148">
        <f t="shared" si="62"/>
        <v>11</v>
      </c>
      <c r="AE148">
        <f t="shared" si="62"/>
        <v>12</v>
      </c>
      <c r="AF148">
        <f t="shared" si="62"/>
        <v>13</v>
      </c>
      <c r="AG148">
        <f t="shared" si="62"/>
        <v>14</v>
      </c>
      <c r="AH148">
        <f t="shared" si="62"/>
        <v>15</v>
      </c>
      <c r="AI148">
        <f t="shared" si="62"/>
        <v>16</v>
      </c>
      <c r="AJ148">
        <f t="shared" si="62"/>
        <v>17</v>
      </c>
      <c r="AK148">
        <f t="shared" si="62"/>
        <v>18</v>
      </c>
      <c r="AL148">
        <f t="shared" si="62"/>
        <v>19</v>
      </c>
      <c r="AM148">
        <f t="shared" si="62"/>
        <v>20</v>
      </c>
      <c r="AN148">
        <f t="shared" si="62"/>
        <v>21</v>
      </c>
      <c r="AO148">
        <f t="shared" si="62"/>
        <v>22</v>
      </c>
      <c r="AP148">
        <f t="shared" si="62"/>
        <v>23</v>
      </c>
      <c r="AQ148">
        <f t="shared" si="62"/>
        <v>24</v>
      </c>
      <c r="AR148" s="81">
        <f>ROW()</f>
        <v>148</v>
      </c>
    </row>
    <row r="149" spans="2:44" s="31" customFormat="1" ht="15" customHeight="1">
      <c r="H149" s="32"/>
      <c r="I149"/>
      <c r="J149"/>
      <c r="K149"/>
      <c r="L149"/>
      <c r="M149"/>
      <c r="N149"/>
      <c r="O149" s="126"/>
      <c r="P149" s="126"/>
      <c r="Q149" s="126"/>
      <c r="R149" s="126"/>
      <c r="S149" s="126"/>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81">
        <f>ROW()</f>
        <v>149</v>
      </c>
    </row>
    <row r="150" spans="2:44" s="31" customFormat="1" ht="15" customHeight="1">
      <c r="C150" s="117"/>
      <c r="D150" s="115"/>
      <c r="E150" s="115"/>
      <c r="F150" s="405" t="s">
        <v>432</v>
      </c>
      <c r="G150" s="406" t="s">
        <v>352</v>
      </c>
      <c r="H150"/>
      <c r="I150" s="13">
        <f t="shared" ref="I150:AQ150" si="63">I$110</f>
        <v>2005</v>
      </c>
      <c r="J150" s="13">
        <f t="shared" si="63"/>
        <v>2006</v>
      </c>
      <c r="K150" s="13">
        <f t="shared" si="63"/>
        <v>2007</v>
      </c>
      <c r="L150" s="13">
        <f t="shared" si="63"/>
        <v>2008</v>
      </c>
      <c r="M150" s="13">
        <f t="shared" si="63"/>
        <v>2009</v>
      </c>
      <c r="N150" s="13">
        <f t="shared" si="63"/>
        <v>2010</v>
      </c>
      <c r="O150" s="13">
        <f t="shared" si="63"/>
        <v>2011</v>
      </c>
      <c r="P150" s="13">
        <f t="shared" si="63"/>
        <v>2012</v>
      </c>
      <c r="Q150" s="13">
        <f t="shared" si="63"/>
        <v>2013</v>
      </c>
      <c r="R150" s="13">
        <f t="shared" si="63"/>
        <v>2014</v>
      </c>
      <c r="S150" s="13">
        <f t="shared" si="63"/>
        <v>2015</v>
      </c>
      <c r="T150" s="13">
        <f t="shared" si="63"/>
        <v>2017</v>
      </c>
      <c r="U150" s="13">
        <f t="shared" si="63"/>
        <v>2018</v>
      </c>
      <c r="V150" s="13">
        <f t="shared" si="63"/>
        <v>2019</v>
      </c>
      <c r="W150" s="13">
        <f t="shared" si="63"/>
        <v>2020</v>
      </c>
      <c r="X150" s="13">
        <f t="shared" si="63"/>
        <v>2021</v>
      </c>
      <c r="Y150" s="13">
        <f t="shared" si="63"/>
        <v>2022</v>
      </c>
      <c r="Z150" s="13">
        <f t="shared" si="63"/>
        <v>2023</v>
      </c>
      <c r="AA150" s="13">
        <f t="shared" si="63"/>
        <v>2024</v>
      </c>
      <c r="AB150" s="13">
        <f t="shared" si="63"/>
        <v>2025</v>
      </c>
      <c r="AC150" s="13">
        <f t="shared" si="63"/>
        <v>2026</v>
      </c>
      <c r="AD150" s="13">
        <f t="shared" si="63"/>
        <v>2027</v>
      </c>
      <c r="AE150" s="13">
        <f t="shared" si="63"/>
        <v>2028</v>
      </c>
      <c r="AF150" s="13">
        <f t="shared" si="63"/>
        <v>2029</v>
      </c>
      <c r="AG150" s="13">
        <f t="shared" si="63"/>
        <v>2030</v>
      </c>
      <c r="AH150" s="13">
        <f t="shared" si="63"/>
        <v>2031</v>
      </c>
      <c r="AI150" s="13">
        <f t="shared" si="63"/>
        <v>2032</v>
      </c>
      <c r="AJ150" s="13">
        <f t="shared" si="63"/>
        <v>2033</v>
      </c>
      <c r="AK150" s="13">
        <f t="shared" si="63"/>
        <v>2034</v>
      </c>
      <c r="AL150" s="13">
        <f t="shared" si="63"/>
        <v>2035</v>
      </c>
      <c r="AM150" s="13">
        <f t="shared" si="63"/>
        <v>2036</v>
      </c>
      <c r="AN150" s="13">
        <f t="shared" si="63"/>
        <v>2037</v>
      </c>
      <c r="AO150" s="13">
        <f t="shared" si="63"/>
        <v>2038</v>
      </c>
      <c r="AP150" s="13">
        <f t="shared" si="63"/>
        <v>2039</v>
      </c>
      <c r="AQ150" s="13">
        <f t="shared" si="63"/>
        <v>2040</v>
      </c>
      <c r="AR150" s="81">
        <f>ROW()</f>
        <v>150</v>
      </c>
    </row>
    <row r="151" spans="2:44" s="31" customFormat="1" ht="15" customHeight="1">
      <c r="H151" s="32"/>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81">
        <f>ROW()</f>
        <v>151</v>
      </c>
    </row>
    <row r="152" spans="2:44" s="31" customFormat="1" ht="15" customHeight="1">
      <c r="B152" s="8" t="s">
        <v>909</v>
      </c>
      <c r="H152" s="32"/>
      <c r="M152" s="126"/>
      <c r="N152" s="126"/>
      <c r="O152" s="126"/>
      <c r="P152" s="30"/>
      <c r="Q152" s="30"/>
      <c r="R152" s="30"/>
      <c r="S152" s="30"/>
      <c r="T152" s="30">
        <f t="shared" ref="T152:AP152" si="64">T138/T115</f>
        <v>-4.7953051726853463E-2</v>
      </c>
      <c r="U152" s="30">
        <f t="shared" si="64"/>
        <v>-9.0956627176150606E-2</v>
      </c>
      <c r="V152" s="30">
        <f t="shared" si="64"/>
        <v>-0.12877677084744205</v>
      </c>
      <c r="W152" s="30">
        <f t="shared" si="64"/>
        <v>-0.16238102940027574</v>
      </c>
      <c r="X152" s="30">
        <f t="shared" si="64"/>
        <v>-0.19332985602940708</v>
      </c>
      <c r="Y152" s="30">
        <f t="shared" si="64"/>
        <v>-0.2217742740483723</v>
      </c>
      <c r="Z152" s="30">
        <f t="shared" si="64"/>
        <v>-0.24780080464647578</v>
      </c>
      <c r="AA152" s="30">
        <f t="shared" si="64"/>
        <v>-0.27188750078051077</v>
      </c>
      <c r="AB152" s="30">
        <f t="shared" si="64"/>
        <v>-0.29434983019526667</v>
      </c>
      <c r="AC152" s="30">
        <f t="shared" si="64"/>
        <v>-0.31540788226587835</v>
      </c>
      <c r="AD152" s="30">
        <f t="shared" si="64"/>
        <v>-0.33545888129380552</v>
      </c>
      <c r="AE152" s="30">
        <f t="shared" si="64"/>
        <v>-0.35427814461746421</v>
      </c>
      <c r="AF152" s="30">
        <f t="shared" si="64"/>
        <v>-0.37189655944039196</v>
      </c>
      <c r="AG152" s="30">
        <f t="shared" si="64"/>
        <v>-0.38843973074915727</v>
      </c>
      <c r="AH152" s="30">
        <f t="shared" si="64"/>
        <v>-0.40469943580688705</v>
      </c>
      <c r="AI152" s="30">
        <f t="shared" si="64"/>
        <v>-0.42011181859230756</v>
      </c>
      <c r="AJ152" s="30">
        <f t="shared" si="64"/>
        <v>-0.43472271059695239</v>
      </c>
      <c r="AK152" s="30">
        <f t="shared" si="64"/>
        <v>-0.44860069098323996</v>
      </c>
      <c r="AL152" s="30">
        <f t="shared" si="64"/>
        <v>-0.4618061902764668</v>
      </c>
      <c r="AM152" s="30">
        <f t="shared" si="64"/>
        <v>-0.47438007017589001</v>
      </c>
      <c r="AN152" s="30">
        <f t="shared" si="64"/>
        <v>-0.48638085336333425</v>
      </c>
      <c r="AO152" s="30">
        <f t="shared" si="64"/>
        <v>-0.49785109489446894</v>
      </c>
      <c r="AP152" s="30">
        <f t="shared" si="64"/>
        <v>-0.50882893143060548</v>
      </c>
      <c r="AQ152" s="30">
        <f t="shared" ref="AQ152" si="65">AQ138/AQ115</f>
        <v>-0.51906253305069772</v>
      </c>
      <c r="AR152" s="81">
        <f>ROW()</f>
        <v>152</v>
      </c>
    </row>
    <row r="153" spans="2:44" s="31" customFormat="1" ht="15" customHeight="1">
      <c r="B153" s="124" t="str">
        <f>B$116</f>
        <v>Electricity Generation</v>
      </c>
      <c r="H153" s="32"/>
      <c r="M153" s="126"/>
      <c r="N153" s="126"/>
      <c r="O153" s="126"/>
      <c r="P153" s="126"/>
      <c r="Q153" s="126"/>
      <c r="R153" s="126"/>
      <c r="S153" s="126"/>
      <c r="T153" s="337">
        <f t="shared" ref="T153:AP153" si="66">T139/T116</f>
        <v>-8.1918590104752942E-2</v>
      </c>
      <c r="U153" s="337">
        <f t="shared" si="66"/>
        <v>-0.15187711306534127</v>
      </c>
      <c r="V153" s="337">
        <f t="shared" si="66"/>
        <v>-0.21250964210308829</v>
      </c>
      <c r="W153" s="337">
        <f t="shared" si="66"/>
        <v>-0.26571163839102752</v>
      </c>
      <c r="X153" s="337">
        <f t="shared" si="66"/>
        <v>-0.31289319938504018</v>
      </c>
      <c r="Y153" s="337">
        <f t="shared" si="66"/>
        <v>-0.35510628137369488</v>
      </c>
      <c r="Z153" s="337">
        <f t="shared" si="66"/>
        <v>-0.39316810694692961</v>
      </c>
      <c r="AA153" s="337">
        <f t="shared" si="66"/>
        <v>-0.42771998198641292</v>
      </c>
      <c r="AB153" s="337">
        <f t="shared" si="66"/>
        <v>-0.45927266839848302</v>
      </c>
      <c r="AC153" s="337">
        <f t="shared" si="66"/>
        <v>-0.48823829760251813</v>
      </c>
      <c r="AD153" s="337">
        <f t="shared" si="66"/>
        <v>-0.51495328864961631</v>
      </c>
      <c r="AE153" s="337">
        <f t="shared" si="66"/>
        <v>-0.53969511320005936</v>
      </c>
      <c r="AF153" s="337">
        <f t="shared" si="66"/>
        <v>-0.56269476368299998</v>
      </c>
      <c r="AG153" s="337">
        <f t="shared" si="66"/>
        <v>-0.58414616486119442</v>
      </c>
      <c r="AH153" s="337">
        <f t="shared" si="66"/>
        <v>-0.60470174978750058</v>
      </c>
      <c r="AI153" s="337">
        <f t="shared" si="66"/>
        <v>-0.62396615858856586</v>
      </c>
      <c r="AJ153" s="337">
        <f t="shared" si="66"/>
        <v>-0.64205948165545412</v>
      </c>
      <c r="AK153" s="337">
        <f t="shared" si="66"/>
        <v>-0.65908618338383373</v>
      </c>
      <c r="AL153" s="337">
        <f t="shared" si="66"/>
        <v>-0.67513761103163461</v>
      </c>
      <c r="AM153" s="337">
        <f t="shared" si="66"/>
        <v>-0.6902940335400537</v>
      </c>
      <c r="AN153" s="337">
        <f t="shared" si="66"/>
        <v>-0.70462631066176029</v>
      </c>
      <c r="AO153" s="337">
        <f t="shared" si="66"/>
        <v>-0.71819726883715684</v>
      </c>
      <c r="AP153" s="337">
        <f t="shared" si="66"/>
        <v>-0.73106284259941168</v>
      </c>
      <c r="AQ153" s="337">
        <f t="shared" ref="AQ153" si="67">AQ139/AQ116</f>
        <v>-0.74327302710661369</v>
      </c>
      <c r="AR153" s="81">
        <f>ROW()</f>
        <v>153</v>
      </c>
    </row>
    <row r="154" spans="2:44" s="31" customFormat="1" ht="15" customHeight="1">
      <c r="B154" s="124" t="str">
        <f>B$117</f>
        <v>Personal Ground Travel (driving, boating, rec vehicles, etc.)</v>
      </c>
      <c r="H154" s="32"/>
      <c r="M154" s="126"/>
      <c r="N154" s="126"/>
      <c r="O154" s="126"/>
      <c r="P154" s="126"/>
      <c r="Q154" s="126"/>
      <c r="R154" s="126"/>
      <c r="S154" s="126"/>
      <c r="T154" s="337">
        <f t="shared" ref="T154:AP154" si="68">T140/T117</f>
        <v>-3.4302800394023646E-3</v>
      </c>
      <c r="U154" s="337">
        <f t="shared" si="68"/>
        <v>-1.9354369455048846E-2</v>
      </c>
      <c r="V154" s="337">
        <f t="shared" si="68"/>
        <v>-3.5501410003606813E-2</v>
      </c>
      <c r="W154" s="337">
        <f t="shared" si="68"/>
        <v>-5.1834056595708652E-2</v>
      </c>
      <c r="X154" s="337">
        <f t="shared" si="68"/>
        <v>-6.8204437440575957E-2</v>
      </c>
      <c r="Y154" s="337">
        <f t="shared" si="68"/>
        <v>-8.4838916273031126E-2</v>
      </c>
      <c r="Z154" s="337">
        <f t="shared" si="68"/>
        <v>-0.10159763792009172</v>
      </c>
      <c r="AA154" s="337">
        <f t="shared" si="68"/>
        <v>-0.11836640156222709</v>
      </c>
      <c r="AB154" s="337">
        <f t="shared" si="68"/>
        <v>-0.13508090503370498</v>
      </c>
      <c r="AC154" s="337">
        <f t="shared" si="68"/>
        <v>-0.1517043314437847</v>
      </c>
      <c r="AD154" s="337">
        <f t="shared" si="68"/>
        <v>-0.16808525495316365</v>
      </c>
      <c r="AE154" s="337">
        <f t="shared" si="68"/>
        <v>-0.18397927520035315</v>
      </c>
      <c r="AF154" s="337">
        <f t="shared" si="68"/>
        <v>-0.1990494111602123</v>
      </c>
      <c r="AG154" s="337">
        <f t="shared" si="68"/>
        <v>-0.21337763127175335</v>
      </c>
      <c r="AH154" s="337">
        <f t="shared" si="68"/>
        <v>-0.2270347067935031</v>
      </c>
      <c r="AI154" s="337">
        <f t="shared" si="68"/>
        <v>-0.24005959328702789</v>
      </c>
      <c r="AJ154" s="337">
        <f t="shared" si="68"/>
        <v>-0.25249557084739227</v>
      </c>
      <c r="AK154" s="337">
        <f t="shared" si="68"/>
        <v>-0.26439148398333601</v>
      </c>
      <c r="AL154" s="337">
        <f t="shared" si="68"/>
        <v>-0.27579055585615098</v>
      </c>
      <c r="AM154" s="337">
        <f t="shared" si="68"/>
        <v>-0.28668324109134891</v>
      </c>
      <c r="AN154" s="337">
        <f t="shared" si="68"/>
        <v>-0.29714506225340259</v>
      </c>
      <c r="AO154" s="337">
        <f t="shared" si="68"/>
        <v>-0.30720706509791973</v>
      </c>
      <c r="AP154" s="337">
        <f t="shared" si="68"/>
        <v>-0.31689719313150011</v>
      </c>
      <c r="AQ154" s="337">
        <f t="shared" ref="AQ154" si="69">AQ140/AQ117</f>
        <v>-0.32646230711926943</v>
      </c>
      <c r="AR154" s="81">
        <f>ROW()</f>
        <v>154</v>
      </c>
    </row>
    <row r="155" spans="2:44" s="31" customFormat="1" ht="15" customHeight="1">
      <c r="B155" s="124" t="str">
        <f>B$118</f>
        <v>Freight (goods movement by road, rail, ship, air)</v>
      </c>
      <c r="H155" s="32"/>
      <c r="M155" s="126"/>
      <c r="N155" s="126"/>
      <c r="O155" s="126"/>
      <c r="P155" s="126"/>
      <c r="Q155" s="126"/>
      <c r="R155" s="126"/>
      <c r="S155" s="126"/>
      <c r="T155" s="337">
        <f t="shared" ref="T155:AP155" si="70">T141/T118</f>
        <v>-4.9690969519189054E-2</v>
      </c>
      <c r="U155" s="337">
        <f t="shared" si="70"/>
        <v>-8.7663172695750649E-2</v>
      </c>
      <c r="V155" s="337">
        <f t="shared" si="70"/>
        <v>-0.12205187593967094</v>
      </c>
      <c r="W155" s="337">
        <f t="shared" si="70"/>
        <v>-0.15340095307640073</v>
      </c>
      <c r="X155" s="337">
        <f t="shared" si="70"/>
        <v>-0.18204073073943144</v>
      </c>
      <c r="Y155" s="337">
        <f t="shared" si="70"/>
        <v>-0.20903628575284505</v>
      </c>
      <c r="Z155" s="337">
        <f t="shared" si="70"/>
        <v>-0.23414565783821714</v>
      </c>
      <c r="AA155" s="337">
        <f t="shared" si="70"/>
        <v>-0.25758623412507259</v>
      </c>
      <c r="AB155" s="337">
        <f t="shared" si="70"/>
        <v>-0.27954159213515933</v>
      </c>
      <c r="AC155" s="337">
        <f t="shared" si="70"/>
        <v>-0.30016799879799055</v>
      </c>
      <c r="AD155" s="337">
        <f t="shared" si="70"/>
        <v>-0.31959944229621617</v>
      </c>
      <c r="AE155" s="337">
        <f t="shared" si="70"/>
        <v>-0.33795157309408558</v>
      </c>
      <c r="AF155" s="337">
        <f t="shared" si="70"/>
        <v>-0.3553248232796889</v>
      </c>
      <c r="AG155" s="337">
        <f t="shared" si="70"/>
        <v>-0.37180689949464935</v>
      </c>
      <c r="AH155" s="337">
        <f t="shared" si="70"/>
        <v>-0.38738922605867732</v>
      </c>
      <c r="AI155" s="337">
        <f t="shared" si="70"/>
        <v>-0.40227099555260493</v>
      </c>
      <c r="AJ155" s="337">
        <f t="shared" si="70"/>
        <v>-0.41646740194268983</v>
      </c>
      <c r="AK155" s="337">
        <f t="shared" si="70"/>
        <v>-0.43003216752495721</v>
      </c>
      <c r="AL155" s="337">
        <f t="shared" si="70"/>
        <v>-0.44301324808842069</v>
      </c>
      <c r="AM155" s="337">
        <f t="shared" si="70"/>
        <v>-0.45545360835243265</v>
      </c>
      <c r="AN155" s="337">
        <f t="shared" si="70"/>
        <v>-0.46739187320059189</v>
      </c>
      <c r="AO155" s="337">
        <f t="shared" si="70"/>
        <v>-0.47886287759132418</v>
      </c>
      <c r="AP155" s="337">
        <f t="shared" si="70"/>
        <v>-0.48989813329224141</v>
      </c>
      <c r="AQ155" s="337">
        <f t="shared" ref="AQ155" si="71">AQ141/AQ118</f>
        <v>-0.50052622693277971</v>
      </c>
      <c r="AR155" s="81">
        <f>ROW()</f>
        <v>155</v>
      </c>
    </row>
    <row r="156" spans="2:44" s="31" customFormat="1" ht="15" customHeight="1">
      <c r="B156" s="124" t="str">
        <f>B$119</f>
        <v>Aviation (passenger only)</v>
      </c>
      <c r="H156" s="32"/>
      <c r="M156" s="126"/>
      <c r="N156" s="126"/>
      <c r="O156" s="126"/>
      <c r="P156" s="126"/>
      <c r="Q156" s="126"/>
      <c r="R156" s="126"/>
      <c r="S156" s="126"/>
      <c r="T156" s="337">
        <f t="shared" ref="T156:AP157" si="72">T142/T119</f>
        <v>-6.7550176602442905E-2</v>
      </c>
      <c r="U156" s="337">
        <f t="shared" si="72"/>
        <v>-0.11136085200442795</v>
      </c>
      <c r="V156" s="337">
        <f t="shared" si="72"/>
        <v>-0.14940145955114537</v>
      </c>
      <c r="W156" s="337">
        <f t="shared" si="72"/>
        <v>-0.18280369953105005</v>
      </c>
      <c r="X156" s="337">
        <f t="shared" si="72"/>
        <v>-0.21230409109480611</v>
      </c>
      <c r="Y156" s="337">
        <f t="shared" si="72"/>
        <v>-0.24157229859553317</v>
      </c>
      <c r="Z156" s="337">
        <f t="shared" si="72"/>
        <v>-0.2685494399723159</v>
      </c>
      <c r="AA156" s="337">
        <f t="shared" si="72"/>
        <v>-0.29351915870928674</v>
      </c>
      <c r="AB156" s="337">
        <f t="shared" si="72"/>
        <v>-0.31671860413834635</v>
      </c>
      <c r="AC156" s="337">
        <f t="shared" si="72"/>
        <v>-0.33834776339160194</v>
      </c>
      <c r="AD156" s="337">
        <f t="shared" si="72"/>
        <v>-0.35857660600743912</v>
      </c>
      <c r="AE156" s="337">
        <f t="shared" si="72"/>
        <v>-0.37755062149129648</v>
      </c>
      <c r="AF156" s="337">
        <f t="shared" si="72"/>
        <v>-0.39539515964618555</v>
      </c>
      <c r="AG156" s="337">
        <f t="shared" si="72"/>
        <v>-0.41221886758211546</v>
      </c>
      <c r="AH156" s="337">
        <f t="shared" si="72"/>
        <v>-0.42802415896013163</v>
      </c>
      <c r="AI156" s="337">
        <f t="shared" si="72"/>
        <v>-0.44311227008046505</v>
      </c>
      <c r="AJ156" s="337">
        <f t="shared" si="72"/>
        <v>-0.45743021237817599</v>
      </c>
      <c r="AK156" s="337">
        <f t="shared" si="72"/>
        <v>-0.47104231790553697</v>
      </c>
      <c r="AL156" s="337">
        <f t="shared" si="72"/>
        <v>-0.48400571417795513</v>
      </c>
      <c r="AM156" s="337">
        <f t="shared" si="72"/>
        <v>-0.49637132520773131</v>
      </c>
      <c r="AN156" s="337">
        <f t="shared" si="72"/>
        <v>-0.50818470782110814</v>
      </c>
      <c r="AO156" s="337">
        <f t="shared" si="72"/>
        <v>-0.51948675432061986</v>
      </c>
      <c r="AP156" s="337">
        <f t="shared" si="72"/>
        <v>-0.53031428599351926</v>
      </c>
      <c r="AQ156" s="337">
        <f t="shared" ref="AQ156:AQ157" si="73">AQ142/AQ119</f>
        <v>-0.54070055693223473</v>
      </c>
      <c r="AR156" s="81">
        <f>ROW()</f>
        <v>156</v>
      </c>
    </row>
    <row r="157" spans="2:44" s="31" customFormat="1" ht="15" customHeight="1">
      <c r="B157" s="92" t="s">
        <v>1130</v>
      </c>
      <c r="H157" s="32"/>
      <c r="M157" s="126"/>
      <c r="N157" s="126"/>
      <c r="O157" s="126"/>
      <c r="P157" s="126"/>
      <c r="Q157" s="126"/>
      <c r="R157" s="126"/>
      <c r="S157" s="126"/>
      <c r="T157" s="337">
        <f t="shared" si="72"/>
        <v>-4.7160453830676968E-3</v>
      </c>
      <c r="U157" s="337">
        <f t="shared" si="72"/>
        <v>-1.6044652514753684E-2</v>
      </c>
      <c r="V157" s="337">
        <f t="shared" si="72"/>
        <v>-2.6479897809586955E-2</v>
      </c>
      <c r="W157" s="337">
        <f t="shared" si="72"/>
        <v>-3.6179721268022852E-2</v>
      </c>
      <c r="X157" s="337">
        <f t="shared" si="72"/>
        <v>-4.5352776513071957E-2</v>
      </c>
      <c r="Y157" s="337">
        <f t="shared" si="72"/>
        <v>-5.4655660249704204E-2</v>
      </c>
      <c r="Z157" s="337">
        <f t="shared" si="72"/>
        <v>-6.3604698130783136E-2</v>
      </c>
      <c r="AA157" s="337">
        <f t="shared" si="72"/>
        <v>-7.2295825405775796E-2</v>
      </c>
      <c r="AB157" s="337">
        <f t="shared" si="72"/>
        <v>-8.0777950002052179E-2</v>
      </c>
      <c r="AC157" s="337">
        <f t="shared" si="72"/>
        <v>-8.9077884045857925E-2</v>
      </c>
      <c r="AD157" s="337">
        <f t="shared" si="72"/>
        <v>-9.7256224356927018E-2</v>
      </c>
      <c r="AE157" s="337">
        <f t="shared" si="72"/>
        <v>-0.10499311604966841</v>
      </c>
      <c r="AF157" s="337">
        <f t="shared" si="72"/>
        <v>-0.11205008797273872</v>
      </c>
      <c r="AG157" s="337">
        <f t="shared" si="72"/>
        <v>-0.11849540341645971</v>
      </c>
      <c r="AH157" s="337">
        <f t="shared" si="72"/>
        <v>-0.1243534374913718</v>
      </c>
      <c r="AI157" s="337">
        <f t="shared" si="72"/>
        <v>-0.12973289802925642</v>
      </c>
      <c r="AJ157" s="337">
        <f t="shared" si="72"/>
        <v>-0.1346316658927979</v>
      </c>
      <c r="AK157" s="337">
        <f t="shared" si="72"/>
        <v>-0.13908995786763692</v>
      </c>
      <c r="AL157" s="337">
        <f t="shared" si="72"/>
        <v>-0.14314337589980589</v>
      </c>
      <c r="AM157" s="337">
        <f t="shared" si="72"/>
        <v>-0.14678422860272181</v>
      </c>
      <c r="AN157" s="337">
        <f t="shared" si="72"/>
        <v>-0.15007367819740169</v>
      </c>
      <c r="AO157" s="337">
        <f t="shared" si="72"/>
        <v>-0.15303712203906172</v>
      </c>
      <c r="AP157" s="337">
        <f t="shared" si="72"/>
        <v>-0.15569741134147097</v>
      </c>
      <c r="AQ157" s="337">
        <f t="shared" si="73"/>
        <v>-0.15843102304814896</v>
      </c>
      <c r="AR157" s="81">
        <f>ROW()</f>
        <v>157</v>
      </c>
    </row>
    <row r="158" spans="2:44" s="31" customFormat="1" ht="15" customHeight="1">
      <c r="B158" s="92" t="s">
        <v>1182</v>
      </c>
      <c r="H158" s="32"/>
      <c r="M158" s="126"/>
      <c r="N158" s="126"/>
      <c r="O158" s="126"/>
      <c r="P158" s="126"/>
      <c r="Q158" s="126"/>
      <c r="R158" s="126"/>
      <c r="S158" s="126"/>
      <c r="T158" s="337">
        <f t="shared" ref="T158:AP158" si="74">T144/T121</f>
        <v>-3.5272556748543897E-2</v>
      </c>
      <c r="U158" s="337">
        <f t="shared" si="74"/>
        <v>-6.5644943181384571E-2</v>
      </c>
      <c r="V158" s="337">
        <f t="shared" si="74"/>
        <v>-9.3093987781262988E-2</v>
      </c>
      <c r="W158" s="337">
        <f t="shared" si="74"/>
        <v>-0.11805454387574323</v>
      </c>
      <c r="X158" s="337">
        <f t="shared" si="74"/>
        <v>-0.14077272283401962</v>
      </c>
      <c r="Y158" s="337">
        <f t="shared" si="74"/>
        <v>-0.16224767986690045</v>
      </c>
      <c r="Z158" s="337">
        <f t="shared" si="74"/>
        <v>-0.1821934094906428</v>
      </c>
      <c r="AA158" s="337">
        <f t="shared" si="74"/>
        <v>-0.20078525905949171</v>
      </c>
      <c r="AB158" s="337">
        <f t="shared" si="74"/>
        <v>-0.21817188345773603</v>
      </c>
      <c r="AC158" s="337">
        <f t="shared" si="74"/>
        <v>-0.23448025796187769</v>
      </c>
      <c r="AD158" s="337">
        <f t="shared" si="74"/>
        <v>-0.24981958623610875</v>
      </c>
      <c r="AE158" s="337">
        <f t="shared" si="74"/>
        <v>-0.26428438018266392</v>
      </c>
      <c r="AF158" s="337">
        <f t="shared" si="74"/>
        <v>-0.27795691136104578</v>
      </c>
      <c r="AG158" s="337">
        <f t="shared" si="74"/>
        <v>-0.29090918010237304</v>
      </c>
      <c r="AH158" s="337">
        <f t="shared" si="74"/>
        <v>-0.30311131646509798</v>
      </c>
      <c r="AI158" s="337">
        <f t="shared" si="74"/>
        <v>-0.31476112190981598</v>
      </c>
      <c r="AJ158" s="337">
        <f t="shared" si="74"/>
        <v>-0.32585968965413087</v>
      </c>
      <c r="AK158" s="337">
        <f t="shared" si="74"/>
        <v>-0.33645148571613287</v>
      </c>
      <c r="AL158" s="337">
        <f t="shared" si="74"/>
        <v>-0.34657625299013595</v>
      </c>
      <c r="AM158" s="337">
        <f t="shared" si="74"/>
        <v>-0.35626963858940786</v>
      </c>
      <c r="AN158" s="337">
        <f t="shared" si="74"/>
        <v>-0.36556372210302407</v>
      </c>
      <c r="AO158" s="337">
        <f t="shared" si="74"/>
        <v>-0.37448746274200462</v>
      </c>
      <c r="AP158" s="337">
        <f t="shared" si="74"/>
        <v>-0.38306707968948545</v>
      </c>
      <c r="AQ158" s="337">
        <f t="shared" ref="AQ158" si="75">AQ144/AQ121</f>
        <v>-0.39132637713177731</v>
      </c>
      <c r="AR158" s="81">
        <f>ROW()</f>
        <v>158</v>
      </c>
    </row>
    <row r="159" spans="2:44" s="31" customFormat="1" ht="15" customHeight="1">
      <c r="B159" s="124" t="str">
        <f>B$122</f>
        <v>"Other" Natural Gas (industry, heat/hot water, etc.)</v>
      </c>
      <c r="H159" s="32"/>
      <c r="M159" s="126"/>
      <c r="N159" s="126"/>
      <c r="O159" s="126"/>
      <c r="P159" s="126"/>
      <c r="Q159" s="126"/>
      <c r="R159" s="126"/>
      <c r="S159" s="126"/>
      <c r="T159" s="337">
        <f t="shared" ref="T159:AP159" si="76">T145/T122</f>
        <v>-5.4737190133428142E-2</v>
      </c>
      <c r="U159" s="337">
        <f t="shared" si="76"/>
        <v>-0.10005482895969678</v>
      </c>
      <c r="V159" s="337">
        <f t="shared" si="76"/>
        <v>-0.13807339255262913</v>
      </c>
      <c r="W159" s="337">
        <f t="shared" si="76"/>
        <v>-0.17028608853000468</v>
      </c>
      <c r="X159" s="337">
        <f t="shared" si="76"/>
        <v>-0.20294541825158924</v>
      </c>
      <c r="Y159" s="337">
        <f t="shared" si="76"/>
        <v>-0.23281177572865239</v>
      </c>
      <c r="Z159" s="337">
        <f t="shared" si="76"/>
        <v>-0.26026955461100071</v>
      </c>
      <c r="AA159" s="337">
        <f t="shared" si="76"/>
        <v>-0.2856321384086703</v>
      </c>
      <c r="AB159" s="337">
        <f t="shared" si="76"/>
        <v>-0.30915798368866015</v>
      </c>
      <c r="AC159" s="337">
        <f t="shared" si="76"/>
        <v>-0.33106245757222841</v>
      </c>
      <c r="AD159" s="337">
        <f t="shared" si="76"/>
        <v>-0.35152669450852558</v>
      </c>
      <c r="AE159" s="337">
        <f t="shared" si="76"/>
        <v>-0.37070432127390868</v>
      </c>
      <c r="AF159" s="337">
        <f t="shared" si="76"/>
        <v>-0.38872663172292826</v>
      </c>
      <c r="AG159" s="337">
        <f t="shared" si="76"/>
        <v>-0.4057066170498993</v>
      </c>
      <c r="AH159" s="337">
        <f t="shared" si="76"/>
        <v>-0.42311418027945691</v>
      </c>
      <c r="AI159" s="337">
        <f t="shared" si="76"/>
        <v>-0.43966996217047943</v>
      </c>
      <c r="AJ159" s="337">
        <f t="shared" si="76"/>
        <v>-0.45544028988875751</v>
      </c>
      <c r="AK159" s="337">
        <f t="shared" si="76"/>
        <v>-0.4704842960300003</v>
      </c>
      <c r="AL159" s="337">
        <f t="shared" si="76"/>
        <v>-0.48485490394733116</v>
      </c>
      <c r="AM159" s="337">
        <f t="shared" si="76"/>
        <v>-0.49859965219893576</v>
      </c>
      <c r="AN159" s="337">
        <f t="shared" si="76"/>
        <v>-0.51176138833809215</v>
      </c>
      <c r="AO159" s="337">
        <f t="shared" si="76"/>
        <v>-0.52437885589226729</v>
      </c>
      <c r="AP159" s="337">
        <f t="shared" si="76"/>
        <v>-0.5364871934862474</v>
      </c>
      <c r="AQ159" s="337">
        <f t="shared" ref="AQ159" si="77">AQ145/AQ122</f>
        <v>-0.54811836128050606</v>
      </c>
      <c r="AR159" s="81">
        <f>ROW()</f>
        <v>159</v>
      </c>
    </row>
    <row r="160" spans="2:44" s="31" customFormat="1" ht="15" customHeight="1">
      <c r="B160" s="124" t="str">
        <f>B$123</f>
        <v>Misc. (non-electric coal, non-energy FF's, U.S. territories)</v>
      </c>
      <c r="H160" s="32"/>
      <c r="M160" s="126"/>
      <c r="N160" s="126"/>
      <c r="O160" s="126"/>
      <c r="P160" s="126"/>
      <c r="Q160" s="126"/>
      <c r="R160" s="126"/>
      <c r="S160" s="126"/>
      <c r="T160" s="337">
        <f t="shared" ref="T160:AP160" si="78">T146/T123</f>
        <v>-2.1679031036604787E-2</v>
      </c>
      <c r="U160" s="337">
        <f t="shared" si="78"/>
        <v>-4.1833113567672879E-2</v>
      </c>
      <c r="V160" s="337">
        <f t="shared" si="78"/>
        <v>-6.0644734787793482E-2</v>
      </c>
      <c r="W160" s="337">
        <f t="shared" si="78"/>
        <v>-7.8267626377743246E-2</v>
      </c>
      <c r="X160" s="337">
        <f t="shared" si="78"/>
        <v>-9.4778893064727837E-2</v>
      </c>
      <c r="Y160" s="337">
        <f t="shared" si="78"/>
        <v>-0.11066011863732321</v>
      </c>
      <c r="Z160" s="337">
        <f t="shared" si="78"/>
        <v>-0.12574397465537401</v>
      </c>
      <c r="AA160" s="337">
        <f t="shared" si="78"/>
        <v>-0.14010323175772782</v>
      </c>
      <c r="AB160" s="337">
        <f t="shared" si="78"/>
        <v>-0.15380181580049113</v>
      </c>
      <c r="AC160" s="337">
        <f t="shared" si="78"/>
        <v>-0.16689615124161861</v>
      </c>
      <c r="AD160" s="337">
        <f t="shared" si="78"/>
        <v>-0.17943626192953499</v>
      </c>
      <c r="AE160" s="337">
        <f t="shared" si="78"/>
        <v>-0.19146667954378382</v>
      </c>
      <c r="AF160" s="337">
        <f t="shared" si="78"/>
        <v>-0.20302719827831711</v>
      </c>
      <c r="AG160" s="337">
        <f t="shared" si="78"/>
        <v>-0.21415350567764602</v>
      </c>
      <c r="AH160" s="337">
        <f t="shared" si="78"/>
        <v>-0.2248257604085519</v>
      </c>
      <c r="AI160" s="337">
        <f t="shared" si="78"/>
        <v>-0.23515177795403899</v>
      </c>
      <c r="AJ160" s="337">
        <f t="shared" si="78"/>
        <v>-0.24513087612159945</v>
      </c>
      <c r="AK160" s="337">
        <f t="shared" si="78"/>
        <v>-0.25478704247111872</v>
      </c>
      <c r="AL160" s="337">
        <f t="shared" si="78"/>
        <v>-0.26414209353613183</v>
      </c>
      <c r="AM160" s="337">
        <f t="shared" si="78"/>
        <v>-0.27321591932216421</v>
      </c>
      <c r="AN160" s="337">
        <f t="shared" si="78"/>
        <v>-0.28202669458846158</v>
      </c>
      <c r="AO160" s="337">
        <f t="shared" si="78"/>
        <v>-0.29059106213565988</v>
      </c>
      <c r="AP160" s="337">
        <f t="shared" si="78"/>
        <v>-0.29892429239594448</v>
      </c>
      <c r="AQ160" s="337">
        <f t="shared" ref="AQ160" si="79">AQ146/AQ123</f>
        <v>-0.30704042287827787</v>
      </c>
      <c r="AR160" s="81">
        <f>ROW()</f>
        <v>160</v>
      </c>
    </row>
    <row r="161" spans="1:44" s="31" customFormat="1" ht="15" customHeight="1">
      <c r="H161" s="32"/>
      <c r="M161" s="126"/>
      <c r="N161" s="126"/>
      <c r="O161" s="126"/>
      <c r="P161" s="126"/>
      <c r="Q161" s="126"/>
      <c r="R161" s="126"/>
      <c r="S161" s="126"/>
      <c r="T161" s="30"/>
      <c r="U161" s="30"/>
      <c r="V161" s="30"/>
      <c r="W161" s="30"/>
      <c r="X161" s="30"/>
      <c r="Y161" s="30"/>
      <c r="Z161" s="30"/>
      <c r="AA161" s="30"/>
      <c r="AB161" s="30"/>
      <c r="AC161" s="30"/>
      <c r="AD161" s="30"/>
      <c r="AE161" s="30"/>
      <c r="AF161" s="30"/>
      <c r="AG161" s="34"/>
      <c r="AH161" s="34"/>
      <c r="AI161" s="34"/>
      <c r="AJ161" s="34"/>
      <c r="AK161" s="34"/>
      <c r="AL161" s="34"/>
      <c r="AM161" s="34"/>
      <c r="AN161" s="34"/>
      <c r="AO161" s="34"/>
      <c r="AP161" s="34"/>
      <c r="AQ161" s="34"/>
      <c r="AR161" s="81">
        <f>ROW()</f>
        <v>161</v>
      </c>
    </row>
    <row r="162" spans="1:44" s="31" customFormat="1" ht="15" customHeight="1">
      <c r="B162" s="8" t="s">
        <v>405</v>
      </c>
      <c r="H162" s="32"/>
      <c r="J162" s="30">
        <f t="shared" ref="J162:AP162" si="80">J127/$I115-1</f>
        <v>-1.2098193134728263E-2</v>
      </c>
      <c r="K162" s="30">
        <f t="shared" si="80"/>
        <v>3.4338052055704615E-3</v>
      </c>
      <c r="L162" s="30">
        <f t="shared" si="80"/>
        <v>-3.1361808291762494E-2</v>
      </c>
      <c r="M162" s="352">
        <f t="shared" si="80"/>
        <v>-9.8719173829123208E-2</v>
      </c>
      <c r="N162" s="352">
        <f t="shared" si="80"/>
        <v>-6.7166385501885473E-2</v>
      </c>
      <c r="O162" s="30">
        <f t="shared" si="80"/>
        <v>-9.2872405816033843E-2</v>
      </c>
      <c r="P162" s="30">
        <f t="shared" si="80"/>
        <v>-0.12903429582087411</v>
      </c>
      <c r="Q162" s="30">
        <f t="shared" si="80"/>
        <v>-0.1034531428948201</v>
      </c>
      <c r="R162" s="30">
        <f t="shared" si="80"/>
        <v>-9.3999013139895893E-2</v>
      </c>
      <c r="S162" s="30">
        <f t="shared" si="80"/>
        <v>-0.12167978661055823</v>
      </c>
      <c r="T162" s="30">
        <f t="shared" si="80"/>
        <v>-0.17329483219121122</v>
      </c>
      <c r="U162" s="30">
        <f t="shared" si="80"/>
        <v>-0.21338122870970366</v>
      </c>
      <c r="V162" s="30">
        <f t="shared" si="80"/>
        <v>-0.24869440953231925</v>
      </c>
      <c r="W162" s="30">
        <f t="shared" si="80"/>
        <v>-0.27984517870274861</v>
      </c>
      <c r="X162" s="30">
        <f t="shared" si="80"/>
        <v>-0.30846794602245131</v>
      </c>
      <c r="Y162" s="30">
        <f t="shared" si="80"/>
        <v>-0.33351438788572885</v>
      </c>
      <c r="Z162" s="30">
        <f t="shared" si="80"/>
        <v>-0.35571527420563065</v>
      </c>
      <c r="AA162" s="30">
        <f t="shared" si="80"/>
        <v>-0.37625671532566074</v>
      </c>
      <c r="AB162" s="30">
        <f t="shared" si="80"/>
        <v>-0.39559423688637441</v>
      </c>
      <c r="AC162" s="30">
        <f t="shared" si="80"/>
        <v>-0.41390465623343764</v>
      </c>
      <c r="AD162" s="30">
        <f t="shared" si="80"/>
        <v>-0.43221156823719731</v>
      </c>
      <c r="AE162" s="30">
        <f t="shared" si="80"/>
        <v>-0.44938187205074087</v>
      </c>
      <c r="AF162" s="30">
        <f t="shared" si="80"/>
        <v>-0.46544973211831109</v>
      </c>
      <c r="AG162" s="30">
        <f t="shared" si="80"/>
        <v>-0.48052935362418614</v>
      </c>
      <c r="AH162" s="30">
        <f t="shared" si="80"/>
        <v>-0.49436315875118397</v>
      </c>
      <c r="AI162" s="30">
        <f t="shared" si="80"/>
        <v>-0.5075223886962108</v>
      </c>
      <c r="AJ162" s="30">
        <f t="shared" si="80"/>
        <v>-0.51999159056443456</v>
      </c>
      <c r="AK162" s="30">
        <f t="shared" si="80"/>
        <v>-0.53182951606682649</v>
      </c>
      <c r="AL162" s="30">
        <f t="shared" si="80"/>
        <v>-0.54308794266983917</v>
      </c>
      <c r="AM162" s="30">
        <f t="shared" si="80"/>
        <v>-0.55380198720459584</v>
      </c>
      <c r="AN162" s="30">
        <f t="shared" si="80"/>
        <v>-0.56402171866354367</v>
      </c>
      <c r="AO162" s="30">
        <f t="shared" si="80"/>
        <v>-0.57378361295990743</v>
      </c>
      <c r="AP162" s="30">
        <f t="shared" si="80"/>
        <v>-0.58312036352020302</v>
      </c>
      <c r="AQ162" s="30">
        <f t="shared" ref="AQ162" si="81">AQ127/$I115-1</f>
        <v>-0.5877596009368623</v>
      </c>
      <c r="AR162" s="81">
        <f>ROW()</f>
        <v>162</v>
      </c>
    </row>
    <row r="163" spans="1:44" s="31" customFormat="1" ht="15" customHeight="1">
      <c r="B163" s="124" t="str">
        <f>B$116</f>
        <v>Electricity Generation</v>
      </c>
      <c r="H163" s="32"/>
      <c r="K163" s="30"/>
      <c r="L163" s="30"/>
      <c r="M163" s="352"/>
      <c r="N163" s="352"/>
      <c r="O163" s="30"/>
      <c r="P163" s="30"/>
      <c r="Q163" s="30"/>
      <c r="R163" s="30"/>
      <c r="S163" s="30"/>
      <c r="T163" s="337">
        <f t="shared" ref="T163:AP163" si="82">T128/$I116-1</f>
        <v>-0.29187933489974982</v>
      </c>
      <c r="U163" s="337">
        <f t="shared" si="82"/>
        <v>-0.34904487485407831</v>
      </c>
      <c r="V163" s="337">
        <f t="shared" si="82"/>
        <v>-0.39854421663368833</v>
      </c>
      <c r="W163" s="337">
        <f t="shared" si="82"/>
        <v>-0.4419266323354335</v>
      </c>
      <c r="X163" s="337">
        <f t="shared" si="82"/>
        <v>-0.48117538733526943</v>
      </c>
      <c r="Y163" s="337">
        <f t="shared" si="82"/>
        <v>-0.51621083119701039</v>
      </c>
      <c r="Z163" s="337">
        <f t="shared" si="82"/>
        <v>-0.54771929277261311</v>
      </c>
      <c r="AA163" s="337">
        <f t="shared" si="82"/>
        <v>-0.57624004128767825</v>
      </c>
      <c r="AB163" s="337">
        <f t="shared" si="82"/>
        <v>-0.60220316072751623</v>
      </c>
      <c r="AC163" s="337">
        <f t="shared" si="82"/>
        <v>-0.62595620111470207</v>
      </c>
      <c r="AD163" s="337">
        <f t="shared" si="82"/>
        <v>-0.64778332594149934</v>
      </c>
      <c r="AE163" s="337">
        <f t="shared" si="82"/>
        <v>-0.6679193246419628</v>
      </c>
      <c r="AF163" s="337">
        <f t="shared" si="82"/>
        <v>-0.68656003777886632</v>
      </c>
      <c r="AG163" s="337">
        <f t="shared" si="82"/>
        <v>-0.70387022929861387</v>
      </c>
      <c r="AH163" s="337">
        <f t="shared" si="82"/>
        <v>-0.71906091164521313</v>
      </c>
      <c r="AI163" s="337">
        <f t="shared" si="82"/>
        <v>-0.73327720977481858</v>
      </c>
      <c r="AJ163" s="337">
        <f t="shared" si="82"/>
        <v>-0.74660970644206448</v>
      </c>
      <c r="AK163" s="337">
        <f t="shared" si="82"/>
        <v>-0.75913725455959902</v>
      </c>
      <c r="AL163" s="337">
        <f t="shared" si="82"/>
        <v>-0.7709288580784398</v>
      </c>
      <c r="AM163" s="337">
        <f t="shared" si="82"/>
        <v>-0.78204520057503146</v>
      </c>
      <c r="AN163" s="337">
        <f t="shared" si="82"/>
        <v>-0.79253989671857317</v>
      </c>
      <c r="AO163" s="337">
        <f t="shared" si="82"/>
        <v>-0.80246052389231248</v>
      </c>
      <c r="AP163" s="337">
        <f t="shared" si="82"/>
        <v>-0.81184947801644247</v>
      </c>
      <c r="AQ163" s="337">
        <f t="shared" ref="AQ163" si="83">AQ128/$I116-1</f>
        <v>-0.81936319708388128</v>
      </c>
      <c r="AR163" s="81">
        <f>ROW()</f>
        <v>163</v>
      </c>
    </row>
    <row r="164" spans="1:44" s="31" customFormat="1" ht="15" customHeight="1">
      <c r="B164" s="124" t="str">
        <f>B$117</f>
        <v>Personal Ground Travel (driving, boating, rec vehicles, etc.)</v>
      </c>
      <c r="H164" s="32"/>
      <c r="K164" s="30"/>
      <c r="L164" s="30"/>
      <c r="M164" s="352"/>
      <c r="N164" s="352"/>
      <c r="O164" s="30"/>
      <c r="P164" s="30"/>
      <c r="Q164" s="30"/>
      <c r="R164" s="30"/>
      <c r="S164" s="30"/>
      <c r="T164" s="337">
        <f t="shared" ref="T164:AP164" si="84">T129/$I117-1</f>
        <v>-9.1342962779741299E-2</v>
      </c>
      <c r="U164" s="337">
        <f t="shared" si="84"/>
        <v>-0.10424778099574072</v>
      </c>
      <c r="V164" s="337">
        <f t="shared" si="84"/>
        <v>-0.11666253481358868</v>
      </c>
      <c r="W164" s="337">
        <f t="shared" si="84"/>
        <v>-0.12707408080025684</v>
      </c>
      <c r="X164" s="337">
        <f t="shared" si="84"/>
        <v>-0.14519531906280514</v>
      </c>
      <c r="Y164" s="337">
        <f t="shared" si="84"/>
        <v>-0.160351215646931</v>
      </c>
      <c r="Z164" s="337">
        <f t="shared" si="84"/>
        <v>-0.17139449919595362</v>
      </c>
      <c r="AA164" s="337">
        <f t="shared" si="84"/>
        <v>-0.18266104234830782</v>
      </c>
      <c r="AB164" s="337">
        <f t="shared" si="84"/>
        <v>-0.1952138142596711</v>
      </c>
      <c r="AC164" s="337">
        <f t="shared" si="84"/>
        <v>-0.20898071993612954</v>
      </c>
      <c r="AD164" s="337">
        <f t="shared" si="84"/>
        <v>-0.22808089934566045</v>
      </c>
      <c r="AE164" s="337">
        <f t="shared" si="84"/>
        <v>-0.246540052965737</v>
      </c>
      <c r="AF164" s="337">
        <f t="shared" si="84"/>
        <v>-0.26405798895897803</v>
      </c>
      <c r="AG164" s="337">
        <f t="shared" si="84"/>
        <v>-0.28072341272986379</v>
      </c>
      <c r="AH164" s="337">
        <f t="shared" si="84"/>
        <v>-0.2970971532478407</v>
      </c>
      <c r="AI164" s="337">
        <f t="shared" si="84"/>
        <v>-0.31295001806370337</v>
      </c>
      <c r="AJ164" s="337">
        <f t="shared" si="84"/>
        <v>-0.32815522130004493</v>
      </c>
      <c r="AK164" s="337">
        <f t="shared" si="84"/>
        <v>-0.3427642104911689</v>
      </c>
      <c r="AL164" s="337">
        <f t="shared" si="84"/>
        <v>-0.35682252330998332</v>
      </c>
      <c r="AM164" s="337">
        <f t="shared" si="84"/>
        <v>-0.37032830396559546</v>
      </c>
      <c r="AN164" s="337">
        <f t="shared" si="84"/>
        <v>-0.38335464242954953</v>
      </c>
      <c r="AO164" s="337">
        <f t="shared" si="84"/>
        <v>-0.39593431533155887</v>
      </c>
      <c r="AP164" s="337">
        <f t="shared" si="84"/>
        <v>-0.40809682597649288</v>
      </c>
      <c r="AQ164" s="337">
        <f t="shared" ref="AQ164" si="85">AQ129/$I117-1</f>
        <v>-0.41405866493849974</v>
      </c>
      <c r="AR164" s="81">
        <f>ROW()</f>
        <v>164</v>
      </c>
    </row>
    <row r="165" spans="1:44" s="31" customFormat="1" ht="15" customHeight="1">
      <c r="B165" s="124" t="str">
        <f>B$118</f>
        <v>Freight (goods movement by road, rail, ship, air)</v>
      </c>
      <c r="H165" s="32"/>
      <c r="K165" s="30"/>
      <c r="L165" s="30"/>
      <c r="M165" s="352"/>
      <c r="N165" s="352"/>
      <c r="O165" s="30"/>
      <c r="P165" s="30"/>
      <c r="Q165" s="30"/>
      <c r="R165" s="30"/>
      <c r="S165" s="30"/>
      <c r="T165" s="337">
        <f t="shared" ref="T165:AP165" si="86">T130/$I118-1</f>
        <v>-0.10566696109736884</v>
      </c>
      <c r="U165" s="337">
        <f t="shared" si="86"/>
        <v>-0.14125633324229103</v>
      </c>
      <c r="V165" s="337">
        <f t="shared" si="86"/>
        <v>-0.17348427835141089</v>
      </c>
      <c r="W165" s="337">
        <f t="shared" si="86"/>
        <v>-0.20286117619741673</v>
      </c>
      <c r="X165" s="337">
        <f t="shared" si="86"/>
        <v>-0.2312429051185757</v>
      </c>
      <c r="Y165" s="337">
        <f t="shared" si="86"/>
        <v>-0.25445033122649741</v>
      </c>
      <c r="Z165" s="337">
        <f t="shared" si="86"/>
        <v>-0.27601634327637903</v>
      </c>
      <c r="AA165" s="337">
        <f t="shared" si="86"/>
        <v>-0.29613209625659542</v>
      </c>
      <c r="AB165" s="337">
        <f t="shared" si="86"/>
        <v>-0.31495890953677752</v>
      </c>
      <c r="AC165" s="337">
        <f t="shared" si="86"/>
        <v>-0.33263401345512489</v>
      </c>
      <c r="AD165" s="337">
        <f t="shared" si="86"/>
        <v>-0.34927499699869313</v>
      </c>
      <c r="AE165" s="337">
        <f t="shared" si="86"/>
        <v>-0.36498329004276031</v>
      </c>
      <c r="AF165" s="337">
        <f t="shared" si="86"/>
        <v>-0.37984691855447938</v>
      </c>
      <c r="AG165" s="337">
        <f t="shared" si="86"/>
        <v>-0.39394270569964751</v>
      </c>
      <c r="AH165" s="337">
        <f t="shared" si="86"/>
        <v>-0.40774469409409353</v>
      </c>
      <c r="AI165" s="337">
        <f t="shared" si="86"/>
        <v>-0.42077543919220373</v>
      </c>
      <c r="AJ165" s="337">
        <f t="shared" si="86"/>
        <v>-0.43320492247400344</v>
      </c>
      <c r="AK165" s="337">
        <f t="shared" si="86"/>
        <v>-0.44508099034523396</v>
      </c>
      <c r="AL165" s="337">
        <f t="shared" si="86"/>
        <v>-0.45644633162713422</v>
      </c>
      <c r="AM165" s="337">
        <f t="shared" si="86"/>
        <v>-0.46733917281519088</v>
      </c>
      <c r="AN165" s="337">
        <f t="shared" si="86"/>
        <v>-0.47779386179185968</v>
      </c>
      <c r="AO165" s="337">
        <f t="shared" si="86"/>
        <v>-0.48784136056335758</v>
      </c>
      <c r="AP165" s="337">
        <f t="shared" si="86"/>
        <v>-0.49750966333227253</v>
      </c>
      <c r="AQ165" s="337">
        <f t="shared" ref="AQ165" si="87">AQ130/$I118-1</f>
        <v>-0.4977440337053981</v>
      </c>
      <c r="AR165" s="81">
        <f>ROW()</f>
        <v>165</v>
      </c>
    </row>
    <row r="166" spans="1:44" s="31" customFormat="1" ht="15" customHeight="1">
      <c r="B166" s="124" t="str">
        <f>B$119</f>
        <v>Aviation (passenger only)</v>
      </c>
      <c r="H166" s="32"/>
      <c r="K166" s="30"/>
      <c r="L166" s="30"/>
      <c r="M166" s="352"/>
      <c r="N166" s="352"/>
      <c r="O166" s="30"/>
      <c r="P166" s="30"/>
      <c r="Q166" s="30"/>
      <c r="R166" s="30"/>
      <c r="S166" s="30"/>
      <c r="T166" s="337">
        <f t="shared" ref="T166:AP167" si="88">T131/$I119-1</f>
        <v>-0.15812752948723385</v>
      </c>
      <c r="U166" s="337">
        <f t="shared" si="88"/>
        <v>-0.21100044030381837</v>
      </c>
      <c r="V166" s="337">
        <f t="shared" si="88"/>
        <v>-0.25731195296200438</v>
      </c>
      <c r="W166" s="337">
        <f t="shared" si="88"/>
        <v>-0.29832068331619144</v>
      </c>
      <c r="X166" s="337">
        <f t="shared" si="88"/>
        <v>-0.33395305774451223</v>
      </c>
      <c r="Y166" s="337">
        <f t="shared" si="88"/>
        <v>-0.3559068249874886</v>
      </c>
      <c r="Z166" s="337">
        <f t="shared" si="88"/>
        <v>-0.37611039727298057</v>
      </c>
      <c r="AA166" s="337">
        <f t="shared" si="88"/>
        <v>-0.39478257785027748</v>
      </c>
      <c r="AB166" s="337">
        <f t="shared" si="88"/>
        <v>-0.41210618699488766</v>
      </c>
      <c r="AC166" s="337">
        <f t="shared" si="88"/>
        <v>-0.42823529920265935</v>
      </c>
      <c r="AD166" s="337">
        <f t="shared" si="88"/>
        <v>-0.443300781788597</v>
      </c>
      <c r="AE166" s="337">
        <f t="shared" si="88"/>
        <v>-0.45741458593316264</v>
      </c>
      <c r="AF166" s="337">
        <f t="shared" si="88"/>
        <v>-0.47067310861992395</v>
      </c>
      <c r="AG166" s="337">
        <f t="shared" si="88"/>
        <v>-0.48315985378172333</v>
      </c>
      <c r="AH166" s="337">
        <f t="shared" si="88"/>
        <v>-0.49444896674672545</v>
      </c>
      <c r="AI166" s="337">
        <f t="shared" si="88"/>
        <v>-0.50489733346935295</v>
      </c>
      <c r="AJ166" s="337">
        <f t="shared" si="88"/>
        <v>-0.51479694935717557</v>
      </c>
      <c r="AK166" s="337">
        <f t="shared" si="88"/>
        <v>-0.52419484366616376</v>
      </c>
      <c r="AL166" s="337">
        <f t="shared" si="88"/>
        <v>-0.53313275296419482</v>
      </c>
      <c r="AM166" s="337">
        <f t="shared" si="88"/>
        <v>-0.54164785956803352</v>
      </c>
      <c r="AN166" s="337">
        <f t="shared" si="88"/>
        <v>-0.54977340811638298</v>
      </c>
      <c r="AO166" s="337">
        <f t="shared" si="88"/>
        <v>-0.5575392233037586</v>
      </c>
      <c r="AP166" s="337">
        <f t="shared" si="88"/>
        <v>-0.56497214692966335</v>
      </c>
      <c r="AQ166" s="337">
        <f t="shared" ref="AQ166:AQ167" si="89">AQ131/$I119-1</f>
        <v>-0.56528544845993633</v>
      </c>
      <c r="AR166" s="81">
        <f>ROW()</f>
        <v>166</v>
      </c>
    </row>
    <row r="167" spans="1:44" s="31" customFormat="1" ht="15" customHeight="1">
      <c r="B167" s="92" t="s">
        <v>1130</v>
      </c>
      <c r="H167" s="32"/>
      <c r="K167" s="30"/>
      <c r="L167" s="30"/>
      <c r="M167" s="352"/>
      <c r="N167" s="352"/>
      <c r="O167" s="30"/>
      <c r="P167" s="30"/>
      <c r="Q167" s="30"/>
      <c r="R167" s="30"/>
      <c r="S167" s="30"/>
      <c r="T167" s="337">
        <f t="shared" si="88"/>
        <v>4.3468640652678747E-2</v>
      </c>
      <c r="U167" s="337">
        <f t="shared" si="88"/>
        <v>2.862826347358971E-2</v>
      </c>
      <c r="V167" s="337">
        <f t="shared" si="88"/>
        <v>1.5414974780460611E-2</v>
      </c>
      <c r="W167" s="337">
        <f t="shared" si="88"/>
        <v>4.765393040393473E-3</v>
      </c>
      <c r="X167" s="337">
        <f t="shared" si="88"/>
        <v>-1.1430524983804147E-2</v>
      </c>
      <c r="Y167" s="337">
        <f t="shared" si="88"/>
        <v>-2.2908777296306582E-2</v>
      </c>
      <c r="Z167" s="337">
        <f t="shared" si="88"/>
        <v>-3.0744590737733946E-2</v>
      </c>
      <c r="AA167" s="337">
        <f t="shared" si="88"/>
        <v>-3.8367635582059689E-2</v>
      </c>
      <c r="AB167" s="337">
        <f t="shared" si="88"/>
        <v>-4.6702773827232202E-2</v>
      </c>
      <c r="AC167" s="337">
        <f t="shared" si="88"/>
        <v>-5.5776981069950771E-2</v>
      </c>
      <c r="AD167" s="337">
        <f t="shared" si="88"/>
        <v>-6.9068718824645714E-2</v>
      </c>
      <c r="AE167" s="337">
        <f t="shared" si="88"/>
        <v>-8.1775685993324188E-2</v>
      </c>
      <c r="AF167" s="337">
        <f t="shared" si="88"/>
        <v>-9.3663060416888322E-2</v>
      </c>
      <c r="AG167" s="337">
        <f t="shared" si="88"/>
        <v>-0.10481231045321571</v>
      </c>
      <c r="AH167" s="337">
        <f t="shared" si="88"/>
        <v>-0.11584556446889716</v>
      </c>
      <c r="AI167" s="337">
        <f t="shared" si="88"/>
        <v>-0.12638144631750658</v>
      </c>
      <c r="AJ167" s="337">
        <f t="shared" si="88"/>
        <v>-0.13637954239299299</v>
      </c>
      <c r="AK167" s="337">
        <f t="shared" si="88"/>
        <v>-0.14588769394990408</v>
      </c>
      <c r="AL167" s="337">
        <f t="shared" si="88"/>
        <v>-0.15494826940310258</v>
      </c>
      <c r="AM167" s="337">
        <f t="shared" si="88"/>
        <v>-0.1635603781035766</v>
      </c>
      <c r="AN167" s="337">
        <f t="shared" si="88"/>
        <v>-0.17179042310476689</v>
      </c>
      <c r="AO167" s="337">
        <f t="shared" si="88"/>
        <v>-0.17966874205088668</v>
      </c>
      <c r="AP167" s="337">
        <f t="shared" si="88"/>
        <v>-0.18722263607552247</v>
      </c>
      <c r="AQ167" s="337">
        <f t="shared" si="89"/>
        <v>-0.18435455111618593</v>
      </c>
      <c r="AR167" s="81">
        <f>ROW()</f>
        <v>167</v>
      </c>
    </row>
    <row r="168" spans="1:44" s="31" customFormat="1" ht="15" customHeight="1">
      <c r="B168" s="92" t="s">
        <v>1182</v>
      </c>
      <c r="H168" s="32"/>
      <c r="M168" s="126"/>
      <c r="N168" s="126"/>
      <c r="O168" s="126"/>
      <c r="P168" s="126"/>
      <c r="Q168" s="126"/>
      <c r="R168" s="126"/>
      <c r="S168" s="126"/>
      <c r="T168" s="337">
        <f t="shared" ref="T168:AP168" si="90">T133/$I121-1</f>
        <v>-2.4527580352669998E-2</v>
      </c>
      <c r="U168" s="337">
        <f t="shared" si="90"/>
        <v>-5.6873867051904226E-2</v>
      </c>
      <c r="V168" s="337">
        <f t="shared" si="90"/>
        <v>-8.6844752789870916E-2</v>
      </c>
      <c r="W168" s="337">
        <f t="shared" si="90"/>
        <v>-0.11605119405480901</v>
      </c>
      <c r="X168" s="337">
        <f t="shared" si="90"/>
        <v>-0.13043519594673736</v>
      </c>
      <c r="Y168" s="337">
        <f t="shared" si="90"/>
        <v>-0.14891672570061543</v>
      </c>
      <c r="Z168" s="337">
        <f t="shared" si="90"/>
        <v>-0.16933503988586251</v>
      </c>
      <c r="AA168" s="337">
        <f t="shared" si="90"/>
        <v>-0.18834203694736973</v>
      </c>
      <c r="AB168" s="337">
        <f t="shared" si="90"/>
        <v>-0.20521465237912773</v>
      </c>
      <c r="AC168" s="337">
        <f t="shared" si="90"/>
        <v>-0.22011475296372052</v>
      </c>
      <c r="AD168" s="337">
        <f t="shared" si="90"/>
        <v>-0.22984100220732495</v>
      </c>
      <c r="AE168" s="337">
        <f t="shared" si="90"/>
        <v>-0.23894622939449361</v>
      </c>
      <c r="AF168" s="337">
        <f t="shared" si="90"/>
        <v>-0.24749277819493964</v>
      </c>
      <c r="AG168" s="337">
        <f t="shared" si="90"/>
        <v>-0.25553507741507375</v>
      </c>
      <c r="AH168" s="337">
        <f t="shared" si="90"/>
        <v>-0.26313777863904875</v>
      </c>
      <c r="AI168" s="337">
        <f t="shared" si="90"/>
        <v>-0.27028725701006906</v>
      </c>
      <c r="AJ168" s="337">
        <f t="shared" si="90"/>
        <v>-0.27701656165868338</v>
      </c>
      <c r="AK168" s="337">
        <f t="shared" si="90"/>
        <v>-0.28336186318724843</v>
      </c>
      <c r="AL168" s="337">
        <f t="shared" si="90"/>
        <v>-0.28935549354878021</v>
      </c>
      <c r="AM168" s="337">
        <f t="shared" si="90"/>
        <v>-0.29502645986023934</v>
      </c>
      <c r="AN168" s="337">
        <f t="shared" si="90"/>
        <v>-0.30040087660620618</v>
      </c>
      <c r="AO168" s="337">
        <f t="shared" si="90"/>
        <v>-0.3055023310861521</v>
      </c>
      <c r="AP168" s="337">
        <f t="shared" si="90"/>
        <v>-0.31035219392639046</v>
      </c>
      <c r="AQ168" s="337">
        <f t="shared" ref="AQ168" si="91">AQ133/$I121-1</f>
        <v>-0.29576943598536609</v>
      </c>
      <c r="AR168" s="81">
        <f>ROW()</f>
        <v>168</v>
      </c>
    </row>
    <row r="169" spans="1:44" s="31" customFormat="1" ht="15" customHeight="1">
      <c r="B169" s="124" t="str">
        <f>B$122</f>
        <v>"Other" Natural Gas (industry, heat/hot water, etc.)</v>
      </c>
      <c r="H169" s="32"/>
      <c r="K169" s="30"/>
      <c r="L169" s="30"/>
      <c r="M169" s="352"/>
      <c r="N169" s="352"/>
      <c r="O169" s="30"/>
      <c r="P169" s="30"/>
      <c r="Q169" s="30"/>
      <c r="R169" s="30"/>
      <c r="S169" s="30"/>
      <c r="T169" s="337">
        <f t="shared" ref="T169:AP169" si="92">T134/$I122-1</f>
        <v>-3.7660331631125921E-2</v>
      </c>
      <c r="U169" s="337">
        <f t="shared" si="92"/>
        <v>-9.1964344187127289E-2</v>
      </c>
      <c r="V169" s="337">
        <f t="shared" si="92"/>
        <v>-0.13923786801739579</v>
      </c>
      <c r="W169" s="337">
        <f t="shared" si="92"/>
        <v>-0.18101780251995903</v>
      </c>
      <c r="X169" s="337">
        <f t="shared" si="92"/>
        <v>-0.20576060468551671</v>
      </c>
      <c r="Y169" s="337">
        <f t="shared" si="92"/>
        <v>-0.22954767037308765</v>
      </c>
      <c r="Z169" s="337">
        <f t="shared" si="92"/>
        <v>-0.2513337875126288</v>
      </c>
      <c r="AA169" s="337">
        <f t="shared" si="92"/>
        <v>-0.27138525912053879</v>
      </c>
      <c r="AB169" s="337">
        <f t="shared" si="92"/>
        <v>-0.28992127649604182</v>
      </c>
      <c r="AC169" s="337">
        <f t="shared" si="92"/>
        <v>-0.30712412096867603</v>
      </c>
      <c r="AD169" s="337">
        <f t="shared" si="92"/>
        <v>-0.32314678929351559</v>
      </c>
      <c r="AE169" s="337">
        <f t="shared" si="92"/>
        <v>-0.33811877793372724</v>
      </c>
      <c r="AF169" s="337">
        <f t="shared" si="92"/>
        <v>-0.35215052953086778</v>
      </c>
      <c r="AG169" s="337">
        <f t="shared" si="92"/>
        <v>-0.36533689250608781</v>
      </c>
      <c r="AH169" s="337">
        <f t="shared" si="92"/>
        <v>-0.37648393689578186</v>
      </c>
      <c r="AI169" s="337">
        <f t="shared" si="92"/>
        <v>-0.38748424105475676</v>
      </c>
      <c r="AJ169" s="337">
        <f t="shared" si="92"/>
        <v>-0.39794860662715326</v>
      </c>
      <c r="AK169" s="337">
        <f t="shared" si="92"/>
        <v>-0.40791955389109769</v>
      </c>
      <c r="AL169" s="337">
        <f t="shared" si="92"/>
        <v>-0.41743501843745401</v>
      </c>
      <c r="AM169" s="337">
        <f t="shared" si="92"/>
        <v>-0.42652896806588236</v>
      </c>
      <c r="AN169" s="337">
        <f t="shared" si="92"/>
        <v>-0.43523192114948195</v>
      </c>
      <c r="AO169" s="337">
        <f t="shared" si="92"/>
        <v>-0.44357138454467815</v>
      </c>
      <c r="AP169" s="337">
        <f t="shared" si="92"/>
        <v>-0.45157222540111452</v>
      </c>
      <c r="AQ169" s="337">
        <f t="shared" ref="AQ169" si="93">AQ134/$I122-1</f>
        <v>-0.45925698834977613</v>
      </c>
      <c r="AR169" s="81">
        <f>ROW()</f>
        <v>169</v>
      </c>
    </row>
    <row r="170" spans="1:44" s="31" customFormat="1" ht="15" customHeight="1">
      <c r="B170" s="124" t="str">
        <f>B$123</f>
        <v>Misc. (non-electric coal, non-energy FF's, U.S. territories)</v>
      </c>
      <c r="H170" s="32"/>
      <c r="K170" s="30"/>
      <c r="L170" s="30"/>
      <c r="M170" s="352"/>
      <c r="N170" s="352"/>
      <c r="O170" s="30"/>
      <c r="P170" s="30"/>
      <c r="Q170" s="30"/>
      <c r="R170" s="30"/>
      <c r="S170" s="30"/>
      <c r="T170" s="337">
        <f t="shared" ref="T170:AP170" si="94">T135/$I123-1</f>
        <v>-0.28052151067216735</v>
      </c>
      <c r="U170" s="337">
        <f t="shared" si="94"/>
        <v>-0.29684979886560092</v>
      </c>
      <c r="V170" s="337">
        <f t="shared" si="94"/>
        <v>-0.31217020723264488</v>
      </c>
      <c r="W170" s="337">
        <f t="shared" si="94"/>
        <v>-0.32659826520628366</v>
      </c>
      <c r="X170" s="337">
        <f t="shared" si="94"/>
        <v>-0.34055964568798314</v>
      </c>
      <c r="Y170" s="337">
        <f t="shared" si="94"/>
        <v>-0.35313227896373012</v>
      </c>
      <c r="Z170" s="337">
        <f t="shared" si="94"/>
        <v>-0.36510534615406953</v>
      </c>
      <c r="AA170" s="337">
        <f t="shared" si="94"/>
        <v>-0.37653327317081242</v>
      </c>
      <c r="AB170" s="337">
        <f t="shared" si="94"/>
        <v>-0.38746384246127552</v>
      </c>
      <c r="AC170" s="337">
        <f t="shared" si="94"/>
        <v>-0.39793920213882894</v>
      </c>
      <c r="AD170" s="337">
        <f t="shared" si="94"/>
        <v>-0.40799669294013652</v>
      </c>
      <c r="AE170" s="337">
        <f t="shared" si="94"/>
        <v>-0.4176695307357261</v>
      </c>
      <c r="AF170" s="337">
        <f t="shared" si="94"/>
        <v>-0.42698737356934102</v>
      </c>
      <c r="AG170" s="337">
        <f t="shared" si="94"/>
        <v>-0.43597679568486614</v>
      </c>
      <c r="AH170" s="337">
        <f t="shared" si="94"/>
        <v>-0.44480779169162066</v>
      </c>
      <c r="AI170" s="337">
        <f t="shared" si="94"/>
        <v>-0.45364955252637107</v>
      </c>
      <c r="AJ170" s="337">
        <f t="shared" si="94"/>
        <v>-0.46221324085419691</v>
      </c>
      <c r="AK170" s="337">
        <f t="shared" si="94"/>
        <v>-0.47051731608948455</v>
      </c>
      <c r="AL170" s="337">
        <f t="shared" si="94"/>
        <v>-0.47857855147506467</v>
      </c>
      <c r="AM170" s="337">
        <f t="shared" si="94"/>
        <v>-0.48641222427827302</v>
      </c>
      <c r="AN170" s="337">
        <f t="shared" si="94"/>
        <v>-0.49403228019893697</v>
      </c>
      <c r="AO170" s="337">
        <f t="shared" si="94"/>
        <v>-0.50145147604045759</v>
      </c>
      <c r="AP170" s="337">
        <f t="shared" si="94"/>
        <v>-0.5086815039771877</v>
      </c>
      <c r="AQ170" s="337">
        <f t="shared" ref="AQ170" si="95">AQ135/$I123-1</f>
        <v>-0.51573310017438889</v>
      </c>
      <c r="AR170" s="81">
        <f>ROW()</f>
        <v>170</v>
      </c>
    </row>
    <row r="171" spans="1:44" ht="15" customHeight="1">
      <c r="A171" s="31"/>
      <c r="AR171" s="81">
        <f>ROW()</f>
        <v>171</v>
      </c>
    </row>
    <row r="172" spans="1:44" s="31" customFormat="1" ht="15" customHeight="1">
      <c r="A172"/>
      <c r="B172" s="8" t="s">
        <v>1196</v>
      </c>
      <c r="H172" s="32"/>
      <c r="I172" s="213">
        <f t="shared" ref="I172:S172" si="96">I$110</f>
        <v>2005</v>
      </c>
      <c r="J172" s="213">
        <f t="shared" si="96"/>
        <v>2006</v>
      </c>
      <c r="K172" s="213">
        <f t="shared" si="96"/>
        <v>2007</v>
      </c>
      <c r="L172" s="213">
        <f t="shared" si="96"/>
        <v>2008</v>
      </c>
      <c r="M172" s="213">
        <f t="shared" si="96"/>
        <v>2009</v>
      </c>
      <c r="N172" s="213">
        <f t="shared" si="96"/>
        <v>2010</v>
      </c>
      <c r="O172" s="213">
        <f t="shared" si="96"/>
        <v>2011</v>
      </c>
      <c r="P172" s="213">
        <f t="shared" si="96"/>
        <v>2012</v>
      </c>
      <c r="Q172" s="213">
        <f t="shared" si="96"/>
        <v>2013</v>
      </c>
      <c r="R172" s="213">
        <f t="shared" si="96"/>
        <v>2014</v>
      </c>
      <c r="S172" s="213">
        <f t="shared" si="96"/>
        <v>2015</v>
      </c>
      <c r="T172" s="213">
        <f>T110</f>
        <v>2017</v>
      </c>
      <c r="U172" s="213">
        <f>U110</f>
        <v>2018</v>
      </c>
      <c r="V172" s="213">
        <f t="shared" ref="V172:AP172" si="97">V110</f>
        <v>2019</v>
      </c>
      <c r="W172" s="213">
        <f t="shared" si="97"/>
        <v>2020</v>
      </c>
      <c r="X172" s="213">
        <f t="shared" si="97"/>
        <v>2021</v>
      </c>
      <c r="Y172" s="213">
        <f t="shared" si="97"/>
        <v>2022</v>
      </c>
      <c r="Z172" s="213">
        <f t="shared" si="97"/>
        <v>2023</v>
      </c>
      <c r="AA172" s="213">
        <f t="shared" si="97"/>
        <v>2024</v>
      </c>
      <c r="AB172" s="213">
        <f t="shared" si="97"/>
        <v>2025</v>
      </c>
      <c r="AC172" s="213">
        <f t="shared" si="97"/>
        <v>2026</v>
      </c>
      <c r="AD172" s="213">
        <f t="shared" si="97"/>
        <v>2027</v>
      </c>
      <c r="AE172" s="213">
        <f t="shared" si="97"/>
        <v>2028</v>
      </c>
      <c r="AF172" s="213">
        <f t="shared" si="97"/>
        <v>2029</v>
      </c>
      <c r="AG172" s="213">
        <f t="shared" si="97"/>
        <v>2030</v>
      </c>
      <c r="AH172" s="213">
        <f t="shared" si="97"/>
        <v>2031</v>
      </c>
      <c r="AI172" s="213">
        <f t="shared" si="97"/>
        <v>2032</v>
      </c>
      <c r="AJ172" s="213">
        <f t="shared" si="97"/>
        <v>2033</v>
      </c>
      <c r="AK172" s="213">
        <f t="shared" si="97"/>
        <v>2034</v>
      </c>
      <c r="AL172" s="213">
        <f t="shared" si="97"/>
        <v>2035</v>
      </c>
      <c r="AM172" s="213">
        <f t="shared" si="97"/>
        <v>2036</v>
      </c>
      <c r="AN172" s="213">
        <f t="shared" si="97"/>
        <v>2037</v>
      </c>
      <c r="AO172" s="213">
        <f t="shared" si="97"/>
        <v>2038</v>
      </c>
      <c r="AP172" s="213">
        <f t="shared" si="97"/>
        <v>2039</v>
      </c>
      <c r="AQ172" s="213">
        <f t="shared" ref="AQ172" si="98">AQ110</f>
        <v>2040</v>
      </c>
      <c r="AR172" s="81">
        <f>ROW()</f>
        <v>172</v>
      </c>
    </row>
    <row r="173" spans="1:44" s="31" customFormat="1" ht="15" customHeight="1">
      <c r="B173" s="124" t="str">
        <f>B$116</f>
        <v>Electricity Generation</v>
      </c>
      <c r="H173" s="32"/>
      <c r="M173" s="126"/>
      <c r="N173" s="126"/>
      <c r="O173" s="126"/>
      <c r="P173" s="126"/>
      <c r="Q173" s="126"/>
      <c r="R173" s="126"/>
      <c r="S173" s="126"/>
      <c r="T173" s="35">
        <f t="shared" ref="T173:AP173" si="99">T139/T$138</f>
        <v>0.63001907666557366</v>
      </c>
      <c r="U173" s="35">
        <f t="shared" si="99"/>
        <v>0.61492796844367204</v>
      </c>
      <c r="V173" s="35">
        <f t="shared" si="99"/>
        <v>0.60682866720955975</v>
      </c>
      <c r="W173" s="35">
        <f t="shared" si="99"/>
        <v>0.6005847022481573</v>
      </c>
      <c r="X173" s="35">
        <f t="shared" si="99"/>
        <v>0.59187620666894569</v>
      </c>
      <c r="Y173" s="35">
        <f t="shared" si="99"/>
        <v>0.58234946510333818</v>
      </c>
      <c r="Z173" s="35">
        <f t="shared" si="99"/>
        <v>0.57322346062023177</v>
      </c>
      <c r="AA173" s="35">
        <f t="shared" si="99"/>
        <v>0.56458317266627089</v>
      </c>
      <c r="AB173" s="35">
        <f t="shared" si="99"/>
        <v>0.55642209217608329</v>
      </c>
      <c r="AC173" s="35">
        <f t="shared" si="99"/>
        <v>0.54869536799458074</v>
      </c>
      <c r="AD173" s="35">
        <f t="shared" si="99"/>
        <v>0.54168137244592485</v>
      </c>
      <c r="AE173" s="35">
        <f t="shared" si="99"/>
        <v>0.53511954820550078</v>
      </c>
      <c r="AF173" s="35">
        <f t="shared" si="99"/>
        <v>0.52907436136111252</v>
      </c>
      <c r="AG173" s="35">
        <f t="shared" si="99"/>
        <v>0.52344516127857676</v>
      </c>
      <c r="AH173" s="35">
        <f t="shared" si="99"/>
        <v>0.51909540136279853</v>
      </c>
      <c r="AI173" s="35">
        <f t="shared" si="99"/>
        <v>0.51503979999353167</v>
      </c>
      <c r="AJ173" s="35">
        <f t="shared" si="99"/>
        <v>0.51122070170502221</v>
      </c>
      <c r="AK173" s="35">
        <f t="shared" si="99"/>
        <v>0.50760183125632108</v>
      </c>
      <c r="AL173" s="35">
        <f t="shared" si="99"/>
        <v>0.50415406456460876</v>
      </c>
      <c r="AM173" s="35">
        <f t="shared" si="99"/>
        <v>0.50086701887488072</v>
      </c>
      <c r="AN173" s="35">
        <f t="shared" si="99"/>
        <v>0.49770867572801891</v>
      </c>
      <c r="AO173" s="35">
        <f t="shared" si="99"/>
        <v>0.49466257388991591</v>
      </c>
      <c r="AP173" s="35">
        <f t="shared" si="99"/>
        <v>0.49171484642604246</v>
      </c>
      <c r="AQ173" s="35">
        <f t="shared" ref="AQ173" si="100">AQ139/AQ$138</f>
        <v>0.48803973726419725</v>
      </c>
      <c r="AR173" s="81">
        <f>ROW()</f>
        <v>173</v>
      </c>
    </row>
    <row r="174" spans="1:44" s="31" customFormat="1" ht="15" customHeight="1">
      <c r="B174" s="124" t="str">
        <f>B$117</f>
        <v>Personal Ground Travel (driving, boating, rec vehicles, etc.)</v>
      </c>
      <c r="H174" s="32"/>
      <c r="M174" s="126"/>
      <c r="N174" s="126"/>
      <c r="O174" s="126"/>
      <c r="P174" s="126"/>
      <c r="Q174" s="126"/>
      <c r="R174" s="126"/>
      <c r="S174" s="126"/>
      <c r="T174" s="35">
        <f t="shared" ref="T174:AP175" si="101">T140/T$138</f>
        <v>1.5419883858822351E-2</v>
      </c>
      <c r="U174" s="35">
        <f t="shared" si="101"/>
        <v>4.6111423671162062E-2</v>
      </c>
      <c r="V174" s="35">
        <f t="shared" si="101"/>
        <v>6.0105429988275519E-2</v>
      </c>
      <c r="W174" s="35">
        <f t="shared" si="101"/>
        <v>7.0171592838145558E-2</v>
      </c>
      <c r="X174" s="35">
        <f t="shared" si="101"/>
        <v>7.7501727478086133E-2</v>
      </c>
      <c r="Y174" s="35">
        <f t="shared" si="101"/>
        <v>8.4133048932706456E-2</v>
      </c>
      <c r="Z174" s="35">
        <f t="shared" si="101"/>
        <v>9.0631801394056619E-2</v>
      </c>
      <c r="AA174" s="35">
        <f t="shared" si="101"/>
        <v>9.671940815237895E-2</v>
      </c>
      <c r="AB174" s="35">
        <f t="shared" si="101"/>
        <v>0.10234433559902316</v>
      </c>
      <c r="AC174" s="35">
        <f t="shared" si="101"/>
        <v>0.10754658850788856</v>
      </c>
      <c r="AD174" s="35">
        <f t="shared" si="101"/>
        <v>0.111708537022191</v>
      </c>
      <c r="AE174" s="35">
        <f t="shared" si="101"/>
        <v>0.11543732695345656</v>
      </c>
      <c r="AF174" s="35">
        <f t="shared" si="101"/>
        <v>0.11862793896430446</v>
      </c>
      <c r="AG174" s="35">
        <f t="shared" si="101"/>
        <v>0.12139502416838706</v>
      </c>
      <c r="AH174" s="35">
        <f t="shared" si="101"/>
        <v>0.12329921281970947</v>
      </c>
      <c r="AI174" s="35">
        <f t="shared" si="101"/>
        <v>0.12487873351170377</v>
      </c>
      <c r="AJ174" s="35">
        <f t="shared" si="101"/>
        <v>0.126205145070313</v>
      </c>
      <c r="AK174" s="35">
        <f t="shared" si="101"/>
        <v>0.12731862089189327</v>
      </c>
      <c r="AL174" s="35">
        <f t="shared" si="101"/>
        <v>0.12825081113533338</v>
      </c>
      <c r="AM174" s="35">
        <f t="shared" si="101"/>
        <v>0.12900886807420386</v>
      </c>
      <c r="AN174" s="35">
        <f t="shared" si="101"/>
        <v>0.12963011934007135</v>
      </c>
      <c r="AO174" s="35">
        <f t="shared" si="101"/>
        <v>0.13013154383667871</v>
      </c>
      <c r="AP174" s="35">
        <f t="shared" si="101"/>
        <v>0.13052720794163389</v>
      </c>
      <c r="AQ174" s="35">
        <f t="shared" ref="AQ174" si="102">AQ140/AQ$138</f>
        <v>0.13104227198883234</v>
      </c>
      <c r="AR174" s="81">
        <f>ROW()</f>
        <v>174</v>
      </c>
    </row>
    <row r="175" spans="1:44" s="31" customFormat="1" ht="15" customHeight="1">
      <c r="B175" s="124" t="str">
        <f>B$118</f>
        <v>Freight (goods movement by road, rail, ship, air)</v>
      </c>
      <c r="H175" s="32"/>
      <c r="M175" s="126"/>
      <c r="N175" s="126"/>
      <c r="O175" s="126"/>
      <c r="P175" s="126"/>
      <c r="Q175" s="126"/>
      <c r="R175" s="126"/>
      <c r="S175" s="126"/>
      <c r="T175" s="35">
        <f t="shared" si="101"/>
        <v>9.8594558207337021E-2</v>
      </c>
      <c r="U175" s="35">
        <f t="shared" si="101"/>
        <v>9.2036707005644161E-2</v>
      </c>
      <c r="V175" s="35">
        <f t="shared" si="101"/>
        <v>9.0834663602119975E-2</v>
      </c>
      <c r="W175" s="35">
        <f t="shared" si="101"/>
        <v>9.0827880607738679E-2</v>
      </c>
      <c r="X175" s="35">
        <f t="shared" si="101"/>
        <v>9.0627575871489174E-2</v>
      </c>
      <c r="Y175" s="35">
        <f t="shared" si="101"/>
        <v>9.1074109580926377E-2</v>
      </c>
      <c r="Z175" s="35">
        <f t="shared" si="101"/>
        <v>9.1552583229570869E-2</v>
      </c>
      <c r="AA175" s="35">
        <f t="shared" si="101"/>
        <v>9.2049355243744482E-2</v>
      </c>
      <c r="AB175" s="35">
        <f t="shared" si="101"/>
        <v>9.2555195174486196E-2</v>
      </c>
      <c r="AC175" s="35">
        <f t="shared" si="101"/>
        <v>9.3062632979724558E-2</v>
      </c>
      <c r="AD175" s="35">
        <f t="shared" si="101"/>
        <v>9.3623411953201466E-2</v>
      </c>
      <c r="AE175" s="35">
        <f t="shared" si="101"/>
        <v>9.4199821760738545E-2</v>
      </c>
      <c r="AF175" s="35">
        <f t="shared" si="101"/>
        <v>9.4809872218361568E-2</v>
      </c>
      <c r="AG175" s="35">
        <f t="shared" si="101"/>
        <v>9.5442578985126356E-2</v>
      </c>
      <c r="AH175" s="35">
        <f t="shared" si="101"/>
        <v>9.5650324493888148E-2</v>
      </c>
      <c r="AI175" s="35">
        <f t="shared" si="101"/>
        <v>9.591881833702158E-2</v>
      </c>
      <c r="AJ175" s="35">
        <f t="shared" si="101"/>
        <v>9.6203731632232933E-2</v>
      </c>
      <c r="AK175" s="35">
        <f t="shared" si="101"/>
        <v>9.6501051045478431E-2</v>
      </c>
      <c r="AL175" s="35">
        <f t="shared" si="101"/>
        <v>9.6807767090810903E-2</v>
      </c>
      <c r="AM175" s="35">
        <f t="shared" si="101"/>
        <v>9.7124181782727997E-2</v>
      </c>
      <c r="AN175" s="35">
        <f t="shared" si="101"/>
        <v>9.7446178924217447E-2</v>
      </c>
      <c r="AO175" s="35">
        <f t="shared" si="101"/>
        <v>9.7772375701279918E-2</v>
      </c>
      <c r="AP175" s="35">
        <f t="shared" si="101"/>
        <v>9.8101687898346127E-2</v>
      </c>
      <c r="AQ175" s="35">
        <f t="shared" ref="AQ175" si="103">AQ141/AQ$138</f>
        <v>9.9313257904306784E-2</v>
      </c>
      <c r="AR175" s="81">
        <f>ROW()</f>
        <v>175</v>
      </c>
    </row>
    <row r="176" spans="1:44" s="31" customFormat="1" ht="15" customHeight="1">
      <c r="B176" s="124" t="str">
        <f>B$119</f>
        <v>Aviation (passenger only)</v>
      </c>
      <c r="H176" s="32"/>
      <c r="M176" s="126"/>
      <c r="N176" s="126"/>
      <c r="O176" s="126"/>
      <c r="P176" s="126"/>
      <c r="Q176" s="126"/>
      <c r="R176" s="126"/>
      <c r="S176" s="126"/>
      <c r="T176" s="35">
        <f t="shared" ref="T176:AP177" si="104">T142/T$138</f>
        <v>5.8594670574540306E-2</v>
      </c>
      <c r="U176" s="35">
        <f t="shared" si="104"/>
        <v>5.0256141836623178E-2</v>
      </c>
      <c r="V176" s="35">
        <f t="shared" si="104"/>
        <v>4.6992793841865575E-2</v>
      </c>
      <c r="W176" s="35">
        <f t="shared" si="104"/>
        <v>4.497818587406642E-2</v>
      </c>
      <c r="X176" s="35">
        <f t="shared" si="104"/>
        <v>4.3331994722841917E-2</v>
      </c>
      <c r="Y176" s="35">
        <f t="shared" si="104"/>
        <v>4.3212024077415381E-2</v>
      </c>
      <c r="Z176" s="35">
        <f t="shared" si="104"/>
        <v>4.3173640220688682E-2</v>
      </c>
      <c r="AA176" s="35">
        <f t="shared" si="104"/>
        <v>4.3188704431119579E-2</v>
      </c>
      <c r="AB176" s="35">
        <f t="shared" si="104"/>
        <v>4.3240356050732662E-2</v>
      </c>
      <c r="AC176" s="35">
        <f t="shared" si="104"/>
        <v>4.3317289602838469E-2</v>
      </c>
      <c r="AD176" s="35">
        <f t="shared" si="104"/>
        <v>4.3438330091748481E-2</v>
      </c>
      <c r="AE176" s="35">
        <f t="shared" si="104"/>
        <v>4.3582206539419181E-2</v>
      </c>
      <c r="AF176" s="35">
        <f t="shared" si="104"/>
        <v>4.3754575630712063E-2</v>
      </c>
      <c r="AG176" s="35">
        <f t="shared" si="104"/>
        <v>4.3948332454717937E-2</v>
      </c>
      <c r="AH176" s="35">
        <f t="shared" si="104"/>
        <v>4.4029110735462305E-2</v>
      </c>
      <c r="AI176" s="35">
        <f t="shared" si="104"/>
        <v>4.4172663618596453E-2</v>
      </c>
      <c r="AJ176" s="35">
        <f t="shared" si="104"/>
        <v>4.4331502722659372E-2</v>
      </c>
      <c r="AK176" s="35">
        <f t="shared" si="104"/>
        <v>4.4503044168156466E-2</v>
      </c>
      <c r="AL176" s="35">
        <f t="shared" si="104"/>
        <v>4.4685298394811175E-2</v>
      </c>
      <c r="AM176" s="35">
        <f t="shared" si="104"/>
        <v>4.4877906100744956E-2</v>
      </c>
      <c r="AN176" s="35">
        <f t="shared" si="104"/>
        <v>4.507854759042209E-2</v>
      </c>
      <c r="AO176" s="35">
        <f t="shared" si="104"/>
        <v>4.5286226185417749E-2</v>
      </c>
      <c r="AP176" s="35">
        <f t="shared" si="104"/>
        <v>4.5500133210654596E-2</v>
      </c>
      <c r="AQ176" s="35">
        <f t="shared" ref="AQ176:AQ177" si="105">AQ142/AQ$138</f>
        <v>4.601535586845542E-2</v>
      </c>
      <c r="AR176" s="81">
        <f>ROW()</f>
        <v>176</v>
      </c>
    </row>
    <row r="177" spans="1:44" s="31" customFormat="1" ht="15" customHeight="1">
      <c r="B177" s="92" t="s">
        <v>1130</v>
      </c>
      <c r="H177" s="32"/>
      <c r="M177" s="126"/>
      <c r="N177" s="126"/>
      <c r="O177" s="126"/>
      <c r="P177" s="126"/>
      <c r="Q177" s="126"/>
      <c r="R177" s="126"/>
      <c r="S177" s="126"/>
      <c r="T177" s="35">
        <f t="shared" si="104"/>
        <v>6.2537494031682187E-3</v>
      </c>
      <c r="U177" s="35">
        <f t="shared" si="104"/>
        <v>1.1223749570690125E-2</v>
      </c>
      <c r="V177" s="35">
        <f t="shared" si="104"/>
        <v>1.3098720576805917E-2</v>
      </c>
      <c r="W177" s="35">
        <f t="shared" si="104"/>
        <v>1.4228456979227158E-2</v>
      </c>
      <c r="X177" s="35">
        <f t="shared" si="104"/>
        <v>1.4924216496234261E-2</v>
      </c>
      <c r="Y177" s="35">
        <f t="shared" si="104"/>
        <v>1.5664715258614879E-2</v>
      </c>
      <c r="Z177" s="35">
        <f t="shared" si="104"/>
        <v>1.6336505282336034E-2</v>
      </c>
      <c r="AA177" s="35">
        <f t="shared" si="104"/>
        <v>1.6945515283166904E-2</v>
      </c>
      <c r="AB177" s="35">
        <f t="shared" si="104"/>
        <v>1.7499934568796845E-2</v>
      </c>
      <c r="AC177" s="35">
        <f t="shared" si="104"/>
        <v>1.8009138923988918E-2</v>
      </c>
      <c r="AD177" s="35">
        <f t="shared" si="104"/>
        <v>1.8429145052076028E-2</v>
      </c>
      <c r="AE177" s="35">
        <f t="shared" si="104"/>
        <v>1.8779001405434082E-2</v>
      </c>
      <c r="AF177" s="35">
        <f t="shared" si="104"/>
        <v>1.9031477776401854E-2</v>
      </c>
      <c r="AG177" s="35">
        <f t="shared" si="104"/>
        <v>1.9208093818530135E-2</v>
      </c>
      <c r="AH177" s="35">
        <f t="shared" si="104"/>
        <v>1.923803458345312E-2</v>
      </c>
      <c r="AI177" s="35">
        <f t="shared" si="104"/>
        <v>1.9224316430411399E-2</v>
      </c>
      <c r="AJ177" s="35">
        <f t="shared" si="104"/>
        <v>1.9169383330815935E-2</v>
      </c>
      <c r="AK177" s="35">
        <f t="shared" si="104"/>
        <v>1.9080680885090292E-2</v>
      </c>
      <c r="AL177" s="35">
        <f t="shared" si="104"/>
        <v>1.8964061695631172E-2</v>
      </c>
      <c r="AM177" s="35">
        <f t="shared" si="104"/>
        <v>1.8819648688115465E-2</v>
      </c>
      <c r="AN177" s="35">
        <f t="shared" si="104"/>
        <v>1.8655290356404484E-2</v>
      </c>
      <c r="AO177" s="35">
        <f t="shared" si="104"/>
        <v>1.8474097111915142E-2</v>
      </c>
      <c r="AP177" s="35">
        <f t="shared" si="104"/>
        <v>1.8278636995708562E-2</v>
      </c>
      <c r="AQ177" s="35">
        <f t="shared" si="105"/>
        <v>1.8176444889890852E-2</v>
      </c>
      <c r="AR177" s="81">
        <f>ROW()</f>
        <v>177</v>
      </c>
    </row>
    <row r="178" spans="1:44" s="31" customFormat="1" ht="15" customHeight="1">
      <c r="B178" s="92" t="s">
        <v>1182</v>
      </c>
      <c r="H178" s="32"/>
      <c r="M178" s="126"/>
      <c r="N178" s="126"/>
      <c r="O178" s="126"/>
      <c r="P178" s="126"/>
      <c r="Q178" s="126"/>
      <c r="R178" s="126"/>
      <c r="S178" s="126"/>
      <c r="T178" s="35">
        <f t="shared" ref="T178:AP178" si="106">T144/T$138</f>
        <v>4.1606720364703469E-2</v>
      </c>
      <c r="U178" s="35">
        <f t="shared" si="106"/>
        <v>4.0894959848761951E-2</v>
      </c>
      <c r="V178" s="35">
        <f t="shared" si="106"/>
        <v>4.1001900442517759E-2</v>
      </c>
      <c r="W178" s="35">
        <f t="shared" si="106"/>
        <v>4.1169742948081851E-2</v>
      </c>
      <c r="X178" s="35">
        <f t="shared" si="106"/>
        <v>4.1756286443649544E-2</v>
      </c>
      <c r="Y178" s="35">
        <f t="shared" si="106"/>
        <v>4.2156376007642785E-2</v>
      </c>
      <c r="Z178" s="35">
        <f t="shared" si="106"/>
        <v>4.2353078591624065E-2</v>
      </c>
      <c r="AA178" s="35">
        <f t="shared" si="106"/>
        <v>4.2527462842233528E-2</v>
      </c>
      <c r="AB178" s="35">
        <f t="shared" si="106"/>
        <v>4.2732581692899889E-2</v>
      </c>
      <c r="AC178" s="35">
        <f t="shared" si="106"/>
        <v>4.297307121990742E-2</v>
      </c>
      <c r="AD178" s="35">
        <f t="shared" si="106"/>
        <v>4.3467223547571023E-2</v>
      </c>
      <c r="AE178" s="35">
        <f t="shared" si="106"/>
        <v>4.3959444905986071E-2</v>
      </c>
      <c r="AF178" s="35">
        <f t="shared" si="106"/>
        <v>4.4460077330475772E-2</v>
      </c>
      <c r="AG178" s="35">
        <f t="shared" si="106"/>
        <v>4.4965469172132073E-2</v>
      </c>
      <c r="AH178" s="35">
        <f t="shared" si="106"/>
        <v>4.5291294581479395E-2</v>
      </c>
      <c r="AI178" s="35">
        <f t="shared" si="106"/>
        <v>4.5636108672861463E-2</v>
      </c>
      <c r="AJ178" s="35">
        <f t="shared" si="106"/>
        <v>4.598686179377804E-2</v>
      </c>
      <c r="AK178" s="35">
        <f t="shared" si="106"/>
        <v>4.634220074193271E-2</v>
      </c>
      <c r="AL178" s="35">
        <f t="shared" si="106"/>
        <v>4.6701124747396149E-2</v>
      </c>
      <c r="AM178" s="35">
        <f t="shared" si="106"/>
        <v>4.7064138519007336E-2</v>
      </c>
      <c r="AN178" s="35">
        <f t="shared" si="106"/>
        <v>4.7429542727196176E-2</v>
      </c>
      <c r="AO178" s="35">
        <f t="shared" si="106"/>
        <v>4.7796895133773658E-2</v>
      </c>
      <c r="AP178" s="35">
        <f t="shared" si="106"/>
        <v>4.8165853811812896E-2</v>
      </c>
      <c r="AQ178" s="35">
        <f t="shared" ref="AQ178" si="107">AQ144/AQ$138</f>
        <v>4.9432503935618641E-2</v>
      </c>
      <c r="AR178" s="81">
        <f>ROW()</f>
        <v>178</v>
      </c>
    </row>
    <row r="179" spans="1:44" s="31" customFormat="1" ht="15" customHeight="1">
      <c r="B179" s="124" t="str">
        <f>B$122</f>
        <v>"Other" Natural Gas (industry, heat/hot water, etc.)</v>
      </c>
      <c r="H179" s="32"/>
      <c r="M179" s="126"/>
      <c r="N179" s="126"/>
      <c r="O179" s="126"/>
      <c r="P179" s="126"/>
      <c r="Q179" s="126"/>
      <c r="R179" s="126"/>
      <c r="S179" s="126"/>
      <c r="T179" s="35">
        <f t="shared" ref="T179:AP180" si="108">T145/T$138</f>
        <v>0.12872569540778075</v>
      </c>
      <c r="U179" s="35">
        <f t="shared" si="108"/>
        <v>0.1233747612244858</v>
      </c>
      <c r="V179" s="35">
        <f t="shared" si="108"/>
        <v>0.11943005287494536</v>
      </c>
      <c r="W179" s="35">
        <f t="shared" si="108"/>
        <v>0.11580466908180473</v>
      </c>
      <c r="X179" s="35">
        <f t="shared" si="108"/>
        <v>0.11736614016137673</v>
      </c>
      <c r="Y179" s="35">
        <f t="shared" si="108"/>
        <v>0.11840441455614248</v>
      </c>
      <c r="Z179" s="35">
        <f t="shared" si="108"/>
        <v>0.11937294112833799</v>
      </c>
      <c r="AA179" s="35">
        <f t="shared" si="108"/>
        <v>0.1203100606892912</v>
      </c>
      <c r="AB179" s="35">
        <f t="shared" si="108"/>
        <v>0.12123297295925499</v>
      </c>
      <c r="AC179" s="35">
        <f t="shared" si="108"/>
        <v>0.12214799879276249</v>
      </c>
      <c r="AD179" s="35">
        <f t="shared" si="108"/>
        <v>0.12313235710428823</v>
      </c>
      <c r="AE179" s="35">
        <f t="shared" si="108"/>
        <v>0.12414208820600124</v>
      </c>
      <c r="AF179" s="35">
        <f t="shared" si="108"/>
        <v>0.12520418828900504</v>
      </c>
      <c r="AG179" s="35">
        <f t="shared" si="108"/>
        <v>0.12630615813326354</v>
      </c>
      <c r="AH179" s="35">
        <f t="shared" si="108"/>
        <v>0.12796636012733456</v>
      </c>
      <c r="AI179" s="35">
        <f t="shared" si="108"/>
        <v>0.12957120371294156</v>
      </c>
      <c r="AJ179" s="35">
        <f t="shared" si="108"/>
        <v>0.13120045393586102</v>
      </c>
      <c r="AK179" s="35">
        <f t="shared" si="108"/>
        <v>0.13285096814297478</v>
      </c>
      <c r="AL179" s="35">
        <f t="shared" si="108"/>
        <v>0.13452047610837919</v>
      </c>
      <c r="AM179" s="35">
        <f t="shared" si="108"/>
        <v>0.13621095909572067</v>
      </c>
      <c r="AN179" s="35">
        <f t="shared" si="108"/>
        <v>0.13791797879400622</v>
      </c>
      <c r="AO179" s="35">
        <f t="shared" si="108"/>
        <v>0.13964064730288425</v>
      </c>
      <c r="AP179" s="35">
        <f t="shared" si="108"/>
        <v>0.14137832446451898</v>
      </c>
      <c r="AQ179" s="35">
        <f t="shared" ref="AQ179" si="109">AQ145/AQ$138</f>
        <v>0.14179940858898438</v>
      </c>
      <c r="AR179" s="81">
        <f>ROW()</f>
        <v>179</v>
      </c>
    </row>
    <row r="180" spans="1:44" s="31" customFormat="1" ht="15" customHeight="1">
      <c r="B180" s="124" t="str">
        <f>B$123</f>
        <v>Misc. (non-electric coal, non-energy FF's, U.S. territories)</v>
      </c>
      <c r="H180" s="32"/>
      <c r="M180" s="126"/>
      <c r="O180" s="126"/>
      <c r="P180" s="126"/>
      <c r="Q180" s="126"/>
      <c r="R180" s="126"/>
      <c r="S180" s="126"/>
      <c r="T180" s="35">
        <f t="shared" si="108"/>
        <v>2.0785645518074179E-2</v>
      </c>
      <c r="U180" s="35">
        <f t="shared" si="108"/>
        <v>2.1174288398960628E-2</v>
      </c>
      <c r="V180" s="35">
        <f t="shared" si="108"/>
        <v>2.1707771463910265E-2</v>
      </c>
      <c r="W180" s="35">
        <f t="shared" si="108"/>
        <v>2.2234769422778262E-2</v>
      </c>
      <c r="X180" s="35">
        <f t="shared" si="108"/>
        <v>2.2615852157376572E-2</v>
      </c>
      <c r="Y180" s="35">
        <f t="shared" si="108"/>
        <v>2.3005846483213532E-2</v>
      </c>
      <c r="Z180" s="35">
        <f t="shared" si="108"/>
        <v>2.335598953315407E-2</v>
      </c>
      <c r="AA180" s="35">
        <f t="shared" si="108"/>
        <v>2.3676320691794372E-2</v>
      </c>
      <c r="AB180" s="35">
        <f t="shared" si="108"/>
        <v>2.3972531778722734E-2</v>
      </c>
      <c r="AC180" s="35">
        <f t="shared" si="108"/>
        <v>2.4247911978308744E-2</v>
      </c>
      <c r="AD180" s="35">
        <f t="shared" si="108"/>
        <v>2.4519622782998855E-2</v>
      </c>
      <c r="AE180" s="35">
        <f t="shared" si="108"/>
        <v>2.4780562023463692E-2</v>
      </c>
      <c r="AF180" s="35">
        <f t="shared" si="108"/>
        <v>2.5037508429626584E-2</v>
      </c>
      <c r="AG180" s="35">
        <f t="shared" si="108"/>
        <v>2.5289181989266201E-2</v>
      </c>
      <c r="AH180" s="35">
        <f t="shared" si="108"/>
        <v>2.5430261295874629E-2</v>
      </c>
      <c r="AI180" s="35">
        <f t="shared" si="108"/>
        <v>2.555835572293208E-2</v>
      </c>
      <c r="AJ180" s="35">
        <f t="shared" si="108"/>
        <v>2.5682219809317331E-2</v>
      </c>
      <c r="AK180" s="35">
        <f t="shared" si="108"/>
        <v>2.5801602868152914E-2</v>
      </c>
      <c r="AL180" s="35">
        <f t="shared" si="108"/>
        <v>2.5916396263029187E-2</v>
      </c>
      <c r="AM180" s="35">
        <f t="shared" si="108"/>
        <v>2.6027278864598762E-2</v>
      </c>
      <c r="AN180" s="35">
        <f t="shared" si="108"/>
        <v>2.6133666539663328E-2</v>
      </c>
      <c r="AO180" s="35">
        <f t="shared" si="108"/>
        <v>2.6235640838134566E-2</v>
      </c>
      <c r="AP180" s="35">
        <f t="shared" si="108"/>
        <v>2.6333309251282497E-2</v>
      </c>
      <c r="AQ180" s="35">
        <f t="shared" ref="AQ180" si="110">AQ146/AQ$138</f>
        <v>2.6181019559714282E-2</v>
      </c>
      <c r="AR180" s="81">
        <f>ROW()</f>
        <v>180</v>
      </c>
    </row>
    <row r="181" spans="1:44" s="31" customFormat="1" ht="15" customHeight="1">
      <c r="H181" s="32"/>
      <c r="M181" s="126"/>
      <c r="O181" s="126"/>
      <c r="P181" s="126"/>
      <c r="Q181" s="126"/>
      <c r="R181" s="126"/>
      <c r="S181" s="126"/>
      <c r="T181" s="35"/>
      <c r="U181" s="34"/>
      <c r="V181" s="34"/>
      <c r="W181" s="34"/>
      <c r="X181" s="34"/>
      <c r="Y181" s="34"/>
      <c r="Z181" s="34"/>
      <c r="AA181" s="34"/>
      <c r="AB181" s="34"/>
      <c r="AC181" s="34"/>
      <c r="AD181" s="34"/>
      <c r="AE181" s="34"/>
      <c r="AF181" s="34"/>
      <c r="AG181" s="34"/>
      <c r="AH181" s="34"/>
      <c r="AI181" s="34"/>
      <c r="AJ181" s="34"/>
      <c r="AK181" s="34"/>
      <c r="AL181" s="34"/>
      <c r="AM181" s="34"/>
      <c r="AN181" s="34"/>
      <c r="AO181" s="34"/>
      <c r="AP181" s="34"/>
      <c r="AQ181" s="34"/>
      <c r="AR181" s="81">
        <f>ROW()</f>
        <v>181</v>
      </c>
    </row>
    <row r="182" spans="1:44" s="31" customFormat="1" ht="15" customHeight="1">
      <c r="B182" s="1" t="s">
        <v>496</v>
      </c>
      <c r="C182"/>
      <c r="D182" s="117"/>
      <c r="E182" s="404"/>
      <c r="F182" s="115"/>
      <c r="G182" s="115"/>
      <c r="H182" s="405" t="s">
        <v>497</v>
      </c>
      <c r="I182" s="406" t="s">
        <v>352</v>
      </c>
      <c r="R182" s="588" t="s">
        <v>1238</v>
      </c>
      <c r="S182" s="400" t="s">
        <v>483</v>
      </c>
      <c r="T182">
        <f t="shared" ref="T182:AQ182" si="111">T$79</f>
        <v>1</v>
      </c>
      <c r="U182">
        <f t="shared" si="111"/>
        <v>2</v>
      </c>
      <c r="V182">
        <f t="shared" si="111"/>
        <v>3</v>
      </c>
      <c r="W182">
        <f t="shared" si="111"/>
        <v>4</v>
      </c>
      <c r="X182">
        <f t="shared" si="111"/>
        <v>5</v>
      </c>
      <c r="Y182">
        <f t="shared" si="111"/>
        <v>6</v>
      </c>
      <c r="Z182">
        <f t="shared" si="111"/>
        <v>7</v>
      </c>
      <c r="AA182">
        <f t="shared" si="111"/>
        <v>8</v>
      </c>
      <c r="AB182">
        <f t="shared" si="111"/>
        <v>9</v>
      </c>
      <c r="AC182">
        <f t="shared" si="111"/>
        <v>10</v>
      </c>
      <c r="AD182">
        <f t="shared" si="111"/>
        <v>11</v>
      </c>
      <c r="AE182">
        <f t="shared" si="111"/>
        <v>12</v>
      </c>
      <c r="AF182">
        <f t="shared" si="111"/>
        <v>13</v>
      </c>
      <c r="AG182">
        <f t="shared" si="111"/>
        <v>14</v>
      </c>
      <c r="AH182">
        <f t="shared" si="111"/>
        <v>15</v>
      </c>
      <c r="AI182">
        <f t="shared" si="111"/>
        <v>16</v>
      </c>
      <c r="AJ182">
        <f t="shared" si="111"/>
        <v>17</v>
      </c>
      <c r="AK182">
        <f t="shared" si="111"/>
        <v>18</v>
      </c>
      <c r="AL182">
        <f t="shared" si="111"/>
        <v>19</v>
      </c>
      <c r="AM182">
        <f t="shared" si="111"/>
        <v>20</v>
      </c>
      <c r="AN182">
        <f t="shared" si="111"/>
        <v>21</v>
      </c>
      <c r="AO182">
        <f t="shared" si="111"/>
        <v>22</v>
      </c>
      <c r="AP182">
        <f t="shared" si="111"/>
        <v>23</v>
      </c>
      <c r="AQ182">
        <f t="shared" si="111"/>
        <v>24</v>
      </c>
      <c r="AR182" s="81">
        <f>ROW()</f>
        <v>182</v>
      </c>
    </row>
    <row r="183" spans="1:44" s="31" customFormat="1" ht="15" customHeight="1">
      <c r="A183"/>
      <c r="B183"/>
      <c r="C183"/>
      <c r="D183"/>
      <c r="E183"/>
      <c r="F183"/>
      <c r="G183"/>
      <c r="H183"/>
      <c r="I183"/>
      <c r="J183"/>
      <c r="K183"/>
      <c r="L183"/>
      <c r="M183" s="67"/>
      <c r="N183" s="67"/>
      <c r="O183" s="67"/>
      <c r="P183" s="67"/>
      <c r="Q183" s="67"/>
      <c r="R183" s="67"/>
      <c r="S183" s="67"/>
      <c r="T183"/>
      <c r="U183"/>
      <c r="V183"/>
      <c r="W183"/>
      <c r="X183"/>
      <c r="Y183"/>
      <c r="Z183"/>
      <c r="AA183"/>
      <c r="AB183"/>
      <c r="AC183"/>
      <c r="AD183"/>
      <c r="AE183"/>
      <c r="AF183"/>
      <c r="AG183"/>
      <c r="AH183"/>
      <c r="AI183"/>
      <c r="AJ183"/>
      <c r="AK183"/>
      <c r="AL183"/>
      <c r="AM183"/>
      <c r="AN183"/>
      <c r="AO183"/>
      <c r="AP183"/>
      <c r="AQ183"/>
      <c r="AR183" s="81">
        <f>ROW()</f>
        <v>183</v>
      </c>
    </row>
    <row r="184" spans="1:44" s="31" customFormat="1" ht="15" customHeight="1">
      <c r="A184"/>
      <c r="B184" s="8" t="s">
        <v>308</v>
      </c>
      <c r="C184"/>
      <c r="D184"/>
      <c r="E184"/>
      <c r="F184"/>
      <c r="G184"/>
      <c r="H184"/>
      <c r="I184" s="213">
        <f>I$110</f>
        <v>2005</v>
      </c>
      <c r="J184" s="213">
        <f t="shared" ref="J184:AQ184" si="112">J$110</f>
        <v>2006</v>
      </c>
      <c r="K184" s="213">
        <f t="shared" si="112"/>
        <v>2007</v>
      </c>
      <c r="L184" s="213">
        <f t="shared" si="112"/>
        <v>2008</v>
      </c>
      <c r="M184" s="213">
        <f t="shared" si="112"/>
        <v>2009</v>
      </c>
      <c r="N184" s="213">
        <f t="shared" si="112"/>
        <v>2010</v>
      </c>
      <c r="O184" s="213">
        <f t="shared" si="112"/>
        <v>2011</v>
      </c>
      <c r="P184" s="213">
        <f t="shared" si="112"/>
        <v>2012</v>
      </c>
      <c r="Q184" s="213">
        <f t="shared" si="112"/>
        <v>2013</v>
      </c>
      <c r="R184" s="213">
        <f t="shared" si="112"/>
        <v>2014</v>
      </c>
      <c r="S184" s="213">
        <f t="shared" si="112"/>
        <v>2015</v>
      </c>
      <c r="T184" s="213">
        <f t="shared" si="112"/>
        <v>2017</v>
      </c>
      <c r="U184" s="213">
        <f t="shared" si="112"/>
        <v>2018</v>
      </c>
      <c r="V184" s="213">
        <f t="shared" si="112"/>
        <v>2019</v>
      </c>
      <c r="W184" s="213">
        <f t="shared" si="112"/>
        <v>2020</v>
      </c>
      <c r="X184" s="213">
        <f t="shared" si="112"/>
        <v>2021</v>
      </c>
      <c r="Y184" s="213">
        <f t="shared" si="112"/>
        <v>2022</v>
      </c>
      <c r="Z184" s="213">
        <f t="shared" si="112"/>
        <v>2023</v>
      </c>
      <c r="AA184" s="213">
        <f t="shared" si="112"/>
        <v>2024</v>
      </c>
      <c r="AB184" s="213">
        <f t="shared" si="112"/>
        <v>2025</v>
      </c>
      <c r="AC184" s="213">
        <f t="shared" si="112"/>
        <v>2026</v>
      </c>
      <c r="AD184" s="213">
        <f t="shared" si="112"/>
        <v>2027</v>
      </c>
      <c r="AE184" s="213">
        <f t="shared" si="112"/>
        <v>2028</v>
      </c>
      <c r="AF184" s="213">
        <f t="shared" si="112"/>
        <v>2029</v>
      </c>
      <c r="AG184" s="213">
        <f t="shared" si="112"/>
        <v>2030</v>
      </c>
      <c r="AH184" s="213">
        <f t="shared" si="112"/>
        <v>2031</v>
      </c>
      <c r="AI184" s="213">
        <f t="shared" si="112"/>
        <v>2032</v>
      </c>
      <c r="AJ184" s="213">
        <f t="shared" si="112"/>
        <v>2033</v>
      </c>
      <c r="AK184" s="213">
        <f t="shared" si="112"/>
        <v>2034</v>
      </c>
      <c r="AL184" s="213">
        <f t="shared" si="112"/>
        <v>2035</v>
      </c>
      <c r="AM184" s="213">
        <f t="shared" si="112"/>
        <v>2036</v>
      </c>
      <c r="AN184" s="213">
        <f t="shared" si="112"/>
        <v>2037</v>
      </c>
      <c r="AO184" s="213">
        <f t="shared" si="112"/>
        <v>2038</v>
      </c>
      <c r="AP184" s="213">
        <f t="shared" si="112"/>
        <v>2039</v>
      </c>
      <c r="AQ184" s="213">
        <f t="shared" si="112"/>
        <v>2040</v>
      </c>
      <c r="AR184" s="81">
        <f>ROW()</f>
        <v>184</v>
      </c>
    </row>
    <row r="185" spans="1:44" s="31" customFormat="1" ht="15" customHeight="1">
      <c r="A185"/>
      <c r="B185"/>
      <c r="C185"/>
      <c r="D185"/>
      <c r="E185"/>
      <c r="F185"/>
      <c r="G185"/>
      <c r="H185"/>
      <c r="I185"/>
      <c r="J185"/>
      <c r="K185"/>
      <c r="L185"/>
      <c r="M185" s="67"/>
      <c r="N185" s="67"/>
      <c r="O185" s="67"/>
      <c r="P185" s="67"/>
      <c r="Q185" s="67"/>
      <c r="R185" s="67"/>
      <c r="S185" s="67"/>
      <c r="T185"/>
      <c r="U185"/>
      <c r="V185"/>
      <c r="W185"/>
      <c r="X185"/>
      <c r="Y185"/>
      <c r="Z185"/>
      <c r="AA185"/>
      <c r="AB185"/>
      <c r="AC185"/>
      <c r="AD185"/>
      <c r="AE185"/>
      <c r="AF185"/>
      <c r="AG185"/>
      <c r="AH185"/>
      <c r="AI185"/>
      <c r="AJ185"/>
      <c r="AK185"/>
      <c r="AL185"/>
      <c r="AM185"/>
      <c r="AN185"/>
      <c r="AO185"/>
      <c r="AP185"/>
      <c r="AQ185"/>
      <c r="AR185" s="81">
        <f>ROW()</f>
        <v>185</v>
      </c>
    </row>
    <row r="186" spans="1:44" s="31" customFormat="1" ht="15" customHeight="1">
      <c r="A186"/>
      <c r="B186" s="8" t="s">
        <v>306</v>
      </c>
      <c r="C186"/>
      <c r="D186"/>
      <c r="E186"/>
      <c r="F186"/>
      <c r="G186"/>
      <c r="H186"/>
      <c r="I186" s="24">
        <f t="shared" ref="I186:Q186" si="113">SUM(I187:I194)</f>
        <v>20809.074968038592</v>
      </c>
      <c r="J186" s="24">
        <f t="shared" si="113"/>
        <v>20646.492886113178</v>
      </c>
      <c r="K186" s="24">
        <f t="shared" si="113"/>
        <v>20633.371620679645</v>
      </c>
      <c r="L186" s="24">
        <f t="shared" si="113"/>
        <v>19474.810521627416</v>
      </c>
      <c r="M186" s="24">
        <f t="shared" si="113"/>
        <v>18813.671223260968</v>
      </c>
      <c r="N186" s="24">
        <f t="shared" si="113"/>
        <v>19217.346527940364</v>
      </c>
      <c r="O186" s="24">
        <f t="shared" si="113"/>
        <v>18832.165529220609</v>
      </c>
      <c r="P186" s="24">
        <f t="shared" si="113"/>
        <v>18428.844368881586</v>
      </c>
      <c r="Q186" s="24">
        <f t="shared" si="113"/>
        <v>18991.811424089072</v>
      </c>
      <c r="R186" s="24">
        <f t="shared" ref="R186:AQ186" si="114">SUM(R187:R194)</f>
        <v>19117.750295724691</v>
      </c>
      <c r="S186" s="24">
        <f t="shared" si="114"/>
        <v>19028.450611360709</v>
      </c>
      <c r="T186" s="24">
        <f t="shared" si="114"/>
        <v>18944.404258451574</v>
      </c>
      <c r="U186" s="24">
        <f t="shared" si="114"/>
        <v>18933.512240197011</v>
      </c>
      <c r="V186" s="24">
        <f t="shared" si="114"/>
        <v>18929.615752255038</v>
      </c>
      <c r="W186" s="24">
        <f t="shared" si="114"/>
        <v>18946.542327705647</v>
      </c>
      <c r="X186" s="24">
        <f t="shared" si="114"/>
        <v>18901.577082147705</v>
      </c>
      <c r="Y186" s="24">
        <f t="shared" si="114"/>
        <v>18929.546669923628</v>
      </c>
      <c r="Z186" s="24">
        <f t="shared" si="114"/>
        <v>18998.244188524324</v>
      </c>
      <c r="AA186" s="24">
        <f t="shared" si="114"/>
        <v>19066.470380210543</v>
      </c>
      <c r="AB186" s="24">
        <f t="shared" si="114"/>
        <v>19122.979503680152</v>
      </c>
      <c r="AC186" s="24">
        <f t="shared" si="114"/>
        <v>19167.455836912952</v>
      </c>
      <c r="AD186" s="24">
        <f t="shared" si="114"/>
        <v>19154.919631676232</v>
      </c>
      <c r="AE186" s="24">
        <f t="shared" si="114"/>
        <v>19142.85850157879</v>
      </c>
      <c r="AF186" s="24">
        <f t="shared" si="114"/>
        <v>19131.268406317897</v>
      </c>
      <c r="AG186" s="24">
        <f t="shared" si="114"/>
        <v>19120.145373847594</v>
      </c>
      <c r="AH186" s="24">
        <f t="shared" si="114"/>
        <v>19100.647619106981</v>
      </c>
      <c r="AI186" s="24">
        <f t="shared" si="114"/>
        <v>19079.63189766898</v>
      </c>
      <c r="AJ186" s="24">
        <f t="shared" si="114"/>
        <v>19058.434297950073</v>
      </c>
      <c r="AK186" s="24">
        <f t="shared" si="114"/>
        <v>19037.062537218331</v>
      </c>
      <c r="AL186" s="24">
        <f t="shared" si="114"/>
        <v>19015.524335510716</v>
      </c>
      <c r="AM186" s="24">
        <f t="shared" si="114"/>
        <v>18993.827413613431</v>
      </c>
      <c r="AN186" s="24">
        <f t="shared" si="114"/>
        <v>18971.979491059894</v>
      </c>
      <c r="AO186" s="24">
        <f t="shared" si="114"/>
        <v>18949.988284146944</v>
      </c>
      <c r="AP186" s="24">
        <f t="shared" si="114"/>
        <v>18927.861503970085</v>
      </c>
      <c r="AQ186" s="24">
        <f t="shared" si="114"/>
        <v>19154.424648148284</v>
      </c>
      <c r="AR186" s="81">
        <f>ROW()</f>
        <v>186</v>
      </c>
    </row>
    <row r="187" spans="1:44" s="31" customFormat="1" ht="15" customHeight="1">
      <c r="A187"/>
      <c r="B187" s="124" t="str">
        <f>B$116</f>
        <v>Electricity Generation</v>
      </c>
      <c r="C187"/>
      <c r="D187"/>
      <c r="E187"/>
      <c r="F187"/>
      <c r="G187"/>
      <c r="H187"/>
      <c r="I187" s="21">
        <f>Graph_Oil!I54</f>
        <v>622.22090695600014</v>
      </c>
      <c r="J187" s="21">
        <f>Graph_Oil!J54</f>
        <v>326.6572203888029</v>
      </c>
      <c r="K187" s="21">
        <f>Graph_Oil!K54</f>
        <v>334.66280077114277</v>
      </c>
      <c r="L187" s="21">
        <f>Graph_Oil!L54</f>
        <v>235.41105319424432</v>
      </c>
      <c r="M187" s="21">
        <f>Graph_Oil!M54</f>
        <v>198.21730666648958</v>
      </c>
      <c r="N187" s="21">
        <f>Graph_Oil!N54</f>
        <v>188.66953499027218</v>
      </c>
      <c r="O187" s="21">
        <f>Graph_Oil!O54</f>
        <v>153.65122721045071</v>
      </c>
      <c r="P187" s="21">
        <f>Graph_Oil!P54</f>
        <v>118.05290119234965</v>
      </c>
      <c r="Q187" s="21">
        <f>Graph_Oil!Q54</f>
        <v>138.28826043554957</v>
      </c>
      <c r="R187" s="21">
        <f>Graph_Oil!R54</f>
        <v>153.9045190649783</v>
      </c>
      <c r="S187" s="21">
        <f>Graph_Oil!S54</f>
        <v>142.41368877398048</v>
      </c>
      <c r="T187" s="21">
        <f>Graph_Oil!T54</f>
        <v>139.8431519708075</v>
      </c>
      <c r="U187" s="21">
        <f>Graph_Oil!U54</f>
        <v>139.1577495376589</v>
      </c>
      <c r="V187" s="21">
        <f>Graph_Oil!V54</f>
        <v>138.47570641448544</v>
      </c>
      <c r="W187" s="21">
        <f>Graph_Oil!W54</f>
        <v>137.79700613656067</v>
      </c>
      <c r="X187" s="21">
        <f>Graph_Oil!X54</f>
        <v>136.90252321039662</v>
      </c>
      <c r="Y187" s="21">
        <f>Graph_Oil!Y54</f>
        <v>136.01384664917214</v>
      </c>
      <c r="Z187" s="21">
        <f>Graph_Oil!Z54</f>
        <v>135.130938761979</v>
      </c>
      <c r="AA187" s="21">
        <f>Graph_Oil!AA54</f>
        <v>134.25376210257232</v>
      </c>
      <c r="AB187" s="21">
        <f>Graph_Oil!AB54</f>
        <v>133.38227946778255</v>
      </c>
      <c r="AC187" s="21">
        <f>Graph_Oil!AC54</f>
        <v>132.51645389593716</v>
      </c>
      <c r="AD187" s="21">
        <f>Graph_Oil!AD54</f>
        <v>131.65624866529342</v>
      </c>
      <c r="AE187" s="21">
        <f>Graph_Oil!AE54</f>
        <v>130.8016272924807</v>
      </c>
      <c r="AF187" s="21">
        <f>Graph_Oil!AF54</f>
        <v>129.9525535309532</v>
      </c>
      <c r="AG187" s="21">
        <f>Graph_Oil!AG54</f>
        <v>129.10899136945272</v>
      </c>
      <c r="AH187" s="21">
        <f>Graph_Oil!AH54</f>
        <v>128.85533545157082</v>
      </c>
      <c r="AI187" s="21">
        <f>Graph_Oil!AI54</f>
        <v>128.6021778825955</v>
      </c>
      <c r="AJ187" s="21">
        <f>Graph_Oil!AJ54</f>
        <v>128.34951768343808</v>
      </c>
      <c r="AK187" s="21">
        <f>Graph_Oil!AK54</f>
        <v>128.09735387693348</v>
      </c>
      <c r="AL187" s="21">
        <f>Graph_Oil!AL54</f>
        <v>127.84568548783643</v>
      </c>
      <c r="AM187" s="21">
        <f>Graph_Oil!AM54</f>
        <v>127.5945115428177</v>
      </c>
      <c r="AN187" s="21">
        <f>Graph_Oil!AN54</f>
        <v>127.34383107046028</v>
      </c>
      <c r="AO187" s="21">
        <f>Graph_Oil!AO54</f>
        <v>127.09364310125569</v>
      </c>
      <c r="AP187" s="21">
        <f>Graph_Oil!AP54</f>
        <v>126.84394666760028</v>
      </c>
      <c r="AQ187" s="21">
        <f>Graph_Oil!AQ54</f>
        <v>127.57038526418786</v>
      </c>
      <c r="AR187" s="81">
        <f>ROW()</f>
        <v>187</v>
      </c>
    </row>
    <row r="188" spans="1:44" s="31" customFormat="1" ht="15" customHeight="1">
      <c r="A188"/>
      <c r="B188" s="124" t="str">
        <f>B$117</f>
        <v>Personal Ground Travel (driving, boating, rec vehicles, etc.)</v>
      </c>
      <c r="C188"/>
      <c r="D188"/>
      <c r="E188"/>
      <c r="F188"/>
      <c r="G188"/>
      <c r="H188"/>
      <c r="I188" s="21">
        <f>Graph_Oil!I55</f>
        <v>8768.7430715906157</v>
      </c>
      <c r="J188" s="21">
        <f>Graph_Oil!J55</f>
        <v>8733.8690384121819</v>
      </c>
      <c r="K188" s="21">
        <f>Graph_Oil!K55</f>
        <v>8582.3929954601026</v>
      </c>
      <c r="L188" s="21">
        <f>Graph_Oil!L55</f>
        <v>8185.5125335769235</v>
      </c>
      <c r="M188" s="21">
        <f>Graph_Oil!M55</f>
        <v>7996.4430913186798</v>
      </c>
      <c r="N188" s="21">
        <f>Graph_Oil!N55</f>
        <v>7945.9510770013248</v>
      </c>
      <c r="O188" s="21">
        <f>Graph_Oil!O55</f>
        <v>7796.2389472131654</v>
      </c>
      <c r="P188" s="21">
        <f>Graph_Oil!P55</f>
        <v>7755.962929970211</v>
      </c>
      <c r="Q188" s="21">
        <f>Graph_Oil!Q55</f>
        <v>7749.9729748510463</v>
      </c>
      <c r="R188" s="21">
        <f>Graph_Oil!R55</f>
        <v>7871.8667241164658</v>
      </c>
      <c r="S188" s="21">
        <f>Graph_Oil!S55</f>
        <v>8075.3400558009853</v>
      </c>
      <c r="T188" s="21">
        <f>Graph_Oil!T55</f>
        <v>7995.2058947689384</v>
      </c>
      <c r="U188" s="21">
        <f>Graph_Oil!U55</f>
        <v>8009.6426472533776</v>
      </c>
      <c r="V188" s="21">
        <f>Graph_Oil!V55</f>
        <v>8030.8663569520904</v>
      </c>
      <c r="W188" s="21">
        <f>Graph_Oil!W55</f>
        <v>8072.9150411288401</v>
      </c>
      <c r="X188" s="21">
        <f>Graph_Oil!X55</f>
        <v>8044.2136931224522</v>
      </c>
      <c r="Y188" s="21">
        <f>Graph_Oil!Y55</f>
        <v>8045.2114838419557</v>
      </c>
      <c r="Z188" s="21">
        <f>Graph_Oil!Z55</f>
        <v>8087.4996003306342</v>
      </c>
      <c r="AA188" s="21">
        <f>Graph_Oil!AA55</f>
        <v>8129.2674584420711</v>
      </c>
      <c r="AB188" s="21">
        <f>Graph_Oil!AB55</f>
        <v>8159.1021997234911</v>
      </c>
      <c r="AC188" s="21">
        <f>Graph_Oil!AC55</f>
        <v>8176.6830701375993</v>
      </c>
      <c r="AD188" s="21">
        <f>Graph_Oil!AD55</f>
        <v>8136.3628977511671</v>
      </c>
      <c r="AE188" s="21">
        <f>Graph_Oil!AE55</f>
        <v>8096.4814856876128</v>
      </c>
      <c r="AF188" s="21">
        <f>Graph_Oil!AF55</f>
        <v>8057.0343543367599</v>
      </c>
      <c r="AG188" s="21">
        <f>Graph_Oil!AG55</f>
        <v>8018.0170840797346</v>
      </c>
      <c r="AH188" s="21">
        <f>Graph_Oil!AH55</f>
        <v>7973.9343042052033</v>
      </c>
      <c r="AI188" s="21">
        <f>Graph_Oil!AI55</f>
        <v>7927.6805335287618</v>
      </c>
      <c r="AJ188" s="21">
        <f>Graph_Oil!AJ55</f>
        <v>7881.203132251715</v>
      </c>
      <c r="AK188" s="21">
        <f>Graph_Oil!AK55</f>
        <v>7834.5093214315057</v>
      </c>
      <c r="AL188" s="21">
        <f>Graph_Oil!AL55</f>
        <v>7787.606317666965</v>
      </c>
      <c r="AM188" s="21">
        <f>Graph_Oil!AM55</f>
        <v>7740.5013313103509</v>
      </c>
      <c r="AN188" s="21">
        <f>Graph_Oil!AN55</f>
        <v>7693.2015646931186</v>
      </c>
      <c r="AO188" s="21">
        <f>Graph_Oil!AO55</f>
        <v>7645.7142103660481</v>
      </c>
      <c r="AP188" s="21">
        <f>Graph_Oil!AP55</f>
        <v>7598.0464493542459</v>
      </c>
      <c r="AQ188" s="21">
        <f>Graph_Oil!AQ55</f>
        <v>7628.3318312950223</v>
      </c>
      <c r="AR188" s="81">
        <f>ROW()</f>
        <v>188</v>
      </c>
    </row>
    <row r="189" spans="1:44" s="31" customFormat="1" ht="15" customHeight="1">
      <c r="A189"/>
      <c r="B189" s="124" t="str">
        <f>B$118</f>
        <v>Freight (goods movement by road, rail, ship, air)</v>
      </c>
      <c r="C189"/>
      <c r="D189"/>
      <c r="E189"/>
      <c r="F189"/>
      <c r="G189"/>
      <c r="H189"/>
      <c r="I189" s="21">
        <f>Graph_Oil!I56</f>
        <v>3267.9976090272644</v>
      </c>
      <c r="J189" s="21">
        <f>Graph_Oil!J56</f>
        <v>3368.270048232936</v>
      </c>
      <c r="K189" s="21">
        <f>Graph_Oil!K56</f>
        <v>3561.0647093693601</v>
      </c>
      <c r="L189" s="21">
        <f>Graph_Oil!L56</f>
        <v>3400.2957394516111</v>
      </c>
      <c r="M189" s="21">
        <f>Graph_Oil!M56</f>
        <v>3046.8922368535309</v>
      </c>
      <c r="N189" s="21">
        <f>Graph_Oil!N56</f>
        <v>3198.501859082739</v>
      </c>
      <c r="O189" s="21">
        <f>Graph_Oil!O56</f>
        <v>3167.5650413654989</v>
      </c>
      <c r="P189" s="21">
        <f>Graph_Oil!P56</f>
        <v>3085.4511690808158</v>
      </c>
      <c r="Q189" s="21">
        <f>Graph_Oil!Q56</f>
        <v>3089.3903291007132</v>
      </c>
      <c r="R189" s="21">
        <f>Graph_Oil!R56</f>
        <v>3090.7674338231163</v>
      </c>
      <c r="S189" s="21">
        <f>Graph_Oil!S56</f>
        <v>3074.97951080251</v>
      </c>
      <c r="T189" s="21">
        <f>Graph_Oil!T56</f>
        <v>3075.5029564742226</v>
      </c>
      <c r="U189" s="21">
        <f>Graph_Oil!U56</f>
        <v>3076.0264912507141</v>
      </c>
      <c r="V189" s="21">
        <f>Graph_Oil!V56</f>
        <v>3076.550115147154</v>
      </c>
      <c r="W189" s="21">
        <f>Graph_Oil!W56</f>
        <v>3077.0738281787112</v>
      </c>
      <c r="X189" s="21">
        <f>Graph_Oil!X56</f>
        <v>3071.4198645445326</v>
      </c>
      <c r="Y189" s="21">
        <f>Graph_Oil!Y56</f>
        <v>3080.3619572889138</v>
      </c>
      <c r="Z189" s="21">
        <f>Graph_Oil!Z56</f>
        <v>3089.3300839284243</v>
      </c>
      <c r="AA189" s="21">
        <f>Graph_Oil!AA56</f>
        <v>3098.3243202578142</v>
      </c>
      <c r="AB189" s="21">
        <f>Graph_Oil!AB56</f>
        <v>3107.3447422925037</v>
      </c>
      <c r="AC189" s="21">
        <f>Graph_Oil!AC56</f>
        <v>3116.3914262692206</v>
      </c>
      <c r="AD189" s="21">
        <f>Graph_Oil!AD56</f>
        <v>3125.4644486466505</v>
      </c>
      <c r="AE189" s="21">
        <f>Graph_Oil!AE56</f>
        <v>3134.5638861060779</v>
      </c>
      <c r="AF189" s="21">
        <f>Graph_Oil!AF56</f>
        <v>3143.6898155520371</v>
      </c>
      <c r="AG189" s="21">
        <f>Graph_Oil!AG56</f>
        <v>3152.8423141129601</v>
      </c>
      <c r="AH189" s="21">
        <f>Graph_Oil!AH56</f>
        <v>3159.4105196386886</v>
      </c>
      <c r="AI189" s="21">
        <f>Graph_Oil!AI56</f>
        <v>3166.8272172265588</v>
      </c>
      <c r="AJ189" s="21">
        <f>Graph_Oil!AJ56</f>
        <v>3174.261325468337</v>
      </c>
      <c r="AK189" s="21">
        <f>Graph_Oil!AK56</f>
        <v>3181.7128852354303</v>
      </c>
      <c r="AL189" s="21">
        <f>Graph_Oil!AL56</f>
        <v>3189.1819374951915</v>
      </c>
      <c r="AM189" s="21">
        <f>Graph_Oil!AM56</f>
        <v>3196.6685233111443</v>
      </c>
      <c r="AN189" s="21">
        <f>Graph_Oil!AN56</f>
        <v>3204.1726838432091</v>
      </c>
      <c r="AO189" s="21">
        <f>Graph_Oil!AO56</f>
        <v>3211.6944603479283</v>
      </c>
      <c r="AP189" s="21">
        <f>Graph_Oil!AP56</f>
        <v>3219.2338941786929</v>
      </c>
      <c r="AQ189" s="21">
        <f>Graph_Oil!AQ56</f>
        <v>3286.2011690642621</v>
      </c>
      <c r="AR189" s="81">
        <f>ROW()</f>
        <v>189</v>
      </c>
    </row>
    <row r="190" spans="1:44" s="31" customFormat="1" ht="15" customHeight="1">
      <c r="A190"/>
      <c r="B190" s="124" t="str">
        <f>B$119</f>
        <v>Aviation (passenger only)</v>
      </c>
      <c r="C190"/>
      <c r="D190"/>
      <c r="E190"/>
      <c r="F190"/>
      <c r="G190"/>
      <c r="H190"/>
      <c r="I190" s="21">
        <f>Graph_Oil!I57</f>
        <v>1585.0508484884269</v>
      </c>
      <c r="J190" s="21">
        <f>Graph_Oil!J57</f>
        <v>1568.0072909777989</v>
      </c>
      <c r="K190" s="21">
        <f>Graph_Oil!K57</f>
        <v>1558.462898771847</v>
      </c>
      <c r="L190" s="21">
        <f>Graph_Oil!L57</f>
        <v>1456.2015537080774</v>
      </c>
      <c r="M190" s="21">
        <f>Graph_Oil!M57</f>
        <v>1317.8078667217762</v>
      </c>
      <c r="N190" s="21">
        <f>Graph_Oil!N57</f>
        <v>1368.938539253661</v>
      </c>
      <c r="O190" s="21">
        <f>Graph_Oil!O57</f>
        <v>1375.0742199574875</v>
      </c>
      <c r="P190" s="21">
        <f>Graph_Oil!P57</f>
        <v>1346.4410433396315</v>
      </c>
      <c r="Q190" s="21">
        <f>Graph_Oil!Q57</f>
        <v>1389.390808266415</v>
      </c>
      <c r="R190" s="21">
        <f>Graph_Oil!R57</f>
        <v>1391.4360351676903</v>
      </c>
      <c r="S190" s="21">
        <f>Graph_Oil!S57</f>
        <v>1455.2364162423676</v>
      </c>
      <c r="T190" s="21">
        <f>Graph_Oil!T57</f>
        <v>1431.0804079978598</v>
      </c>
      <c r="U190" s="21">
        <f>Graph_Oil!U57</f>
        <v>1407.3253742807869</v>
      </c>
      <c r="V190" s="21">
        <f>Graph_Oil!V57</f>
        <v>1383.9646591664605</v>
      </c>
      <c r="W190" s="21">
        <f>Graph_Oil!W57</f>
        <v>1360.9917172143505</v>
      </c>
      <c r="X190" s="21">
        <f>Graph_Oil!X57</f>
        <v>1340.2612086972872</v>
      </c>
      <c r="Y190" s="21">
        <f>Graph_Oil!Y57</f>
        <v>1346.1011928607454</v>
      </c>
      <c r="Z190" s="21">
        <f>Graph_Oil!Z57</f>
        <v>1351.9666238660643</v>
      </c>
      <c r="AA190" s="21">
        <f>Graph_Oil!AA57</f>
        <v>1357.8576125939826</v>
      </c>
      <c r="AB190" s="21">
        <f>Graph_Oil!AB57</f>
        <v>1363.7742704083857</v>
      </c>
      <c r="AC190" s="21">
        <f>Graph_Oil!AC57</f>
        <v>1369.7167091584097</v>
      </c>
      <c r="AD190" s="21">
        <f>Graph_Oil!AD57</f>
        <v>1375.6850411805567</v>
      </c>
      <c r="AE190" s="21">
        <f>Graph_Oil!AE57</f>
        <v>1381.6793793008176</v>
      </c>
      <c r="AF190" s="21">
        <f>Graph_Oil!AF57</f>
        <v>1387.6998368368054</v>
      </c>
      <c r="AG190" s="21">
        <f>Graph_Oil!AG57</f>
        <v>1393.7465275998977</v>
      </c>
      <c r="AH190" s="21">
        <f>Graph_Oil!AH57</f>
        <v>1400.9754201427002</v>
      </c>
      <c r="AI190" s="21">
        <f>Graph_Oil!AI57</f>
        <v>1409.1940969621937</v>
      </c>
      <c r="AJ190" s="21">
        <f>Graph_Oil!AJ57</f>
        <v>1417.4609877957889</v>
      </c>
      <c r="AK190" s="21">
        <f>Graph_Oil!AK57</f>
        <v>1425.7763754859934</v>
      </c>
      <c r="AL190" s="21">
        <f>Graph_Oil!AL57</f>
        <v>1434.1405445345799</v>
      </c>
      <c r="AM190" s="21">
        <f>Graph_Oil!AM57</f>
        <v>1442.5537811123218</v>
      </c>
      <c r="AN190" s="21">
        <f>Graph_Oil!AN57</f>
        <v>1451.0163730687837</v>
      </c>
      <c r="AO190" s="21">
        <f>Graph_Oil!AO57</f>
        <v>1459.5286099421696</v>
      </c>
      <c r="AP190" s="21">
        <f>Graph_Oil!AP57</f>
        <v>1468.0907829692292</v>
      </c>
      <c r="AQ190" s="21">
        <f>Graph_Oil!AQ57</f>
        <v>1500.2079344284809</v>
      </c>
      <c r="AR190" s="81">
        <f>ROW()</f>
        <v>190</v>
      </c>
    </row>
    <row r="191" spans="1:44" s="31" customFormat="1" ht="15" customHeight="1">
      <c r="A191"/>
      <c r="B191" s="92" t="s">
        <v>1130</v>
      </c>
      <c r="C191"/>
      <c r="D191"/>
      <c r="E191"/>
      <c r="F191"/>
      <c r="G191"/>
      <c r="H191"/>
      <c r="I191" s="21">
        <f>Graph_Oil!I58</f>
        <v>2092.3235672517594</v>
      </c>
      <c r="J191" s="21">
        <f>Graph_Oil!J58</f>
        <v>2083.8010601000497</v>
      </c>
      <c r="K191" s="21">
        <f>Graph_Oil!K58</f>
        <v>2098.2568889117597</v>
      </c>
      <c r="L191" s="21">
        <f>Graph_Oil!L58</f>
        <v>2004.6595524012846</v>
      </c>
      <c r="M191" s="21">
        <f>Graph_Oil!M58</f>
        <v>1956.6718623451613</v>
      </c>
      <c r="N191" s="21">
        <f>Graph_Oil!N58</f>
        <v>2028.7902067053008</v>
      </c>
      <c r="O191" s="21">
        <f>Graph_Oil!O58</f>
        <v>2044.9321245809231</v>
      </c>
      <c r="P191" s="21">
        <f>Graph_Oil!P58</f>
        <v>2064.797982700567</v>
      </c>
      <c r="Q191" s="21">
        <f>Graph_Oil!Q58</f>
        <v>2109.3041585224214</v>
      </c>
      <c r="R191" s="21">
        <f>Graph_Oil!R58</f>
        <v>2160.126602725561</v>
      </c>
      <c r="S191" s="21">
        <f>Graph_Oil!S58</f>
        <v>2223.7830467471713</v>
      </c>
      <c r="T191" s="21">
        <f>Graph_Oil!T58</f>
        <v>2193.6192363977798</v>
      </c>
      <c r="U191" s="21">
        <f>Graph_Oil!U58</f>
        <v>2187.3179134679326</v>
      </c>
      <c r="V191" s="21">
        <f>Graph_Oil!V58</f>
        <v>2182.3654976340258</v>
      </c>
      <c r="W191" s="21">
        <f>Graph_Oil!W58</f>
        <v>2181.2098767865896</v>
      </c>
      <c r="X191" s="21">
        <f>Graph_Oil!X58</f>
        <v>2166.6717920019264</v>
      </c>
      <c r="Y191" s="21">
        <f>Graph_Oil!Y58</f>
        <v>2162.5887062039033</v>
      </c>
      <c r="Z191" s="21">
        <f>Graph_Oil!Z58</f>
        <v>2165.7476617379821</v>
      </c>
      <c r="AA191" s="21">
        <f>Graph_Oil!AA58</f>
        <v>2168.8444594784251</v>
      </c>
      <c r="AB191" s="21">
        <f>Graph_Oil!AB58</f>
        <v>2169.8851250592452</v>
      </c>
      <c r="AC191" s="21">
        <f>Graph_Oil!AC58</f>
        <v>2168.8133822281725</v>
      </c>
      <c r="AD191" s="21">
        <f>Graph_Oil!AD58</f>
        <v>2157.6548203919087</v>
      </c>
      <c r="AE191" s="21">
        <f>Graph_Oil!AE58</f>
        <v>2146.6006649468027</v>
      </c>
      <c r="AF191" s="21">
        <f>Graph_Oil!AF58</f>
        <v>2135.6498974486731</v>
      </c>
      <c r="AG191" s="21">
        <f>Graph_Oil!AG58</f>
        <v>2124.8015123366195</v>
      </c>
      <c r="AH191" s="21">
        <f>Graph_Oil!AH58</f>
        <v>2112.6528005226701</v>
      </c>
      <c r="AI191" s="21">
        <f>Graph_Oil!AI58</f>
        <v>2100.3812329788916</v>
      </c>
      <c r="AJ191" s="21">
        <f>Graph_Oil!AJ58</f>
        <v>2088.0974787182836</v>
      </c>
      <c r="AK191" s="21">
        <f>Graph_Oil!AK58</f>
        <v>2075.8026037215204</v>
      </c>
      <c r="AL191" s="21">
        <f>Graph_Oil!AL58</f>
        <v>2063.4976748082217</v>
      </c>
      <c r="AM191" s="21">
        <f>Graph_Oil!AM58</f>
        <v>2051.1837593097498</v>
      </c>
      <c r="AN191" s="21">
        <f>Graph_Oil!AN58</f>
        <v>2038.8619247445538</v>
      </c>
      <c r="AO191" s="21">
        <f>Graph_Oil!AO58</f>
        <v>2026.5332384961644</v>
      </c>
      <c r="AP191" s="21">
        <f>Graph_Oil!AP58</f>
        <v>2014.1987674939305</v>
      </c>
      <c r="AQ191" s="21">
        <f>Graph_Oil!AQ58</f>
        <v>2027.8720365887302</v>
      </c>
      <c r="AR191" s="81">
        <f>ROW()</f>
        <v>191</v>
      </c>
    </row>
    <row r="192" spans="1:44" s="31" customFormat="1" ht="15" customHeight="1">
      <c r="A192"/>
      <c r="B192" s="92" t="s">
        <v>1182</v>
      </c>
      <c r="C192"/>
      <c r="D192"/>
      <c r="E192"/>
      <c r="F192"/>
      <c r="G192"/>
      <c r="H192"/>
      <c r="I192" s="21">
        <f>Graph_Oil!I59</f>
        <v>1927.0542933059819</v>
      </c>
      <c r="J192" s="21">
        <f>Graph_Oil!J59</f>
        <v>2095.5658744729494</v>
      </c>
      <c r="K192" s="21">
        <f>Graph_Oil!K59</f>
        <v>2127.4598890553884</v>
      </c>
      <c r="L192" s="21">
        <f>Graph_Oil!L59</f>
        <v>1919.6179311571902</v>
      </c>
      <c r="M192" s="21">
        <f>Graph_Oil!M59</f>
        <v>2212.0256795416485</v>
      </c>
      <c r="N192" s="21">
        <f>Graph_Oil!N59</f>
        <v>2280.9839766058421</v>
      </c>
      <c r="O192" s="21">
        <f>Graph_Oil!O59</f>
        <v>2150.9070925365268</v>
      </c>
      <c r="P192" s="21">
        <f>Graph_Oil!P59</f>
        <v>1970.4002067208112</v>
      </c>
      <c r="Q192" s="21">
        <f>Graph_Oil!Q59</f>
        <v>2342.0845275253664</v>
      </c>
      <c r="R192" s="21">
        <f>Graph_Oil!R59</f>
        <v>2304.0102140516319</v>
      </c>
      <c r="S192" s="21">
        <f>Graph_Oil!S59</f>
        <v>1926.0563211448771</v>
      </c>
      <c r="T192" s="21">
        <f>Graph_Oil!T59</f>
        <v>1948.5175086835327</v>
      </c>
      <c r="U192" s="21">
        <f>Graph_Oil!U59</f>
        <v>1945.1441401890067</v>
      </c>
      <c r="V192" s="21">
        <f>Graph_Oil!V59</f>
        <v>1940.3330840051169</v>
      </c>
      <c r="W192" s="21">
        <f>Graph_Oil!W59</f>
        <v>1931.4316205506739</v>
      </c>
      <c r="X192" s="21">
        <f>Graph_Oil!X59</f>
        <v>1950.2390502378257</v>
      </c>
      <c r="Y192" s="21">
        <f>Graph_Oil!Y59</f>
        <v>1957.7190516631094</v>
      </c>
      <c r="Z192" s="21">
        <f>Graph_Oil!Z59</f>
        <v>1957.3533599060368</v>
      </c>
      <c r="AA192" s="21">
        <f>Graph_Oil!AA59</f>
        <v>1957.0571991151344</v>
      </c>
      <c r="AB192" s="21">
        <f>Graph_Oil!AB59</f>
        <v>1958.9913485884388</v>
      </c>
      <c r="AC192" s="21">
        <f>Graph_Oil!AC59</f>
        <v>1963.2167938425498</v>
      </c>
      <c r="AD192" s="21">
        <f>Graph_Oil!AD59</f>
        <v>1978.37503618392</v>
      </c>
      <c r="AE192" s="21">
        <f>Graph_Oil!AE59</f>
        <v>1993.4223177784008</v>
      </c>
      <c r="AF192" s="21">
        <f>Graph_Oil!AF59</f>
        <v>2008.3597438162137</v>
      </c>
      <c r="AG192" s="21">
        <f>Graph_Oil!AG59</f>
        <v>2023.1884055276689</v>
      </c>
      <c r="AH192" s="21">
        <f>Graph_Oil!AH59</f>
        <v>2037.5901356955924</v>
      </c>
      <c r="AI192" s="21">
        <f>Graph_Oil!AI59</f>
        <v>2052.1253525165012</v>
      </c>
      <c r="AJ192" s="21">
        <f>Graph_Oil!AJ59</f>
        <v>2066.674129203097</v>
      </c>
      <c r="AK192" s="21">
        <f>Graph_Oil!AK59</f>
        <v>2081.2353107025692</v>
      </c>
      <c r="AL192" s="21">
        <f>Graph_Oil!AL59</f>
        <v>2095.8077410530059</v>
      </c>
      <c r="AM192" s="21">
        <f>Graph_Oil!AM59</f>
        <v>2110.390263737977</v>
      </c>
      <c r="AN192" s="21">
        <f>Graph_Oil!AN59</f>
        <v>2124.9817220383411</v>
      </c>
      <c r="AO192" s="21">
        <f>Graph_Oil!AO59</f>
        <v>2139.5809593811941</v>
      </c>
      <c r="AP192" s="21">
        <f>Graph_Oil!AP59</f>
        <v>2154.1868196858327</v>
      </c>
      <c r="AQ192" s="21">
        <f>Graph_Oil!AQ59</f>
        <v>2229.5865647450642</v>
      </c>
      <c r="AR192" s="81">
        <f>ROW()</f>
        <v>192</v>
      </c>
    </row>
    <row r="193" spans="1:45" s="31" customFormat="1" ht="15" customHeight="1">
      <c r="A193"/>
      <c r="B193" s="124" t="str">
        <f>B$122</f>
        <v>"Other" Natural Gas (industry, heat/hot water, etc.)</v>
      </c>
      <c r="C193"/>
      <c r="D193"/>
      <c r="E193"/>
      <c r="F193"/>
      <c r="G193"/>
      <c r="H193"/>
      <c r="I193" s="21">
        <f>Graph_Oil!I60</f>
        <v>0</v>
      </c>
      <c r="J193" s="21">
        <f>Graph_Oil!J60</f>
        <v>0</v>
      </c>
      <c r="K193" s="21">
        <f>Graph_Oil!K60</f>
        <v>0</v>
      </c>
      <c r="L193" s="21">
        <f>Graph_Oil!L60</f>
        <v>0</v>
      </c>
      <c r="M193" s="21">
        <f>Graph_Oil!M60</f>
        <v>0</v>
      </c>
      <c r="N193" s="21">
        <f>Graph_Oil!N60</f>
        <v>0</v>
      </c>
      <c r="O193" s="21">
        <f>Graph_Oil!O60</f>
        <v>0</v>
      </c>
      <c r="P193" s="21">
        <f>Graph_Oil!P60</f>
        <v>0</v>
      </c>
      <c r="Q193" s="21">
        <f>Graph_Oil!Q60</f>
        <v>0</v>
      </c>
      <c r="R193" s="21">
        <f>Graph_Oil!R60</f>
        <v>0</v>
      </c>
      <c r="S193" s="21">
        <f>Graph_Oil!S60</f>
        <v>0</v>
      </c>
      <c r="T193" s="21">
        <f>Graph_Oil!T60</f>
        <v>0</v>
      </c>
      <c r="U193" s="21">
        <f>Graph_Oil!U60</f>
        <v>0</v>
      </c>
      <c r="V193" s="21">
        <f>Graph_Oil!V60</f>
        <v>0</v>
      </c>
      <c r="W193" s="21">
        <f>Graph_Oil!W60</f>
        <v>0</v>
      </c>
      <c r="X193" s="21">
        <f>Graph_Oil!X60</f>
        <v>0</v>
      </c>
      <c r="Y193" s="21">
        <f>Graph_Oil!Y60</f>
        <v>0</v>
      </c>
      <c r="Z193" s="21">
        <f>Graph_Oil!Z60</f>
        <v>0</v>
      </c>
      <c r="AA193" s="21">
        <f>Graph_Oil!AA60</f>
        <v>0</v>
      </c>
      <c r="AB193" s="21">
        <f>Graph_Oil!AB60</f>
        <v>0</v>
      </c>
      <c r="AC193" s="21">
        <f>Graph_Oil!AC60</f>
        <v>0</v>
      </c>
      <c r="AD193" s="21">
        <f>Graph_Oil!AD60</f>
        <v>0</v>
      </c>
      <c r="AE193" s="21">
        <f>Graph_Oil!AE60</f>
        <v>0</v>
      </c>
      <c r="AF193" s="21">
        <f>Graph_Oil!AF60</f>
        <v>0</v>
      </c>
      <c r="AG193" s="21">
        <f>Graph_Oil!AG60</f>
        <v>0</v>
      </c>
      <c r="AH193" s="21">
        <f>Graph_Oil!AH60</f>
        <v>0</v>
      </c>
      <c r="AI193" s="21">
        <f>Graph_Oil!AI60</f>
        <v>0</v>
      </c>
      <c r="AJ193" s="21">
        <f>Graph_Oil!AJ60</f>
        <v>0</v>
      </c>
      <c r="AK193" s="21">
        <f>Graph_Oil!AK60</f>
        <v>0</v>
      </c>
      <c r="AL193" s="21">
        <f>Graph_Oil!AL60</f>
        <v>0</v>
      </c>
      <c r="AM193" s="21">
        <f>Graph_Oil!AM60</f>
        <v>0</v>
      </c>
      <c r="AN193" s="21">
        <f>Graph_Oil!AN60</f>
        <v>0</v>
      </c>
      <c r="AO193" s="21">
        <f>Graph_Oil!AO60</f>
        <v>0</v>
      </c>
      <c r="AP193" s="21">
        <f>Graph_Oil!AP60</f>
        <v>0</v>
      </c>
      <c r="AQ193" s="21">
        <f>Graph_Oil!AQ60</f>
        <v>0</v>
      </c>
      <c r="AR193" s="81">
        <f>ROW()</f>
        <v>193</v>
      </c>
    </row>
    <row r="194" spans="1:45" s="31" customFormat="1" ht="15" customHeight="1">
      <c r="A194"/>
      <c r="B194" s="124" t="str">
        <f>B$123</f>
        <v>Misc. (non-electric coal, non-energy FF's, U.S. territories)</v>
      </c>
      <c r="C194"/>
      <c r="D194"/>
      <c r="E194"/>
      <c r="F194"/>
      <c r="G194"/>
      <c r="H194"/>
      <c r="I194" s="21">
        <f>Graph_Oil!I61</f>
        <v>2545.6846714185467</v>
      </c>
      <c r="J194" s="21">
        <f>Graph_Oil!J61</f>
        <v>2470.3223535284601</v>
      </c>
      <c r="K194" s="21">
        <f>Graph_Oil!K61</f>
        <v>2371.0714383400455</v>
      </c>
      <c r="L194" s="21">
        <f>Graph_Oil!L61</f>
        <v>2273.1121581380876</v>
      </c>
      <c r="M194" s="21">
        <f>Graph_Oil!M61</f>
        <v>2085.6131798136817</v>
      </c>
      <c r="N194" s="21">
        <f>Graph_Oil!N61</f>
        <v>2205.5113343012285</v>
      </c>
      <c r="O194" s="21">
        <f>Graph_Oil!O61</f>
        <v>2143.7968763565564</v>
      </c>
      <c r="P194" s="21">
        <f>Graph_Oil!P61</f>
        <v>2087.7381358771968</v>
      </c>
      <c r="Q194" s="21">
        <f>Graph_Oil!Q61</f>
        <v>2173.3803653875598</v>
      </c>
      <c r="R194" s="21">
        <f>Graph_Oil!R61</f>
        <v>2145.638766775251</v>
      </c>
      <c r="S194" s="21">
        <f>Graph_Oil!S61</f>
        <v>2130.6415718488183</v>
      </c>
      <c r="T194" s="21">
        <f>Graph_Oil!T61</f>
        <v>2160.6351021584346</v>
      </c>
      <c r="U194" s="21">
        <f>Graph_Oil!U61</f>
        <v>2168.8979242175324</v>
      </c>
      <c r="V194" s="21">
        <f>Graph_Oil!V61</f>
        <v>2177.0603329357032</v>
      </c>
      <c r="W194" s="21">
        <f>Graph_Oil!W61</f>
        <v>2185.1232377099209</v>
      </c>
      <c r="X194" s="21">
        <f>Graph_Oil!X61</f>
        <v>2191.8689503332821</v>
      </c>
      <c r="Y194" s="21">
        <f>Graph_Oil!Y61</f>
        <v>2201.5504314158243</v>
      </c>
      <c r="Z194" s="21">
        <f>Graph_Oil!Z61</f>
        <v>2211.2159199932044</v>
      </c>
      <c r="AA194" s="21">
        <f>Graph_Oil!AA61</f>
        <v>2220.8655682205444</v>
      </c>
      <c r="AB194" s="21">
        <f>Graph_Oil!AB61</f>
        <v>2230.4995381403046</v>
      </c>
      <c r="AC194" s="21">
        <f>Graph_Oil!AC61</f>
        <v>2240.1180013810631</v>
      </c>
      <c r="AD194" s="21">
        <f>Graph_Oil!AD61</f>
        <v>2249.7211388567357</v>
      </c>
      <c r="AE194" s="21">
        <f>Graph_Oil!AE61</f>
        <v>2259.3091404665988</v>
      </c>
      <c r="AF194" s="21">
        <f>Graph_Oil!AF61</f>
        <v>2268.8822047964541</v>
      </c>
      <c r="AG194" s="21">
        <f>Graph_Oil!AG61</f>
        <v>2278.4405388212631</v>
      </c>
      <c r="AH194" s="21">
        <f>Graph_Oil!AH61</f>
        <v>2287.229103450557</v>
      </c>
      <c r="AI194" s="21">
        <f>Graph_Oil!AI61</f>
        <v>2294.8212865734781</v>
      </c>
      <c r="AJ194" s="21">
        <f>Graph_Oil!AJ61</f>
        <v>2302.3877268294113</v>
      </c>
      <c r="AK194" s="21">
        <f>Graph_Oil!AK61</f>
        <v>2309.9286867643782</v>
      </c>
      <c r="AL194" s="21">
        <f>Graph_Oil!AL61</f>
        <v>2317.4444344649119</v>
      </c>
      <c r="AM194" s="21">
        <f>Graph_Oil!AM61</f>
        <v>2324.9352432890714</v>
      </c>
      <c r="AN194" s="21">
        <f>Graph_Oil!AN61</f>
        <v>2332.4013916014292</v>
      </c>
      <c r="AO194" s="21">
        <f>Graph_Oil!AO61</f>
        <v>2339.8431625121862</v>
      </c>
      <c r="AP194" s="21">
        <f>Graph_Oil!AP61</f>
        <v>2347.2608436205528</v>
      </c>
      <c r="AQ194" s="21">
        <f>Graph_Oil!AQ61</f>
        <v>2354.6547267625397</v>
      </c>
      <c r="AR194" s="81">
        <f>ROW()</f>
        <v>194</v>
      </c>
    </row>
    <row r="195" spans="1:45" s="31" customFormat="1" ht="15" customHeight="1">
      <c r="A195"/>
      <c r="B195"/>
      <c r="C195"/>
      <c r="D195"/>
      <c r="E195"/>
      <c r="F195"/>
      <c r="G195"/>
      <c r="H195"/>
      <c r="I195"/>
      <c r="J195"/>
      <c r="K195"/>
      <c r="L195"/>
      <c r="M195" s="67"/>
      <c r="N195" s="67"/>
      <c r="O195" s="67"/>
      <c r="P195" s="67"/>
      <c r="Q195" s="67"/>
      <c r="R195" s="67"/>
      <c r="S195" s="67"/>
      <c r="T195"/>
      <c r="U195"/>
      <c r="V195"/>
      <c r="W195"/>
      <c r="X195"/>
      <c r="Y195"/>
      <c r="Z195"/>
      <c r="AA195"/>
      <c r="AB195"/>
      <c r="AC195"/>
      <c r="AD195"/>
      <c r="AE195"/>
      <c r="AF195"/>
      <c r="AG195"/>
      <c r="AH195"/>
      <c r="AI195"/>
      <c r="AJ195"/>
      <c r="AK195"/>
      <c r="AL195"/>
      <c r="AM195"/>
      <c r="AN195"/>
      <c r="AO195"/>
      <c r="AP195"/>
      <c r="AQ195"/>
      <c r="AR195" s="81">
        <f>ROW()</f>
        <v>195</v>
      </c>
    </row>
    <row r="196" spans="1:45" s="31" customFormat="1" ht="15" customHeight="1">
      <c r="A196"/>
      <c r="B196" s="8" t="s">
        <v>307</v>
      </c>
      <c r="C196"/>
      <c r="D196"/>
      <c r="E196"/>
      <c r="F196"/>
      <c r="G196"/>
      <c r="H196"/>
      <c r="I196"/>
      <c r="J196"/>
      <c r="K196"/>
      <c r="L196"/>
      <c r="M196" s="67"/>
      <c r="N196" s="67"/>
      <c r="O196" s="67"/>
      <c r="P196" s="67"/>
      <c r="Q196" s="67"/>
      <c r="R196" s="67"/>
      <c r="S196" s="67"/>
      <c r="T196"/>
      <c r="U196"/>
      <c r="V196"/>
      <c r="W196"/>
      <c r="X196"/>
      <c r="Y196"/>
      <c r="Z196"/>
      <c r="AA196"/>
      <c r="AB196"/>
      <c r="AC196"/>
      <c r="AD196"/>
      <c r="AE196"/>
      <c r="AF196"/>
      <c r="AG196"/>
      <c r="AH196"/>
      <c r="AI196"/>
      <c r="AJ196"/>
      <c r="AK196"/>
      <c r="AL196"/>
      <c r="AM196"/>
      <c r="AN196"/>
      <c r="AO196"/>
      <c r="AP196"/>
      <c r="AQ196"/>
      <c r="AR196" s="81">
        <f>ROW()</f>
        <v>196</v>
      </c>
    </row>
    <row r="197" spans="1:45" s="31" customFormat="1" ht="15" customHeight="1">
      <c r="A197"/>
      <c r="B197"/>
      <c r="C197"/>
      <c r="D197"/>
      <c r="E197"/>
      <c r="F197"/>
      <c r="G197"/>
      <c r="H197"/>
      <c r="I197"/>
      <c r="J197"/>
      <c r="K197"/>
      <c r="L197"/>
      <c r="M197" s="67"/>
      <c r="N197" s="67"/>
      <c r="O197" s="67"/>
      <c r="P197" s="67"/>
      <c r="Q197" s="67"/>
      <c r="R197" s="67"/>
      <c r="S197" s="67"/>
      <c r="T197"/>
      <c r="U197"/>
      <c r="V197"/>
      <c r="W197"/>
      <c r="X197"/>
      <c r="Y197"/>
      <c r="Z197"/>
      <c r="AA197"/>
      <c r="AB197"/>
      <c r="AC197"/>
      <c r="AD197"/>
      <c r="AE197"/>
      <c r="AF197"/>
      <c r="AG197"/>
      <c r="AH197"/>
      <c r="AI197"/>
      <c r="AJ197"/>
      <c r="AK197"/>
      <c r="AL197"/>
      <c r="AM197"/>
      <c r="AN197"/>
      <c r="AO197"/>
      <c r="AP197"/>
      <c r="AQ197"/>
      <c r="AR197" s="81">
        <f>ROW()</f>
        <v>197</v>
      </c>
    </row>
    <row r="198" spans="1:45" s="31" customFormat="1" ht="15" customHeight="1">
      <c r="A198"/>
      <c r="B198" s="8" t="s">
        <v>306</v>
      </c>
      <c r="C198"/>
      <c r="D198"/>
      <c r="E198"/>
      <c r="F198"/>
      <c r="G198"/>
      <c r="H198"/>
      <c r="I198" s="24">
        <f>SUM(I199:I206)</f>
        <v>20809.074968038592</v>
      </c>
      <c r="J198" s="24">
        <f t="shared" ref="J198:AP198" si="115">SUM(J199:J206)</f>
        <v>20646.492886113178</v>
      </c>
      <c r="K198" s="24">
        <f t="shared" si="115"/>
        <v>20633.371620679645</v>
      </c>
      <c r="L198" s="24">
        <f t="shared" si="115"/>
        <v>19474.810521627416</v>
      </c>
      <c r="M198" s="24">
        <f t="shared" si="115"/>
        <v>18813.671223260968</v>
      </c>
      <c r="N198" s="24">
        <f t="shared" si="115"/>
        <v>19217.346527940364</v>
      </c>
      <c r="O198" s="24">
        <f t="shared" si="115"/>
        <v>18832.165529220609</v>
      </c>
      <c r="P198" s="24">
        <f t="shared" si="115"/>
        <v>18428.844368881586</v>
      </c>
      <c r="Q198" s="24">
        <f t="shared" si="115"/>
        <v>18991.811424089072</v>
      </c>
      <c r="R198" s="24">
        <f t="shared" ref="R198:S198" si="116">SUM(R199:R206)</f>
        <v>19117.750295724691</v>
      </c>
      <c r="S198" s="24">
        <f t="shared" si="116"/>
        <v>19028.450611360709</v>
      </c>
      <c r="T198" s="24">
        <f t="shared" si="115"/>
        <v>18519.753487674301</v>
      </c>
      <c r="U198" s="24">
        <f t="shared" si="115"/>
        <v>18068.069600676667</v>
      </c>
      <c r="V198" s="24">
        <f t="shared" si="115"/>
        <v>17653.800751182636</v>
      </c>
      <c r="W198" s="24">
        <f t="shared" si="115"/>
        <v>17284.854393691792</v>
      </c>
      <c r="X198" s="24">
        <f t="shared" si="115"/>
        <v>16878.712271077144</v>
      </c>
      <c r="Y198" s="24">
        <f t="shared" si="115"/>
        <v>16543.586402653535</v>
      </c>
      <c r="Z198" s="24">
        <f t="shared" si="115"/>
        <v>16258.560948145847</v>
      </c>
      <c r="AA198" s="24">
        <f t="shared" si="115"/>
        <v>15983.703997751894</v>
      </c>
      <c r="AB198" s="24">
        <f t="shared" si="115"/>
        <v>15708.147102835728</v>
      </c>
      <c r="AC198" s="24">
        <f t="shared" si="115"/>
        <v>15431.297823548071</v>
      </c>
      <c r="AD198" s="24">
        <f t="shared" si="115"/>
        <v>15115.204047031719</v>
      </c>
      <c r="AE198" s="24">
        <f t="shared" si="115"/>
        <v>14812.883658577011</v>
      </c>
      <c r="AF198" s="24">
        <f t="shared" si="115"/>
        <v>14526.79269167245</v>
      </c>
      <c r="AG198" s="24">
        <f t="shared" si="115"/>
        <v>14255.400427343087</v>
      </c>
      <c r="AH198" s="24">
        <f t="shared" si="115"/>
        <v>13991.090034152887</v>
      </c>
      <c r="AI198" s="24">
        <f t="shared" si="115"/>
        <v>13736.966446469041</v>
      </c>
      <c r="AJ198" s="24">
        <f t="shared" si="115"/>
        <v>13494.059312673688</v>
      </c>
      <c r="AK198" s="24">
        <f t="shared" si="115"/>
        <v>13261.457283173469</v>
      </c>
      <c r="AL198" s="24">
        <f t="shared" si="115"/>
        <v>13038.350788429743</v>
      </c>
      <c r="AM198" s="24">
        <f t="shared" si="115"/>
        <v>12824.469695236709</v>
      </c>
      <c r="AN198" s="24">
        <f t="shared" si="115"/>
        <v>12618.774895491501</v>
      </c>
      <c r="AO198" s="24">
        <f t="shared" si="115"/>
        <v>12420.681580433751</v>
      </c>
      <c r="AP198" s="24">
        <f t="shared" si="115"/>
        <v>12229.66222848402</v>
      </c>
      <c r="AQ198" s="24">
        <f t="shared" ref="AQ198" si="117">SUM(AQ199:AQ206)</f>
        <v>12195.113974069631</v>
      </c>
      <c r="AR198" s="81">
        <f>ROW()</f>
        <v>198</v>
      </c>
    </row>
    <row r="199" spans="1:45" s="31" customFormat="1" ht="15" customHeight="1">
      <c r="A199"/>
      <c r="B199" s="124" t="str">
        <f>B$116</f>
        <v>Electricity Generation</v>
      </c>
      <c r="C199"/>
      <c r="D199"/>
      <c r="E199"/>
      <c r="F199"/>
      <c r="G199"/>
      <c r="H199"/>
      <c r="I199" s="21">
        <f>Graph_Oil!I66</f>
        <v>622.22090695600014</v>
      </c>
      <c r="J199" s="21">
        <f>Graph_Oil!J66</f>
        <v>326.6572203888029</v>
      </c>
      <c r="K199" s="21">
        <f>Graph_Oil!K66</f>
        <v>334.66280077114277</v>
      </c>
      <c r="L199" s="21">
        <f>Graph_Oil!L66</f>
        <v>235.41105319424432</v>
      </c>
      <c r="M199" s="21">
        <f>Graph_Oil!M66</f>
        <v>198.21730666648958</v>
      </c>
      <c r="N199" s="21">
        <f>Graph_Oil!N66</f>
        <v>188.66953499027218</v>
      </c>
      <c r="O199" s="21">
        <f>Graph_Oil!O66</f>
        <v>153.65122721045071</v>
      </c>
      <c r="P199" s="21">
        <f>Graph_Oil!P66</f>
        <v>118.05290119234965</v>
      </c>
      <c r="Q199" s="21">
        <f>Graph_Oil!Q66</f>
        <v>138.28826043554957</v>
      </c>
      <c r="R199" s="21">
        <f>Graph_Oil!R66</f>
        <v>153.9045190649783</v>
      </c>
      <c r="S199" s="21">
        <f>Graph_Oil!S66</f>
        <v>142.41368877398048</v>
      </c>
      <c r="T199" s="21">
        <f>Graph_Oil!T66</f>
        <v>115.33776637225773</v>
      </c>
      <c r="U199" s="21">
        <f>Graph_Oil!U66</f>
        <v>106.02671810499263</v>
      </c>
      <c r="V199" s="21">
        <f>Graph_Oil!V66</f>
        <v>97.96433015455915</v>
      </c>
      <c r="W199" s="21">
        <f>Graph_Oil!W66</f>
        <v>90.898259111195813</v>
      </c>
      <c r="X199" s="21">
        <f>Graph_Oil!X66</f>
        <v>84.505473308323957</v>
      </c>
      <c r="Y199" s="21">
        <f>Graph_Oil!Y66</f>
        <v>78.798946104656267</v>
      </c>
      <c r="Z199" s="21">
        <f>Graph_Oil!Z66</f>
        <v>73.666889155800462</v>
      </c>
      <c r="AA199" s="21">
        <f>Graph_Oil!AA66</f>
        <v>69.021466996673425</v>
      </c>
      <c r="AB199" s="21">
        <f>Graph_Oil!AB66</f>
        <v>64.792628111109863</v>
      </c>
      <c r="AC199" s="21">
        <f>Graph_Oil!AC66</f>
        <v>60.923764006684692</v>
      </c>
      <c r="AD199" s="21">
        <f>Graph_Oil!AD66</f>
        <v>57.368590506000551</v>
      </c>
      <c r="AE199" s="21">
        <f>Graph_Oil!AE66</f>
        <v>54.088865413586603</v>
      </c>
      <c r="AF199" s="21">
        <f>Graph_Oil!AF66</f>
        <v>51.052690475107617</v>
      </c>
      <c r="AG199" s="21">
        <f>Graph_Oil!AG66</f>
        <v>48.233229154795744</v>
      </c>
      <c r="AH199" s="21">
        <f>Graph_Oil!AH66</f>
        <v>45.758990712285069</v>
      </c>
      <c r="AI199" s="21">
        <f>Graph_Oil!AI66</f>
        <v>43.443458694703487</v>
      </c>
      <c r="AJ199" s="21">
        <f>Graph_Oil!AJ66</f>
        <v>41.27187910162948</v>
      </c>
      <c r="AK199" s="21">
        <f>Graph_Oil!AK66</f>
        <v>39.231408473939396</v>
      </c>
      <c r="AL199" s="21">
        <f>Graph_Oil!AL66</f>
        <v>37.31080753847904</v>
      </c>
      <c r="AM199" s="21">
        <f>Graph_Oil!AM66</f>
        <v>35.500192233805826</v>
      </c>
      <c r="AN199" s="21">
        <f>Graph_Oil!AN66</f>
        <v>33.790829872829832</v>
      </c>
      <c r="AO199" s="21">
        <f>Graph_Oil!AO66</f>
        <v>32.174971113688805</v>
      </c>
      <c r="AP199" s="21">
        <f>Graph_Oil!AP66</f>
        <v>30.645710564435596</v>
      </c>
      <c r="AQ199" s="21">
        <f>Graph_Oil!AQ66</f>
        <v>29.42188584486701</v>
      </c>
      <c r="AR199" s="81">
        <f>ROW()</f>
        <v>199</v>
      </c>
    </row>
    <row r="200" spans="1:45" s="31" customFormat="1" ht="15" customHeight="1">
      <c r="A200"/>
      <c r="B200" s="124" t="str">
        <f>B$117</f>
        <v>Personal Ground Travel (driving, boating, rec vehicles, etc.)</v>
      </c>
      <c r="C200"/>
      <c r="D200"/>
      <c r="E200"/>
      <c r="F200"/>
      <c r="G200"/>
      <c r="H200"/>
      <c r="I200" s="21">
        <f>Graph_Oil!I67</f>
        <v>8768.7430715906157</v>
      </c>
      <c r="J200" s="21">
        <f>Graph_Oil!J67</f>
        <v>8733.8690384121819</v>
      </c>
      <c r="K200" s="21">
        <f>Graph_Oil!K67</f>
        <v>8582.3929954601026</v>
      </c>
      <c r="L200" s="21">
        <f>Graph_Oil!L67</f>
        <v>8185.5125335769235</v>
      </c>
      <c r="M200" s="21">
        <f>Graph_Oil!M67</f>
        <v>7996.4430913186798</v>
      </c>
      <c r="N200" s="21">
        <f>Graph_Oil!N67</f>
        <v>7945.9510770013248</v>
      </c>
      <c r="O200" s="21">
        <f>Graph_Oil!O67</f>
        <v>7796.2389472131654</v>
      </c>
      <c r="P200" s="21">
        <f>Graph_Oil!P67</f>
        <v>7755.962929970211</v>
      </c>
      <c r="Q200" s="21">
        <f>Graph_Oil!Q67</f>
        <v>7749.9729748510463</v>
      </c>
      <c r="R200" s="21">
        <f>Graph_Oil!R67</f>
        <v>7871.8667241164658</v>
      </c>
      <c r="S200" s="21">
        <f>Graph_Oil!S67</f>
        <v>8075.3400558009853</v>
      </c>
      <c r="T200" s="21">
        <f>Graph_Oil!T67</f>
        <v>7967.7800995772022</v>
      </c>
      <c r="U200" s="21">
        <f>Graph_Oil!U67</f>
        <v>7854.6210642555207</v>
      </c>
      <c r="V200" s="21">
        <f>Graph_Oil!V67</f>
        <v>7745.7592777297632</v>
      </c>
      <c r="W200" s="21">
        <f>Graph_Oil!W67</f>
        <v>7654.4631059946205</v>
      </c>
      <c r="X200" s="21">
        <f>Graph_Oil!X67</f>
        <v>7495.5626235312566</v>
      </c>
      <c r="Y200" s="21">
        <f>Graph_Oil!Y67</f>
        <v>7362.6644603654595</v>
      </c>
      <c r="Z200" s="21">
        <f>Graph_Oil!Z67</f>
        <v>7265.8287442573564</v>
      </c>
      <c r="AA200" s="21">
        <f>Graph_Oil!AA67</f>
        <v>7167.0353220493735</v>
      </c>
      <c r="AB200" s="21">
        <f>Graph_Oil!AB67</f>
        <v>7056.9632903223492</v>
      </c>
      <c r="AC200" s="21">
        <f>Graph_Oil!AC67</f>
        <v>6936.2448315546617</v>
      </c>
      <c r="AD200" s="21">
        <f>Graph_Oil!AD67</f>
        <v>6768.7602656911995</v>
      </c>
      <c r="AE200" s="21">
        <f>Graph_Oil!AE67</f>
        <v>6606.8966902777283</v>
      </c>
      <c r="AF200" s="21">
        <f>Graph_Oil!AF67</f>
        <v>6453.2864104084283</v>
      </c>
      <c r="AG200" s="21">
        <f>Graph_Oil!AG67</f>
        <v>6307.1515911823508</v>
      </c>
      <c r="AH200" s="21">
        <f>Graph_Oil!AH67</f>
        <v>6163.5744674593179</v>
      </c>
      <c r="AI200" s="21">
        <f>Graph_Oil!AI67</f>
        <v>6024.5647689403595</v>
      </c>
      <c r="AJ200" s="21">
        <f>Graph_Oil!AJ67</f>
        <v>5891.2342484095625</v>
      </c>
      <c r="AK200" s="21">
        <f>Graph_Oil!AK67</f>
        <v>5763.1317756569515</v>
      </c>
      <c r="AL200" s="21">
        <f>Graph_Oil!AL67</f>
        <v>5639.85804252872</v>
      </c>
      <c r="AM200" s="21">
        <f>Graph_Oil!AM67</f>
        <v>5521.4293219783985</v>
      </c>
      <c r="AN200" s="21">
        <f>Graph_Oil!AN67</f>
        <v>5407.2047068244074</v>
      </c>
      <c r="AO200" s="21">
        <f>Graph_Oil!AO67</f>
        <v>5296.8967872220355</v>
      </c>
      <c r="AP200" s="21">
        <f>Graph_Oil!AP67</f>
        <v>5190.2468562711238</v>
      </c>
      <c r="AQ200" s="21">
        <f>Graph_Oil!AQ67</f>
        <v>5137.969022179087</v>
      </c>
      <c r="AR200" s="81">
        <f>ROW()</f>
        <v>200</v>
      </c>
    </row>
    <row r="201" spans="1:45" s="31" customFormat="1" ht="15" customHeight="1">
      <c r="A201"/>
      <c r="B201" s="124" t="str">
        <f>B$118</f>
        <v>Freight (goods movement by road, rail, ship, air)</v>
      </c>
      <c r="C201"/>
      <c r="D201"/>
      <c r="E201"/>
      <c r="F201"/>
      <c r="G201"/>
      <c r="H201"/>
      <c r="I201" s="21">
        <f>Graph_Oil!I68</f>
        <v>3267.9976090272644</v>
      </c>
      <c r="J201" s="21">
        <f>Graph_Oil!J68</f>
        <v>3368.270048232936</v>
      </c>
      <c r="K201" s="21">
        <f>Graph_Oil!K68</f>
        <v>3561.0647093693601</v>
      </c>
      <c r="L201" s="21">
        <f>Graph_Oil!L68</f>
        <v>3400.2957394516111</v>
      </c>
      <c r="M201" s="21">
        <f>Graph_Oil!M68</f>
        <v>3046.8922368535309</v>
      </c>
      <c r="N201" s="21">
        <f>Graph_Oil!N68</f>
        <v>3198.501859082739</v>
      </c>
      <c r="O201" s="21">
        <f>Graph_Oil!O68</f>
        <v>3167.5650413654989</v>
      </c>
      <c r="P201" s="21">
        <f>Graph_Oil!P68</f>
        <v>3085.4511690808158</v>
      </c>
      <c r="Q201" s="21">
        <f>Graph_Oil!Q68</f>
        <v>3089.3903291007132</v>
      </c>
      <c r="R201" s="21">
        <f>Graph_Oil!R68</f>
        <v>3090.7674338231163</v>
      </c>
      <c r="S201" s="21">
        <f>Graph_Oil!S68</f>
        <v>3074.97951080251</v>
      </c>
      <c r="T201" s="21">
        <f>Graph_Oil!T68</f>
        <v>2922.6782328078857</v>
      </c>
      <c r="U201" s="21">
        <f>Graph_Oil!U68</f>
        <v>2806.3722497314984</v>
      </c>
      <c r="V201" s="21">
        <f>Graph_Oil!V68</f>
        <v>2701.0514021710333</v>
      </c>
      <c r="W201" s="21">
        <f>Graph_Oil!W68</f>
        <v>2605.0477702496473</v>
      </c>
      <c r="X201" s="21">
        <f>Graph_Oil!X68</f>
        <v>2512.2963479952405</v>
      </c>
      <c r="Y201" s="21">
        <f>Graph_Oil!Y68</f>
        <v>2436.4545349628752</v>
      </c>
      <c r="Z201" s="21">
        <f>Graph_Oil!Z68</f>
        <v>2365.976859147609</v>
      </c>
      <c r="AA201" s="21">
        <f>Graph_Oil!AA68</f>
        <v>2300.2386265044784</v>
      </c>
      <c r="AB201" s="21">
        <f>Graph_Oil!AB68</f>
        <v>2238.7126457192408</v>
      </c>
      <c r="AC201" s="21">
        <f>Graph_Oil!AC68</f>
        <v>2180.9504483747733</v>
      </c>
      <c r="AD201" s="21">
        <f>Graph_Oil!AD68</f>
        <v>2126.5677539425301</v>
      </c>
      <c r="AE201" s="21">
        <f>Graph_Oil!AE68</f>
        <v>2075.233089832619</v>
      </c>
      <c r="AF201" s="21">
        <f>Graph_Oil!AF68</f>
        <v>2026.6587873948511</v>
      </c>
      <c r="AG201" s="21">
        <f>Graph_Oil!AG68</f>
        <v>1980.5937887070847</v>
      </c>
      <c r="AH201" s="21">
        <f>Graph_Oil!AH68</f>
        <v>1935.4889236342126</v>
      </c>
      <c r="AI201" s="21">
        <f>Graph_Oil!AI68</f>
        <v>1892.9044798097455</v>
      </c>
      <c r="AJ201" s="21">
        <f>Graph_Oil!AJ68</f>
        <v>1852.2849581633795</v>
      </c>
      <c r="AK201" s="21">
        <f>Graph_Oil!AK68</f>
        <v>1813.4739967555529</v>
      </c>
      <c r="AL201" s="21">
        <f>Graph_Oil!AL68</f>
        <v>1776.332088620524</v>
      </c>
      <c r="AM201" s="21">
        <f>Graph_Oil!AM68</f>
        <v>1740.7343096624411</v>
      </c>
      <c r="AN201" s="21">
        <f>Graph_Oil!AN68</f>
        <v>1706.5684110835639</v>
      </c>
      <c r="AO201" s="21">
        <f>Graph_Oil!AO68</f>
        <v>1673.733209121604</v>
      </c>
      <c r="AP201" s="21">
        <f>Graph_Oil!AP68</f>
        <v>1642.1372187894385</v>
      </c>
      <c r="AQ201" s="21">
        <f>Graph_Oil!AQ68</f>
        <v>1641.3712969704375</v>
      </c>
      <c r="AR201" s="81">
        <f>ROW()</f>
        <v>201</v>
      </c>
    </row>
    <row r="202" spans="1:45" s="31" customFormat="1" ht="15" customHeight="1">
      <c r="A202"/>
      <c r="B202" s="124" t="str">
        <f>B$119</f>
        <v>Aviation (passenger only)</v>
      </c>
      <c r="C202"/>
      <c r="D202"/>
      <c r="E202"/>
      <c r="F202"/>
      <c r="G202"/>
      <c r="H202"/>
      <c r="I202" s="21">
        <f>Graph_Oil!I69</f>
        <v>1585.0508484884269</v>
      </c>
      <c r="J202" s="21">
        <f>Graph_Oil!J69</f>
        <v>1568.0072909777989</v>
      </c>
      <c r="K202" s="21">
        <f>Graph_Oil!K69</f>
        <v>1558.462898771847</v>
      </c>
      <c r="L202" s="21">
        <f>Graph_Oil!L69</f>
        <v>1456.2015537080774</v>
      </c>
      <c r="M202" s="21">
        <f>Graph_Oil!M69</f>
        <v>1317.8078667217762</v>
      </c>
      <c r="N202" s="21">
        <f>Graph_Oil!N69</f>
        <v>1368.938539253661</v>
      </c>
      <c r="O202" s="21">
        <f>Graph_Oil!O69</f>
        <v>1375.0742199574875</v>
      </c>
      <c r="P202" s="21">
        <f>Graph_Oil!P69</f>
        <v>1346.4410433396315</v>
      </c>
      <c r="Q202" s="21">
        <f>Graph_Oil!Q69</f>
        <v>1389.390808266415</v>
      </c>
      <c r="R202" s="21">
        <f>Graph_Oil!R69</f>
        <v>1391.4360351676903</v>
      </c>
      <c r="S202" s="21">
        <f>Graph_Oil!S69</f>
        <v>1455.2364162423676</v>
      </c>
      <c r="T202" s="21">
        <f>Graph_Oil!T69</f>
        <v>1334.4106737053085</v>
      </c>
      <c r="U202" s="21">
        <f>Graph_Oil!U69</f>
        <v>1250.6044215534282</v>
      </c>
      <c r="V202" s="21">
        <f>Graph_Oil!V69</f>
        <v>1177.1983191197878</v>
      </c>
      <c r="W202" s="21">
        <f>Graph_Oil!W69</f>
        <v>1112.1973962764505</v>
      </c>
      <c r="X202" s="21">
        <f>Graph_Oil!X69</f>
        <v>1055.7182709551832</v>
      </c>
      <c r="Y202" s="21">
        <f>Graph_Oil!Y69</f>
        <v>1020.9204335591862</v>
      </c>
      <c r="Z202" s="21">
        <f>Graph_Oil!Z69</f>
        <v>988.89674416557</v>
      </c>
      <c r="AA202" s="21">
        <f>Graph_Oil!AA69</f>
        <v>959.3003884983965</v>
      </c>
      <c r="AB202" s="21">
        <f>Graph_Oil!AB69</f>
        <v>931.84158712485032</v>
      </c>
      <c r="AC202" s="21">
        <f>Graph_Oil!AC69</f>
        <v>906.27612413455665</v>
      </c>
      <c r="AD202" s="21">
        <f>Graph_Oil!AD69</f>
        <v>882.39656817882849</v>
      </c>
      <c r="AE202" s="21">
        <f>Graph_Oil!AE69</f>
        <v>860.0254709440851</v>
      </c>
      <c r="AF202" s="21">
        <f>Graph_Oil!AF69</f>
        <v>839.01003830973127</v>
      </c>
      <c r="AG202" s="21">
        <f>Graph_Oil!AG69</f>
        <v>819.21791229616213</v>
      </c>
      <c r="AH202" s="21">
        <f>Graph_Oil!AH69</f>
        <v>801.32409421230386</v>
      </c>
      <c r="AI202" s="21">
        <f>Graph_Oil!AI69</f>
        <v>784.762901673285</v>
      </c>
      <c r="AJ202" s="21">
        <f>Graph_Oil!AJ69</f>
        <v>769.07150711058216</v>
      </c>
      <c r="AK202" s="21">
        <f>Graph_Oil!AK69</f>
        <v>754.17536676211591</v>
      </c>
      <c r="AL202" s="21">
        <f>Graph_Oil!AL69</f>
        <v>740.00832604555899</v>
      </c>
      <c r="AM202" s="21">
        <f>Graph_Oil!AM69</f>
        <v>726.51144909817515</v>
      </c>
      <c r="AN202" s="21">
        <f>Graph_Oil!AN69</f>
        <v>713.63204147718</v>
      </c>
      <c r="AO202" s="21">
        <f>Graph_Oil!AO69</f>
        <v>701.32282952522576</v>
      </c>
      <c r="AP202" s="21">
        <f>Graph_Oil!AP69</f>
        <v>689.54126762523583</v>
      </c>
      <c r="AQ202" s="21">
        <f>Graph_Oil!AQ69</f>
        <v>689.04466876884385</v>
      </c>
      <c r="AR202" s="81">
        <f>ROW()</f>
        <v>202</v>
      </c>
    </row>
    <row r="203" spans="1:45" s="31" customFormat="1" ht="15" customHeight="1">
      <c r="A203"/>
      <c r="B203" s="92" t="s">
        <v>1130</v>
      </c>
      <c r="C203"/>
      <c r="D203"/>
      <c r="E203"/>
      <c r="F203"/>
      <c r="G203"/>
      <c r="H203"/>
      <c r="I203" s="21">
        <f>Graph_Oil!I70</f>
        <v>2092.3235672517594</v>
      </c>
      <c r="J203" s="21">
        <f>Graph_Oil!J70</f>
        <v>2083.8010601000497</v>
      </c>
      <c r="K203" s="21">
        <f>Graph_Oil!K70</f>
        <v>2098.2568889117597</v>
      </c>
      <c r="L203" s="21">
        <f>Graph_Oil!L70</f>
        <v>2004.6595524012846</v>
      </c>
      <c r="M203" s="21">
        <f>Graph_Oil!M70</f>
        <v>1956.6718623451613</v>
      </c>
      <c r="N203" s="21">
        <f>Graph_Oil!N70</f>
        <v>2028.7902067053008</v>
      </c>
      <c r="O203" s="21">
        <f>Graph_Oil!O70</f>
        <v>2044.9321245809231</v>
      </c>
      <c r="P203" s="21">
        <f>Graph_Oil!P70</f>
        <v>2064.797982700567</v>
      </c>
      <c r="Q203" s="21">
        <f>Graph_Oil!Q70</f>
        <v>2109.3041585224214</v>
      </c>
      <c r="R203" s="21">
        <f>Graph_Oil!R70</f>
        <v>2160.126602725561</v>
      </c>
      <c r="S203" s="21">
        <f>Graph_Oil!S70</f>
        <v>2223.7830467471713</v>
      </c>
      <c r="T203" s="21">
        <f>Graph_Oil!T70</f>
        <v>2183.2740285257573</v>
      </c>
      <c r="U203" s="21">
        <f>Graph_Oil!U70</f>
        <v>2152.223157607044</v>
      </c>
      <c r="V203" s="21">
        <f>Graph_Oil!V70</f>
        <v>2124.5766822735086</v>
      </c>
      <c r="W203" s="21">
        <f>Graph_Oil!W70</f>
        <v>2102.2943114173922</v>
      </c>
      <c r="X203" s="21">
        <f>Graph_Oil!X70</f>
        <v>2068.4072104420857</v>
      </c>
      <c r="Y203" s="21">
        <f>Graph_Oil!Y70</f>
        <v>2044.3909926177753</v>
      </c>
      <c r="Z203" s="21">
        <f>Graph_Oil!Z70</f>
        <v>2027.9959354856887</v>
      </c>
      <c r="AA203" s="21">
        <f>Graph_Oil!AA70</f>
        <v>2012.046059103689</v>
      </c>
      <c r="AB203" s="21">
        <f>Graph_Oil!AB70</f>
        <v>1994.6062529170126</v>
      </c>
      <c r="AC203" s="21">
        <f>Graph_Oil!AC70</f>
        <v>1975.6200752489463</v>
      </c>
      <c r="AD203" s="21">
        <f>Graph_Oil!AD70</f>
        <v>1947.809459095068</v>
      </c>
      <c r="AE203" s="21">
        <f>Graph_Oil!AE70</f>
        <v>1921.2223722197475</v>
      </c>
      <c r="AF203" s="21">
        <f>Graph_Oil!AF70</f>
        <v>1896.3501385605782</v>
      </c>
      <c r="AG203" s="21">
        <f>Graph_Oil!AG70</f>
        <v>1873.022299952388</v>
      </c>
      <c r="AH203" s="21">
        <f>Graph_Oil!AH70</f>
        <v>1849.9371625519027</v>
      </c>
      <c r="AI203" s="21">
        <f>Graph_Oil!AI70</f>
        <v>1827.8926886582772</v>
      </c>
      <c r="AJ203" s="21">
        <f>Graph_Oil!AJ70</f>
        <v>1806.9734366118896</v>
      </c>
      <c r="AK203" s="21">
        <f>Graph_Oil!AK70</f>
        <v>1787.0793070283632</v>
      </c>
      <c r="AL203" s="21">
        <f>Graph_Oil!AL70</f>
        <v>1768.1216514747732</v>
      </c>
      <c r="AM203" s="21">
        <f>Graph_Oil!AM70</f>
        <v>1750.1023334770377</v>
      </c>
      <c r="AN203" s="21">
        <f>Graph_Oil!AN70</f>
        <v>1732.8824163615047</v>
      </c>
      <c r="AO203" s="21">
        <f>Graph_Oil!AO70</f>
        <v>1716.3984239602121</v>
      </c>
      <c r="AP203" s="21">
        <f>Graph_Oil!AP70</f>
        <v>1700.5932334679442</v>
      </c>
      <c r="AQ203" s="21">
        <f>Graph_Oil!AQ70</f>
        <v>1706.5941952212443</v>
      </c>
      <c r="AR203" s="81">
        <f>ROW()</f>
        <v>203</v>
      </c>
    </row>
    <row r="204" spans="1:45" s="31" customFormat="1" ht="15" customHeight="1">
      <c r="A204"/>
      <c r="B204" s="92" t="s">
        <v>1182</v>
      </c>
      <c r="C204"/>
      <c r="D204"/>
      <c r="E204"/>
      <c r="F204"/>
      <c r="G204"/>
      <c r="H204"/>
      <c r="I204" s="21">
        <f>Graph_Oil!I71</f>
        <v>1927.0542933059819</v>
      </c>
      <c r="J204" s="21">
        <f>Graph_Oil!J71</f>
        <v>2095.5658744729494</v>
      </c>
      <c r="K204" s="21">
        <f>Graph_Oil!K71</f>
        <v>2127.4598890553884</v>
      </c>
      <c r="L204" s="21">
        <f>Graph_Oil!L71</f>
        <v>1919.6179311571902</v>
      </c>
      <c r="M204" s="21">
        <f>Graph_Oil!M71</f>
        <v>2212.0256795416485</v>
      </c>
      <c r="N204" s="21">
        <f>Graph_Oil!N71</f>
        <v>2280.9839766058421</v>
      </c>
      <c r="O204" s="21">
        <f>Graph_Oil!O71</f>
        <v>2150.9070925365268</v>
      </c>
      <c r="P204" s="21">
        <f>Graph_Oil!P71</f>
        <v>1970.4002067208112</v>
      </c>
      <c r="Q204" s="21">
        <f>Graph_Oil!Q71</f>
        <v>2342.0845275253664</v>
      </c>
      <c r="R204" s="21">
        <f>Graph_Oil!R71</f>
        <v>2304.0102140516319</v>
      </c>
      <c r="S204" s="21">
        <f>Graph_Oil!S71</f>
        <v>1926.0563211448771</v>
      </c>
      <c r="T204" s="21">
        <f>Graph_Oil!T71</f>
        <v>1882.4780599659257</v>
      </c>
      <c r="U204" s="21">
        <f>Graph_Oil!U71</f>
        <v>1820.0558183871319</v>
      </c>
      <c r="V204" s="21">
        <f>Graph_Oil!V71</f>
        <v>1762.21765330619</v>
      </c>
      <c r="W204" s="21">
        <f>Graph_Oil!W71</f>
        <v>1705.8547220909675</v>
      </c>
      <c r="X204" s="21">
        <f>Graph_Oil!X71</f>
        <v>1678.0963073673065</v>
      </c>
      <c r="Y204" s="21">
        <f>Graph_Oil!Y71</f>
        <v>1642.4304355542818</v>
      </c>
      <c r="Z204" s="21">
        <f>Graph_Oil!Z71</f>
        <v>1603.0269345418028</v>
      </c>
      <c r="AA204" s="21">
        <f>Graph_Oil!AA71</f>
        <v>1566.3470097858983</v>
      </c>
      <c r="AB204" s="21">
        <f>Graph_Oil!AB71</f>
        <v>1533.7860396089966</v>
      </c>
      <c r="AC204" s="21">
        <f>Graph_Oil!AC71</f>
        <v>1505.031651604954</v>
      </c>
      <c r="AD204" s="21">
        <f>Graph_Oil!AD71</f>
        <v>1486.2618223016661</v>
      </c>
      <c r="AE204" s="21">
        <f>Graph_Oil!AE71</f>
        <v>1468.6904486107044</v>
      </c>
      <c r="AF204" s="21">
        <f>Graph_Oil!AF71</f>
        <v>1452.1972189906555</v>
      </c>
      <c r="AG204" s="21">
        <f>Graph_Oil!AG71</f>
        <v>1436.6770960956824</v>
      </c>
      <c r="AH204" s="21">
        <f>Graph_Oil!AH71</f>
        <v>1422.0053145441516</v>
      </c>
      <c r="AI204" s="21">
        <f>Graph_Oil!AI71</f>
        <v>1408.2081677437197</v>
      </c>
      <c r="AJ204" s="21">
        <f>Graph_Oil!AJ71</f>
        <v>1395.2218770965449</v>
      </c>
      <c r="AK204" s="21">
        <f>Graph_Oil!AK71</f>
        <v>1382.9766401520592</v>
      </c>
      <c r="AL204" s="21">
        <f>Graph_Oil!AL71</f>
        <v>1371.4100623299939</v>
      </c>
      <c r="AM204" s="21">
        <f>Graph_Oil!AM71</f>
        <v>1360.4661653575024</v>
      </c>
      <c r="AN204" s="21">
        <f>Graph_Oil!AN71</f>
        <v>1350.0945531974642</v>
      </c>
      <c r="AO204" s="21">
        <f>Graph_Oil!AO71</f>
        <v>1340.2497068040775</v>
      </c>
      <c r="AP204" s="21">
        <f>Graph_Oil!AP71</f>
        <v>1330.8903848932709</v>
      </c>
      <c r="AQ204" s="21">
        <f>Graph_Oil!AQ71</f>
        <v>1359.0323613601167</v>
      </c>
      <c r="AR204" s="81">
        <f>ROW()</f>
        <v>204</v>
      </c>
    </row>
    <row r="205" spans="1:45" s="31" customFormat="1" ht="15" customHeight="1">
      <c r="A205"/>
      <c r="B205" s="124" t="str">
        <f>B$122</f>
        <v>"Other" Natural Gas (industry, heat/hot water, etc.)</v>
      </c>
      <c r="C205"/>
      <c r="D205"/>
      <c r="E205"/>
      <c r="F205"/>
      <c r="G205"/>
      <c r="H205"/>
      <c r="I205" s="21">
        <f>Graph_Oil!I72</f>
        <v>0</v>
      </c>
      <c r="J205" s="21">
        <f>Graph_Oil!J72</f>
        <v>0</v>
      </c>
      <c r="K205" s="21">
        <f>Graph_Oil!K72</f>
        <v>0</v>
      </c>
      <c r="L205" s="21">
        <f>Graph_Oil!L72</f>
        <v>0</v>
      </c>
      <c r="M205" s="21">
        <f>Graph_Oil!M72</f>
        <v>0</v>
      </c>
      <c r="N205" s="21">
        <f>Graph_Oil!N72</f>
        <v>0</v>
      </c>
      <c r="O205" s="21">
        <f>Graph_Oil!O72</f>
        <v>0</v>
      </c>
      <c r="P205" s="21">
        <f>Graph_Oil!P72</f>
        <v>0</v>
      </c>
      <c r="Q205" s="21">
        <f>Graph_Oil!Q72</f>
        <v>0</v>
      </c>
      <c r="R205" s="21">
        <f>Graph_Oil!R72</f>
        <v>0</v>
      </c>
      <c r="S205" s="21">
        <f>Graph_Oil!S72</f>
        <v>0</v>
      </c>
      <c r="T205" s="21">
        <f>Graph_Oil!T72</f>
        <v>0</v>
      </c>
      <c r="U205" s="21">
        <f>Graph_Oil!U72</f>
        <v>0</v>
      </c>
      <c r="V205" s="21">
        <f>Graph_Oil!V72</f>
        <v>0</v>
      </c>
      <c r="W205" s="21">
        <f>Graph_Oil!W72</f>
        <v>0</v>
      </c>
      <c r="X205" s="21">
        <f>Graph_Oil!X72</f>
        <v>0</v>
      </c>
      <c r="Y205" s="21">
        <f>Graph_Oil!Y72</f>
        <v>0</v>
      </c>
      <c r="Z205" s="21">
        <f>Graph_Oil!Z72</f>
        <v>0</v>
      </c>
      <c r="AA205" s="21">
        <f>Graph_Oil!AA72</f>
        <v>0</v>
      </c>
      <c r="AB205" s="21">
        <f>Graph_Oil!AB72</f>
        <v>0</v>
      </c>
      <c r="AC205" s="21">
        <f>Graph_Oil!AC72</f>
        <v>0</v>
      </c>
      <c r="AD205" s="21">
        <f>Graph_Oil!AD72</f>
        <v>0</v>
      </c>
      <c r="AE205" s="21">
        <f>Graph_Oil!AE72</f>
        <v>0</v>
      </c>
      <c r="AF205" s="21">
        <f>Graph_Oil!AF72</f>
        <v>0</v>
      </c>
      <c r="AG205" s="21">
        <f>Graph_Oil!AG72</f>
        <v>0</v>
      </c>
      <c r="AH205" s="21">
        <f>Graph_Oil!AH72</f>
        <v>0</v>
      </c>
      <c r="AI205" s="21">
        <f>Graph_Oil!AI72</f>
        <v>0</v>
      </c>
      <c r="AJ205" s="21">
        <f>Graph_Oil!AJ72</f>
        <v>0</v>
      </c>
      <c r="AK205" s="21">
        <f>Graph_Oil!AK72</f>
        <v>0</v>
      </c>
      <c r="AL205" s="21">
        <f>Graph_Oil!AL72</f>
        <v>0</v>
      </c>
      <c r="AM205" s="21">
        <f>Graph_Oil!AM72</f>
        <v>0</v>
      </c>
      <c r="AN205" s="21">
        <f>Graph_Oil!AN72</f>
        <v>0</v>
      </c>
      <c r="AO205" s="21">
        <f>Graph_Oil!AO72</f>
        <v>0</v>
      </c>
      <c r="AP205" s="21">
        <f>Graph_Oil!AP72</f>
        <v>0</v>
      </c>
      <c r="AQ205" s="21">
        <f>Graph_Oil!AQ72</f>
        <v>0</v>
      </c>
      <c r="AR205" s="81">
        <f>ROW()</f>
        <v>205</v>
      </c>
    </row>
    <row r="206" spans="1:45" s="31" customFormat="1" ht="15" customHeight="1">
      <c r="A206"/>
      <c r="B206" s="124" t="str">
        <f>B$123</f>
        <v>Misc. (non-electric coal, non-energy FF's, U.S. territories)</v>
      </c>
      <c r="H206" s="32"/>
      <c r="I206" s="21">
        <f>Graph_Oil!I73</f>
        <v>2545.6846714185467</v>
      </c>
      <c r="J206" s="21">
        <f>Graph_Oil!J73</f>
        <v>2470.3223535284601</v>
      </c>
      <c r="K206" s="21">
        <f>Graph_Oil!K73</f>
        <v>2371.0714383400455</v>
      </c>
      <c r="L206" s="21">
        <f>Graph_Oil!L73</f>
        <v>2273.1121581380876</v>
      </c>
      <c r="M206" s="21">
        <f>Graph_Oil!M73</f>
        <v>2085.6131798136817</v>
      </c>
      <c r="N206" s="21">
        <f>Graph_Oil!N73</f>
        <v>2205.5113343012285</v>
      </c>
      <c r="O206" s="21">
        <f>Graph_Oil!O73</f>
        <v>2143.7968763565564</v>
      </c>
      <c r="P206" s="21">
        <f>Graph_Oil!P73</f>
        <v>2087.7381358771968</v>
      </c>
      <c r="Q206" s="21">
        <f>Graph_Oil!Q73</f>
        <v>2173.3803653875598</v>
      </c>
      <c r="R206" s="21">
        <f>Graph_Oil!R73</f>
        <v>2145.638766775251</v>
      </c>
      <c r="S206" s="21">
        <f>Graph_Oil!S73</f>
        <v>2130.6415718488183</v>
      </c>
      <c r="T206" s="21">
        <f>Graph_Oil!T73</f>
        <v>2113.7946267199641</v>
      </c>
      <c r="U206" s="21">
        <f>Graph_Oil!U73</f>
        <v>2078.1661710370499</v>
      </c>
      <c r="V206" s="21">
        <f>Graph_Oil!V73</f>
        <v>2045.0330864277926</v>
      </c>
      <c r="W206" s="21">
        <f>Graph_Oil!W73</f>
        <v>2014.0988285515166</v>
      </c>
      <c r="X206" s="21">
        <f>Graph_Oil!X73</f>
        <v>1984.126037477746</v>
      </c>
      <c r="Y206" s="21">
        <f>Graph_Oil!Y73</f>
        <v>1957.926599489299</v>
      </c>
      <c r="Z206" s="21">
        <f>Graph_Oil!Z73</f>
        <v>1933.168841392019</v>
      </c>
      <c r="AA206" s="21">
        <f>Graph_Oil!AA73</f>
        <v>1909.7151248133841</v>
      </c>
      <c r="AB206" s="21">
        <f>Graph_Oil!AB73</f>
        <v>1887.4446590321691</v>
      </c>
      <c r="AC206" s="21">
        <f>Graph_Oil!AC73</f>
        <v>1866.250928623497</v>
      </c>
      <c r="AD206" s="21">
        <f>Graph_Oil!AD73</f>
        <v>1846.0395873164268</v>
      </c>
      <c r="AE206" s="21">
        <f>Graph_Oil!AE73</f>
        <v>1826.7267212785387</v>
      </c>
      <c r="AF206" s="21">
        <f>Graph_Oil!AF73</f>
        <v>1808.2374075330988</v>
      </c>
      <c r="AG206" s="21">
        <f>Graph_Oil!AG73</f>
        <v>1790.5045099546248</v>
      </c>
      <c r="AH206" s="21">
        <f>Graph_Oil!AH73</f>
        <v>1773.0010810387148</v>
      </c>
      <c r="AI206" s="21">
        <f>Graph_Oil!AI73</f>
        <v>1755.1899809489496</v>
      </c>
      <c r="AJ206" s="21">
        <f>Graph_Oil!AJ73</f>
        <v>1738.0014061801</v>
      </c>
      <c r="AK206" s="21">
        <f>Graph_Oil!AK73</f>
        <v>1721.3887883444868</v>
      </c>
      <c r="AL206" s="21">
        <f>Graph_Oil!AL73</f>
        <v>1705.3098098916928</v>
      </c>
      <c r="AM206" s="21">
        <f>Graph_Oil!AM73</f>
        <v>1689.7259234293479</v>
      </c>
      <c r="AN206" s="21">
        <f>Graph_Oil!AN73</f>
        <v>1674.6019366745497</v>
      </c>
      <c r="AO206" s="21">
        <f>Graph_Oil!AO73</f>
        <v>1659.9056526869083</v>
      </c>
      <c r="AP206" s="21">
        <f>Graph_Oil!AP73</f>
        <v>1645.607556872571</v>
      </c>
      <c r="AQ206" s="21">
        <f>Graph_Oil!AQ73</f>
        <v>1631.6805437250332</v>
      </c>
      <c r="AR206" s="81">
        <f>ROW()</f>
        <v>206</v>
      </c>
      <c r="AS206" s="21"/>
    </row>
    <row r="207" spans="1:45" s="31" customFormat="1" ht="15" customHeight="1">
      <c r="A207"/>
      <c r="H207" s="32"/>
      <c r="M207" s="126"/>
      <c r="N207" s="126"/>
      <c r="O207" s="126"/>
      <c r="P207" s="126"/>
      <c r="Q207" s="126"/>
      <c r="R207" s="126"/>
      <c r="S207" s="126"/>
      <c r="T207" s="35"/>
      <c r="U207" s="34"/>
      <c r="V207" s="34"/>
      <c r="W207" s="34"/>
      <c r="X207" s="34"/>
      <c r="Y207" s="34"/>
      <c r="Z207" s="34"/>
      <c r="AA207" s="34"/>
      <c r="AB207" s="34"/>
      <c r="AC207" s="34"/>
      <c r="AD207" s="34"/>
      <c r="AE207" s="34"/>
      <c r="AF207" s="34"/>
      <c r="AG207" s="34"/>
      <c r="AH207" s="34"/>
      <c r="AI207" s="34"/>
      <c r="AJ207" s="34"/>
      <c r="AK207" s="34"/>
      <c r="AL207" s="34"/>
      <c r="AM207" s="34"/>
      <c r="AN207" s="34"/>
      <c r="AO207" s="34"/>
      <c r="AP207" s="34"/>
      <c r="AQ207" s="34"/>
      <c r="AR207" s="81">
        <f>ROW()</f>
        <v>207</v>
      </c>
    </row>
    <row r="208" spans="1:45" s="31" customFormat="1" ht="15" customHeight="1">
      <c r="H208" s="32"/>
      <c r="M208" s="126"/>
      <c r="N208" s="126"/>
      <c r="O208" s="126"/>
      <c r="Q208" s="400" t="s">
        <v>483</v>
      </c>
      <c r="R208" s="400"/>
      <c r="S208" s="400"/>
      <c r="T208">
        <f t="shared" ref="T208:AQ208" si="118">T$79</f>
        <v>1</v>
      </c>
      <c r="U208">
        <f t="shared" si="118"/>
        <v>2</v>
      </c>
      <c r="V208">
        <f t="shared" si="118"/>
        <v>3</v>
      </c>
      <c r="W208">
        <f t="shared" si="118"/>
        <v>4</v>
      </c>
      <c r="X208">
        <f t="shared" si="118"/>
        <v>5</v>
      </c>
      <c r="Y208">
        <f t="shared" si="118"/>
        <v>6</v>
      </c>
      <c r="Z208">
        <f t="shared" si="118"/>
        <v>7</v>
      </c>
      <c r="AA208">
        <f t="shared" si="118"/>
        <v>8</v>
      </c>
      <c r="AB208">
        <f t="shared" si="118"/>
        <v>9</v>
      </c>
      <c r="AC208">
        <f t="shared" si="118"/>
        <v>10</v>
      </c>
      <c r="AD208">
        <f t="shared" si="118"/>
        <v>11</v>
      </c>
      <c r="AE208">
        <f t="shared" si="118"/>
        <v>12</v>
      </c>
      <c r="AF208">
        <f t="shared" si="118"/>
        <v>13</v>
      </c>
      <c r="AG208">
        <f t="shared" si="118"/>
        <v>14</v>
      </c>
      <c r="AH208">
        <f t="shared" si="118"/>
        <v>15</v>
      </c>
      <c r="AI208">
        <f t="shared" si="118"/>
        <v>16</v>
      </c>
      <c r="AJ208">
        <f t="shared" si="118"/>
        <v>17</v>
      </c>
      <c r="AK208">
        <f t="shared" si="118"/>
        <v>18</v>
      </c>
      <c r="AL208">
        <f t="shared" si="118"/>
        <v>19</v>
      </c>
      <c r="AM208">
        <f t="shared" si="118"/>
        <v>20</v>
      </c>
      <c r="AN208">
        <f t="shared" si="118"/>
        <v>21</v>
      </c>
      <c r="AO208">
        <f t="shared" si="118"/>
        <v>22</v>
      </c>
      <c r="AP208">
        <f t="shared" si="118"/>
        <v>23</v>
      </c>
      <c r="AQ208">
        <f t="shared" si="118"/>
        <v>24</v>
      </c>
      <c r="AR208" s="81">
        <f>ROW()</f>
        <v>208</v>
      </c>
    </row>
    <row r="209" spans="1:44" s="31" customFormat="1" ht="15" customHeight="1">
      <c r="H209" s="32"/>
      <c r="M209" s="126"/>
      <c r="N209" s="126"/>
      <c r="O209" s="126"/>
      <c r="P209" s="126"/>
      <c r="Q209" s="126"/>
      <c r="R209" s="126"/>
      <c r="S209" s="126"/>
      <c r="T209" s="35"/>
      <c r="U209" s="34"/>
      <c r="V209" s="34"/>
      <c r="W209" s="34"/>
      <c r="X209" s="34"/>
      <c r="Y209" s="34"/>
      <c r="Z209" s="34"/>
      <c r="AA209" s="34"/>
      <c r="AB209" s="34"/>
      <c r="AC209" s="34"/>
      <c r="AD209" s="34"/>
      <c r="AE209" s="34"/>
      <c r="AF209" s="34"/>
      <c r="AG209" s="34"/>
      <c r="AH209" s="34"/>
      <c r="AI209" s="34"/>
      <c r="AJ209" s="34"/>
      <c r="AK209" s="34"/>
      <c r="AL209" s="34"/>
      <c r="AM209" s="34"/>
      <c r="AN209" s="34"/>
      <c r="AO209" s="34"/>
      <c r="AP209" s="34"/>
      <c r="AQ209" s="34"/>
      <c r="AR209" s="81">
        <f>ROW()</f>
        <v>209</v>
      </c>
    </row>
    <row r="210" spans="1:44" s="31" customFormat="1" ht="15" customHeight="1">
      <c r="B210" s="1" t="s">
        <v>495</v>
      </c>
      <c r="D210" s="415"/>
      <c r="E210" s="416"/>
      <c r="F210" s="416"/>
      <c r="G210" s="417" t="s">
        <v>511</v>
      </c>
      <c r="H210" s="418" t="s">
        <v>352</v>
      </c>
      <c r="I210" s="13">
        <f>I$110</f>
        <v>2005</v>
      </c>
      <c r="J210" s="13">
        <f t="shared" ref="J210:AQ210" si="119">J$110</f>
        <v>2006</v>
      </c>
      <c r="K210" s="13">
        <f t="shared" si="119"/>
        <v>2007</v>
      </c>
      <c r="L210" s="13">
        <f t="shared" si="119"/>
        <v>2008</v>
      </c>
      <c r="M210" s="13">
        <f t="shared" si="119"/>
        <v>2009</v>
      </c>
      <c r="N210" s="13">
        <f t="shared" si="119"/>
        <v>2010</v>
      </c>
      <c r="O210" s="13">
        <f t="shared" si="119"/>
        <v>2011</v>
      </c>
      <c r="P210" s="13">
        <f t="shared" si="119"/>
        <v>2012</v>
      </c>
      <c r="Q210" s="13">
        <f t="shared" si="119"/>
        <v>2013</v>
      </c>
      <c r="R210" s="13">
        <f t="shared" si="119"/>
        <v>2014</v>
      </c>
      <c r="S210" s="13">
        <f t="shared" si="119"/>
        <v>2015</v>
      </c>
      <c r="T210" s="13">
        <f t="shared" si="119"/>
        <v>2017</v>
      </c>
      <c r="U210" s="13">
        <f t="shared" si="119"/>
        <v>2018</v>
      </c>
      <c r="V210" s="13">
        <f t="shared" si="119"/>
        <v>2019</v>
      </c>
      <c r="W210" s="13">
        <f t="shared" si="119"/>
        <v>2020</v>
      </c>
      <c r="X210" s="13">
        <f t="shared" si="119"/>
        <v>2021</v>
      </c>
      <c r="Y210" s="13">
        <f t="shared" si="119"/>
        <v>2022</v>
      </c>
      <c r="Z210" s="13">
        <f t="shared" si="119"/>
        <v>2023</v>
      </c>
      <c r="AA210" s="13">
        <f t="shared" si="119"/>
        <v>2024</v>
      </c>
      <c r="AB210" s="13">
        <f t="shared" si="119"/>
        <v>2025</v>
      </c>
      <c r="AC210" s="13">
        <f t="shared" si="119"/>
        <v>2026</v>
      </c>
      <c r="AD210" s="13">
        <f t="shared" si="119"/>
        <v>2027</v>
      </c>
      <c r="AE210" s="13">
        <f t="shared" si="119"/>
        <v>2028</v>
      </c>
      <c r="AF210" s="13">
        <f t="shared" si="119"/>
        <v>2029</v>
      </c>
      <c r="AG210" s="13">
        <f t="shared" si="119"/>
        <v>2030</v>
      </c>
      <c r="AH210" s="13">
        <f t="shared" si="119"/>
        <v>2031</v>
      </c>
      <c r="AI210" s="13">
        <f t="shared" si="119"/>
        <v>2032</v>
      </c>
      <c r="AJ210" s="13">
        <f t="shared" si="119"/>
        <v>2033</v>
      </c>
      <c r="AK210" s="13">
        <f t="shared" si="119"/>
        <v>2034</v>
      </c>
      <c r="AL210" s="13">
        <f t="shared" si="119"/>
        <v>2035</v>
      </c>
      <c r="AM210" s="13">
        <f t="shared" si="119"/>
        <v>2036</v>
      </c>
      <c r="AN210" s="13">
        <f t="shared" si="119"/>
        <v>2037</v>
      </c>
      <c r="AO210" s="13">
        <f t="shared" si="119"/>
        <v>2038</v>
      </c>
      <c r="AP210" s="13">
        <f t="shared" si="119"/>
        <v>2039</v>
      </c>
      <c r="AQ210" s="13">
        <f t="shared" si="119"/>
        <v>2040</v>
      </c>
      <c r="AR210" s="81">
        <f>ROW()</f>
        <v>210</v>
      </c>
    </row>
    <row r="211" spans="1:44" s="31" customFormat="1" ht="15" customHeight="1">
      <c r="D211" s="1121" t="s">
        <v>535</v>
      </c>
      <c r="E211" s="1122"/>
      <c r="F211" s="1122"/>
      <c r="G211" s="1122"/>
      <c r="H211" s="1122"/>
      <c r="I211" s="1123"/>
      <c r="M211" s="126"/>
      <c r="N211" s="126"/>
      <c r="O211" s="126"/>
      <c r="P211" s="126"/>
      <c r="Q211" s="126"/>
      <c r="R211" s="126"/>
      <c r="S211" s="126"/>
      <c r="T211" s="35"/>
      <c r="U211" s="34"/>
      <c r="V211" s="34"/>
      <c r="W211" s="34"/>
      <c r="X211" s="34"/>
      <c r="Y211" s="34"/>
      <c r="Z211" s="34"/>
      <c r="AA211" s="34"/>
      <c r="AB211" s="34"/>
      <c r="AC211" s="34"/>
      <c r="AD211" s="34"/>
      <c r="AE211" s="34"/>
      <c r="AF211" s="34"/>
      <c r="AG211" s="34"/>
      <c r="AH211" s="34"/>
      <c r="AI211" s="34"/>
      <c r="AJ211" s="34"/>
      <c r="AK211" s="34"/>
      <c r="AL211" s="34"/>
      <c r="AM211" s="34"/>
      <c r="AN211" s="34"/>
      <c r="AO211" s="34"/>
      <c r="AP211" s="34"/>
      <c r="AQ211" s="34"/>
      <c r="AR211" s="81">
        <f>ROW()</f>
        <v>211</v>
      </c>
    </row>
    <row r="212" spans="1:44" s="8" customFormat="1" ht="15" customHeight="1">
      <c r="A212" s="31"/>
      <c r="B212" s="8" t="s">
        <v>277</v>
      </c>
      <c r="G212" s="84" t="s">
        <v>1197</v>
      </c>
      <c r="H212" s="23"/>
      <c r="M212" s="129"/>
      <c r="N212" s="129"/>
      <c r="O212" s="129"/>
      <c r="P212" s="129"/>
      <c r="Q212" s="129"/>
      <c r="R212" s="129"/>
      <c r="S212" s="129"/>
      <c r="T212" s="204">
        <f>(Electricity!T80+'Personal Ground Travel'!T79+Freight!T72+Aviation!T72+'Oil Refining'!T86+Other_Petrol!T75+'Other_Natural Gas'!T82+Miscellany!T85)</f>
        <v>59.996132853372941</v>
      </c>
      <c r="U212" s="204">
        <f>(Electricity!U80+'Personal Ground Travel'!U79+Freight!U72+Aviation!U72+'Oil Refining'!U86+Other_Petrol!U75+'Other_Natural Gas'!U82+Miscellany!U85)</f>
        <v>116.75998131258092</v>
      </c>
      <c r="V212" s="204">
        <f>(Electricity!V80+'Personal Ground Travel'!V79+Freight!V72+Aviation!V72+'Oil Refining'!V86+Other_Petrol!V75+'Other_Natural Gas'!V82+Miscellany!V85)</f>
        <v>170.82843867265058</v>
      </c>
      <c r="W212" s="204">
        <f>(Electricity!W80+'Personal Ground Travel'!W79+Freight!W72+Aviation!W72+'Oil Refining'!W86+Other_Petrol!W75+'Other_Natural Gas'!W82+Miscellany!W85)</f>
        <v>222.7906789024224</v>
      </c>
      <c r="X212" s="204">
        <f>(Electricity!X80+'Personal Ground Travel'!X79+Freight!X72+Aviation!X72+'Oil Refining'!X86+Other_Petrol!X75+'Other_Natural Gas'!X82+Miscellany!X85)</f>
        <v>273.09212622721429</v>
      </c>
      <c r="Y212" s="204">
        <f>(Electricity!Y80+'Personal Ground Travel'!Y79+Freight!Y72+Aviation!Y72+'Oil Refining'!Y86+Other_Petrol!Y75+'Other_Natural Gas'!Y82+Miscellany!Y85)</f>
        <v>322.57248738535253</v>
      </c>
      <c r="Z212" s="204">
        <f>(Electricity!Z80+'Personal Ground Travel'!Z79+Freight!Z72+Aviation!Z72+'Oil Refining'!Z86+Other_Petrol!Z75+'Other_Natural Gas'!Z82+Miscellany!Z85)</f>
        <v>371.29547672226118</v>
      </c>
      <c r="AA212" s="204">
        <f>(Electricity!AA80+'Personal Ground Travel'!AA79+Freight!AA72+Aviation!AA72+'Oil Refining'!AA86+Other_Petrol!AA75+'Other_Natural Gas'!AA82+Miscellany!AA85)</f>
        <v>419.60012416608771</v>
      </c>
      <c r="AB212" s="204">
        <f>(Electricity!AB80+'Personal Ground Travel'!AB79+Freight!AB72+Aviation!AB72+'Oil Refining'!AB86+Other_Petrol!AB75+'Other_Natural Gas'!AB82+Miscellany!AB85)</f>
        <v>466.99795493506213</v>
      </c>
      <c r="AC212" s="204">
        <f>(Electricity!AC80+'Personal Ground Travel'!AC79+Freight!AC72+Aviation!AC72+'Oil Refining'!AC86+Other_Petrol!AC75+'Other_Natural Gas'!AC82+Miscellany!AC85)</f>
        <v>513.77963688741124</v>
      </c>
      <c r="AD212" s="204">
        <f>(Electricity!AD80+'Personal Ground Travel'!AD79+Freight!AD72+Aviation!AD72+'Oil Refining'!AD86+Other_Petrol!AD75+'Other_Natural Gas'!AD82+Miscellany!AD85)</f>
        <v>558.91978723207546</v>
      </c>
      <c r="AE212" s="204">
        <f>(Electricity!AE80+'Personal Ground Travel'!AE79+Freight!AE72+Aviation!AE72+'Oil Refining'!AE86+Other_Petrol!AE75+'Other_Natural Gas'!AE82+Miscellany!AE85)</f>
        <v>603.68051331492813</v>
      </c>
      <c r="AF212" s="204">
        <f>(Electricity!AF80+'Personal Ground Travel'!AF79+Freight!AF72+Aviation!AF72+'Oil Refining'!AF86+Other_Petrol!AF75+'Other_Natural Gas'!AF82+Miscellany!AF85)</f>
        <v>648.41406438622255</v>
      </c>
      <c r="AG212" s="204">
        <f>(Electricity!AG80+'Personal Ground Travel'!AG79+Freight!AG72+Aviation!AG72+'Oil Refining'!AG86+Other_Petrol!AG75+'Other_Natural Gas'!AG82+Miscellany!AG85)</f>
        <v>692.96484719041143</v>
      </c>
      <c r="AH212" s="204">
        <f>(Electricity!AH80+'Personal Ground Travel'!AH79+Freight!AH72+Aviation!AH72+'Oil Refining'!AH86+Other_Petrol!AH75+'Other_Natural Gas'!AH82+Miscellany!AH85)</f>
        <v>737.92214924942868</v>
      </c>
      <c r="AI212" s="204">
        <f>(Electricity!AI80+'Personal Ground Travel'!AI79+Freight!AI72+Aviation!AI72+'Oil Refining'!AI86+Other_Petrol!AI75+'Other_Natural Gas'!AI82+Miscellany!AI85)</f>
        <v>782.77669010037948</v>
      </c>
      <c r="AJ212" s="204">
        <f>(Electricity!AJ80+'Personal Ground Travel'!AJ79+Freight!AJ72+Aviation!AJ72+'Oil Refining'!AJ86+Other_Petrol!AJ75+'Other_Natural Gas'!AJ82+Miscellany!AJ85)</f>
        <v>827.87755177920371</v>
      </c>
      <c r="AK212" s="204">
        <f>(Electricity!AK80+'Personal Ground Travel'!AK79+Freight!AK72+Aviation!AK72+'Oil Refining'!AK86+Other_Petrol!AK75+'Other_Natural Gas'!AK82+Miscellany!AK85)</f>
        <v>872.94823231278428</v>
      </c>
      <c r="AL212" s="204">
        <f>(Electricity!AL80+'Personal Ground Travel'!AL79+Freight!AL72+Aviation!AL72+'Oil Refining'!AL86+Other_Petrol!AL75+'Other_Natural Gas'!AL82+Miscellany!AL85)</f>
        <v>918.10957557551615</v>
      </c>
      <c r="AM212" s="204">
        <f>(Electricity!AM80+'Personal Ground Travel'!AM79+Freight!AM72+Aviation!AM72+'Oil Refining'!AM86+Other_Petrol!AM75+'Other_Natural Gas'!AM82+Miscellany!AM85)</f>
        <v>963.78021025388421</v>
      </c>
      <c r="AN212" s="204">
        <f>(Electricity!AN80+'Personal Ground Travel'!AN79+Freight!AN72+Aviation!AN72+'Oil Refining'!AN86+Other_Petrol!AN75+'Other_Natural Gas'!AN82+Miscellany!AN85)</f>
        <v>1009.6769106526688</v>
      </c>
      <c r="AO212" s="204">
        <f>(Electricity!AO80+'Personal Ground Travel'!AO79+Freight!AO72+Aviation!AO72+'Oil Refining'!AO86+Other_Petrol!AO75+'Other_Natural Gas'!AO82+Miscellany!AO85)</f>
        <v>1055.8148949774481</v>
      </c>
      <c r="AP212" s="204">
        <f>(Electricity!AP80+'Personal Ground Travel'!AP79+Freight!AP72+Aviation!AP72+'Oil Refining'!AP86+Other_Petrol!AP75+'Other_Natural Gas'!AP82+Miscellany!AP85)</f>
        <v>1102.4080731622867</v>
      </c>
      <c r="AQ212" s="204">
        <f>(Electricity!AQ80+'Personal Ground Travel'!AQ79+Freight!AQ72+Aviation!AQ72+'Oil Refining'!AQ86+Other_Petrol!AQ75+'Other_Natural Gas'!AQ82+Miscellany!AQ85)</f>
        <v>1161.3853615987346</v>
      </c>
      <c r="AR212" s="81">
        <f>ROW()</f>
        <v>212</v>
      </c>
    </row>
    <row r="213" spans="1:44" ht="15" customHeight="1">
      <c r="A213" s="8"/>
      <c r="AR213" s="81">
        <f>ROW()</f>
        <v>213</v>
      </c>
    </row>
    <row r="214" spans="1:44" ht="15" customHeight="1">
      <c r="B214" s="8" t="s">
        <v>312</v>
      </c>
      <c r="G214" s="84" t="str">
        <f>CONCATENATE("Sum of this year's revenues in Row ",$AR$212, " and prior year's cumulative revenues in this Row (",AR214, ").")</f>
        <v>Sum of this year's revenues in Row 212 and prior year's cumulative revenues in this Row (214).</v>
      </c>
      <c r="T214" s="236">
        <f>P214+T212</f>
        <v>59.996132853372941</v>
      </c>
      <c r="U214" s="236">
        <f t="shared" ref="U214:AQ214" si="120">T214+U212</f>
        <v>176.75611416595387</v>
      </c>
      <c r="V214" s="236">
        <f t="shared" si="120"/>
        <v>347.58455283860445</v>
      </c>
      <c r="W214" s="236">
        <f t="shared" si="120"/>
        <v>570.37523174102682</v>
      </c>
      <c r="X214" s="236">
        <f t="shared" si="120"/>
        <v>843.46735796824112</v>
      </c>
      <c r="Y214" s="236">
        <f t="shared" si="120"/>
        <v>1166.0398453535936</v>
      </c>
      <c r="Z214" s="236">
        <f t="shared" si="120"/>
        <v>1537.3353220758547</v>
      </c>
      <c r="AA214" s="236">
        <f t="shared" si="120"/>
        <v>1956.9354462419424</v>
      </c>
      <c r="AB214" s="236">
        <f t="shared" si="120"/>
        <v>2423.9334011770043</v>
      </c>
      <c r="AC214" s="236">
        <f t="shared" si="120"/>
        <v>2937.7130380644157</v>
      </c>
      <c r="AD214" s="236">
        <f t="shared" si="120"/>
        <v>3496.6328252964913</v>
      </c>
      <c r="AE214" s="236">
        <f t="shared" si="120"/>
        <v>4100.3133386114196</v>
      </c>
      <c r="AF214" s="236">
        <f t="shared" si="120"/>
        <v>4748.7274029976425</v>
      </c>
      <c r="AG214" s="236">
        <f t="shared" si="120"/>
        <v>5441.6922501880535</v>
      </c>
      <c r="AH214" s="236">
        <f t="shared" si="120"/>
        <v>6179.6143994374825</v>
      </c>
      <c r="AI214" s="236">
        <f t="shared" si="120"/>
        <v>6962.3910895378622</v>
      </c>
      <c r="AJ214" s="236">
        <f t="shared" si="120"/>
        <v>7790.2686413170659</v>
      </c>
      <c r="AK214" s="236">
        <f t="shared" si="120"/>
        <v>8663.2168736298499</v>
      </c>
      <c r="AL214" s="236">
        <f t="shared" si="120"/>
        <v>9581.3264492053659</v>
      </c>
      <c r="AM214" s="236">
        <f t="shared" si="120"/>
        <v>10545.10665945925</v>
      </c>
      <c r="AN214" s="236">
        <f t="shared" si="120"/>
        <v>11554.783570111918</v>
      </c>
      <c r="AO214" s="236">
        <f t="shared" si="120"/>
        <v>12610.598465089366</v>
      </c>
      <c r="AP214" s="236">
        <f t="shared" si="120"/>
        <v>13713.006538251653</v>
      </c>
      <c r="AQ214" s="236">
        <f t="shared" si="120"/>
        <v>14874.391899850387</v>
      </c>
      <c r="AR214" s="81">
        <f>ROW()</f>
        <v>214</v>
      </c>
    </row>
    <row r="215" spans="1:44" ht="15" customHeight="1">
      <c r="B215" s="31"/>
      <c r="M215"/>
      <c r="N215"/>
      <c r="O215"/>
      <c r="P215"/>
      <c r="Q215" s="498"/>
      <c r="R215" s="696"/>
      <c r="S215" s="761"/>
      <c r="AR215" s="81">
        <f>ROW()</f>
        <v>215</v>
      </c>
    </row>
    <row r="216" spans="1:44" ht="15" customHeight="1">
      <c r="B216" s="31" t="s">
        <v>498</v>
      </c>
      <c r="M216"/>
      <c r="N216"/>
      <c r="O216"/>
      <c r="P216"/>
      <c r="Q216" s="498"/>
      <c r="R216" s="696"/>
      <c r="S216" s="761"/>
      <c r="T216" s="5">
        <v>0</v>
      </c>
      <c r="U216" s="5">
        <v>0</v>
      </c>
      <c r="V216" s="5">
        <v>0</v>
      </c>
      <c r="W216" s="5">
        <v>0</v>
      </c>
      <c r="X216" s="5">
        <v>0</v>
      </c>
      <c r="Y216" s="5">
        <v>0</v>
      </c>
      <c r="Z216" s="5">
        <v>0</v>
      </c>
      <c r="AA216" s="5">
        <v>0</v>
      </c>
      <c r="AB216" s="5">
        <v>0</v>
      </c>
      <c r="AC216" s="5">
        <v>0</v>
      </c>
      <c r="AD216" s="5">
        <v>0</v>
      </c>
      <c r="AE216" s="5">
        <v>0</v>
      </c>
      <c r="AF216" s="5">
        <v>0</v>
      </c>
      <c r="AG216" s="5">
        <v>0</v>
      </c>
      <c r="AH216" s="5">
        <v>0</v>
      </c>
      <c r="AI216" s="5">
        <v>0</v>
      </c>
      <c r="AJ216" s="5">
        <v>0</v>
      </c>
      <c r="AK216" s="5">
        <v>0</v>
      </c>
      <c r="AL216" s="5">
        <v>0</v>
      </c>
      <c r="AM216" s="5">
        <v>0</v>
      </c>
      <c r="AN216" s="5">
        <v>0</v>
      </c>
      <c r="AO216" s="5">
        <v>0</v>
      </c>
      <c r="AP216" s="5">
        <v>0</v>
      </c>
      <c r="AQ216" s="5">
        <v>0</v>
      </c>
      <c r="AR216" s="81">
        <f>ROW()</f>
        <v>216</v>
      </c>
    </row>
    <row r="217" spans="1:44" ht="15" customHeight="1">
      <c r="B217" s="31"/>
      <c r="M217"/>
      <c r="N217"/>
      <c r="O217"/>
      <c r="P217"/>
      <c r="Q217" s="498"/>
      <c r="R217" s="696"/>
      <c r="S217" s="761"/>
      <c r="AR217" s="81">
        <f>ROW()</f>
        <v>217</v>
      </c>
    </row>
    <row r="218" spans="1:44" ht="15" customHeight="1">
      <c r="B218" s="8" t="s">
        <v>499</v>
      </c>
      <c r="G218" s="84" t="str">
        <f>CONCATENATE("Product of percents in Row ",AR216, " and amounts in Row ",AR212, ".")</f>
        <v>Product of percents in Row 216 and amounts in Row 212.</v>
      </c>
      <c r="T218" s="237">
        <f t="shared" ref="T218:AP218" si="121">T216*T212</f>
        <v>0</v>
      </c>
      <c r="U218" s="237">
        <f t="shared" si="121"/>
        <v>0</v>
      </c>
      <c r="V218" s="237">
        <f t="shared" si="121"/>
        <v>0</v>
      </c>
      <c r="W218" s="237">
        <f t="shared" si="121"/>
        <v>0</v>
      </c>
      <c r="X218" s="237">
        <f t="shared" si="121"/>
        <v>0</v>
      </c>
      <c r="Y218" s="237">
        <f t="shared" si="121"/>
        <v>0</v>
      </c>
      <c r="Z218" s="237">
        <f t="shared" si="121"/>
        <v>0</v>
      </c>
      <c r="AA218" s="237">
        <f t="shared" si="121"/>
        <v>0</v>
      </c>
      <c r="AB218" s="237">
        <f t="shared" si="121"/>
        <v>0</v>
      </c>
      <c r="AC218" s="237">
        <f t="shared" si="121"/>
        <v>0</v>
      </c>
      <c r="AD218" s="237">
        <f t="shared" si="121"/>
        <v>0</v>
      </c>
      <c r="AE218" s="237">
        <f t="shared" si="121"/>
        <v>0</v>
      </c>
      <c r="AF218" s="237">
        <f t="shared" si="121"/>
        <v>0</v>
      </c>
      <c r="AG218" s="237">
        <f t="shared" si="121"/>
        <v>0</v>
      </c>
      <c r="AH218" s="237">
        <f t="shared" si="121"/>
        <v>0</v>
      </c>
      <c r="AI218" s="237">
        <f t="shared" si="121"/>
        <v>0</v>
      </c>
      <c r="AJ218" s="237">
        <f t="shared" si="121"/>
        <v>0</v>
      </c>
      <c r="AK218" s="237">
        <f t="shared" si="121"/>
        <v>0</v>
      </c>
      <c r="AL218" s="237">
        <f t="shared" si="121"/>
        <v>0</v>
      </c>
      <c r="AM218" s="237">
        <f t="shared" si="121"/>
        <v>0</v>
      </c>
      <c r="AN218" s="237">
        <f t="shared" si="121"/>
        <v>0</v>
      </c>
      <c r="AO218" s="237">
        <f t="shared" si="121"/>
        <v>0</v>
      </c>
      <c r="AP218" s="237">
        <f t="shared" si="121"/>
        <v>0</v>
      </c>
      <c r="AQ218" s="237">
        <f t="shared" ref="AQ218" si="122">AQ216*AQ212</f>
        <v>0</v>
      </c>
      <c r="AR218" s="81">
        <f>ROW()</f>
        <v>218</v>
      </c>
    </row>
    <row r="219" spans="1:44" ht="15" customHeight="1">
      <c r="B219" s="31"/>
      <c r="AR219" s="81">
        <f>ROW()</f>
        <v>219</v>
      </c>
    </row>
    <row r="220" spans="1:44" ht="15" customHeight="1">
      <c r="B220" s="8" t="s">
        <v>500</v>
      </c>
      <c r="G220" s="84" t="str">
        <f>CONCATENATE("Sum of this year's revenues in Row ",$AR$218, " and prior year's cumulative revenues in this Row (",AR220, ").")</f>
        <v>Sum of this year's revenues in Row 218 and prior year's cumulative revenues in this Row (220).</v>
      </c>
      <c r="T220" s="236">
        <f>T218</f>
        <v>0</v>
      </c>
      <c r="U220" s="236">
        <f t="shared" ref="U220:AQ220" si="123">T220+U218</f>
        <v>0</v>
      </c>
      <c r="V220" s="236">
        <f t="shared" si="123"/>
        <v>0</v>
      </c>
      <c r="W220" s="236">
        <f t="shared" si="123"/>
        <v>0</v>
      </c>
      <c r="X220" s="236">
        <f t="shared" si="123"/>
        <v>0</v>
      </c>
      <c r="Y220" s="236">
        <f t="shared" si="123"/>
        <v>0</v>
      </c>
      <c r="Z220" s="236">
        <f t="shared" si="123"/>
        <v>0</v>
      </c>
      <c r="AA220" s="236">
        <f t="shared" si="123"/>
        <v>0</v>
      </c>
      <c r="AB220" s="236">
        <f t="shared" si="123"/>
        <v>0</v>
      </c>
      <c r="AC220" s="236">
        <f t="shared" si="123"/>
        <v>0</v>
      </c>
      <c r="AD220" s="236">
        <f t="shared" si="123"/>
        <v>0</v>
      </c>
      <c r="AE220" s="236">
        <f t="shared" si="123"/>
        <v>0</v>
      </c>
      <c r="AF220" s="236">
        <f t="shared" si="123"/>
        <v>0</v>
      </c>
      <c r="AG220" s="236">
        <f t="shared" si="123"/>
        <v>0</v>
      </c>
      <c r="AH220" s="236">
        <f t="shared" si="123"/>
        <v>0</v>
      </c>
      <c r="AI220" s="236">
        <f t="shared" si="123"/>
        <v>0</v>
      </c>
      <c r="AJ220" s="236">
        <f t="shared" si="123"/>
        <v>0</v>
      </c>
      <c r="AK220" s="236">
        <f t="shared" si="123"/>
        <v>0</v>
      </c>
      <c r="AL220" s="236">
        <f t="shared" si="123"/>
        <v>0</v>
      </c>
      <c r="AM220" s="236">
        <f t="shared" si="123"/>
        <v>0</v>
      </c>
      <c r="AN220" s="236">
        <f t="shared" si="123"/>
        <v>0</v>
      </c>
      <c r="AO220" s="236">
        <f t="shared" si="123"/>
        <v>0</v>
      </c>
      <c r="AP220" s="236">
        <f t="shared" si="123"/>
        <v>0</v>
      </c>
      <c r="AQ220" s="236">
        <f t="shared" si="123"/>
        <v>0</v>
      </c>
      <c r="AR220" s="81">
        <f>ROW()</f>
        <v>220</v>
      </c>
    </row>
    <row r="221" spans="1:44" ht="15" customHeight="1">
      <c r="AR221" s="81">
        <f>ROW()</f>
        <v>221</v>
      </c>
    </row>
    <row r="222" spans="1:44" ht="15" customHeight="1">
      <c r="B222" s="8" t="s">
        <v>501</v>
      </c>
      <c r="G222" s="84" t="str">
        <f>CONCATENATE("Row ",$AR$214, " less Row ",AR220, ". These revenues are therefore available for 'tax-swapping' or 'dividending.'")</f>
        <v>Row 214 less Row 220. These revenues are therefore available for 'tax-swapping' or 'dividending.'</v>
      </c>
      <c r="T222" s="236">
        <f t="shared" ref="T222:AP222" si="124">T214-T220</f>
        <v>59.996132853372941</v>
      </c>
      <c r="U222" s="236">
        <f t="shared" si="124"/>
        <v>176.75611416595387</v>
      </c>
      <c r="V222" s="236">
        <f t="shared" si="124"/>
        <v>347.58455283860445</v>
      </c>
      <c r="W222" s="236">
        <f t="shared" si="124"/>
        <v>570.37523174102682</v>
      </c>
      <c r="X222" s="236">
        <f t="shared" si="124"/>
        <v>843.46735796824112</v>
      </c>
      <c r="Y222" s="236">
        <f t="shared" si="124"/>
        <v>1166.0398453535936</v>
      </c>
      <c r="Z222" s="236">
        <f t="shared" si="124"/>
        <v>1537.3353220758547</v>
      </c>
      <c r="AA222" s="236">
        <f t="shared" si="124"/>
        <v>1956.9354462419424</v>
      </c>
      <c r="AB222" s="236">
        <f t="shared" si="124"/>
        <v>2423.9334011770043</v>
      </c>
      <c r="AC222" s="236">
        <f t="shared" si="124"/>
        <v>2937.7130380644157</v>
      </c>
      <c r="AD222" s="236">
        <f t="shared" si="124"/>
        <v>3496.6328252964913</v>
      </c>
      <c r="AE222" s="236">
        <f t="shared" si="124"/>
        <v>4100.3133386114196</v>
      </c>
      <c r="AF222" s="236">
        <f t="shared" si="124"/>
        <v>4748.7274029976425</v>
      </c>
      <c r="AG222" s="236">
        <f t="shared" si="124"/>
        <v>5441.6922501880535</v>
      </c>
      <c r="AH222" s="236">
        <f t="shared" si="124"/>
        <v>6179.6143994374825</v>
      </c>
      <c r="AI222" s="236">
        <f t="shared" si="124"/>
        <v>6962.3910895378622</v>
      </c>
      <c r="AJ222" s="236">
        <f t="shared" si="124"/>
        <v>7790.2686413170659</v>
      </c>
      <c r="AK222" s="236">
        <f t="shared" si="124"/>
        <v>8663.2168736298499</v>
      </c>
      <c r="AL222" s="236">
        <f t="shared" si="124"/>
        <v>9581.3264492053659</v>
      </c>
      <c r="AM222" s="236">
        <f t="shared" si="124"/>
        <v>10545.10665945925</v>
      </c>
      <c r="AN222" s="236">
        <f t="shared" si="124"/>
        <v>11554.783570111918</v>
      </c>
      <c r="AO222" s="236">
        <f t="shared" si="124"/>
        <v>12610.598465089366</v>
      </c>
      <c r="AP222" s="236">
        <f t="shared" si="124"/>
        <v>13713.006538251653</v>
      </c>
      <c r="AQ222" s="236">
        <f t="shared" ref="AQ222" si="125">AQ214-AQ220</f>
        <v>14874.391899850387</v>
      </c>
      <c r="AR222" s="81">
        <f>ROW()</f>
        <v>222</v>
      </c>
    </row>
    <row r="223" spans="1:44" ht="15" customHeight="1">
      <c r="AR223" s="81">
        <f>ROW()</f>
        <v>223</v>
      </c>
    </row>
    <row r="224" spans="1:44" s="7" customFormat="1" ht="15" customHeight="1">
      <c r="A224"/>
      <c r="B224" s="9" t="s">
        <v>409</v>
      </c>
      <c r="M224" s="130"/>
      <c r="N224" s="130"/>
      <c r="O224" s="130"/>
      <c r="P224" s="130"/>
      <c r="Q224" s="130"/>
      <c r="R224" s="130"/>
      <c r="T224" s="7">
        <v>323.99599999999998</v>
      </c>
      <c r="U224" s="7">
        <v>326.62599999999998</v>
      </c>
      <c r="V224" s="7">
        <v>329.25599999999997</v>
      </c>
      <c r="W224" s="7">
        <v>331.88400000000001</v>
      </c>
      <c r="X224" s="7">
        <v>334.50299999999999</v>
      </c>
      <c r="Y224" s="7">
        <v>337.10899999999998</v>
      </c>
      <c r="Z224" s="7">
        <v>339.69799999999998</v>
      </c>
      <c r="AA224" s="7">
        <v>342.267</v>
      </c>
      <c r="AB224" s="7">
        <v>344.81400000000002</v>
      </c>
      <c r="AC224" s="7">
        <v>347.33499999999998</v>
      </c>
      <c r="AD224" s="7">
        <v>349.82600000000002</v>
      </c>
      <c r="AE224" s="7">
        <v>352.28100000000001</v>
      </c>
      <c r="AF224" s="7">
        <v>354.69799999999998</v>
      </c>
      <c r="AG224" s="7">
        <v>357.07299999999998</v>
      </c>
      <c r="AH224" s="7">
        <v>359.40199999999999</v>
      </c>
      <c r="AI224" s="7">
        <v>361.685</v>
      </c>
      <c r="AJ224" s="7">
        <v>363.92</v>
      </c>
      <c r="AK224" s="7">
        <v>366.10599999999999</v>
      </c>
      <c r="AL224" s="7">
        <v>368.24599999999998</v>
      </c>
      <c r="AM224" s="7">
        <v>370.33800000000002</v>
      </c>
      <c r="AN224" s="7">
        <v>372.39</v>
      </c>
      <c r="AO224" s="7">
        <v>374.40100000000001</v>
      </c>
      <c r="AP224" s="7">
        <v>376.375</v>
      </c>
      <c r="AQ224" s="7">
        <v>378.31299999999999</v>
      </c>
      <c r="AR224" s="81">
        <f>ROW()</f>
        <v>224</v>
      </c>
    </row>
    <row r="225" spans="1:44" ht="15" customHeight="1">
      <c r="A225" s="7"/>
      <c r="B225" s="84" t="s">
        <v>1221</v>
      </c>
      <c r="C225" s="84"/>
      <c r="D225" s="84"/>
      <c r="E225" s="84"/>
      <c r="F225" s="84"/>
      <c r="G225" s="84"/>
      <c r="H225" s="84"/>
      <c r="I225" s="84"/>
      <c r="J225" s="84"/>
      <c r="K225" s="84"/>
      <c r="L225" s="84"/>
      <c r="M225" s="84"/>
      <c r="N225" s="125"/>
      <c r="O225" s="125"/>
      <c r="P225" s="125"/>
      <c r="Q225" s="499"/>
      <c r="R225" s="698"/>
      <c r="S225"/>
      <c r="AR225" s="81">
        <f>ROW()</f>
        <v>225</v>
      </c>
    </row>
    <row r="226" spans="1:44" ht="15" customHeight="1">
      <c r="S226"/>
      <c r="AR226" s="81">
        <f>ROW()</f>
        <v>226</v>
      </c>
    </row>
    <row r="227" spans="1:44" ht="15" customHeight="1">
      <c r="B227" s="8" t="s">
        <v>504</v>
      </c>
      <c r="F227" s="84" t="str">
        <f>CONCATENATE("Assumes 100% of revenues are distributed equally among U.S. residents, i.e., Row ",AR212, " divided by Row ",AR224, "; multiply results by ",I230, " for dividend per household.")</f>
        <v>Assumes 100% of revenues are distributed equally among U.S. residents, i.e., Row 212 divided by Row 224; multiply results by 2.6 for dividend per household.</v>
      </c>
      <c r="S227"/>
      <c r="T227" s="235">
        <f t="shared" ref="T227:AP227" si="126">1000*T212/T224</f>
        <v>185.17553566517162</v>
      </c>
      <c r="U227" s="235">
        <f t="shared" si="126"/>
        <v>357.47301596499028</v>
      </c>
      <c r="V227" s="235">
        <f t="shared" si="126"/>
        <v>518.83166494354111</v>
      </c>
      <c r="W227" s="235">
        <f t="shared" si="126"/>
        <v>671.29080914543147</v>
      </c>
      <c r="X227" s="235">
        <f t="shared" si="126"/>
        <v>816.41159041089111</v>
      </c>
      <c r="Y227" s="235">
        <f t="shared" si="126"/>
        <v>956.87889491337387</v>
      </c>
      <c r="Z227" s="235">
        <f t="shared" si="126"/>
        <v>1093.0163754931179</v>
      </c>
      <c r="AA227" s="235">
        <f t="shared" si="126"/>
        <v>1225.9438513385389</v>
      </c>
      <c r="AB227" s="235">
        <f t="shared" si="126"/>
        <v>1354.3474306004457</v>
      </c>
      <c r="AC227" s="235">
        <f t="shared" si="126"/>
        <v>1479.2049084814696</v>
      </c>
      <c r="AD227" s="235">
        <f t="shared" si="126"/>
        <v>1597.7079669094792</v>
      </c>
      <c r="AE227" s="235">
        <f t="shared" si="126"/>
        <v>1713.6334724692167</v>
      </c>
      <c r="AF227" s="235">
        <f t="shared" si="126"/>
        <v>1828.0736411996193</v>
      </c>
      <c r="AG227" s="235">
        <f t="shared" si="126"/>
        <v>1940.6811693698808</v>
      </c>
      <c r="AH227" s="235">
        <f t="shared" si="126"/>
        <v>2053.1943318329577</v>
      </c>
      <c r="AI227" s="235">
        <f t="shared" si="126"/>
        <v>2164.2498032829108</v>
      </c>
      <c r="AJ227" s="235">
        <f t="shared" si="126"/>
        <v>2274.8888540866224</v>
      </c>
      <c r="AK227" s="235">
        <f t="shared" si="126"/>
        <v>2384.4138919132283</v>
      </c>
      <c r="AL227" s="235">
        <f t="shared" si="126"/>
        <v>2493.1963295609894</v>
      </c>
      <c r="AM227" s="235">
        <f t="shared" si="126"/>
        <v>2602.4340204188716</v>
      </c>
      <c r="AN227" s="235">
        <f t="shared" si="126"/>
        <v>2711.3427069810382</v>
      </c>
      <c r="AO227" s="235">
        <f t="shared" si="126"/>
        <v>2820.0108839918912</v>
      </c>
      <c r="AP227" s="235">
        <f t="shared" si="126"/>
        <v>2929.0151395876096</v>
      </c>
      <c r="AQ227" s="235">
        <f t="shared" ref="AQ227" si="127">1000*AQ212/AQ224</f>
        <v>3069.9060344178883</v>
      </c>
      <c r="AR227" s="81">
        <f>ROW()</f>
        <v>227</v>
      </c>
    </row>
    <row r="228" spans="1:44" ht="15" customHeight="1">
      <c r="S228"/>
      <c r="AR228" s="81">
        <f>ROW()</f>
        <v>228</v>
      </c>
    </row>
    <row r="229" spans="1:44" ht="15" customHeight="1">
      <c r="B229" s="8" t="s">
        <v>313</v>
      </c>
      <c r="E229" s="31"/>
      <c r="F229" s="84" t="str">
        <f>CONCATENATE("Same as note in Row ",AR227, ", except that revenue pie is shrunk by allocations to deficit reduction, so figures are Row ",AR227, " multiplied by complement of Row ",AR216, ".")</f>
        <v>Same as note in Row 227, except that revenue pie is shrunk by allocations to deficit reduction, so figures are Row 227 multiplied by complement of Row 216.</v>
      </c>
      <c r="S229"/>
      <c r="T229" s="235">
        <f t="shared" ref="T229:AQ229" si="128">T227*(1-T216)</f>
        <v>185.17553566517162</v>
      </c>
      <c r="U229" s="235">
        <f t="shared" si="128"/>
        <v>357.47301596499028</v>
      </c>
      <c r="V229" s="235">
        <f t="shared" si="128"/>
        <v>518.83166494354111</v>
      </c>
      <c r="W229" s="235">
        <f t="shared" si="128"/>
        <v>671.29080914543147</v>
      </c>
      <c r="X229" s="235">
        <f t="shared" si="128"/>
        <v>816.41159041089111</v>
      </c>
      <c r="Y229" s="235">
        <f t="shared" si="128"/>
        <v>956.87889491337387</v>
      </c>
      <c r="Z229" s="235">
        <f t="shared" si="128"/>
        <v>1093.0163754931179</v>
      </c>
      <c r="AA229" s="235">
        <f t="shared" si="128"/>
        <v>1225.9438513385389</v>
      </c>
      <c r="AB229" s="235">
        <f t="shared" si="128"/>
        <v>1354.3474306004457</v>
      </c>
      <c r="AC229" s="235">
        <f t="shared" si="128"/>
        <v>1479.2049084814696</v>
      </c>
      <c r="AD229" s="235">
        <f t="shared" si="128"/>
        <v>1597.7079669094792</v>
      </c>
      <c r="AE229" s="235">
        <f t="shared" si="128"/>
        <v>1713.6334724692167</v>
      </c>
      <c r="AF229" s="235">
        <f t="shared" si="128"/>
        <v>1828.0736411996193</v>
      </c>
      <c r="AG229" s="235">
        <f t="shared" si="128"/>
        <v>1940.6811693698808</v>
      </c>
      <c r="AH229" s="235">
        <f t="shared" si="128"/>
        <v>2053.1943318329577</v>
      </c>
      <c r="AI229" s="235">
        <f t="shared" si="128"/>
        <v>2164.2498032829108</v>
      </c>
      <c r="AJ229" s="235">
        <f t="shared" si="128"/>
        <v>2274.8888540866224</v>
      </c>
      <c r="AK229" s="235">
        <f t="shared" si="128"/>
        <v>2384.4138919132283</v>
      </c>
      <c r="AL229" s="235">
        <f t="shared" si="128"/>
        <v>2493.1963295609894</v>
      </c>
      <c r="AM229" s="235">
        <f t="shared" si="128"/>
        <v>2602.4340204188716</v>
      </c>
      <c r="AN229" s="235">
        <f t="shared" si="128"/>
        <v>2711.3427069810382</v>
      </c>
      <c r="AO229" s="235">
        <f t="shared" si="128"/>
        <v>2820.0108839918912</v>
      </c>
      <c r="AP229" s="235">
        <f t="shared" si="128"/>
        <v>2929.0151395876096</v>
      </c>
      <c r="AQ229" s="235">
        <f t="shared" si="128"/>
        <v>3069.9060344178883</v>
      </c>
      <c r="AR229" s="81">
        <f>ROW()</f>
        <v>229</v>
      </c>
    </row>
    <row r="230" spans="1:44" ht="15" customHeight="1">
      <c r="G230" s="1084"/>
      <c r="H230" s="1085" t="s">
        <v>505</v>
      </c>
      <c r="I230" s="1086">
        <v>2.6</v>
      </c>
      <c r="J230" s="515"/>
      <c r="K230" s="515"/>
      <c r="L230" s="515"/>
      <c r="M230" s="1087"/>
      <c r="N230" s="1088" t="s">
        <v>506</v>
      </c>
      <c r="O230" s="1089"/>
      <c r="P230" s="1089"/>
      <c r="Q230" s="1089"/>
      <c r="R230" s="1089"/>
      <c r="S230" s="1090"/>
      <c r="AR230" s="81">
        <f>ROW()</f>
        <v>230</v>
      </c>
    </row>
    <row r="231" spans="1:44" ht="15" customHeight="1">
      <c r="B231" s="8" t="s">
        <v>503</v>
      </c>
      <c r="F231" s="84" t="str">
        <f>CONCATENATE("Per capita dividend in Row ",AR227, ", multiplied by persons per household in Cell I",AR$230, ".")</f>
        <v>Per capita dividend in Row 227, multiplied by persons per household in Cell I230.</v>
      </c>
      <c r="S231"/>
      <c r="T231" s="235">
        <f>T227*$I$230</f>
        <v>481.45639272944624</v>
      </c>
      <c r="U231" s="235">
        <f t="shared" ref="U231:AP231" si="129">U227*$I$230</f>
        <v>929.42984150897473</v>
      </c>
      <c r="V231" s="235">
        <f t="shared" si="129"/>
        <v>1348.9623288532071</v>
      </c>
      <c r="W231" s="235">
        <f t="shared" si="129"/>
        <v>1745.3561037781219</v>
      </c>
      <c r="X231" s="235">
        <f t="shared" si="129"/>
        <v>2122.670135068317</v>
      </c>
      <c r="Y231" s="235">
        <f t="shared" si="129"/>
        <v>2487.8851267747723</v>
      </c>
      <c r="Z231" s="235">
        <f t="shared" si="129"/>
        <v>2841.8425762821066</v>
      </c>
      <c r="AA231" s="235">
        <f t="shared" si="129"/>
        <v>3187.4540134802014</v>
      </c>
      <c r="AB231" s="235">
        <f t="shared" si="129"/>
        <v>3521.3033195611588</v>
      </c>
      <c r="AC231" s="235">
        <f t="shared" si="129"/>
        <v>3845.9327620518211</v>
      </c>
      <c r="AD231" s="235">
        <f t="shared" si="129"/>
        <v>4154.0407139646459</v>
      </c>
      <c r="AE231" s="235">
        <f t="shared" si="129"/>
        <v>4455.4470284199633</v>
      </c>
      <c r="AF231" s="235">
        <f t="shared" si="129"/>
        <v>4752.9914671190099</v>
      </c>
      <c r="AG231" s="235">
        <f t="shared" si="129"/>
        <v>5045.7710403616902</v>
      </c>
      <c r="AH231" s="235">
        <f t="shared" si="129"/>
        <v>5338.3052627656898</v>
      </c>
      <c r="AI231" s="235">
        <f t="shared" si="129"/>
        <v>5627.0494885355683</v>
      </c>
      <c r="AJ231" s="235">
        <f t="shared" si="129"/>
        <v>5914.7110206252182</v>
      </c>
      <c r="AK231" s="235">
        <f t="shared" si="129"/>
        <v>6199.476118974394</v>
      </c>
      <c r="AL231" s="235">
        <f t="shared" si="129"/>
        <v>6482.3104568585723</v>
      </c>
      <c r="AM231" s="235">
        <f t="shared" si="129"/>
        <v>6766.328453089066</v>
      </c>
      <c r="AN231" s="235">
        <f t="shared" si="129"/>
        <v>7049.4910381506998</v>
      </c>
      <c r="AO231" s="235">
        <f t="shared" si="129"/>
        <v>7332.0282983789175</v>
      </c>
      <c r="AP231" s="235">
        <f t="shared" si="129"/>
        <v>7615.4393629277856</v>
      </c>
      <c r="AQ231" s="235">
        <f t="shared" ref="AQ231" si="130">AQ227*$I$230</f>
        <v>7981.7556894865102</v>
      </c>
      <c r="AR231" s="81">
        <f>ROW()</f>
        <v>231</v>
      </c>
    </row>
    <row r="232" spans="1:44" ht="15" customHeight="1">
      <c r="S232"/>
      <c r="AR232" s="81">
        <f>ROW()</f>
        <v>232</v>
      </c>
    </row>
    <row r="233" spans="1:44" ht="15" customHeight="1">
      <c r="B233" s="8" t="s">
        <v>502</v>
      </c>
      <c r="F233" s="84" t="str">
        <f>CONCATENATE("Per capita dividend in Row ",AR229, ", multiplied by persons per household in Cell I",AR$230, ".")</f>
        <v>Per capita dividend in Row 229, multiplied by persons per household in Cell I230.</v>
      </c>
      <c r="S233"/>
      <c r="T233" s="235">
        <f>T229*$I$230</f>
        <v>481.45639272944624</v>
      </c>
      <c r="U233" s="235">
        <f t="shared" ref="U233:AP233" si="131">U229*$I$230</f>
        <v>929.42984150897473</v>
      </c>
      <c r="V233" s="235">
        <f t="shared" si="131"/>
        <v>1348.9623288532071</v>
      </c>
      <c r="W233" s="235">
        <f t="shared" si="131"/>
        <v>1745.3561037781219</v>
      </c>
      <c r="X233" s="235">
        <f t="shared" si="131"/>
        <v>2122.670135068317</v>
      </c>
      <c r="Y233" s="235">
        <f t="shared" si="131"/>
        <v>2487.8851267747723</v>
      </c>
      <c r="Z233" s="235">
        <f t="shared" si="131"/>
        <v>2841.8425762821066</v>
      </c>
      <c r="AA233" s="235">
        <f t="shared" si="131"/>
        <v>3187.4540134802014</v>
      </c>
      <c r="AB233" s="235">
        <f t="shared" si="131"/>
        <v>3521.3033195611588</v>
      </c>
      <c r="AC233" s="235">
        <f t="shared" si="131"/>
        <v>3845.9327620518211</v>
      </c>
      <c r="AD233" s="235">
        <f t="shared" si="131"/>
        <v>4154.0407139646459</v>
      </c>
      <c r="AE233" s="235">
        <f t="shared" si="131"/>
        <v>4455.4470284199633</v>
      </c>
      <c r="AF233" s="235">
        <f t="shared" si="131"/>
        <v>4752.9914671190099</v>
      </c>
      <c r="AG233" s="235">
        <f t="shared" si="131"/>
        <v>5045.7710403616902</v>
      </c>
      <c r="AH233" s="235">
        <f t="shared" si="131"/>
        <v>5338.3052627656898</v>
      </c>
      <c r="AI233" s="235">
        <f t="shared" si="131"/>
        <v>5627.0494885355683</v>
      </c>
      <c r="AJ233" s="235">
        <f t="shared" si="131"/>
        <v>5914.7110206252182</v>
      </c>
      <c r="AK233" s="235">
        <f t="shared" si="131"/>
        <v>6199.476118974394</v>
      </c>
      <c r="AL233" s="235">
        <f t="shared" si="131"/>
        <v>6482.3104568585723</v>
      </c>
      <c r="AM233" s="235">
        <f t="shared" si="131"/>
        <v>6766.328453089066</v>
      </c>
      <c r="AN233" s="235">
        <f t="shared" si="131"/>
        <v>7049.4910381506998</v>
      </c>
      <c r="AO233" s="235">
        <f t="shared" si="131"/>
        <v>7332.0282983789175</v>
      </c>
      <c r="AP233" s="235">
        <f t="shared" si="131"/>
        <v>7615.4393629277856</v>
      </c>
      <c r="AQ233" s="235">
        <f t="shared" ref="AQ233" si="132">AQ229*$I$230</f>
        <v>7981.7556894865102</v>
      </c>
      <c r="AR233" s="81">
        <f>ROW()</f>
        <v>233</v>
      </c>
    </row>
    <row r="234" spans="1:44" ht="15" customHeight="1">
      <c r="S234"/>
      <c r="AR234" s="81">
        <f>ROW()</f>
        <v>234</v>
      </c>
    </row>
    <row r="235" spans="1:44" ht="15" customHeight="1">
      <c r="B235" s="1" t="s">
        <v>741</v>
      </c>
      <c r="S235"/>
      <c r="AR235" s="81">
        <f>ROW()</f>
        <v>235</v>
      </c>
    </row>
    <row r="236" spans="1:44" ht="15" customHeight="1">
      <c r="S236"/>
      <c r="AR236" s="81">
        <f>ROW()</f>
        <v>236</v>
      </c>
    </row>
    <row r="237" spans="1:44" ht="15" customHeight="1">
      <c r="B237" s="8" t="s">
        <v>584</v>
      </c>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81">
        <f>ROW()</f>
        <v>237</v>
      </c>
    </row>
    <row r="238" spans="1:44" ht="15" customHeight="1">
      <c r="B238" s="14" t="s">
        <v>737</v>
      </c>
      <c r="F238" s="1138" t="s">
        <v>1191</v>
      </c>
      <c r="G238" s="1135" t="s">
        <v>1192</v>
      </c>
      <c r="H238" s="1138" t="s">
        <v>1193</v>
      </c>
      <c r="S238"/>
      <c r="AR238" s="81">
        <f>ROW()</f>
        <v>238</v>
      </c>
    </row>
    <row r="239" spans="1:44" ht="15" customHeight="1">
      <c r="B239" s="8"/>
      <c r="F239" s="1138"/>
      <c r="G239" s="1136"/>
      <c r="H239" s="1138"/>
      <c r="S239"/>
      <c r="AR239" s="81">
        <f>ROW()</f>
        <v>239</v>
      </c>
    </row>
    <row r="240" spans="1:44" ht="15" customHeight="1">
      <c r="F240" s="1138"/>
      <c r="G240" s="1137"/>
      <c r="H240" s="1138"/>
      <c r="S240"/>
      <c r="AR240" s="81">
        <f>ROW()</f>
        <v>240</v>
      </c>
    </row>
    <row r="241" spans="2:44" ht="15" customHeight="1">
      <c r="B241" s="31" t="str">
        <f>B102</f>
        <v>Electricity Generation</v>
      </c>
      <c r="F241" s="36">
        <f>-HLOOKUP(10,$T$103:$AP$160,37)</f>
        <v>861.08067244191454</v>
      </c>
      <c r="G241" s="5">
        <f>Electricity!G110</f>
        <v>0.29437963354031943</v>
      </c>
      <c r="H241" s="36">
        <f t="shared" ref="H241:H248" si="133">G241*F241</f>
        <v>253.48461280210265</v>
      </c>
      <c r="S241"/>
      <c r="AR241" s="81">
        <f>ROW()</f>
        <v>241</v>
      </c>
    </row>
    <row r="242" spans="2:44" ht="15" customHeight="1">
      <c r="B242" s="31" t="str">
        <f>B103</f>
        <v>Personal Ground Travel (driving, boating, rec vehicles, etc.)</v>
      </c>
      <c r="F242" s="36">
        <f>-HLOOKUP(10,$T$103:$AP$160,38)</f>
        <v>168.77541556378003</v>
      </c>
      <c r="G242" s="5">
        <f>'Personal Ground Travel'!G109</f>
        <v>0.34168988433383984</v>
      </c>
      <c r="H242" s="36">
        <f t="shared" si="133"/>
        <v>57.668852222383748</v>
      </c>
      <c r="N242" s="1127" t="s">
        <v>742</v>
      </c>
      <c r="O242" s="1099"/>
      <c r="P242" s="1099"/>
      <c r="Q242" s="1099"/>
      <c r="R242" s="1099"/>
      <c r="S242" s="1099"/>
      <c r="T242" s="1100"/>
      <c r="AR242" s="81">
        <f>ROW()</f>
        <v>242</v>
      </c>
    </row>
    <row r="243" spans="2:44" ht="15" customHeight="1">
      <c r="B243" s="31" t="str">
        <f>B104</f>
        <v>Freight (goods movement by road, rail, ship, air)</v>
      </c>
      <c r="F243" s="36">
        <f>-HLOOKUP(10,$T$103:$AP$160,39)</f>
        <v>146.04540016125628</v>
      </c>
      <c r="G243" s="5">
        <f>Freight!G102</f>
        <v>0.59558673606447687</v>
      </c>
      <c r="H243" s="36">
        <f t="shared" si="133"/>
        <v>86.982703199273047</v>
      </c>
      <c r="N243" s="1104"/>
      <c r="O243" s="1105"/>
      <c r="P243" s="1105"/>
      <c r="Q243" s="1105"/>
      <c r="R243" s="1105"/>
      <c r="S243" s="1105"/>
      <c r="T243" s="1106"/>
      <c r="AR243" s="81">
        <f>ROW()</f>
        <v>243</v>
      </c>
    </row>
    <row r="244" spans="2:44" ht="15" customHeight="1">
      <c r="B244" s="31" t="str">
        <f>B105</f>
        <v>Aviation (passenger only)</v>
      </c>
      <c r="F244" s="36">
        <f>-HLOOKUP(10,$T$103:$AP$160,40)</f>
        <v>67.978851354075402</v>
      </c>
      <c r="G244" s="5">
        <f>Aviation!G102</f>
        <v>0.89754351863456139</v>
      </c>
      <c r="H244" s="36">
        <f t="shared" si="133"/>
        <v>61.013977437072654</v>
      </c>
      <c r="J244" s="10"/>
      <c r="K244" s="10"/>
      <c r="L244" s="10"/>
      <c r="M244" s="598"/>
      <c r="N244" s="598"/>
      <c r="O244" s="598"/>
      <c r="P244" s="598"/>
      <c r="S244"/>
      <c r="AR244" s="81">
        <f>ROW()</f>
        <v>244</v>
      </c>
    </row>
    <row r="245" spans="2:44" ht="15" customHeight="1">
      <c r="B245" s="14" t="s">
        <v>1229</v>
      </c>
      <c r="F245" s="36">
        <f>-HLOOKUP(10,$T$103:$AP$160,41)</f>
        <v>28.262169428267157</v>
      </c>
      <c r="G245" s="5">
        <f>(F242*G242+F243*G243+F244*G244+F246*G246)/(F242+F243+F244+F246)</f>
        <v>0.54414346340223796</v>
      </c>
      <c r="H245" s="36">
        <f t="shared" si="133"/>
        <v>15.378674755958139</v>
      </c>
      <c r="J245" s="10"/>
      <c r="K245" s="10"/>
      <c r="L245" s="10"/>
      <c r="M245" s="598"/>
      <c r="N245" s="1127" t="str">
        <f>CONCATENATE("Cell G",AR249, " indicates that ",ROUND(G249*100,0), "% of the CO2 reduction 'bang' from a carbon tax would occur as impacts on demand (i.e., usage) from higher prices for fuels and energy wrought by the tax. In other words, relying on, say, energy subsidies or clean-energy R&amp;D to accelerate the shift" &amp;" to low- and zero-carbon fuels, while addressing ",ROUND(100-G249*100,0), "% of the overall potential CO2 savings from a carbon tax, would still leave ",ROUND(G249*100,0), "% of the potential savings 'on the table.'")</f>
        <v>Cell G249 indicates that 42% of the CO2 reduction 'bang' from a carbon tax would occur as impacts on demand (i.e., usage) from higher prices for fuels and energy wrought by the tax. In other words, relying on, say, energy subsidies or clean-energy R&amp;D to accelerate the shift to low- and zero-carbon fuels, while addressing 58% of the overall potential CO2 savings from a carbon tax, would still leave 42% of the potential savings 'on the table.'</v>
      </c>
      <c r="O245" s="1099"/>
      <c r="P245" s="1099"/>
      <c r="Q245" s="1099"/>
      <c r="R245" s="1099"/>
      <c r="S245" s="1099"/>
      <c r="T245" s="1100"/>
      <c r="AR245" s="81">
        <f>ROW()</f>
        <v>245</v>
      </c>
    </row>
    <row r="246" spans="2:44" ht="15" customHeight="1">
      <c r="B246" s="31" t="s">
        <v>1182</v>
      </c>
      <c r="F246" s="36">
        <f>-HLOOKUP(10,$T$103:$AP$160,42)</f>
        <v>67.438661270597123</v>
      </c>
      <c r="G246" s="5">
        <f>Other_Petrol!G105</f>
        <v>0.58317750893821863</v>
      </c>
      <c r="H246" s="36">
        <f t="shared" si="133"/>
        <v>39.328710485915153</v>
      </c>
      <c r="N246" s="1101"/>
      <c r="O246" s="1102"/>
      <c r="P246" s="1102"/>
      <c r="Q246" s="1102"/>
      <c r="R246" s="1102"/>
      <c r="S246" s="1102"/>
      <c r="T246" s="1103"/>
      <c r="AR246" s="81">
        <f>ROW()</f>
        <v>246</v>
      </c>
    </row>
    <row r="247" spans="2:44" ht="15" customHeight="1">
      <c r="B247" s="31" t="str">
        <f>B108</f>
        <v>"Other" Natural Gas (industry, heat/hot water, etc.)</v>
      </c>
      <c r="F247" s="36">
        <f>-HLOOKUP(10,$T$103:$AP$160,43)</f>
        <v>191.68975550554478</v>
      </c>
      <c r="G247" s="5">
        <f>'Other_Natural Gas'!G113</f>
        <v>0.71027285364732318</v>
      </c>
      <c r="H247" s="36">
        <f t="shared" si="133"/>
        <v>136.15202965788097</v>
      </c>
      <c r="N247" s="1101"/>
      <c r="O247" s="1102"/>
      <c r="P247" s="1102"/>
      <c r="Q247" s="1102"/>
      <c r="R247" s="1102"/>
      <c r="S247" s="1102"/>
      <c r="T247" s="1103"/>
      <c r="AR247" s="81">
        <f>ROW()</f>
        <v>247</v>
      </c>
    </row>
    <row r="248" spans="2:44" ht="15" customHeight="1">
      <c r="B248" s="31" t="str">
        <f>B109</f>
        <v>Misc. (non-electric coal, non-energy FF's, U.S. territories)</v>
      </c>
      <c r="F248" s="36">
        <f>-HLOOKUP(10,$T$103:$AP$160,44)</f>
        <v>38.052824152509828</v>
      </c>
      <c r="G248" s="5">
        <f>Miscellany!G116</f>
        <v>0.40572554309865594</v>
      </c>
      <c r="H248" s="36">
        <f t="shared" si="133"/>
        <v>15.439002745714703</v>
      </c>
      <c r="N248" s="1101"/>
      <c r="O248" s="1102"/>
      <c r="P248" s="1102"/>
      <c r="Q248" s="1102"/>
      <c r="R248" s="1102"/>
      <c r="S248" s="1102"/>
      <c r="T248" s="1103"/>
      <c r="AR248" s="81">
        <f>ROW()</f>
        <v>248</v>
      </c>
    </row>
    <row r="249" spans="2:44" ht="15" customHeight="1">
      <c r="B249" s="594" t="s">
        <v>585</v>
      </c>
      <c r="C249" s="317"/>
      <c r="D249" s="317"/>
      <c r="E249" s="317"/>
      <c r="F249" s="595">
        <f>SUM(F241:F248)</f>
        <v>1569.3237498779454</v>
      </c>
      <c r="G249" s="596">
        <f>H249/F249</f>
        <v>0.42403523387577385</v>
      </c>
      <c r="H249" s="597">
        <f>SUM(H241:H248)</f>
        <v>665.44856330630103</v>
      </c>
      <c r="N249" s="1148"/>
      <c r="O249" s="1149"/>
      <c r="P249" s="1149"/>
      <c r="Q249" s="1149"/>
      <c r="R249" s="1149"/>
      <c r="S249" s="1149"/>
      <c r="T249" s="1150"/>
      <c r="AR249" s="81">
        <f>ROW()</f>
        <v>249</v>
      </c>
    </row>
    <row r="250" spans="2:44" ht="15" customHeight="1">
      <c r="B250" s="589" t="s">
        <v>587</v>
      </c>
      <c r="C250" s="590"/>
      <c r="D250" s="590"/>
      <c r="E250" s="590"/>
      <c r="F250" s="591">
        <f>SUM(F242:F247)</f>
        <v>670.19025328352075</v>
      </c>
      <c r="G250" s="592">
        <f>H250/F250</f>
        <v>0.61469701847472102</v>
      </c>
      <c r="H250" s="593">
        <f>SUM(H242:H248)</f>
        <v>411.96395050419835</v>
      </c>
      <c r="S250"/>
      <c r="AR250" s="81">
        <f>ROW()</f>
        <v>250</v>
      </c>
    </row>
    <row r="251" spans="2:44" ht="15" customHeight="1">
      <c r="S251"/>
      <c r="AR251" s="81">
        <f>ROW()</f>
        <v>251</v>
      </c>
    </row>
    <row r="252" spans="2:44" ht="15" customHeight="1">
      <c r="B252" s="1115" t="str">
        <f>CONCATENATE("'Complement' of Cell G",AR249, ", i.e., one minus the value in that cell, or ",ROUND(100*(1-G249),0), "%, denotes projected CO2 reductions wrought by reducing carbon contents of fuels.")</f>
        <v>'Complement' of Cell G249, i.e., one minus the value in that cell, or 58%, denotes projected CO2 reductions wrought by reducing carbon contents of fuels.</v>
      </c>
      <c r="C252" s="1116"/>
      <c r="D252" s="1116"/>
      <c r="E252" s="1116"/>
      <c r="F252" s="1116"/>
      <c r="G252" s="1116"/>
      <c r="H252" s="1117"/>
      <c r="S252"/>
      <c r="AR252" s="81">
        <f>ROW()</f>
        <v>252</v>
      </c>
    </row>
    <row r="253" spans="2:44" ht="15" customHeight="1">
      <c r="B253" s="1118"/>
      <c r="C253" s="1119"/>
      <c r="D253" s="1119"/>
      <c r="E253" s="1119"/>
      <c r="F253" s="1119"/>
      <c r="G253" s="1119"/>
      <c r="H253" s="1120"/>
      <c r="S253"/>
      <c r="AR253" s="81">
        <f>ROW()</f>
        <v>253</v>
      </c>
    </row>
    <row r="254" spans="2:44" ht="15" customHeight="1">
      <c r="S254"/>
      <c r="AR254" s="81">
        <f>ROW()</f>
        <v>254</v>
      </c>
    </row>
    <row r="255" spans="2:44" ht="15" customHeight="1">
      <c r="AR255" s="81">
        <f>ROW()</f>
        <v>255</v>
      </c>
    </row>
    <row r="256" spans="2:44" ht="15" customHeight="1">
      <c r="AR256" s="81">
        <f>ROW()</f>
        <v>256</v>
      </c>
    </row>
    <row r="257" spans="26:44" ht="15" customHeight="1">
      <c r="Z257" s="22"/>
      <c r="AR257" s="81">
        <f>ROW()</f>
        <v>257</v>
      </c>
    </row>
  </sheetData>
  <mergeCells count="71">
    <mergeCell ref="E9:G9"/>
    <mergeCell ref="E8:G8"/>
    <mergeCell ref="N68:P69"/>
    <mergeCell ref="N72:S74"/>
    <mergeCell ref="Q4:V5"/>
    <mergeCell ref="I16:N20"/>
    <mergeCell ref="B40:I45"/>
    <mergeCell ref="B49:I50"/>
    <mergeCell ref="P8:W9"/>
    <mergeCell ref="B14:E16"/>
    <mergeCell ref="B24:G27"/>
    <mergeCell ref="I21:N25"/>
    <mergeCell ref="I26:N30"/>
    <mergeCell ref="N60:P61"/>
    <mergeCell ref="N63:P64"/>
    <mergeCell ref="R67:U69"/>
    <mergeCell ref="I60:I61"/>
    <mergeCell ref="I14:N15"/>
    <mergeCell ref="B78:J79"/>
    <mergeCell ref="B100:E101"/>
    <mergeCell ref="F90:G90"/>
    <mergeCell ref="G91:G92"/>
    <mergeCell ref="G85:O88"/>
    <mergeCell ref="N245:T249"/>
    <mergeCell ref="P76:AQ76"/>
    <mergeCell ref="V107:Y109"/>
    <mergeCell ref="T90:U90"/>
    <mergeCell ref="V90:W90"/>
    <mergeCell ref="W91:W92"/>
    <mergeCell ref="U91:U92"/>
    <mergeCell ref="Q106:Q109"/>
    <mergeCell ref="I138:N139"/>
    <mergeCell ref="I140:N144"/>
    <mergeCell ref="I145:N147"/>
    <mergeCell ref="J106:J109"/>
    <mergeCell ref="K106:K109"/>
    <mergeCell ref="H90:I90"/>
    <mergeCell ref="I91:I92"/>
    <mergeCell ref="H97:H101"/>
    <mergeCell ref="G238:G240"/>
    <mergeCell ref="H238:H240"/>
    <mergeCell ref="B4:F6"/>
    <mergeCell ref="B21:F22"/>
    <mergeCell ref="G21:G22"/>
    <mergeCell ref="B60:G61"/>
    <mergeCell ref="B64:G65"/>
    <mergeCell ref="B58:G59"/>
    <mergeCell ref="F238:F240"/>
    <mergeCell ref="B66:G67"/>
    <mergeCell ref="H66:I67"/>
    <mergeCell ref="B69:H71"/>
    <mergeCell ref="B73:G74"/>
    <mergeCell ref="G97:G101"/>
    <mergeCell ref="F97:F101"/>
    <mergeCell ref="I4:N11"/>
    <mergeCell ref="AT112:BA114"/>
    <mergeCell ref="R106:R109"/>
    <mergeCell ref="S106:S109"/>
    <mergeCell ref="T106:T109"/>
    <mergeCell ref="B252:H253"/>
    <mergeCell ref="D211:I211"/>
    <mergeCell ref="F114:G114"/>
    <mergeCell ref="M106:M109"/>
    <mergeCell ref="N106:N109"/>
    <mergeCell ref="N242:T243"/>
    <mergeCell ref="H112:H115"/>
    <mergeCell ref="F113:G113"/>
    <mergeCell ref="I106:I109"/>
    <mergeCell ref="L106:L109"/>
    <mergeCell ref="O106:O109"/>
    <mergeCell ref="P106:P109"/>
  </mergeCells>
  <phoneticPr fontId="3" type="noConversion"/>
  <dataValidations disablePrompts="1" count="1">
    <dataValidation type="list" allowBlank="1" showInputMessage="1" showErrorMessage="1" sqref="K60">
      <formula1>#REF!</formula1>
    </dataValidation>
  </dataValidations>
  <hyperlinks>
    <hyperlink ref="G29" r:id="rId1"/>
    <hyperlink ref="G32" location="Results" display="here."/>
    <hyperlink ref="G33" location="Graph_CO2!A41" display="here."/>
    <hyperlink ref="G34" location="Graph_Oil!A34" display="here"/>
    <hyperlink ref="G150" location="Graph_CO2!A41" display="here."/>
    <hyperlink ref="I182" location="Graph_Oil!A27" display="here"/>
    <hyperlink ref="G35" location="Graph_Revenue!A42" display="here"/>
    <hyperlink ref="H210" location="Graph_Revenue!A37" display="here"/>
    <hyperlink ref="G36" location="Index!A1" display="here"/>
    <hyperlink ref="W19" location="Graph_CO2!A41" display="here."/>
    <hyperlink ref="W30" location="Graph_Revenue!A37" display="here"/>
    <hyperlink ref="W31" location="Graph_Oil!A27" display="here"/>
    <hyperlink ref="G21" location="Graph_Oil!A34" display="here"/>
    <hyperlink ref="G21:G22" location="Setting!A1" display="here"/>
    <hyperlink ref="G31" location="Inputs" display="here"/>
    <hyperlink ref="G30" r:id="rId2"/>
    <hyperlink ref="Q4" location="Scenarios!A1" display="Scenarios"/>
    <hyperlink ref="E8" r:id="rId3"/>
    <hyperlink ref="E9" r:id="rId4" display="To e-mail Komanoff, click"/>
  </hyperlinks>
  <printOptions gridLines="1"/>
  <pageMargins left="0.52" right="0.42" top="1" bottom="1" header="0.5" footer="0.5"/>
  <pageSetup orientation="portrait" r:id="rId5"/>
  <headerFooter alignWithMargins="0"/>
  <rowBreaks count="1" manualBreakCount="1">
    <brk id="46" min="1" max="32" man="1"/>
  </rowBreaks>
  <drawing r:id="rId6"/>
</worksheet>
</file>

<file path=xl/worksheets/sheet10.xml><?xml version="1.0" encoding="utf-8"?>
<worksheet xmlns="http://schemas.openxmlformats.org/spreadsheetml/2006/main" xmlns:r="http://schemas.openxmlformats.org/officeDocument/2006/relationships">
  <dimension ref="A1:AS110"/>
  <sheetViews>
    <sheetView zoomScaleNormal="100" workbookViewId="0"/>
  </sheetViews>
  <sheetFormatPr defaultColWidth="9" defaultRowHeight="13.95" customHeight="1"/>
  <cols>
    <col min="1" max="1" width="2.625" customWidth="1"/>
    <col min="2" max="12" width="9.25" customWidth="1"/>
    <col min="13" max="19" width="9.25" style="67" customWidth="1"/>
    <col min="20" max="20" width="9.25" style="240" customWidth="1"/>
    <col min="21" max="44" width="9.25" customWidth="1"/>
    <col min="45" max="45" width="2.375" customWidth="1"/>
  </cols>
  <sheetData>
    <row r="1" spans="2:45" ht="13.95" customHeight="1">
      <c r="B1" s="57" t="s">
        <v>881</v>
      </c>
      <c r="O1" s="215">
        <f>Summary!I1</f>
        <v>42552</v>
      </c>
      <c r="AS1" s="7">
        <f>ROW()</f>
        <v>1</v>
      </c>
    </row>
    <row r="2" spans="2:45" ht="13.95" customHeight="1">
      <c r="B2" s="1"/>
      <c r="Q2"/>
      <c r="R2"/>
      <c r="AS2" s="7">
        <f>ROW()</f>
        <v>2</v>
      </c>
    </row>
    <row r="3" spans="2:45" ht="13.95" customHeight="1">
      <c r="K3" s="1257" t="str">
        <f>CONCATENATE("Tax Inputs (copied from 'Summary' Tab, Rows ",Summary!AR53,"-",Summary!AR73,")")</f>
        <v>Tax Inputs (copied from 'Summary' Tab, Rows 53-73)</v>
      </c>
      <c r="L3" s="1258"/>
      <c r="M3" s="1258"/>
      <c r="N3" s="1258"/>
      <c r="O3" s="1259"/>
      <c r="Q3" s="1307" t="str">
        <f>CONCATENATE("See Parameters tab for summary of our derivation of our short-run price-elasticity of ",ROUND(Parameters!P54,2), " and long-run price-elasticity of ",ROUND(Parameters!P55,2), " for U.S. demand for gasoline.")</f>
        <v>See Parameters tab for summary of our derivation of our short-run price-elasticity of -0.13 and long-run price-elasticity of -0.24 for U.S. demand for gasoline.</v>
      </c>
      <c r="R3" s="1308"/>
      <c r="S3" s="1309"/>
      <c r="AS3" s="7">
        <f>ROW()</f>
        <v>3</v>
      </c>
    </row>
    <row r="4" spans="2:45" ht="13.95" customHeight="1">
      <c r="B4" s="1255" t="s">
        <v>145</v>
      </c>
      <c r="C4" s="1155"/>
      <c r="D4" s="1155"/>
      <c r="E4" s="1155"/>
      <c r="F4" s="1155"/>
      <c r="G4" s="1143" t="s">
        <v>1039</v>
      </c>
      <c r="H4" s="1155"/>
      <c r="I4" s="1155"/>
      <c r="K4" s="848" t="s">
        <v>360</v>
      </c>
      <c r="L4" s="849"/>
      <c r="M4" s="849"/>
      <c r="N4" s="849"/>
      <c r="O4" s="850">
        <f>Summary!I56</f>
        <v>11.337868480725623</v>
      </c>
      <c r="P4" s="532"/>
      <c r="Q4" s="1310"/>
      <c r="R4" s="1311"/>
      <c r="S4" s="1312"/>
      <c r="AS4" s="7">
        <f>ROW()</f>
        <v>4</v>
      </c>
    </row>
    <row r="5" spans="2:45" ht="13.95" customHeight="1">
      <c r="B5" s="1155"/>
      <c r="C5" s="1155"/>
      <c r="D5" s="1155"/>
      <c r="E5" s="1155"/>
      <c r="F5" s="1155"/>
      <c r="G5" s="1155"/>
      <c r="H5" s="1155"/>
      <c r="I5" s="1155"/>
      <c r="K5" s="848" t="s">
        <v>361</v>
      </c>
      <c r="L5" s="849"/>
      <c r="M5" s="849"/>
      <c r="N5" s="849"/>
      <c r="O5" s="851" t="str">
        <f>IF(Summary!I58=1,"By Constant Amount","By Constant Percent")</f>
        <v>By Constant Amount</v>
      </c>
      <c r="P5" s="178"/>
      <c r="Q5" s="1310"/>
      <c r="R5" s="1311"/>
      <c r="S5" s="1312"/>
      <c r="AS5" s="7">
        <f>ROW()</f>
        <v>5</v>
      </c>
    </row>
    <row r="6" spans="2:45" ht="13.95" customHeight="1">
      <c r="B6" s="1155"/>
      <c r="C6" s="1155"/>
      <c r="D6" s="1155"/>
      <c r="E6" s="1155"/>
      <c r="F6" s="1155"/>
      <c r="G6" s="1155"/>
      <c r="H6" s="1155"/>
      <c r="I6" s="1155"/>
      <c r="K6" s="848" t="s">
        <v>362</v>
      </c>
      <c r="L6" s="849"/>
      <c r="M6" s="849"/>
      <c r="N6" s="849"/>
      <c r="O6" s="850" t="str">
        <f>IF(Summary!$I$58=1,CONCATENATE("$",ROUND(Summary!$I$60,2),""),CONCATENATE("",Summary!$I$64*100,"%"))</f>
        <v>$11.34</v>
      </c>
      <c r="P6" s="532"/>
      <c r="Q6" s="1310"/>
      <c r="R6" s="1311"/>
      <c r="S6" s="1312"/>
      <c r="AS6" s="7">
        <f>ROW()</f>
        <v>6</v>
      </c>
    </row>
    <row r="7" spans="2:45" ht="13.95" customHeight="1">
      <c r="B7" s="13"/>
      <c r="H7" s="3"/>
      <c r="K7" s="848" t="s">
        <v>363</v>
      </c>
      <c r="L7" s="849"/>
      <c r="M7" s="849"/>
      <c r="N7" s="849"/>
      <c r="O7" s="851" t="str">
        <f>Summary!I69</f>
        <v>real</v>
      </c>
      <c r="P7" s="178"/>
      <c r="Q7" s="1310"/>
      <c r="R7" s="1311"/>
      <c r="S7" s="1312"/>
      <c r="AS7" s="7">
        <f>ROW()</f>
        <v>7</v>
      </c>
    </row>
    <row r="8" spans="2:45" ht="13.95" customHeight="1">
      <c r="B8" s="312" t="str">
        <f>CONCATENATE("This worksheet is pre-formatted to print to four pages. Print area extends to ",AL14, ".")</f>
        <v>This worksheet is pre-formatted to print to four pages. Print area extends to 2035.</v>
      </c>
      <c r="H8" s="3"/>
      <c r="K8" s="852" t="s">
        <v>884</v>
      </c>
      <c r="L8" s="853"/>
      <c r="M8" s="853"/>
      <c r="N8" s="853"/>
      <c r="O8" s="854">
        <f>Summary!I73</f>
        <v>12.5</v>
      </c>
      <c r="P8" s="178"/>
      <c r="Q8" s="1313"/>
      <c r="R8" s="1314"/>
      <c r="S8" s="1315"/>
      <c r="AS8" s="7">
        <f>ROW()</f>
        <v>8</v>
      </c>
    </row>
    <row r="9" spans="2:45" ht="13.95" customHeight="1">
      <c r="B9" s="13"/>
      <c r="H9" s="3"/>
      <c r="J9" s="51"/>
      <c r="K9" s="12"/>
      <c r="L9" s="151"/>
      <c r="M9" s="151"/>
      <c r="N9" s="151"/>
      <c r="O9" s="151"/>
      <c r="P9" s="151"/>
      <c r="Q9" s="151"/>
      <c r="R9" s="151"/>
      <c r="S9" s="151"/>
      <c r="T9" s="271"/>
      <c r="U9" s="12"/>
      <c r="V9" s="12"/>
      <c r="W9" s="12"/>
      <c r="X9" s="12"/>
      <c r="Y9" s="12"/>
      <c r="Z9" s="12"/>
      <c r="AA9" s="12"/>
      <c r="AB9" s="12"/>
      <c r="AC9" s="12"/>
      <c r="AD9" s="12"/>
      <c r="AE9" s="12"/>
      <c r="AF9" s="12"/>
      <c r="AG9" s="12"/>
      <c r="AH9" s="12"/>
      <c r="AI9" s="12"/>
      <c r="AJ9" s="12"/>
      <c r="AK9" s="12"/>
      <c r="AL9" s="12"/>
      <c r="AM9" s="12"/>
      <c r="AN9" s="12"/>
      <c r="AO9" s="12"/>
      <c r="AP9" s="12"/>
      <c r="AQ9" s="12"/>
      <c r="AS9" s="7">
        <f>ROW()</f>
        <v>9</v>
      </c>
    </row>
    <row r="10" spans="2:45" ht="13.95" customHeight="1">
      <c r="B10" s="1277" t="s">
        <v>834</v>
      </c>
      <c r="C10" s="1145"/>
      <c r="D10" s="1145"/>
      <c r="E10" s="1145"/>
      <c r="F10" s="1145"/>
      <c r="G10" s="1145"/>
      <c r="H10" s="1145"/>
      <c r="I10" s="1125" t="s">
        <v>157</v>
      </c>
      <c r="J10" s="1125" t="s">
        <v>157</v>
      </c>
      <c r="K10" s="1125" t="s">
        <v>157</v>
      </c>
      <c r="L10" s="1125" t="s">
        <v>157</v>
      </c>
      <c r="M10" s="1125" t="s">
        <v>157</v>
      </c>
      <c r="N10" s="1125" t="s">
        <v>157</v>
      </c>
      <c r="O10" s="1133" t="s">
        <v>157</v>
      </c>
      <c r="P10" s="1125" t="s">
        <v>157</v>
      </c>
      <c r="Q10" s="1125" t="s">
        <v>157</v>
      </c>
      <c r="R10" s="1107" t="s">
        <v>157</v>
      </c>
      <c r="S10" s="1109" t="s">
        <v>366</v>
      </c>
      <c r="T10" s="1112" t="s">
        <v>80</v>
      </c>
      <c r="U10" s="12"/>
      <c r="V10" s="12"/>
      <c r="W10" s="12"/>
      <c r="X10" s="12"/>
      <c r="Y10" s="12"/>
      <c r="Z10" s="12"/>
      <c r="AA10" s="12"/>
      <c r="AB10" s="12"/>
      <c r="AC10" s="12"/>
      <c r="AD10" s="12"/>
      <c r="AE10" s="12"/>
      <c r="AF10" s="12"/>
      <c r="AG10" s="12"/>
      <c r="AH10" s="12"/>
      <c r="AI10" s="12"/>
      <c r="AJ10" s="12"/>
      <c r="AK10" s="12"/>
      <c r="AL10" s="12"/>
      <c r="AM10" s="12"/>
      <c r="AN10" s="12"/>
      <c r="AO10" s="12"/>
      <c r="AP10" s="12"/>
      <c r="AQ10" s="12"/>
      <c r="AS10" s="7">
        <f>ROW()</f>
        <v>10</v>
      </c>
    </row>
    <row r="11" spans="2:45" ht="13.95" customHeight="1">
      <c r="B11" s="1145"/>
      <c r="C11" s="1145"/>
      <c r="D11" s="1145"/>
      <c r="E11" s="1145"/>
      <c r="F11" s="1145"/>
      <c r="G11" s="1145"/>
      <c r="H11" s="1145"/>
      <c r="I11" s="1126"/>
      <c r="J11" s="1126"/>
      <c r="K11" s="1126"/>
      <c r="L11" s="1126"/>
      <c r="M11" s="1126"/>
      <c r="N11" s="1126"/>
      <c r="O11" s="1134"/>
      <c r="P11" s="1126"/>
      <c r="Q11" s="1126"/>
      <c r="R11" s="1108"/>
      <c r="S11" s="1110"/>
      <c r="T11" s="1113"/>
      <c r="U11" s="12"/>
      <c r="V11" s="12"/>
      <c r="W11" s="12"/>
      <c r="X11" s="12"/>
      <c r="Y11" s="12"/>
      <c r="Z11" s="12"/>
      <c r="AA11" s="12"/>
      <c r="AB11" s="12"/>
      <c r="AC11" s="12"/>
      <c r="AD11" s="12"/>
      <c r="AE11" s="12"/>
      <c r="AF11" s="12"/>
      <c r="AG11" s="12"/>
      <c r="AH11" s="12"/>
      <c r="AI11" s="12"/>
      <c r="AJ11" s="12"/>
      <c r="AK11" s="12"/>
      <c r="AL11" s="12"/>
      <c r="AM11" s="12"/>
      <c r="AN11" s="12"/>
      <c r="AO11" s="12"/>
      <c r="AP11" s="12"/>
      <c r="AQ11" s="12"/>
      <c r="AS11" s="7">
        <f>ROW()</f>
        <v>11</v>
      </c>
    </row>
    <row r="12" spans="2:45" ht="13.95" customHeight="1">
      <c r="I12" s="1126"/>
      <c r="J12" s="1126"/>
      <c r="K12" s="1126"/>
      <c r="L12" s="1126"/>
      <c r="M12" s="1126"/>
      <c r="N12" s="1126"/>
      <c r="O12" s="1134"/>
      <c r="P12" s="1126"/>
      <c r="Q12" s="1126"/>
      <c r="R12" s="1108"/>
      <c r="S12" s="1110"/>
      <c r="T12" s="1113"/>
      <c r="U12" s="12"/>
      <c r="V12" s="12"/>
      <c r="W12" s="12"/>
      <c r="X12" s="12"/>
      <c r="Y12" s="12"/>
      <c r="AS12" s="7">
        <f>ROW()</f>
        <v>12</v>
      </c>
    </row>
    <row r="13" spans="2:45" ht="13.95" customHeight="1">
      <c r="B13" s="52" t="s">
        <v>415</v>
      </c>
      <c r="H13" s="51"/>
      <c r="I13" s="1126"/>
      <c r="J13" s="1126"/>
      <c r="K13" s="1126"/>
      <c r="L13" s="1126"/>
      <c r="M13" s="1126"/>
      <c r="N13" s="1126"/>
      <c r="O13" s="1134"/>
      <c r="P13" s="1126"/>
      <c r="Q13" s="1126"/>
      <c r="R13" s="1108"/>
      <c r="S13" s="1111"/>
      <c r="T13" s="1114"/>
      <c r="AS13" s="7">
        <f>ROW()</f>
        <v>13</v>
      </c>
    </row>
    <row r="14" spans="2:45" ht="13.95" customHeight="1">
      <c r="B14" s="58" t="s">
        <v>414</v>
      </c>
      <c r="I14" s="122">
        <f>Summary!I110</f>
        <v>2005</v>
      </c>
      <c r="J14" s="122">
        <f>Summary!J110</f>
        <v>2006</v>
      </c>
      <c r="K14" s="122">
        <f>Summary!K110</f>
        <v>2007</v>
      </c>
      <c r="L14" s="122">
        <f>Summary!L110</f>
        <v>2008</v>
      </c>
      <c r="M14" s="122">
        <f>Summary!M110</f>
        <v>2009</v>
      </c>
      <c r="N14" s="122">
        <f>Summary!N110</f>
        <v>2010</v>
      </c>
      <c r="O14" s="351">
        <f>Summary!O110</f>
        <v>2011</v>
      </c>
      <c r="P14" s="122">
        <f>Summary!P110</f>
        <v>2012</v>
      </c>
      <c r="Q14" s="122">
        <f>Summary!Q110</f>
        <v>2013</v>
      </c>
      <c r="R14" s="212">
        <f>Summary!R110</f>
        <v>2014</v>
      </c>
      <c r="S14" s="212">
        <f>Summary!S110</f>
        <v>2015</v>
      </c>
      <c r="T14" s="101">
        <f>Summary!T110</f>
        <v>2017</v>
      </c>
      <c r="U14" s="12">
        <f t="shared" ref="U14:AQ14" si="0">T14+1</f>
        <v>2018</v>
      </c>
      <c r="V14" s="12">
        <f t="shared" si="0"/>
        <v>2019</v>
      </c>
      <c r="W14" s="12">
        <f t="shared" si="0"/>
        <v>2020</v>
      </c>
      <c r="X14" s="12">
        <f t="shared" si="0"/>
        <v>2021</v>
      </c>
      <c r="Y14" s="12">
        <f t="shared" si="0"/>
        <v>2022</v>
      </c>
      <c r="Z14" s="12">
        <f t="shared" si="0"/>
        <v>2023</v>
      </c>
      <c r="AA14" s="12">
        <f t="shared" si="0"/>
        <v>2024</v>
      </c>
      <c r="AB14" s="12">
        <f t="shared" si="0"/>
        <v>2025</v>
      </c>
      <c r="AC14" s="12">
        <f t="shared" si="0"/>
        <v>2026</v>
      </c>
      <c r="AD14" s="12">
        <f t="shared" si="0"/>
        <v>2027</v>
      </c>
      <c r="AE14" s="12">
        <f t="shared" si="0"/>
        <v>2028</v>
      </c>
      <c r="AF14" s="12">
        <f t="shared" si="0"/>
        <v>2029</v>
      </c>
      <c r="AG14" s="12">
        <f t="shared" si="0"/>
        <v>2030</v>
      </c>
      <c r="AH14" s="12">
        <f t="shared" si="0"/>
        <v>2031</v>
      </c>
      <c r="AI14" s="12">
        <f t="shared" si="0"/>
        <v>2032</v>
      </c>
      <c r="AJ14" s="12">
        <f t="shared" si="0"/>
        <v>2033</v>
      </c>
      <c r="AK14" s="12">
        <f t="shared" si="0"/>
        <v>2034</v>
      </c>
      <c r="AL14" s="12">
        <f t="shared" si="0"/>
        <v>2035</v>
      </c>
      <c r="AM14" s="12">
        <f t="shared" si="0"/>
        <v>2036</v>
      </c>
      <c r="AN14" s="12">
        <f t="shared" si="0"/>
        <v>2037</v>
      </c>
      <c r="AO14" s="12">
        <f t="shared" si="0"/>
        <v>2038</v>
      </c>
      <c r="AP14" s="12">
        <f t="shared" si="0"/>
        <v>2039</v>
      </c>
      <c r="AQ14" s="12">
        <f t="shared" si="0"/>
        <v>2040</v>
      </c>
      <c r="AS14" s="7">
        <f>ROW()</f>
        <v>14</v>
      </c>
    </row>
    <row r="15" spans="2:45" ht="13.95" customHeight="1">
      <c r="B15" s="287"/>
      <c r="H15" s="49"/>
      <c r="I15" s="49"/>
      <c r="J15" s="49"/>
      <c r="AS15" s="7">
        <f>ROW()</f>
        <v>15</v>
      </c>
    </row>
    <row r="16" spans="2:45" s="802" customFormat="1" ht="13.95" customHeight="1">
      <c r="B16" s="802" t="s">
        <v>187</v>
      </c>
      <c r="M16" s="807">
        <f>Summary!$P79</f>
        <v>0</v>
      </c>
      <c r="N16" s="807">
        <f>Summary!$P79</f>
        <v>0</v>
      </c>
      <c r="O16" s="807">
        <f>Summary!$P79</f>
        <v>0</v>
      </c>
      <c r="P16" s="807">
        <f>Summary!P79</f>
        <v>0</v>
      </c>
      <c r="Q16" s="807">
        <f>Summary!Q79</f>
        <v>0</v>
      </c>
      <c r="R16" s="807">
        <f>Summary!R79</f>
        <v>0</v>
      </c>
      <c r="S16" s="807">
        <f>Summary!S79</f>
        <v>0</v>
      </c>
      <c r="T16" s="808">
        <f>Summary!T79</f>
        <v>1</v>
      </c>
      <c r="U16" s="802">
        <f>Summary!U79</f>
        <v>2</v>
      </c>
      <c r="V16" s="802">
        <f>Summary!V79</f>
        <v>3</v>
      </c>
      <c r="W16" s="802">
        <f>Summary!W79</f>
        <v>4</v>
      </c>
      <c r="X16" s="802">
        <f>Summary!X79</f>
        <v>5</v>
      </c>
      <c r="Y16" s="802">
        <f>Summary!Y79</f>
        <v>6</v>
      </c>
      <c r="Z16" s="802">
        <f>Summary!Z79</f>
        <v>7</v>
      </c>
      <c r="AA16" s="802">
        <f>Summary!AA79</f>
        <v>8</v>
      </c>
      <c r="AB16" s="802">
        <f>Summary!AB79</f>
        <v>9</v>
      </c>
      <c r="AC16" s="802">
        <f>Summary!AC79</f>
        <v>10</v>
      </c>
      <c r="AD16" s="802">
        <f>Summary!AD79</f>
        <v>11</v>
      </c>
      <c r="AE16" s="802">
        <f>Summary!AE79</f>
        <v>12</v>
      </c>
      <c r="AF16" s="802">
        <f>Summary!AF79</f>
        <v>13</v>
      </c>
      <c r="AG16" s="802">
        <f>Summary!AG79</f>
        <v>14</v>
      </c>
      <c r="AH16" s="802">
        <f>Summary!AH79</f>
        <v>15</v>
      </c>
      <c r="AI16" s="802">
        <f>Summary!AI79</f>
        <v>16</v>
      </c>
      <c r="AJ16" s="802">
        <f>Summary!AJ79</f>
        <v>17</v>
      </c>
      <c r="AK16" s="802">
        <f>Summary!AK79</f>
        <v>18</v>
      </c>
      <c r="AL16" s="802">
        <f>Summary!AL79</f>
        <v>19</v>
      </c>
      <c r="AM16" s="802">
        <f>Summary!AM79</f>
        <v>20</v>
      </c>
      <c r="AN16" s="802">
        <f>Summary!AN79</f>
        <v>21</v>
      </c>
      <c r="AO16" s="802">
        <f>Summary!AO79</f>
        <v>22</v>
      </c>
      <c r="AP16" s="802">
        <f>Summary!AP79</f>
        <v>23</v>
      </c>
      <c r="AQ16" s="802">
        <f>Summary!AQ79</f>
        <v>24</v>
      </c>
      <c r="AS16" s="9">
        <f>ROW()</f>
        <v>16</v>
      </c>
    </row>
    <row r="17" spans="2:45" s="287" customFormat="1" ht="13.95" customHeight="1">
      <c r="B17" s="802" t="s">
        <v>847</v>
      </c>
      <c r="M17"/>
      <c r="N17"/>
      <c r="O17"/>
      <c r="P17"/>
      <c r="Q17"/>
      <c r="R17"/>
      <c r="S17"/>
      <c r="T17" s="289"/>
      <c r="AS17" s="7">
        <f>ROW()</f>
        <v>17</v>
      </c>
    </row>
    <row r="18" spans="2:45" ht="13.95" customHeight="1">
      <c r="B18" s="803" t="str">
        <f>CONCATENATE("Levied tax in year shown, in nominal $, per ton of CO2 (taken directly from 'Summary' tab, Row ",Summary!AR82, ")")</f>
        <v>Levied tax in year shown, in nominal $, per ton of CO2 (taken directly from 'Summary' tab, Row 82)</v>
      </c>
      <c r="H18" s="2"/>
      <c r="I18" s="2"/>
      <c r="J18" s="2"/>
      <c r="L18" s="363"/>
      <c r="M18" s="399"/>
      <c r="N18" s="399"/>
      <c r="O18" s="363"/>
      <c r="P18" s="363"/>
      <c r="Q18" s="363"/>
      <c r="R18" s="363"/>
      <c r="S18" s="363"/>
      <c r="T18" s="522">
        <f>Summary!T82</f>
        <v>11.337868480725623</v>
      </c>
      <c r="U18" s="363">
        <f>Summary!U82</f>
        <v>23.153901748198756</v>
      </c>
      <c r="V18" s="363">
        <f>Summary!V82</f>
        <v>35.463224441830718</v>
      </c>
      <c r="W18" s="363">
        <f>Summary!W82</f>
        <v>48.28138644674759</v>
      </c>
      <c r="X18" s="363">
        <f>Summary!X82</f>
        <v>61.624374102771327</v>
      </c>
      <c r="Y18" s="363">
        <f>Summary!Y82</f>
        <v>75.508621697038407</v>
      </c>
      <c r="Z18" s="363">
        <f>Summary!Z82</f>
        <v>89.951023247233749</v>
      </c>
      <c r="AA18" s="363">
        <f>Summary!AA82</f>
        <v>104.96894458258619</v>
      </c>
      <c r="AB18" s="363">
        <f>Summary!AB82</f>
        <v>120.58023572994358</v>
      </c>
      <c r="AC18" s="363">
        <f>Summary!AC82</f>
        <v>136.80324361242219</v>
      </c>
      <c r="AD18" s="363">
        <f>Summary!AD82</f>
        <v>153.65682506830512</v>
      </c>
      <c r="AE18" s="363">
        <f>Summary!AE82</f>
        <v>171.1603601980494</v>
      </c>
      <c r="AF18" s="363">
        <f>Summary!AF82</f>
        <v>189.33376604745069</v>
      </c>
      <c r="AG18" s="363">
        <f>Summary!AG82</f>
        <v>208.19751063520698</v>
      </c>
      <c r="AH18" s="363">
        <f>Summary!AH82</f>
        <v>227.77262733332276</v>
      </c>
      <c r="AI18" s="363">
        <f>Summary!AI82</f>
        <v>248.08072960899591</v>
      </c>
      <c r="AJ18" s="363">
        <f>Summary!AJ82</f>
        <v>269.1440261368387</v>
      </c>
      <c r="AK18" s="363">
        <f>Summary!AK82</f>
        <v>290.98533629049541</v>
      </c>
      <c r="AL18" s="363">
        <f>Summary!AL82</f>
        <v>313.62810602293854</v>
      </c>
      <c r="AM18" s="363">
        <f>Summary!AM82</f>
        <v>337.09642414494658</v>
      </c>
      <c r="AN18" s="363">
        <f>Summary!AN82</f>
        <v>361.41503901149451</v>
      </c>
      <c r="AO18" s="363">
        <f>Summary!AO82</f>
        <v>386.60937562602271</v>
      </c>
      <c r="AP18" s="363">
        <f>Summary!AP82</f>
        <v>412.70555317278786</v>
      </c>
      <c r="AQ18" s="363">
        <f>Summary!AQ82</f>
        <v>439.73040298774407</v>
      </c>
      <c r="AR18" s="67"/>
      <c r="AS18" s="6">
        <f>ROW()</f>
        <v>18</v>
      </c>
    </row>
    <row r="19" spans="2:45" ht="13.95" customHeight="1">
      <c r="B19" s="803" t="str">
        <f>CONCATENATE("Levied tax in constant ",S$14, "$, per ton of CO2 (taken directly from 'Summary' tab, Row ",Summary!AR83, ")")</f>
        <v>Levied tax in constant 2015$, per ton of CO2 (taken directly from 'Summary' tab, Row 83)</v>
      </c>
      <c r="L19" s="67"/>
      <c r="M19" s="399"/>
      <c r="N19" s="399"/>
      <c r="O19" s="399"/>
      <c r="P19" s="399"/>
      <c r="Q19" s="399"/>
      <c r="R19" s="399"/>
      <c r="S19" s="399"/>
      <c r="T19" s="522">
        <f>Summary!T83</f>
        <v>10.87441401983205</v>
      </c>
      <c r="U19" s="363">
        <f>Summary!U83</f>
        <v>21.748828039664104</v>
      </c>
      <c r="V19" s="363">
        <f>Summary!V83</f>
        <v>32.623242059496157</v>
      </c>
      <c r="W19" s="363">
        <f>Summary!W83</f>
        <v>43.497656079328209</v>
      </c>
      <c r="X19" s="363">
        <f>Summary!X83</f>
        <v>54.372070099160254</v>
      </c>
      <c r="Y19" s="363">
        <f>Summary!Y83</f>
        <v>65.246484118992299</v>
      </c>
      <c r="Z19" s="363">
        <f>Summary!Z83</f>
        <v>76.120898138824344</v>
      </c>
      <c r="AA19" s="363">
        <f>Summary!AA83</f>
        <v>86.995312158656404</v>
      </c>
      <c r="AB19" s="363">
        <f>Summary!AB83</f>
        <v>97.869726178488449</v>
      </c>
      <c r="AC19" s="363">
        <f>Summary!AC83</f>
        <v>108.74414019832052</v>
      </c>
      <c r="AD19" s="363">
        <f>Summary!AD83</f>
        <v>119.61855421815258</v>
      </c>
      <c r="AE19" s="363">
        <f>Summary!AE83</f>
        <v>130.4929682379846</v>
      </c>
      <c r="AF19" s="363">
        <f>Summary!AF83</f>
        <v>141.36738225781667</v>
      </c>
      <c r="AG19" s="363">
        <f>Summary!AG83</f>
        <v>152.24179627764875</v>
      </c>
      <c r="AH19" s="363">
        <f>Summary!AH83</f>
        <v>163.11621029748079</v>
      </c>
      <c r="AI19" s="363">
        <f>Summary!AI83</f>
        <v>173.99062431731281</v>
      </c>
      <c r="AJ19" s="363">
        <f>Summary!AJ83</f>
        <v>184.86503833714488</v>
      </c>
      <c r="AK19" s="363">
        <f>Summary!AK83</f>
        <v>195.73945235697698</v>
      </c>
      <c r="AL19" s="363">
        <f>Summary!AL83</f>
        <v>206.61386637680897</v>
      </c>
      <c r="AM19" s="363">
        <f>Summary!AM83</f>
        <v>217.48828039664099</v>
      </c>
      <c r="AN19" s="363">
        <f>Summary!AN83</f>
        <v>228.36269441647306</v>
      </c>
      <c r="AO19" s="363">
        <f>Summary!AO83</f>
        <v>239.23710843630516</v>
      </c>
      <c r="AP19" s="363">
        <f>Summary!AP83</f>
        <v>250.11152245613718</v>
      </c>
      <c r="AQ19" s="363">
        <f>Summary!AQ83</f>
        <v>260.9859364759692</v>
      </c>
      <c r="AR19" s="363"/>
      <c r="AS19" s="7">
        <f>ROW()</f>
        <v>19</v>
      </c>
    </row>
    <row r="20" spans="2:45" s="31" customFormat="1" ht="13.95" customHeight="1">
      <c r="B20" s="803" t="s">
        <v>850</v>
      </c>
      <c r="H20" s="17"/>
      <c r="I20" s="17"/>
      <c r="J20" s="17"/>
      <c r="M20" s="399"/>
      <c r="N20" s="399"/>
      <c r="O20" s="399"/>
      <c r="P20" s="399"/>
      <c r="Q20" s="399"/>
      <c r="R20" s="399"/>
      <c r="S20" s="364"/>
      <c r="T20" s="522">
        <f>T18*Parameters!$I$18/2000</f>
        <v>12.5</v>
      </c>
      <c r="U20" s="363">
        <f>U18*Parameters!$I$18/2000</f>
        <v>25.527176677389129</v>
      </c>
      <c r="V20" s="363">
        <f>V18*Parameters!$I$18/2000</f>
        <v>39.098204947118361</v>
      </c>
      <c r="W20" s="363">
        <f>W18*Parameters!$I$18/2000</f>
        <v>53.230228557539213</v>
      </c>
      <c r="X20" s="363">
        <f>X18*Parameters!$I$18/2000</f>
        <v>67.940872448305385</v>
      </c>
      <c r="Y20" s="363">
        <f>Y18*Parameters!$I$18/2000</f>
        <v>83.248255420984847</v>
      </c>
      <c r="Z20" s="363">
        <f>Z18*Parameters!$I$18/2000</f>
        <v>99.171003130075206</v>
      </c>
      <c r="AA20" s="363">
        <f>AA18*Parameters!$I$18/2000</f>
        <v>115.72826140230127</v>
      </c>
      <c r="AB20" s="363">
        <f>AB18*Parameters!$I$18/2000</f>
        <v>132.93970989226278</v>
      </c>
      <c r="AC20" s="363">
        <f>AC18*Parameters!$I$18/2000</f>
        <v>150.82557608269548</v>
      </c>
      <c r="AD20" s="363">
        <f>AD18*Parameters!$I$18/2000</f>
        <v>169.4066496378064</v>
      </c>
      <c r="AE20" s="363">
        <f>AE18*Parameters!$I$18/2000</f>
        <v>188.70429711834947</v>
      </c>
      <c r="AF20" s="363">
        <f>AF18*Parameters!$I$18/2000</f>
        <v>208.74047706731437</v>
      </c>
      <c r="AG20" s="363">
        <f>AG18*Parameters!$I$18/2000</f>
        <v>229.53775547531569</v>
      </c>
      <c r="AH20" s="363">
        <f>AH18*Parameters!$I$18/2000</f>
        <v>251.11932163498832</v>
      </c>
      <c r="AI20" s="363">
        <f>AI18*Parameters!$I$18/2000</f>
        <v>273.50900439391796</v>
      </c>
      <c r="AJ20" s="363">
        <f>AJ18*Parameters!$I$18/2000</f>
        <v>296.73128881586467</v>
      </c>
      <c r="AK20" s="363">
        <f>AK18*Parameters!$I$18/2000</f>
        <v>320.81133326027117</v>
      </c>
      <c r="AL20" s="363">
        <f>AL18*Parameters!$I$18/2000</f>
        <v>345.77498689028977</v>
      </c>
      <c r="AM20" s="363">
        <f>AM18*Parameters!$I$18/2000</f>
        <v>371.64880761980356</v>
      </c>
      <c r="AN20" s="363">
        <f>AN18*Parameters!$I$18/2000</f>
        <v>398.4600805101727</v>
      </c>
      <c r="AO20" s="363">
        <f>AO18*Parameters!$I$18/2000</f>
        <v>426.23683662769008</v>
      </c>
      <c r="AP20" s="363">
        <f>AP18*Parameters!$I$18/2000</f>
        <v>455.00787237299863</v>
      </c>
      <c r="AQ20" s="363">
        <f>AQ18*Parameters!$I$18/2000</f>
        <v>484.80276929398781</v>
      </c>
      <c r="AS20" s="81">
        <f>ROW()</f>
        <v>20</v>
      </c>
    </row>
    <row r="21" spans="2:45" s="31" customFormat="1" ht="13.95" customHeight="1">
      <c r="B21" s="803" t="s">
        <v>851</v>
      </c>
      <c r="H21" s="17"/>
      <c r="I21" s="17"/>
      <c r="J21" s="17"/>
      <c r="M21" s="399"/>
      <c r="N21" s="399"/>
      <c r="O21" s="399"/>
      <c r="P21" s="399"/>
      <c r="Q21" s="399"/>
      <c r="R21" s="399"/>
      <c r="S21" s="364"/>
      <c r="T21" s="522">
        <f>T18*T72*(1/Parameters!$I$19)</f>
        <v>0.10973759257789617</v>
      </c>
      <c r="U21" s="363">
        <f>U18*U72*(1/Parameters!$I$19)</f>
        <v>0.22166735006246266</v>
      </c>
      <c r="V21" s="363">
        <f>V18*V72*(1/Parameters!$I$19)</f>
        <v>0.33582211616886459</v>
      </c>
      <c r="W21" s="363">
        <f>W18*W72*(1/Parameters!$I$19)</f>
        <v>0.45223517201229924</v>
      </c>
      <c r="X21" s="363">
        <f>X18*X72*(1/Parameters!$I$19)</f>
        <v>0.57094024156905177</v>
      </c>
      <c r="Y21" s="363">
        <f>Y18*Y72*(1/Parameters!$I$19)</f>
        <v>0.6919714972030071</v>
      </c>
      <c r="Z21" s="363">
        <f>Z18*Z72*(1/Parameters!$I$19)</f>
        <v>0.81536356525837883</v>
      </c>
      <c r="AA21" s="363">
        <f>AA18*AA72*(1/Parameters!$I$19)</f>
        <v>0.94115153171942834</v>
      </c>
      <c r="AB21" s="363">
        <f>AB18*AB72*(1/Parameters!$I$19)</f>
        <v>1.0693709479379543</v>
      </c>
      <c r="AC21" s="363">
        <f>AC18*AC72*(1/Parameters!$I$19)</f>
        <v>1.2000578364293404</v>
      </c>
      <c r="AD21" s="363">
        <f>AD18*AD72*(1/Parameters!$I$19)</f>
        <v>1.3332486967379598</v>
      </c>
      <c r="AE21" s="363">
        <f>AE18*AE72*(1/Parameters!$I$19)</f>
        <v>1.468980511372747</v>
      </c>
      <c r="AF21" s="363">
        <f>AF18*AF72*(1/Parameters!$I$19)</f>
        <v>1.6072907518137467</v>
      </c>
      <c r="AG21" s="363">
        <f>AG18*AG72*(1/Parameters!$I$19)</f>
        <v>1.7482173845904714</v>
      </c>
      <c r="AH21" s="363">
        <f>AH18*AH72*(1/Parameters!$I$19)</f>
        <v>1.8917988774329015</v>
      </c>
      <c r="AI21" s="363">
        <f>AI18*AI72*(1/Parameters!$I$19)</f>
        <v>2.03807420549597</v>
      </c>
      <c r="AJ21" s="363">
        <f>AJ18*AJ72*(1/Parameters!$I$19)</f>
        <v>2.1870828576583929</v>
      </c>
      <c r="AK21" s="363">
        <f>AK18*AK72*(1/Parameters!$I$19)</f>
        <v>2.3388648428966969</v>
      </c>
      <c r="AL21" s="363">
        <f>AL18*AL72*(1/Parameters!$I$19)</f>
        <v>2.4934606967353337</v>
      </c>
      <c r="AM21" s="363">
        <f>AM18*AM72*(1/Parameters!$I$19)</f>
        <v>2.6509114877737532</v>
      </c>
      <c r="AN21" s="363">
        <f>AN18*AN72*(1/Parameters!$I$19)</f>
        <v>2.8112588242913343</v>
      </c>
      <c r="AO21" s="363">
        <f>AO18*AO72*(1/Parameters!$I$19)</f>
        <v>2.9745448609310787</v>
      </c>
      <c r="AP21" s="363">
        <f>AP18*AP72*(1/Parameters!$I$19)</f>
        <v>3.1408123054629744</v>
      </c>
      <c r="AQ21" s="363">
        <f>AQ18*AQ72*(1/Parameters!$I$19)</f>
        <v>3.3101044256279692</v>
      </c>
      <c r="AS21" s="7">
        <f>ROW()</f>
        <v>21</v>
      </c>
    </row>
    <row r="22" spans="2:45" ht="13.95" customHeight="1">
      <c r="B22" s="802" t="s">
        <v>849</v>
      </c>
      <c r="AS22" s="7">
        <f>ROW()</f>
        <v>22</v>
      </c>
    </row>
    <row r="23" spans="2:45" ht="13.95" customHeight="1">
      <c r="B23" s="803" t="str">
        <f>CONCATENATE("Felt tax in constant ",S$14, "$, per ton of CO2 (taken directly from 'Summary' tab, Row ",Summary!AR86, ")")</f>
        <v>Felt tax in constant 2015$, per ton of CO2 (taken directly from 'Summary' tab, Row 86)</v>
      </c>
      <c r="T23" s="522">
        <f>Summary!T86</f>
        <v>10.87441401983205</v>
      </c>
      <c r="U23" s="363">
        <f>Summary!U86</f>
        <v>21.748828039664104</v>
      </c>
      <c r="V23" s="363">
        <f>Summary!V86</f>
        <v>32.623242059496157</v>
      </c>
      <c r="W23" s="363">
        <f>Summary!W86</f>
        <v>43.497656079328209</v>
      </c>
      <c r="X23" s="363">
        <f>Summary!X86</f>
        <v>54.372070099160254</v>
      </c>
      <c r="Y23" s="363">
        <f>Summary!Y86</f>
        <v>65.246484118992299</v>
      </c>
      <c r="Z23" s="363">
        <f>Summary!Z86</f>
        <v>76.120898138824344</v>
      </c>
      <c r="AA23" s="363">
        <f>Summary!AA86</f>
        <v>86.995312158656404</v>
      </c>
      <c r="AB23" s="363">
        <f>Summary!AB86</f>
        <v>97.869726178488449</v>
      </c>
      <c r="AC23" s="363">
        <f>Summary!AC86</f>
        <v>108.74414019832052</v>
      </c>
      <c r="AD23" s="363">
        <f>Summary!AD86</f>
        <v>119.61855421815258</v>
      </c>
      <c r="AE23" s="363">
        <f>Summary!AE86</f>
        <v>130.4929682379846</v>
      </c>
      <c r="AF23" s="363">
        <f>Summary!AF86</f>
        <v>141.36738225781667</v>
      </c>
      <c r="AG23" s="363">
        <f>Summary!AG86</f>
        <v>152.24179627764875</v>
      </c>
      <c r="AH23" s="363">
        <f>Summary!AH86</f>
        <v>163.11621029748079</v>
      </c>
      <c r="AI23" s="363">
        <f>Summary!AI86</f>
        <v>173.99062431731281</v>
      </c>
      <c r="AJ23" s="363">
        <f>Summary!AJ86</f>
        <v>184.86503833714488</v>
      </c>
      <c r="AK23" s="363">
        <f>Summary!AK86</f>
        <v>195.73945235697698</v>
      </c>
      <c r="AL23" s="363">
        <f>Summary!AL86</f>
        <v>206.61386637680897</v>
      </c>
      <c r="AM23" s="363">
        <f>Summary!AM86</f>
        <v>217.48828039664099</v>
      </c>
      <c r="AN23" s="363">
        <f>Summary!AN86</f>
        <v>228.36269441647306</v>
      </c>
      <c r="AO23" s="363">
        <f>Summary!AO86</f>
        <v>239.23710843630516</v>
      </c>
      <c r="AP23" s="363">
        <f>Summary!AP86</f>
        <v>250.11152245613718</v>
      </c>
      <c r="AQ23" s="363">
        <f>Summary!AQ86</f>
        <v>260.9859364759692</v>
      </c>
      <c r="AS23" s="7">
        <f>ROW()</f>
        <v>23</v>
      </c>
    </row>
    <row r="24" spans="2:45" ht="13.95" customHeight="1">
      <c r="B24" s="803" t="str">
        <f>CONCATENATE("Felt tax in nominal $ per ton of CO2 (taken directly from 'Summary' tab, Row ",Summary!AR88, ")")</f>
        <v>Felt tax in nominal $ per ton of CO2 (taken directly from 'Summary' tab, Row 88)</v>
      </c>
      <c r="T24" s="522">
        <f>Summary!T88</f>
        <v>11.337868480725623</v>
      </c>
      <c r="U24" s="363">
        <f>Summary!U88</f>
        <v>23.153901748198756</v>
      </c>
      <c r="V24" s="363">
        <f>Summary!V88</f>
        <v>35.463224441830718</v>
      </c>
      <c r="W24" s="363">
        <f>Summary!W88</f>
        <v>48.281386446747597</v>
      </c>
      <c r="X24" s="363">
        <f>Summary!X88</f>
        <v>61.624374102771327</v>
      </c>
      <c r="Y24" s="363">
        <f>Summary!Y88</f>
        <v>75.508621697038393</v>
      </c>
      <c r="Z24" s="363">
        <f>Summary!Z88</f>
        <v>89.951023247233749</v>
      </c>
      <c r="AA24" s="363">
        <f>Summary!AA88</f>
        <v>104.96894458258619</v>
      </c>
      <c r="AB24" s="363">
        <f>Summary!AB88</f>
        <v>120.58023572994358</v>
      </c>
      <c r="AC24" s="363">
        <f>Summary!AC88</f>
        <v>136.80324361242219</v>
      </c>
      <c r="AD24" s="363">
        <f>Summary!AD88</f>
        <v>153.65682506830512</v>
      </c>
      <c r="AE24" s="363">
        <f>Summary!AE88</f>
        <v>171.1603601980494</v>
      </c>
      <c r="AF24" s="363">
        <f>Summary!AF88</f>
        <v>189.33376604745072</v>
      </c>
      <c r="AG24" s="363">
        <f>Summary!AG88</f>
        <v>208.19751063520698</v>
      </c>
      <c r="AH24" s="363">
        <f>Summary!AH88</f>
        <v>227.77262733332276</v>
      </c>
      <c r="AI24" s="363">
        <f>Summary!AI88</f>
        <v>248.08072960899591</v>
      </c>
      <c r="AJ24" s="363">
        <f>Summary!AJ88</f>
        <v>269.1440261368387</v>
      </c>
      <c r="AK24" s="363">
        <f>Summary!AK88</f>
        <v>290.98533629049541</v>
      </c>
      <c r="AL24" s="363">
        <f>Summary!AL88</f>
        <v>313.62810602293854</v>
      </c>
      <c r="AM24" s="363">
        <f>Summary!AM88</f>
        <v>337.09642414494658</v>
      </c>
      <c r="AN24" s="363">
        <f>Summary!AN88</f>
        <v>361.41503901149451</v>
      </c>
      <c r="AO24" s="363">
        <f>Summary!AO88</f>
        <v>386.60937562602271</v>
      </c>
      <c r="AP24" s="363">
        <f>Summary!AP88</f>
        <v>412.70555317278786</v>
      </c>
      <c r="AQ24" s="363">
        <f>Summary!AQ88</f>
        <v>439.73040298774407</v>
      </c>
      <c r="AS24" s="7">
        <f>ROW()</f>
        <v>24</v>
      </c>
    </row>
    <row r="25" spans="2:45" ht="13.95" customHeight="1">
      <c r="B25" s="803" t="s">
        <v>852</v>
      </c>
      <c r="T25" s="522">
        <f>T24*T72*(1/Parameters!$I$19)</f>
        <v>0.10973759257789617</v>
      </c>
      <c r="U25" s="363">
        <f>U24*U72*(1/Parameters!$I$19)</f>
        <v>0.22166735006246266</v>
      </c>
      <c r="V25" s="363">
        <f>V24*V72*(1/Parameters!$I$19)</f>
        <v>0.33582211616886459</v>
      </c>
      <c r="W25" s="363">
        <f>W24*W72*(1/Parameters!$I$19)</f>
        <v>0.45223517201229929</v>
      </c>
      <c r="X25" s="363">
        <f>X24*X72*(1/Parameters!$I$19)</f>
        <v>0.57094024156905177</v>
      </c>
      <c r="Y25" s="363">
        <f>Y24*Y72*(1/Parameters!$I$19)</f>
        <v>0.69197149720300699</v>
      </c>
      <c r="Z25" s="363">
        <f>Z24*Z72*(1/Parameters!$I$19)</f>
        <v>0.81536356525837883</v>
      </c>
      <c r="AA25" s="363">
        <f>AA24*AA72*(1/Parameters!$I$19)</f>
        <v>0.94115153171942834</v>
      </c>
      <c r="AB25" s="363">
        <f>AB24*AB72*(1/Parameters!$I$19)</f>
        <v>1.0693709479379543</v>
      </c>
      <c r="AC25" s="363">
        <f>AC24*AC72*(1/Parameters!$I$19)</f>
        <v>1.2000578364293404</v>
      </c>
      <c r="AD25" s="363">
        <f>AD24*AD72*(1/Parameters!$I$19)</f>
        <v>1.3332486967379598</v>
      </c>
      <c r="AE25" s="363">
        <f>AE24*AE72*(1/Parameters!$I$19)</f>
        <v>1.468980511372747</v>
      </c>
      <c r="AF25" s="363">
        <f>AF24*AF72*(1/Parameters!$I$19)</f>
        <v>1.6072907518137469</v>
      </c>
      <c r="AG25" s="363">
        <f>AG24*AG72*(1/Parameters!$I$19)</f>
        <v>1.7482173845904714</v>
      </c>
      <c r="AH25" s="363">
        <f>AH24*AH72*(1/Parameters!$I$19)</f>
        <v>1.8917988774329015</v>
      </c>
      <c r="AI25" s="363">
        <f>AI24*AI72*(1/Parameters!$I$19)</f>
        <v>2.03807420549597</v>
      </c>
      <c r="AJ25" s="363">
        <f>AJ24*AJ72*(1/Parameters!$I$19)</f>
        <v>2.1870828576583929</v>
      </c>
      <c r="AK25" s="363">
        <f>AK24*AK72*(1/Parameters!$I$19)</f>
        <v>2.3388648428966969</v>
      </c>
      <c r="AL25" s="363">
        <f>AL24*AL72*(1/Parameters!$I$19)</f>
        <v>2.4934606967353337</v>
      </c>
      <c r="AM25" s="363">
        <f>AM24*AM72*(1/Parameters!$I$19)</f>
        <v>2.6509114877737532</v>
      </c>
      <c r="AN25" s="363">
        <f>AN24*AN72*(1/Parameters!$I$19)</f>
        <v>2.8112588242913343</v>
      </c>
      <c r="AO25" s="363">
        <f>AO24*AO72*(1/Parameters!$I$19)</f>
        <v>2.9745448609310787</v>
      </c>
      <c r="AP25" s="363">
        <f>AP24*AP72*(1/Parameters!$I$19)</f>
        <v>3.1408123054629744</v>
      </c>
      <c r="AQ25" s="363">
        <f>AQ24*AQ72*(1/Parameters!$I$19)</f>
        <v>3.3101044256279692</v>
      </c>
      <c r="AS25" s="7">
        <f>ROW()</f>
        <v>25</v>
      </c>
    </row>
    <row r="26" spans="2:45" ht="13.95" customHeight="1">
      <c r="AS26" s="7">
        <f>ROW()</f>
        <v>26</v>
      </c>
    </row>
    <row r="27" spans="2:45" ht="13.95" customHeight="1">
      <c r="B27" t="s">
        <v>99</v>
      </c>
      <c r="E27" s="84" t="s">
        <v>358</v>
      </c>
      <c r="K27">
        <v>5.2530000000000001</v>
      </c>
      <c r="S27" s="26"/>
      <c r="Z27" s="67"/>
      <c r="AA27" s="67"/>
      <c r="AB27" s="67"/>
      <c r="AC27" s="67"/>
      <c r="AD27" s="67"/>
      <c r="AE27" s="67"/>
      <c r="AF27" s="67"/>
      <c r="AG27" s="67"/>
      <c r="AH27" s="67"/>
      <c r="AI27" s="67"/>
      <c r="AJ27" s="67"/>
      <c r="AK27" s="67"/>
      <c r="AL27" s="67"/>
      <c r="AM27" s="67"/>
      <c r="AN27" s="67"/>
      <c r="AO27" s="67"/>
      <c r="AP27" s="67"/>
      <c r="AQ27" s="67"/>
      <c r="AS27" s="7">
        <f>ROW()</f>
        <v>27</v>
      </c>
    </row>
    <row r="28" spans="2:45" ht="13.95" customHeight="1">
      <c r="B28" t="s">
        <v>100</v>
      </c>
      <c r="E28" s="84" t="str">
        <f>CONCATENATE("Cell K",AS27, " divided by gals/bbl from 'Parameters' tab.")</f>
        <v>Cell K27 divided by gals/bbl from 'Parameters' tab.</v>
      </c>
      <c r="K28" s="21">
        <f>K27*1000000/Parameters!$I$21</f>
        <v>125071.42857142857</v>
      </c>
      <c r="S28" s="26"/>
      <c r="Z28" s="67"/>
      <c r="AA28" s="67"/>
      <c r="AB28" s="67"/>
      <c r="AC28" s="67"/>
      <c r="AD28" s="67"/>
      <c r="AE28" s="67"/>
      <c r="AF28" s="67"/>
      <c r="AG28" s="67"/>
      <c r="AH28" s="67"/>
      <c r="AI28" s="67"/>
      <c r="AJ28" s="67"/>
      <c r="AK28" s="67"/>
      <c r="AL28" s="67"/>
      <c r="AM28" s="67"/>
      <c r="AN28" s="67"/>
      <c r="AO28" s="67"/>
      <c r="AP28" s="67"/>
      <c r="AQ28" s="67"/>
      <c r="AS28" s="7">
        <f>ROW()</f>
        <v>28</v>
      </c>
    </row>
    <row r="29" spans="2:45" ht="13.95" customHeight="1">
      <c r="B29" s="8" t="s">
        <v>660</v>
      </c>
      <c r="E29" s="84" t="str">
        <f>CONCATENATE("From 'Emissions' tab, Row ",Emissions!S113, ".")</f>
        <v>From 'Emissions' tab, Row 113.</v>
      </c>
      <c r="K29" s="28">
        <f>Emissions!J113/Parameters!I20</f>
        <v>5.3373913674958864</v>
      </c>
      <c r="L29" s="21"/>
      <c r="S29" s="26"/>
      <c r="Z29" s="67"/>
      <c r="AA29" s="67"/>
      <c r="AB29" s="67"/>
      <c r="AC29" s="67"/>
      <c r="AD29" s="67"/>
      <c r="AE29" s="67"/>
      <c r="AF29" s="67"/>
      <c r="AG29" s="67"/>
      <c r="AH29" s="67"/>
      <c r="AI29" s="67"/>
      <c r="AJ29" s="67"/>
      <c r="AK29" s="67"/>
      <c r="AL29" s="67"/>
      <c r="AM29" s="67"/>
      <c r="AN29" s="67"/>
      <c r="AO29" s="67"/>
      <c r="AP29" s="67"/>
      <c r="AQ29" s="67"/>
      <c r="AS29" s="7">
        <f>ROW()</f>
        <v>29</v>
      </c>
    </row>
    <row r="30" spans="2:45" ht="13.95" customHeight="1">
      <c r="B30" s="142" t="s">
        <v>165</v>
      </c>
      <c r="K30" s="7">
        <f>K29*1000000/K28</f>
        <v>42.674745371183555</v>
      </c>
      <c r="L30" s="28"/>
      <c r="S30" s="26"/>
      <c r="Z30" s="67"/>
      <c r="AA30" s="67"/>
      <c r="AB30" s="67"/>
      <c r="AC30" s="67"/>
      <c r="AD30" s="67"/>
      <c r="AE30" s="67"/>
      <c r="AF30" s="67"/>
      <c r="AG30" s="67"/>
      <c r="AH30" s="67"/>
      <c r="AI30" s="67"/>
      <c r="AJ30" s="67"/>
      <c r="AK30" s="67"/>
      <c r="AL30" s="67"/>
      <c r="AM30" s="67"/>
      <c r="AN30" s="67"/>
      <c r="AO30" s="67"/>
      <c r="AP30" s="67"/>
      <c r="AQ30" s="67"/>
      <c r="AS30" s="7">
        <f>ROW()</f>
        <v>30</v>
      </c>
    </row>
    <row r="31" spans="2:45" ht="13.95" customHeight="1">
      <c r="B31" s="8" t="s">
        <v>101</v>
      </c>
      <c r="K31" s="181">
        <f>K29*Parameters!$I$17</f>
        <v>19.570435014151581</v>
      </c>
      <c r="L31" s="19"/>
      <c r="S31" s="26"/>
      <c r="T31" s="273"/>
      <c r="U31" s="152"/>
      <c r="V31" s="152"/>
      <c r="W31" s="152"/>
      <c r="X31" s="152"/>
      <c r="Y31" s="152"/>
      <c r="Z31" s="152"/>
      <c r="AA31" s="152"/>
      <c r="AB31" s="152"/>
      <c r="AC31" s="152"/>
      <c r="AD31" s="152"/>
      <c r="AE31" s="152"/>
      <c r="AF31" s="152"/>
      <c r="AG31" s="152"/>
      <c r="AH31" s="152"/>
      <c r="AI31" s="152"/>
      <c r="AJ31" s="152"/>
      <c r="AK31" s="152"/>
      <c r="AL31" s="152"/>
      <c r="AM31" s="152"/>
      <c r="AN31" s="152"/>
      <c r="AO31" s="152"/>
      <c r="AP31" s="152"/>
      <c r="AQ31" s="152"/>
      <c r="AS31" s="7">
        <f>ROW()</f>
        <v>31</v>
      </c>
    </row>
    <row r="32" spans="2:45" ht="13.95" customHeight="1">
      <c r="I32" s="19"/>
      <c r="J32" s="19"/>
      <c r="K32" s="28"/>
      <c r="L32" s="28"/>
      <c r="S32" s="26"/>
      <c r="T32" s="273"/>
      <c r="U32" s="152"/>
      <c r="V32" s="152"/>
      <c r="W32" s="152"/>
      <c r="X32" s="152"/>
      <c r="Y32" s="152"/>
      <c r="Z32" s="152"/>
      <c r="AA32" s="152"/>
      <c r="AB32" s="152"/>
      <c r="AC32" s="152"/>
      <c r="AD32" s="152"/>
      <c r="AE32" s="152"/>
      <c r="AF32" s="152"/>
      <c r="AG32" s="152"/>
      <c r="AH32" s="152"/>
      <c r="AI32" s="152"/>
      <c r="AJ32" s="152"/>
      <c r="AK32" s="152"/>
      <c r="AL32" s="152"/>
      <c r="AM32" s="152"/>
      <c r="AN32" s="152"/>
      <c r="AO32" s="152"/>
      <c r="AP32" s="152"/>
      <c r="AQ32" s="152"/>
      <c r="AS32" s="7">
        <f>ROW()</f>
        <v>32</v>
      </c>
    </row>
    <row r="33" spans="2:45" ht="13.95" customHeight="1">
      <c r="B33" s="8"/>
      <c r="I33" s="118">
        <v>2005</v>
      </c>
      <c r="J33" s="118">
        <v>2006</v>
      </c>
      <c r="K33" s="118">
        <f t="shared" ref="K33:AP33" si="1">K14</f>
        <v>2007</v>
      </c>
      <c r="L33" s="118">
        <f t="shared" si="1"/>
        <v>2008</v>
      </c>
      <c r="M33" s="118">
        <f t="shared" si="1"/>
        <v>2009</v>
      </c>
      <c r="N33" s="118">
        <f t="shared" si="1"/>
        <v>2010</v>
      </c>
      <c r="O33" s="118">
        <f t="shared" si="1"/>
        <v>2011</v>
      </c>
      <c r="P33" s="118">
        <f t="shared" si="1"/>
        <v>2012</v>
      </c>
      <c r="Q33" s="118">
        <f t="shared" si="1"/>
        <v>2013</v>
      </c>
      <c r="R33" s="118">
        <f t="shared" ref="R33" si="2">R14</f>
        <v>2014</v>
      </c>
      <c r="S33" s="118">
        <f t="shared" si="1"/>
        <v>2015</v>
      </c>
      <c r="T33" s="274">
        <f t="shared" si="1"/>
        <v>2017</v>
      </c>
      <c r="U33" s="118">
        <f t="shared" si="1"/>
        <v>2018</v>
      </c>
      <c r="V33" s="118">
        <f t="shared" si="1"/>
        <v>2019</v>
      </c>
      <c r="W33" s="118">
        <f t="shared" si="1"/>
        <v>2020</v>
      </c>
      <c r="X33" s="118">
        <f t="shared" si="1"/>
        <v>2021</v>
      </c>
      <c r="Y33" s="118">
        <f t="shared" si="1"/>
        <v>2022</v>
      </c>
      <c r="Z33" s="118">
        <f t="shared" si="1"/>
        <v>2023</v>
      </c>
      <c r="AA33" s="118">
        <f t="shared" si="1"/>
        <v>2024</v>
      </c>
      <c r="AB33" s="118">
        <f t="shared" si="1"/>
        <v>2025</v>
      </c>
      <c r="AC33" s="118">
        <f t="shared" si="1"/>
        <v>2026</v>
      </c>
      <c r="AD33" s="118">
        <f t="shared" si="1"/>
        <v>2027</v>
      </c>
      <c r="AE33" s="118">
        <f t="shared" si="1"/>
        <v>2028</v>
      </c>
      <c r="AF33" s="118">
        <f t="shared" si="1"/>
        <v>2029</v>
      </c>
      <c r="AG33" s="118">
        <f t="shared" si="1"/>
        <v>2030</v>
      </c>
      <c r="AH33" s="118">
        <f t="shared" si="1"/>
        <v>2031</v>
      </c>
      <c r="AI33" s="118">
        <f t="shared" si="1"/>
        <v>2032</v>
      </c>
      <c r="AJ33" s="118">
        <f t="shared" si="1"/>
        <v>2033</v>
      </c>
      <c r="AK33" s="118">
        <f t="shared" si="1"/>
        <v>2034</v>
      </c>
      <c r="AL33" s="118">
        <f t="shared" si="1"/>
        <v>2035</v>
      </c>
      <c r="AM33" s="118">
        <f t="shared" si="1"/>
        <v>2036</v>
      </c>
      <c r="AN33" s="118">
        <f t="shared" si="1"/>
        <v>2037</v>
      </c>
      <c r="AO33" s="118">
        <f t="shared" si="1"/>
        <v>2038</v>
      </c>
      <c r="AP33" s="118">
        <f t="shared" si="1"/>
        <v>2039</v>
      </c>
      <c r="AQ33" s="118">
        <f t="shared" ref="AQ33" si="3">AQ14</f>
        <v>2040</v>
      </c>
      <c r="AS33" s="7">
        <f>ROW()</f>
        <v>33</v>
      </c>
    </row>
    <row r="34" spans="2:45" ht="13.95" customHeight="1">
      <c r="B34" s="978" t="s">
        <v>1041</v>
      </c>
      <c r="C34" s="739"/>
      <c r="D34" s="739"/>
      <c r="E34" s="739"/>
      <c r="F34" s="739"/>
      <c r="G34" s="739"/>
      <c r="H34" s="739"/>
      <c r="I34" s="739"/>
      <c r="J34" s="752">
        <v>1.03E-2</v>
      </c>
      <c r="K34" s="1293" t="s">
        <v>1042</v>
      </c>
      <c r="L34" s="1294"/>
      <c r="M34" s="1294"/>
      <c r="N34" s="1294"/>
      <c r="O34" s="1294"/>
      <c r="P34" s="1294"/>
      <c r="Q34" s="1250"/>
      <c r="R34" s="777"/>
      <c r="S34" s="733"/>
      <c r="AS34" s="7">
        <f>ROW()</f>
        <v>34</v>
      </c>
    </row>
    <row r="35" spans="2:45" ht="13.95" customHeight="1">
      <c r="B35" s="979" t="str">
        <f>CONCATENATE("Assumed multiplier to that rate, for projecting post-",S33, " real increase in gasoline price:")</f>
        <v>Assumed multiplier to that rate, for projecting post-2015 real increase in gasoline price:</v>
      </c>
      <c r="C35" s="739"/>
      <c r="D35" s="739"/>
      <c r="E35" s="739"/>
      <c r="F35" s="739"/>
      <c r="G35" s="739"/>
      <c r="H35" s="739"/>
      <c r="I35" s="739"/>
      <c r="J35" s="980">
        <v>1</v>
      </c>
      <c r="K35" s="1253"/>
      <c r="L35" s="1295"/>
      <c r="M35" s="1295"/>
      <c r="N35" s="1295"/>
      <c r="O35" s="1295"/>
      <c r="P35" s="1295"/>
      <c r="Q35" s="1254"/>
      <c r="R35" s="777"/>
      <c r="S35" s="733"/>
      <c r="T35" s="275"/>
      <c r="U35" s="182"/>
      <c r="V35" s="182"/>
      <c r="W35" s="182"/>
      <c r="X35" s="182"/>
      <c r="Y35" s="182"/>
      <c r="Z35" s="171"/>
      <c r="AC35" s="170"/>
      <c r="AS35" s="7">
        <f>ROW()</f>
        <v>35</v>
      </c>
    </row>
    <row r="36" spans="2:45" ht="13.95" customHeight="1">
      <c r="B36" s="1297" t="s">
        <v>744</v>
      </c>
      <c r="C36" s="1298"/>
      <c r="D36" s="1298"/>
      <c r="E36" s="1298"/>
      <c r="F36" s="1298"/>
      <c r="G36" s="1298"/>
      <c r="H36" s="1298"/>
      <c r="I36" s="1298"/>
      <c r="J36" s="981"/>
      <c r="K36" s="1299" t="str">
        <f>CONCATENATE("NB: First, figure in Cell J",AS34, " includes taxes on gasoline, which have barely risen and thus reduce the untaxed increase rate. Second, Cell J",AS38, ", which derives from Cell J",AS34, ", is no longer used; it has been superseded by AEO projections.")</f>
        <v>NB: First, figure in Cell J34 includes taxes on gasoline, which have barely risen and thus reduce the untaxed increase rate. Second, Cell J38, which derives from Cell J34, is no longer used; it has been superseded by AEO projections.</v>
      </c>
      <c r="L36" s="1294"/>
      <c r="M36" s="1294"/>
      <c r="N36" s="1294"/>
      <c r="O36" s="1294"/>
      <c r="P36" s="1294"/>
      <c r="Q36" s="1250"/>
      <c r="R36" s="182"/>
      <c r="S36" s="182"/>
      <c r="T36" s="275"/>
      <c r="U36" s="182"/>
      <c r="V36" s="182"/>
      <c r="W36" s="182"/>
      <c r="X36" s="182"/>
      <c r="Y36" s="182"/>
      <c r="Z36" s="171"/>
      <c r="AC36" s="170"/>
      <c r="AS36" s="7">
        <f>ROW()</f>
        <v>36</v>
      </c>
    </row>
    <row r="37" spans="2:45" ht="13.95" customHeight="1">
      <c r="B37" s="1298"/>
      <c r="C37" s="1298"/>
      <c r="D37" s="1298"/>
      <c r="E37" s="1298"/>
      <c r="F37" s="1298"/>
      <c r="G37" s="1298"/>
      <c r="H37" s="1298"/>
      <c r="I37" s="1298"/>
      <c r="J37" s="739"/>
      <c r="K37" s="1251"/>
      <c r="L37" s="1300"/>
      <c r="M37" s="1300"/>
      <c r="N37" s="1300"/>
      <c r="O37" s="1300"/>
      <c r="P37" s="1300"/>
      <c r="Q37" s="1252"/>
      <c r="R37" s="173"/>
      <c r="S37" s="173"/>
      <c r="T37" s="276"/>
      <c r="U37" s="173"/>
      <c r="V37" s="173"/>
      <c r="W37" s="173"/>
      <c r="X37" s="173"/>
      <c r="Y37" s="173"/>
      <c r="Z37" s="171"/>
      <c r="AC37" s="170"/>
      <c r="AS37" s="7">
        <f>ROW()</f>
        <v>37</v>
      </c>
    </row>
    <row r="38" spans="2:45" ht="13.95" customHeight="1">
      <c r="B38" s="978" t="s">
        <v>1059</v>
      </c>
      <c r="C38" s="739"/>
      <c r="D38" s="739"/>
      <c r="E38" s="739"/>
      <c r="F38" s="739"/>
      <c r="G38" s="739"/>
      <c r="H38" s="739"/>
      <c r="I38" s="739"/>
      <c r="J38" s="752">
        <f>J34*J35</f>
        <v>1.03E-2</v>
      </c>
      <c r="K38" s="1253"/>
      <c r="L38" s="1295"/>
      <c r="M38" s="1295"/>
      <c r="N38" s="1295"/>
      <c r="O38" s="1295"/>
      <c r="P38" s="1295"/>
      <c r="Q38" s="1254"/>
      <c r="R38" s="173"/>
      <c r="S38" s="173"/>
      <c r="T38" s="276"/>
      <c r="U38" s="173"/>
      <c r="V38" s="173"/>
      <c r="W38" s="173"/>
      <c r="X38" s="173"/>
      <c r="Y38" s="173"/>
      <c r="Z38" s="171"/>
      <c r="AC38" s="170"/>
      <c r="AS38" s="7">
        <f>ROW()</f>
        <v>38</v>
      </c>
    </row>
    <row r="39" spans="2:45" ht="13.95" customHeight="1">
      <c r="B39" s="291" t="str">
        <f>CONCATENATE("Product of Rows ",AS34, " and ",AS37, ".")</f>
        <v>Product of Rows 34 and 37.</v>
      </c>
      <c r="L39" s="173"/>
      <c r="M39" s="173"/>
      <c r="N39" s="173"/>
      <c r="O39" s="173"/>
      <c r="P39" s="173"/>
      <c r="Q39" s="173"/>
      <c r="R39" s="173"/>
      <c r="S39" s="173"/>
      <c r="T39" s="276"/>
      <c r="U39" s="173"/>
      <c r="V39" s="173"/>
      <c r="W39" s="173"/>
      <c r="X39" s="173"/>
      <c r="Y39" s="173"/>
      <c r="Z39" s="171"/>
      <c r="AC39" s="170"/>
      <c r="AS39" s="7">
        <f>ROW()</f>
        <v>39</v>
      </c>
    </row>
    <row r="40" spans="2:45" ht="13.95" customHeight="1">
      <c r="B40" s="8" t="s">
        <v>882</v>
      </c>
      <c r="L40" s="173"/>
      <c r="M40" s="173"/>
      <c r="N40" s="173"/>
      <c r="O40" s="173"/>
      <c r="P40" s="173"/>
      <c r="Q40" s="173"/>
      <c r="R40" s="173"/>
      <c r="S40" s="173"/>
      <c r="T40" s="276"/>
      <c r="U40" s="173"/>
      <c r="V40" s="173"/>
      <c r="W40" s="173"/>
      <c r="X40" s="173"/>
      <c r="Y40" s="173"/>
      <c r="Z40" s="171"/>
      <c r="AC40" s="170"/>
      <c r="AS40" s="7">
        <f>ROW()</f>
        <v>40</v>
      </c>
    </row>
    <row r="41" spans="2:45" s="14" customFormat="1" ht="13.95" customHeight="1">
      <c r="B41" s="14" t="s">
        <v>879</v>
      </c>
      <c r="I41" s="812">
        <f>Emissions!G78</f>
        <v>1193.0849999999996</v>
      </c>
      <c r="J41" s="812">
        <f>Emissions!H78</f>
        <v>1188.3400000000001</v>
      </c>
      <c r="K41" s="812">
        <f>Emissions!I78</f>
        <v>1167.73</v>
      </c>
      <c r="L41" s="812">
        <f>Emissions!J78</f>
        <v>1113.7300000000002</v>
      </c>
      <c r="M41" s="541">
        <f>Emissions!K78</f>
        <v>1088.0049999999994</v>
      </c>
      <c r="N41" s="541">
        <f>Emissions!L78</f>
        <v>1081.135</v>
      </c>
      <c r="O41" s="812">
        <f>Emissions!M78</f>
        <v>1060.7649999999994</v>
      </c>
      <c r="P41" s="812">
        <f>Emissions!N78</f>
        <v>1055.2850000000001</v>
      </c>
      <c r="Q41" s="812">
        <f>Emissions!O78</f>
        <v>1054.4699999999998</v>
      </c>
      <c r="R41" s="541">
        <f>Emissions!P78</f>
        <v>1071.0550000000001</v>
      </c>
      <c r="S41" s="541">
        <f>Emissions!Q78</f>
        <v>1098.7398093222546</v>
      </c>
      <c r="T41" s="813">
        <f>T43*$K$31/Parameters!$I$18</f>
        <v>1109.7021826318589</v>
      </c>
      <c r="U41" s="541">
        <f>U43*$K$31/Parameters!$I$18</f>
        <v>1122.8230048346136</v>
      </c>
      <c r="V41" s="541">
        <f>V43*$K$31/Parameters!$I$18</f>
        <v>1137.0562096680558</v>
      </c>
      <c r="W41" s="541">
        <f>W43*$K$31/Parameters!$I$18</f>
        <v>1154.4398010544412</v>
      </c>
      <c r="X41" s="541">
        <f>X43*$K$31/Parameters!$I$18</f>
        <v>1161.8388168707202</v>
      </c>
      <c r="Y41" s="541">
        <f>Y43*$K$31/Parameters!$I$18</f>
        <v>1173.6027586949601</v>
      </c>
      <c r="Z41" s="541">
        <f>Z43*$K$31/Parameters!$I$18</f>
        <v>1191.5692930589551</v>
      </c>
      <c r="AA41" s="541">
        <f>AA43*$K$31/Parameters!$I$18</f>
        <v>1209.7003792035366</v>
      </c>
      <c r="AB41" s="541">
        <f>AB43*$K$31/Parameters!$I$18</f>
        <v>1226.2814289451408</v>
      </c>
      <c r="AC41" s="541">
        <f>AC43*$K$31/Parameters!$I$18</f>
        <v>1241.2130032659575</v>
      </c>
      <c r="AD41" s="541">
        <f>AD43*$K$31/Parameters!$I$18</f>
        <v>1247.4433623960404</v>
      </c>
      <c r="AE41" s="541">
        <f>AE43*$K$31/Parameters!$I$18</f>
        <v>1253.7421495523188</v>
      </c>
      <c r="AF41" s="541">
        <f>AF43*$K$31/Parameters!$I$18</f>
        <v>1260.1100890754167</v>
      </c>
      <c r="AG41" s="541">
        <f>AG43*$K$31/Parameters!$I$18</f>
        <v>1266.5479152084649</v>
      </c>
      <c r="AH41" s="541">
        <f>AH43*$K$31/Parameters!$I$18</f>
        <v>1272.1803234797062</v>
      </c>
      <c r="AI41" s="541">
        <f>AI43*$K$31/Parameters!$I$18</f>
        <v>1277.4488964716379</v>
      </c>
      <c r="AJ41" s="541">
        <f>AJ43*$K$31/Parameters!$I$18</f>
        <v>1282.6592271975937</v>
      </c>
      <c r="AK41" s="541">
        <f>AK43*$K$31/Parameters!$I$18</f>
        <v>1287.8104469712978</v>
      </c>
      <c r="AL41" s="541">
        <f>AL43*$K$31/Parameters!$I$18</f>
        <v>1292.9016949166528</v>
      </c>
      <c r="AM41" s="541">
        <f>AM43*$K$31/Parameters!$I$18</f>
        <v>1297.9321182084918</v>
      </c>
      <c r="AN41" s="541">
        <f>AN43*$K$31/Parameters!$I$18</f>
        <v>1302.9008723116438</v>
      </c>
      <c r="AO41" s="541">
        <f>AO43*$K$31/Parameters!$I$18</f>
        <v>1307.807121218214</v>
      </c>
      <c r="AP41" s="541">
        <f>AP43*$K$31/Parameters!$I$18</f>
        <v>1312.6500376829911</v>
      </c>
      <c r="AQ41" s="541">
        <f>AQ43*$K$31/Parameters!$I$18</f>
        <v>1331.0610080997053</v>
      </c>
      <c r="AS41" s="555">
        <f>ROW()</f>
        <v>41</v>
      </c>
    </row>
    <row r="42" spans="2:45" ht="13.95" customHeight="1">
      <c r="B42" s="291" t="str">
        <f>CONCATENATE("Historical data -- through ",R33, " -- are from 'Emissions' tab, Row ",Emissions!S78, ". Figures after ",R33, " multiply projected fuel usage in Row ",AS43, " by CO2 emission factor for gasoline in Cell K",AS31, ".")</f>
        <v>Historical data -- through 2014 -- are from 'Emissions' tab, Row 78. Figures after 2014 multiply projected fuel usage in Row 43 by CO2 emission factor for gasoline in Cell K31.</v>
      </c>
      <c r="L42" s="84"/>
      <c r="M42" s="191"/>
      <c r="AS42" s="555">
        <f>ROW()</f>
        <v>42</v>
      </c>
    </row>
    <row r="43" spans="2:45" ht="13.95" customHeight="1">
      <c r="B43" s="14" t="s">
        <v>1040</v>
      </c>
      <c r="I43" s="119">
        <f>I41/$K$31*Parameters!$I$18</f>
        <v>134424.83128748415</v>
      </c>
      <c r="J43" s="119">
        <f>J41/$K$31*Parameters!$I$18</f>
        <v>133890.21235885876</v>
      </c>
      <c r="K43" s="119">
        <f>K41/$K$31*Parameters!$I$18</f>
        <v>131568.08462040336</v>
      </c>
      <c r="L43" s="119">
        <f>L41/$K$31*Parameters!$I$18</f>
        <v>125483.90713973423</v>
      </c>
      <c r="M43" s="119">
        <f>M41/$K$31*Parameters!$I$18</f>
        <v>122585.47258991537</v>
      </c>
      <c r="N43" s="119">
        <f>N41/$K$31*Parameters!$I$18</f>
        <v>121811.43001043031</v>
      </c>
      <c r="O43" s="119">
        <f>O41/$K$31*Parameters!$I$18</f>
        <v>119516.34306077783</v>
      </c>
      <c r="P43" s="119">
        <f>P41/$K$31*Parameters!$I$18</f>
        <v>118898.91171644333</v>
      </c>
      <c r="Q43" s="119">
        <f>Q41/$K$31*Parameters!$I$18</f>
        <v>118807.08570446653</v>
      </c>
      <c r="R43" s="119">
        <f>R41/$K$31*Parameters!$I$18</f>
        <v>120675.71688070541</v>
      </c>
      <c r="S43" s="982">
        <f>S41/$K$31*Parameters!$I$18</f>
        <v>123794.96305542911</v>
      </c>
      <c r="T43" s="277">
        <f>S43*T58^Parameters!$P$54*AVERAGE(J58:S58)^Parameters!$P$55*IF(T$14&gt;=2040,AEO!$R27,IF(T$14&gt;=2031,AEO!$Q27,IF(T$14&gt;=2021,AEO!$P27,AEO!$O27))^Parameters!$I$10)</f>
        <v>125030.09314478067</v>
      </c>
      <c r="U43" s="119">
        <f>T43*U58^Parameters!$P$54*AVERAGE(K58:T58)^Parameters!$P$55*IF(U$14&gt;=2040,AEO!$R27,IF(U$14&gt;=2031,AEO!$Q27,IF(U$14&gt;=2021,AEO!$P27,AEO!$O27))^Parameters!$I$10)</f>
        <v>126508.41557022258</v>
      </c>
      <c r="V43" s="119">
        <f>U43*V58^Parameters!$P$54*AVERAGE(L58:U58)^Parameters!$P$55*IF(V$14&gt;=2040,AEO!$R27,IF(V$14&gt;=2031,AEO!$Q27,IF(V$14&gt;=2021,AEO!$P27,AEO!$O27))^Parameters!$I$10)</f>
        <v>128112.07009476663</v>
      </c>
      <c r="W43" s="119">
        <f>V43*W58^Parameters!$P$54*AVERAGE(M58:V58)^Parameters!$P$55*IF(W$14&gt;=2040,AEO!$R27,IF(W$14&gt;=2031,AEO!$Q27,IF(W$14&gt;=2021,AEO!$P27,AEO!$O27))^Parameters!$I$10)</f>
        <v>130070.67852525183</v>
      </c>
      <c r="X43" s="119">
        <f>W43*X58^Parameters!$P$54*AVERAGE(N58:W58)^Parameters!$P$55*IF(X$14&gt;=2040,AEO!$R27,IF(X$14&gt;=2031,AEO!$Q27,IF(X$14&gt;=2021,AEO!$P27,AEO!$O27))^Parameters!$I$10)</f>
        <v>130904.32529207628</v>
      </c>
      <c r="Y43" s="119">
        <f>X43*Y58^Parameters!$P$54*AVERAGE(O58:X58)^Parameters!$P$55*IF(Y$14&gt;=2040,AEO!$R27,IF(Y$14&gt;=2031,AEO!$Q27,IF(Y$14&gt;=2021,AEO!$P27,AEO!$O27))^Parameters!$I$10)</f>
        <v>132229.76806857521</v>
      </c>
      <c r="Z43" s="119">
        <f>Y43*Z58^Parameters!$P$54*AVERAGE(P58:Y58)^Parameters!$P$55*IF(Z$14&gt;=2040,AEO!$R27,IF(Z$14&gt;=2031,AEO!$Q27,IF(Z$14&gt;=2021,AEO!$P27,AEO!$O27))^Parameters!$I$10)</f>
        <v>134254.05665715088</v>
      </c>
      <c r="AA43" s="119">
        <f>Z43*AA58^Parameters!$P$54*AVERAGE(Q58:Z58)^Parameters!$P$55*IF(AA$14&gt;=2040,AEO!$R27,IF(AA$14&gt;=2031,AEO!$Q27,IF(AA$14&gt;=2021,AEO!$P27,AEO!$O27))^Parameters!$I$10)</f>
        <v>136296.8852871682</v>
      </c>
      <c r="AB43" s="119">
        <f>AA43*AB58^Parameters!$P$54*AVERAGE(R58:AA58)^Parameters!$P$55*IF(AB$14&gt;=2040,AEO!$R27,IF(AB$14&gt;=2031,AEO!$Q27,IF(AB$14&gt;=2021,AEO!$P27,AEO!$O27))^Parameters!$I$10)</f>
        <v>138165.07138797789</v>
      </c>
      <c r="AC43" s="119">
        <f>AB43*AC58^Parameters!$P$54*AVERAGE(S58:AB58)^Parameters!$P$55*IF(AC$14&gt;=2040,AEO!$R27,IF(AC$14&gt;=2031,AEO!$Q27,IF(AC$14&gt;=2021,AEO!$P27,AEO!$O27))^Parameters!$I$10)</f>
        <v>139847.41117008252</v>
      </c>
      <c r="AD43" s="119">
        <f>AC43*AD58^Parameters!$P$54*AVERAGE(T58:AC58)^Parameters!$P$55*IF(AD$14&gt;=2040,AEO!$R27,IF(AD$14&gt;=2031,AEO!$Q27,IF(AD$14&gt;=2021,AEO!$P27,AEO!$O27))^Parameters!$I$10)</f>
        <v>140549.3854425961</v>
      </c>
      <c r="AE43" s="119">
        <f>AD43*AE58^Parameters!$P$54*AVERAGE(U58:AD58)^Parameters!$P$55*IF(AE$14&gt;=2040,AEO!$R27,IF(AE$14&gt;=2031,AEO!$Q27,IF(AE$14&gt;=2021,AEO!$P27,AEO!$O27))^Parameters!$I$10)</f>
        <v>141259.06949762863</v>
      </c>
      <c r="AF43" s="119">
        <f>AE43*AF58^Parameters!$P$54*AVERAGE(V58:AE58)^Parameters!$P$55*IF(AF$14&gt;=2040,AEO!$R27,IF(AF$14&gt;=2031,AEO!$Q27,IF(AF$14&gt;=2021,AEO!$P27,AEO!$O27))^Parameters!$I$10)</f>
        <v>141976.54494660447</v>
      </c>
      <c r="AG43" s="119">
        <f>AF43*AG58^Parameters!$P$54*AVERAGE(W58:AF58)^Parameters!$P$55*IF(AG$14&gt;=2040,AEO!$R27,IF(AG$14&gt;=2031,AEO!$Q27,IF(AG$14&gt;=2021,AEO!$P27,AEO!$O27))^Parameters!$I$10)</f>
        <v>142701.8945166629</v>
      </c>
      <c r="AH43" s="119">
        <f>AG43*AH58^Parameters!$P$54*AVERAGE(X58:AG58)^Parameters!$P$55*IF(AH$14&gt;=2040,AEO!$R27,IF(AH$14&gt;=2031,AEO!$Q27,IF(AH$14&gt;=2021,AEO!$P27,AEO!$O27))^Parameters!$I$10)</f>
        <v>143336.49769380773</v>
      </c>
      <c r="AI43" s="119">
        <f>AH43*AI58^Parameters!$P$54*AVERAGE(Y58:AH58)^Parameters!$P$55*IF(AI$14&gt;=2040,AEO!$R27,IF(AI$14&gt;=2031,AEO!$Q27,IF(AI$14&gt;=2021,AEO!$P27,AEO!$O27))^Parameters!$I$10)</f>
        <v>143930.10756700722</v>
      </c>
      <c r="AJ43" s="119">
        <f>AI43*AJ58^Parameters!$P$54*AVERAGE(Z58:AI58)^Parameters!$P$55*IF(AJ$14&gt;=2040,AEO!$R27,IF(AJ$14&gt;=2031,AEO!$Q27,IF(AJ$14&gt;=2021,AEO!$P27,AEO!$O27))^Parameters!$I$10)</f>
        <v>144517.15528681644</v>
      </c>
      <c r="AK43" s="119">
        <f>AJ43*AK58^Parameters!$P$54*AVERAGE(AA58:AJ58)^Parameters!$P$55*IF(AK$14&gt;=2040,AEO!$R27,IF(AK$14&gt;=2031,AEO!$Q27,IF(AK$14&gt;=2021,AEO!$P27,AEO!$O27))^Parameters!$I$10)</f>
        <v>145097.54297839326</v>
      </c>
      <c r="AL43" s="119">
        <f>AK43*AL58^Parameters!$P$54*AVERAGE(AB58:AK58)^Parameters!$P$55*IF(AL$14&gt;=2040,AEO!$R27,IF(AL$14&gt;=2031,AEO!$Q27,IF(AL$14&gt;=2021,AEO!$P27,AEO!$O27))^Parameters!$I$10)</f>
        <v>145671.17364686794</v>
      </c>
      <c r="AM43" s="119">
        <f>AL43*AM58^Parameters!$P$54*AVERAGE(AC58:AL58)^Parameters!$P$55*IF(AM$14&gt;=2040,AEO!$R27,IF(AM$14&gt;=2031,AEO!$Q27,IF(AM$14&gt;=2021,AEO!$P27,AEO!$O27))^Parameters!$I$10)</f>
        <v>146237.9512044687</v>
      </c>
      <c r="AN43" s="119">
        <f>AM43*AN58^Parameters!$P$54*AVERAGE(AD58:AM58)^Parameters!$P$55*IF(AN$14&gt;=2040,AEO!$R27,IF(AN$14&gt;=2031,AEO!$Q27,IF(AN$14&gt;=2021,AEO!$P27,AEO!$O27))^Parameters!$I$10)</f>
        <v>146797.78049745719</v>
      </c>
      <c r="AO43" s="119">
        <f>AN43*AO58^Parameters!$P$54*AVERAGE(AE58:AN58)^Parameters!$P$55*IF(AO$14&gt;=2040,AEO!$R27,IF(AO$14&gt;=2031,AEO!$Q27,IF(AO$14&gt;=2021,AEO!$P27,AEO!$O27))^Parameters!$I$10)</f>
        <v>147350.56733286299</v>
      </c>
      <c r="AP43" s="119">
        <f>AO43*AP58^Parameters!$P$54*AVERAGE(AF58:AO58)^Parameters!$P$55*IF(AP$14&gt;=2040,AEO!$R27,IF(AP$14&gt;=2031,AEO!$Q27,IF(AP$14&gt;=2021,AEO!$P27,AEO!$O27))^Parameters!$I$10)</f>
        <v>147896.21850500666</v>
      </c>
      <c r="AQ43" s="119">
        <f>AP43*AQ58^Parameters!$P$54*AVERAGE(AG58:AP58)^Parameters!$P$55*IF(AQ$14&gt;=2040,AEO!$R27,IF(AQ$14&gt;=2031,AEO!$Q27,IF(AQ$14&gt;=2021,AEO!$P27,AEO!$O27))^Parameters!$I$10)</f>
        <v>149970.58168290739</v>
      </c>
      <c r="AS43" s="555">
        <f>ROW()</f>
        <v>43</v>
      </c>
    </row>
    <row r="44" spans="2:45" ht="13.95" customHeight="1">
      <c r="B44" s="1296" t="str">
        <f>CONCATENATE("Historical figures divide Row ",AS41, " by CO2 emission factor per gallon of gasoline. Figures starting with ",T14, " apply income-elasticity for gasoline in Parameters page, Row ",Parameters!B10,", to assumed GDP growth rates in 'AEO' tab, Row ",AEO!V27, ", and same with short-run and long-run price-elasticities for gasoline, to yr-on-yr ratios of real gasoline price in Row ",AS58, ". Note that latter uses average price ratios from prior 10 years.")</f>
        <v>Historical figures divide Row 41 by CO2 emission factor per gallon of gasoline. Figures starting with 2017 apply income-elasticity for gasoline in Parameters page, Row 10, to assumed GDP growth rates in 'AEO' tab, Row 27, and same with short-run and long-run price-elasticities for gasoline, to yr-on-yr ratios of real gasoline price in Row 58. Note that latter uses average price ratios from prior 10 years.</v>
      </c>
      <c r="C44" s="1102"/>
      <c r="D44" s="1102"/>
      <c r="E44" s="1102"/>
      <c r="F44" s="1102"/>
      <c r="G44" s="1102"/>
      <c r="H44" s="1102"/>
      <c r="I44" s="1102"/>
      <c r="J44" s="1102"/>
      <c r="K44" s="1102"/>
      <c r="L44" s="1102"/>
      <c r="M44" s="1102"/>
      <c r="N44" s="1102"/>
      <c r="O44" s="1102"/>
      <c r="P44" s="1102"/>
      <c r="Q44" s="1102"/>
      <c r="R44" s="777"/>
      <c r="S44" s="733"/>
      <c r="AS44" s="7">
        <f>ROW()</f>
        <v>44</v>
      </c>
    </row>
    <row r="45" spans="2:45" ht="13.95" customHeight="1">
      <c r="B45" s="1102"/>
      <c r="C45" s="1102"/>
      <c r="D45" s="1102"/>
      <c r="E45" s="1102"/>
      <c r="F45" s="1102"/>
      <c r="G45" s="1102"/>
      <c r="H45" s="1102"/>
      <c r="I45" s="1102"/>
      <c r="J45" s="1102"/>
      <c r="K45" s="1102"/>
      <c r="L45" s="1102"/>
      <c r="M45" s="1102"/>
      <c r="N45" s="1102"/>
      <c r="O45" s="1102"/>
      <c r="P45" s="1102"/>
      <c r="Q45" s="1102"/>
      <c r="R45" s="777"/>
      <c r="S45" s="733"/>
      <c r="T45" s="277"/>
      <c r="U45" s="119"/>
      <c r="V45" s="119"/>
      <c r="W45" s="119"/>
      <c r="X45" s="119"/>
      <c r="Y45" s="119"/>
      <c r="Z45" s="119"/>
      <c r="AA45" s="119"/>
      <c r="AB45" s="119"/>
      <c r="AC45" s="119"/>
      <c r="AD45" s="119"/>
      <c r="AE45" s="119"/>
      <c r="AF45" s="119"/>
      <c r="AG45" s="119"/>
      <c r="AH45" s="119"/>
      <c r="AI45" s="119"/>
      <c r="AJ45" s="119"/>
      <c r="AK45" s="119"/>
      <c r="AL45" s="119"/>
      <c r="AM45" s="119"/>
      <c r="AN45" s="119"/>
      <c r="AO45" s="119"/>
      <c r="AP45" s="119"/>
      <c r="AQ45" s="119"/>
      <c r="AS45" s="7">
        <f>ROW()</f>
        <v>45</v>
      </c>
    </row>
    <row r="46" spans="2:45" ht="13.95" customHeight="1">
      <c r="B46" s="815" t="s">
        <v>880</v>
      </c>
      <c r="C46" s="816"/>
      <c r="D46" s="816"/>
      <c r="E46" s="816"/>
      <c r="F46" s="816"/>
      <c r="G46" s="816"/>
      <c r="H46" s="816"/>
      <c r="I46" s="816"/>
      <c r="J46" s="817">
        <v>0.01</v>
      </c>
      <c r="K46" s="818" t="s">
        <v>878</v>
      </c>
      <c r="AS46" s="7">
        <f>ROW()</f>
        <v>46</v>
      </c>
    </row>
    <row r="47" spans="2:45" ht="13.95" customHeight="1">
      <c r="B47" s="1301" t="s">
        <v>899</v>
      </c>
      <c r="C47" s="1302"/>
      <c r="D47" s="1302"/>
      <c r="E47" s="1302"/>
      <c r="F47" s="1302"/>
      <c r="G47" s="1302"/>
      <c r="H47" s="1302"/>
      <c r="I47" s="1302"/>
      <c r="J47" s="1302"/>
      <c r="K47" s="1302"/>
      <c r="L47" s="1302"/>
      <c r="M47" s="1302"/>
      <c r="N47" s="1302"/>
      <c r="O47" s="1302"/>
      <c r="P47" s="1302"/>
      <c r="Q47" s="1303"/>
      <c r="AS47" s="7">
        <f>ROW()</f>
        <v>47</v>
      </c>
    </row>
    <row r="48" spans="2:45" ht="13.95" customHeight="1">
      <c r="B48" s="1304"/>
      <c r="C48" s="1305"/>
      <c r="D48" s="1305"/>
      <c r="E48" s="1305"/>
      <c r="F48" s="1305"/>
      <c r="G48" s="1305"/>
      <c r="H48" s="1305"/>
      <c r="I48" s="1305"/>
      <c r="J48" s="1305"/>
      <c r="K48" s="1305"/>
      <c r="L48" s="1305"/>
      <c r="M48" s="1305"/>
      <c r="N48" s="1305"/>
      <c r="O48" s="1305"/>
      <c r="P48" s="1305"/>
      <c r="Q48" s="1306"/>
      <c r="AS48" s="7">
        <f>ROW()</f>
        <v>48</v>
      </c>
    </row>
    <row r="49" spans="2:45" s="8" customFormat="1" ht="13.95" customHeight="1">
      <c r="B49" s="8" t="s">
        <v>901</v>
      </c>
      <c r="I49" s="159">
        <f t="shared" ref="I49:S49" si="4">I43/(1+$J$46)^MAX(0,(I33-$S$33))</f>
        <v>134424.83128748415</v>
      </c>
      <c r="J49" s="159">
        <f t="shared" si="4"/>
        <v>133890.21235885876</v>
      </c>
      <c r="K49" s="159">
        <f t="shared" si="4"/>
        <v>131568.08462040336</v>
      </c>
      <c r="L49" s="159">
        <f t="shared" si="4"/>
        <v>125483.90713973423</v>
      </c>
      <c r="M49" s="159">
        <f t="shared" si="4"/>
        <v>122585.47258991537</v>
      </c>
      <c r="N49" s="159">
        <f t="shared" si="4"/>
        <v>121811.43001043031</v>
      </c>
      <c r="O49" s="159">
        <f t="shared" si="4"/>
        <v>119516.34306077783</v>
      </c>
      <c r="P49" s="159">
        <f t="shared" si="4"/>
        <v>118898.91171644333</v>
      </c>
      <c r="Q49" s="159">
        <f t="shared" si="4"/>
        <v>118807.08570446653</v>
      </c>
      <c r="R49" s="159">
        <f t="shared" si="4"/>
        <v>120675.71688070541</v>
      </c>
      <c r="S49" s="159">
        <f t="shared" si="4"/>
        <v>123794.96305542911</v>
      </c>
      <c r="T49" s="819">
        <f t="shared" ref="T49:AQ49" si="5">T43/(1+$J$46)^MAX(0,(T33-$S$33))</f>
        <v>122566.50636680782</v>
      </c>
      <c r="U49" s="159">
        <f t="shared" si="5"/>
        <v>122787.82178239427</v>
      </c>
      <c r="V49" s="159">
        <f t="shared" si="5"/>
        <v>123113.18125207555</v>
      </c>
      <c r="W49" s="159">
        <f t="shared" si="5"/>
        <v>123757.78758050512</v>
      </c>
      <c r="X49" s="159">
        <f t="shared" si="5"/>
        <v>123317.79591556719</v>
      </c>
      <c r="Y49" s="159">
        <f t="shared" si="5"/>
        <v>123333.09204729718</v>
      </c>
      <c r="Z49" s="159">
        <f t="shared" si="5"/>
        <v>123981.36887306861</v>
      </c>
      <c r="AA49" s="159">
        <f t="shared" si="5"/>
        <v>124621.67013791695</v>
      </c>
      <c r="AB49" s="159">
        <f t="shared" si="5"/>
        <v>125079.03672176112</v>
      </c>
      <c r="AC49" s="159">
        <f t="shared" si="5"/>
        <v>125348.5514652094</v>
      </c>
      <c r="AD49" s="159">
        <f t="shared" si="5"/>
        <v>124730.44322252538</v>
      </c>
      <c r="AE49" s="159">
        <f t="shared" si="5"/>
        <v>124119.06117559111</v>
      </c>
      <c r="AF49" s="159">
        <f t="shared" si="5"/>
        <v>123514.33665198254</v>
      </c>
      <c r="AG49" s="159">
        <f t="shared" si="5"/>
        <v>122916.20189894234</v>
      </c>
      <c r="AH49" s="159">
        <f t="shared" si="5"/>
        <v>122240.41288346576</v>
      </c>
      <c r="AI49" s="159">
        <f t="shared" si="5"/>
        <v>121531.34257899591</v>
      </c>
      <c r="AJ49" s="159">
        <f t="shared" si="5"/>
        <v>120818.84401741879</v>
      </c>
      <c r="AK49" s="159">
        <f t="shared" si="5"/>
        <v>120103.02789754498</v>
      </c>
      <c r="AL49" s="159">
        <f t="shared" si="5"/>
        <v>119384.00484983457</v>
      </c>
      <c r="AM49" s="159">
        <f t="shared" si="5"/>
        <v>118661.88540898768</v>
      </c>
      <c r="AN49" s="159">
        <f t="shared" si="5"/>
        <v>117936.7799867455</v>
      </c>
      <c r="AO49" s="159">
        <f t="shared" si="5"/>
        <v>117208.79884491152</v>
      </c>
      <c r="AP49" s="159">
        <f t="shared" si="5"/>
        <v>116478.05206860059</v>
      </c>
      <c r="AQ49" s="159">
        <f t="shared" si="5"/>
        <v>116942.32697375269</v>
      </c>
      <c r="AS49" s="9">
        <f>ROW()</f>
        <v>49</v>
      </c>
    </row>
    <row r="50" spans="2:45" ht="13.95" customHeight="1">
      <c r="B50" s="291" t="str">
        <f>CONCATENATE("Applies accumulated compound mpg change from Cell J",AS46, " to base-case fuel use data in Row ",AS43, ".")</f>
        <v>Applies accumulated compound mpg change from Cell J46 to base-case fuel use data in Row 43.</v>
      </c>
      <c r="AS50" s="7">
        <f>ROW()</f>
        <v>50</v>
      </c>
    </row>
    <row r="51" spans="2:45" s="14" customFormat="1" ht="13.95" customHeight="1">
      <c r="B51" s="14" t="s">
        <v>883</v>
      </c>
      <c r="I51" s="541">
        <f>I49*$K$31/Parameters!$I$18</f>
        <v>1193.0849999999996</v>
      </c>
      <c r="J51" s="541">
        <f>J49*$K$31/Parameters!$I$18</f>
        <v>1188.3400000000001</v>
      </c>
      <c r="K51" s="541">
        <f>K49*$K$31/Parameters!$I$18</f>
        <v>1167.73</v>
      </c>
      <c r="L51" s="541">
        <f>L49*$K$31/Parameters!$I$18</f>
        <v>1113.7300000000002</v>
      </c>
      <c r="M51" s="541">
        <f>M49*$K$31/Parameters!$I$18</f>
        <v>1088.0049999999994</v>
      </c>
      <c r="N51" s="541">
        <f>N49*$K$31/Parameters!$I$18</f>
        <v>1081.1350000000002</v>
      </c>
      <c r="O51" s="541">
        <f>O49*$K$31/Parameters!$I$18</f>
        <v>1060.7649999999994</v>
      </c>
      <c r="P51" s="541">
        <f>P49*$K$31/Parameters!$I$18</f>
        <v>1055.2850000000001</v>
      </c>
      <c r="Q51" s="541">
        <f>Q49*$K$31/Parameters!$I$18</f>
        <v>1054.4699999999998</v>
      </c>
      <c r="R51" s="541">
        <f>R49*$K$31/Parameters!$I$18</f>
        <v>1071.0550000000001</v>
      </c>
      <c r="S51" s="538">
        <f>S49*$K$31/Parameters!$I$18</f>
        <v>1098.7398093222546</v>
      </c>
      <c r="T51" s="541">
        <f>T49*$K$31/Parameters!$I$18</f>
        <v>1087.8366656522489</v>
      </c>
      <c r="U51" s="541">
        <f>U49*$K$31/Parameters!$I$18</f>
        <v>1089.8009463589901</v>
      </c>
      <c r="V51" s="541">
        <f>V49*$K$31/Parameters!$I$18</f>
        <v>1092.6886680631335</v>
      </c>
      <c r="W51" s="541">
        <f>W49*$K$31/Parameters!$I$18</f>
        <v>1098.409859110862</v>
      </c>
      <c r="X51" s="541">
        <f>X49*$K$31/Parameters!$I$18</f>
        <v>1094.5047215664465</v>
      </c>
      <c r="Y51" s="541">
        <f>Y49*$K$31/Parameters!$I$18</f>
        <v>1094.6404820888908</v>
      </c>
      <c r="Z51" s="541">
        <f>Z49*$K$31/Parameters!$I$18</f>
        <v>1100.3942505650543</v>
      </c>
      <c r="AA51" s="541">
        <f>AA49*$K$31/Parameters!$I$18</f>
        <v>1106.0772321039178</v>
      </c>
      <c r="AB51" s="541">
        <f>AB49*$K$31/Parameters!$I$18</f>
        <v>1110.1365804063062</v>
      </c>
      <c r="AC51" s="541">
        <f>AC49*$K$31/Parameters!$I$18</f>
        <v>1112.5286533187825</v>
      </c>
      <c r="AD51" s="541">
        <f>AD49*$K$31/Parameters!$I$18</f>
        <v>1107.0426455205245</v>
      </c>
      <c r="AE51" s="541">
        <f>AE49*$K$31/Parameters!$I$18</f>
        <v>1101.6163359430432</v>
      </c>
      <c r="AF51" s="541">
        <f>AF49*$K$31/Parameters!$I$18</f>
        <v>1096.2491150855624</v>
      </c>
      <c r="AG51" s="541">
        <f>AG49*$K$31/Parameters!$I$18</f>
        <v>1090.9403816097897</v>
      </c>
      <c r="AH51" s="541">
        <f>AH49*$K$31/Parameters!$I$18</f>
        <v>1084.9424292240019</v>
      </c>
      <c r="AI51" s="541">
        <f>AI49*$K$31/Parameters!$I$18</f>
        <v>1078.6490893990172</v>
      </c>
      <c r="AJ51" s="541">
        <f>AJ49*$K$31/Parameters!$I$18</f>
        <v>1072.3253221441321</v>
      </c>
      <c r="AK51" s="541">
        <f>AK49*$K$31/Parameters!$I$18</f>
        <v>1065.9721099645074</v>
      </c>
      <c r="AL51" s="541">
        <f>AL49*$K$31/Parameters!$I$18</f>
        <v>1059.5904347586597</v>
      </c>
      <c r="AM51" s="541">
        <f>AM49*$K$31/Parameters!$I$18</f>
        <v>1053.1812775751905</v>
      </c>
      <c r="AN51" s="541">
        <f>AN49*$K$31/Parameters!$I$18</f>
        <v>1046.7456183713812</v>
      </c>
      <c r="AO51" s="541">
        <f>AO49*$K$31/Parameters!$I$18</f>
        <v>1040.2844357737442</v>
      </c>
      <c r="AP51" s="541">
        <f>AP49*$K$31/Parameters!$I$18</f>
        <v>1033.7987068405948</v>
      </c>
      <c r="AQ51" s="541">
        <f>AQ49*$K$31/Parameters!$I$18</f>
        <v>1037.9193698156428</v>
      </c>
      <c r="AS51" s="555">
        <f>ROW()</f>
        <v>51</v>
      </c>
    </row>
    <row r="52" spans="2:45" ht="13.95" customHeight="1">
      <c r="B52" s="291" t="str">
        <f>CONCATENATE("Row ",AS49, " multiplied by lb CO2 per gallon of gasoline in Cell K",AS31, " and divided by pounds per metric ton in 'Parameters' tab.")</f>
        <v>Row 49 multiplied by lb CO2 per gallon of gasoline in Cell K31 and divided by pounds per metric ton in 'Parameters' tab.</v>
      </c>
      <c r="C52" s="805"/>
      <c r="D52" s="805"/>
      <c r="E52" s="805"/>
      <c r="F52" s="805"/>
      <c r="G52" s="805"/>
      <c r="H52" s="805"/>
      <c r="I52" s="805"/>
      <c r="J52" s="805"/>
      <c r="K52" s="805"/>
      <c r="L52" s="805"/>
      <c r="M52" s="805"/>
      <c r="N52" s="805"/>
      <c r="O52" s="805"/>
      <c r="P52" s="805"/>
      <c r="Q52" s="805"/>
      <c r="R52" s="805"/>
      <c r="S52" s="805"/>
      <c r="AS52" s="7">
        <f>ROW()</f>
        <v>52</v>
      </c>
    </row>
    <row r="53" spans="2:45" ht="13.95" customHeight="1">
      <c r="H53" s="13">
        <v>2004</v>
      </c>
      <c r="I53" s="13">
        <f t="shared" ref="I53:AQ53" si="6">I$14</f>
        <v>2005</v>
      </c>
      <c r="J53" s="13">
        <f t="shared" si="6"/>
        <v>2006</v>
      </c>
      <c r="K53" s="13">
        <f t="shared" si="6"/>
        <v>2007</v>
      </c>
      <c r="L53" s="13">
        <f t="shared" si="6"/>
        <v>2008</v>
      </c>
      <c r="M53" s="155">
        <f t="shared" si="6"/>
        <v>2009</v>
      </c>
      <c r="N53" s="155">
        <f t="shared" si="6"/>
        <v>2010</v>
      </c>
      <c r="O53" s="13">
        <f t="shared" si="6"/>
        <v>2011</v>
      </c>
      <c r="P53" s="13">
        <f t="shared" si="6"/>
        <v>2012</v>
      </c>
      <c r="Q53" s="13">
        <f t="shared" si="6"/>
        <v>2013</v>
      </c>
      <c r="R53" s="13">
        <f t="shared" si="6"/>
        <v>2014</v>
      </c>
      <c r="S53" s="13">
        <f t="shared" si="6"/>
        <v>2015</v>
      </c>
      <c r="T53" s="279">
        <f t="shared" si="6"/>
        <v>2017</v>
      </c>
      <c r="U53" s="13">
        <f t="shared" si="6"/>
        <v>2018</v>
      </c>
      <c r="V53" s="13">
        <f t="shared" si="6"/>
        <v>2019</v>
      </c>
      <c r="W53" s="13">
        <f t="shared" si="6"/>
        <v>2020</v>
      </c>
      <c r="X53" s="13">
        <f t="shared" si="6"/>
        <v>2021</v>
      </c>
      <c r="Y53" s="13">
        <f t="shared" si="6"/>
        <v>2022</v>
      </c>
      <c r="Z53" s="13">
        <f t="shared" si="6"/>
        <v>2023</v>
      </c>
      <c r="AA53" s="13">
        <f t="shared" si="6"/>
        <v>2024</v>
      </c>
      <c r="AB53" s="13">
        <f t="shared" si="6"/>
        <v>2025</v>
      </c>
      <c r="AC53" s="13">
        <f t="shared" si="6"/>
        <v>2026</v>
      </c>
      <c r="AD53" s="13">
        <f t="shared" si="6"/>
        <v>2027</v>
      </c>
      <c r="AE53" s="13">
        <f t="shared" si="6"/>
        <v>2028</v>
      </c>
      <c r="AF53" s="13">
        <f t="shared" si="6"/>
        <v>2029</v>
      </c>
      <c r="AG53" s="13">
        <f t="shared" si="6"/>
        <v>2030</v>
      </c>
      <c r="AH53" s="13">
        <f t="shared" si="6"/>
        <v>2031</v>
      </c>
      <c r="AI53" s="13">
        <f t="shared" si="6"/>
        <v>2032</v>
      </c>
      <c r="AJ53" s="13">
        <f t="shared" si="6"/>
        <v>2033</v>
      </c>
      <c r="AK53" s="13">
        <f t="shared" si="6"/>
        <v>2034</v>
      </c>
      <c r="AL53" s="13">
        <f t="shared" si="6"/>
        <v>2035</v>
      </c>
      <c r="AM53" s="13">
        <f t="shared" si="6"/>
        <v>2036</v>
      </c>
      <c r="AN53" s="13">
        <f t="shared" si="6"/>
        <v>2037</v>
      </c>
      <c r="AO53" s="13">
        <f t="shared" si="6"/>
        <v>2038</v>
      </c>
      <c r="AP53" s="13">
        <f t="shared" si="6"/>
        <v>2039</v>
      </c>
      <c r="AQ53" s="13">
        <f t="shared" si="6"/>
        <v>2040</v>
      </c>
      <c r="AS53" s="7">
        <f>ROW()</f>
        <v>53</v>
      </c>
    </row>
    <row r="54" spans="2:45" ht="13.95" customHeight="1">
      <c r="B54" s="54" t="s">
        <v>359</v>
      </c>
      <c r="G54" s="183">
        <v>10</v>
      </c>
      <c r="H54" s="54" t="s">
        <v>860</v>
      </c>
      <c r="J54" s="283">
        <v>0.01</v>
      </c>
      <c r="AS54" s="7">
        <f>ROW()</f>
        <v>54</v>
      </c>
    </row>
    <row r="55" spans="2:45" ht="13.95" customHeight="1">
      <c r="B55" s="291" t="s">
        <v>1088</v>
      </c>
      <c r="C55" s="291"/>
      <c r="D55" s="291"/>
      <c r="E55" s="291"/>
      <c r="F55" s="291"/>
      <c r="G55" s="291"/>
      <c r="H55" s="291"/>
      <c r="I55" s="291"/>
      <c r="J55" s="291"/>
      <c r="K55" s="291"/>
      <c r="L55" s="291"/>
      <c r="M55" s="291"/>
      <c r="N55" s="291"/>
      <c r="O55" s="291"/>
      <c r="P55" s="291"/>
      <c r="Q55" s="291"/>
      <c r="R55" s="777"/>
      <c r="S55" s="733"/>
      <c r="AS55" s="7">
        <f>ROW()</f>
        <v>55</v>
      </c>
    </row>
    <row r="56" spans="2:45" ht="13.95" customHeight="1">
      <c r="B56" s="14" t="s">
        <v>1090</v>
      </c>
      <c r="H56" s="269">
        <f>H60*Parameters!$R$60/Parameters!G60</f>
        <v>2.4128305505558494</v>
      </c>
      <c r="I56" s="269">
        <f>I60*Parameters!$R$60/Parameters!H60</f>
        <v>2.8374078136200716</v>
      </c>
      <c r="J56" s="269">
        <f>J60*Parameters!$R$60/Parameters!I60</f>
        <v>3.0979156498015867</v>
      </c>
      <c r="K56" s="269">
        <f>K60*Parameters!$R$60/Parameters!J60</f>
        <v>3.2567518061945964</v>
      </c>
      <c r="L56" s="269">
        <f>L60*Parameters!$R$60/Parameters!K60</f>
        <v>3.6515301180197208</v>
      </c>
      <c r="M56" s="269">
        <f>M60*Parameters!$R$60/Parameters!L60</f>
        <v>2.6525858802910451</v>
      </c>
      <c r="N56" s="269">
        <f>N60*Parameters!$R$60/Parameters!M60</f>
        <v>3.0826036064130311</v>
      </c>
      <c r="O56" s="269">
        <f>O60*Parameters!$R$60/Parameters!N60</f>
        <v>3.7690654310724239</v>
      </c>
      <c r="P56" s="269">
        <f>P60*Parameters!$R$60/Parameters!O60</f>
        <v>3.814462986837635</v>
      </c>
      <c r="Q56" s="269">
        <f>Q60*Parameters!$R$60/Parameters!P60</f>
        <v>3.6464623428358025</v>
      </c>
      <c r="R56" s="269">
        <f>R60*Parameters!$R$60/Parameters!Q60</f>
        <v>3.481127116281427</v>
      </c>
      <c r="S56" s="269">
        <f>S60*Parameters!$R$60/Parameters!R60</f>
        <v>2.52</v>
      </c>
      <c r="T56" s="272">
        <f>S56*Parameters!S69</f>
        <v>2.5626808182132388</v>
      </c>
      <c r="U56" s="270">
        <f>T56*Parameters!T69</f>
        <v>2.6060845143008233</v>
      </c>
      <c r="V56" s="270">
        <f>U56*Parameters!U69</f>
        <v>2.6502233315243195</v>
      </c>
      <c r="W56" s="270">
        <f>V56*Parameters!V69</f>
        <v>2.6951097205073649</v>
      </c>
      <c r="X56" s="270">
        <f>W56*Parameters!W69</f>
        <v>2.7407563427477251</v>
      </c>
      <c r="Y56" s="270">
        <f>X56*Parameters!X69</f>
        <v>2.7837872902564595</v>
      </c>
      <c r="Z56" s="270">
        <f>Y56*Parameters!Y69</f>
        <v>2.8274938404864645</v>
      </c>
      <c r="AA56" s="270">
        <f>Z56*Parameters!Z69</f>
        <v>2.8718866006649431</v>
      </c>
      <c r="AB56" s="270">
        <f>AA56*Parameters!AA69</f>
        <v>2.9169763445567178</v>
      </c>
      <c r="AC56" s="270">
        <f>AB56*Parameters!AB69</f>
        <v>2.9627740150789363</v>
      </c>
      <c r="AD56" s="270">
        <f>AC56*Parameters!AC69</f>
        <v>3.0092907269568299</v>
      </c>
      <c r="AE56" s="270">
        <f>AD56*Parameters!AD69</f>
        <v>3.0565377694211664</v>
      </c>
      <c r="AF56" s="270">
        <f>AE56*Parameters!AE69</f>
        <v>3.1045266089480568</v>
      </c>
      <c r="AG56" s="270">
        <f>AF56*Parameters!AF69</f>
        <v>3.1532688920417753</v>
      </c>
      <c r="AH56" s="270">
        <f>AG56*Parameters!AG69</f>
        <v>3.2027764480612726</v>
      </c>
      <c r="AI56" s="270">
        <f>AH56*Parameters!AH69</f>
        <v>3.2613982778454851</v>
      </c>
      <c r="AJ56" s="270">
        <f>AI56*Parameters!AI69</f>
        <v>3.321093088833031</v>
      </c>
      <c r="AK56" s="270">
        <f>AJ56*Parameters!AJ69</f>
        <v>3.3818805202720701</v>
      </c>
      <c r="AL56" s="270">
        <f>AK56*Parameters!AK69</f>
        <v>3.4437805708765823</v>
      </c>
      <c r="AM56" s="270">
        <f>AL56*Parameters!AL69</f>
        <v>3.5068136054058292</v>
      </c>
      <c r="AN56" s="270">
        <f>AM56*Parameters!AM69</f>
        <v>3.5710003613642418</v>
      </c>
      <c r="AO56" s="270">
        <f>AN56*Parameters!AN69</f>
        <v>3.6363619558239408</v>
      </c>
      <c r="AP56" s="270">
        <f>AO56*Parameters!AO69</f>
        <v>3.70291989237213</v>
      </c>
      <c r="AQ56" s="270">
        <f>AP56*Parameters!AP69</f>
        <v>3.7706960681856536</v>
      </c>
      <c r="AS56" s="7">
        <f>ROW()</f>
        <v>56</v>
      </c>
    </row>
    <row r="57" spans="2:45" ht="13.95" customHeight="1">
      <c r="B57" s="291" t="str">
        <f>CONCATENATE("Figures through 2015 apply annual CPI's compiled in 'Parameters' tab, Row ",Parameters!B60,". Figures after 2015 apply annual real escalation rates in 'Parameters' tab, Row ",Parameters!$B69, ", which in turn are from AEO data in 'AEO' tab.")</f>
        <v>Figures through 2015 apply annual CPI's compiled in 'Parameters' tab, Row 60. Figures after 2015 apply annual real escalation rates in 'Parameters' tab, Row 69, which in turn are from AEO data in 'AEO' tab.</v>
      </c>
      <c r="K57" s="270"/>
      <c r="L57" s="270"/>
      <c r="M57" s="270"/>
      <c r="N57" s="270"/>
      <c r="O57" s="270"/>
      <c r="P57" s="270"/>
      <c r="Q57" s="270"/>
      <c r="R57" s="270"/>
      <c r="S57" s="270"/>
      <c r="T57" s="272"/>
      <c r="U57" s="270"/>
      <c r="V57" s="270"/>
      <c r="W57" s="270"/>
      <c r="X57" s="270"/>
      <c r="Y57" s="270"/>
      <c r="Z57" s="270"/>
      <c r="AA57" s="270"/>
      <c r="AB57" s="270"/>
      <c r="AC57" s="270"/>
      <c r="AD57" s="270"/>
      <c r="AE57" s="270"/>
      <c r="AF57" s="270"/>
      <c r="AG57" s="270"/>
      <c r="AH57" s="270"/>
      <c r="AI57" s="270"/>
      <c r="AJ57" s="270"/>
      <c r="AK57" s="270"/>
      <c r="AL57" s="270"/>
      <c r="AM57" s="270"/>
      <c r="AN57" s="270"/>
      <c r="AO57" s="270"/>
      <c r="AP57" s="270"/>
      <c r="AQ57" s="270"/>
      <c r="AS57" s="7">
        <f>ROW()</f>
        <v>57</v>
      </c>
    </row>
    <row r="58" spans="2:45" ht="13.95" customHeight="1">
      <c r="B58" s="14" t="s">
        <v>1092</v>
      </c>
      <c r="I58" s="22">
        <f t="shared" ref="I58:AQ58" si="7">I56/H56</f>
        <v>1.1759664651819048</v>
      </c>
      <c r="J58" s="22">
        <f t="shared" si="7"/>
        <v>1.0918119118905045</v>
      </c>
      <c r="K58" s="22">
        <f t="shared" si="7"/>
        <v>1.0512719435737969</v>
      </c>
      <c r="L58" s="22">
        <f t="shared" si="7"/>
        <v>1.1212184210888363</v>
      </c>
      <c r="M58" s="22">
        <f t="shared" si="7"/>
        <v>0.72643133003366323</v>
      </c>
      <c r="N58" s="22">
        <f t="shared" si="7"/>
        <v>1.1621126498927168</v>
      </c>
      <c r="O58" s="22">
        <f t="shared" si="7"/>
        <v>1.222688970852847</v>
      </c>
      <c r="P58" s="22">
        <f t="shared" si="7"/>
        <v>1.0120447778356276</v>
      </c>
      <c r="Q58" s="22">
        <f t="shared" si="7"/>
        <v>0.95595693428366102</v>
      </c>
      <c r="R58" s="22">
        <f t="shared" si="7"/>
        <v>0.95465873194077833</v>
      </c>
      <c r="S58" s="22">
        <f t="shared" si="7"/>
        <v>0.72390347029093494</v>
      </c>
      <c r="T58" s="524">
        <f t="shared" si="7"/>
        <v>1.0169368326243011</v>
      </c>
      <c r="U58" s="22">
        <f t="shared" si="7"/>
        <v>1.0169368326243011</v>
      </c>
      <c r="V58" s="22">
        <f t="shared" si="7"/>
        <v>1.0169368326243011</v>
      </c>
      <c r="W58" s="22">
        <f t="shared" si="7"/>
        <v>1.0169368326243011</v>
      </c>
      <c r="X58" s="22">
        <f t="shared" si="7"/>
        <v>1.0169368326243011</v>
      </c>
      <c r="Y58" s="22">
        <f t="shared" si="7"/>
        <v>1.0157003914713536</v>
      </c>
      <c r="Z58" s="22">
        <f t="shared" si="7"/>
        <v>1.0157003914713536</v>
      </c>
      <c r="AA58" s="22">
        <f t="shared" si="7"/>
        <v>1.0157003914713536</v>
      </c>
      <c r="AB58" s="22">
        <f t="shared" si="7"/>
        <v>1.0157003914713536</v>
      </c>
      <c r="AC58" s="22">
        <f t="shared" si="7"/>
        <v>1.0157003914713536</v>
      </c>
      <c r="AD58" s="22">
        <f t="shared" si="7"/>
        <v>1.0157003914713536</v>
      </c>
      <c r="AE58" s="22">
        <f t="shared" si="7"/>
        <v>1.0157003914713536</v>
      </c>
      <c r="AF58" s="22">
        <f t="shared" si="7"/>
        <v>1.0157003914713536</v>
      </c>
      <c r="AG58" s="22">
        <f t="shared" si="7"/>
        <v>1.0157003914713536</v>
      </c>
      <c r="AH58" s="22">
        <f t="shared" si="7"/>
        <v>1.0157003914713536</v>
      </c>
      <c r="AI58" s="22">
        <f t="shared" si="7"/>
        <v>1.0183034410096583</v>
      </c>
      <c r="AJ58" s="22">
        <f t="shared" si="7"/>
        <v>1.0183034410096583</v>
      </c>
      <c r="AK58" s="22">
        <f t="shared" si="7"/>
        <v>1.0183034410096583</v>
      </c>
      <c r="AL58" s="22">
        <f t="shared" si="7"/>
        <v>1.0183034410096583</v>
      </c>
      <c r="AM58" s="22">
        <f t="shared" si="7"/>
        <v>1.0183034410096583</v>
      </c>
      <c r="AN58" s="22">
        <f t="shared" si="7"/>
        <v>1.0183034410096583</v>
      </c>
      <c r="AO58" s="22">
        <f t="shared" si="7"/>
        <v>1.0183034410096583</v>
      </c>
      <c r="AP58" s="22">
        <f t="shared" si="7"/>
        <v>1.0183034410096583</v>
      </c>
      <c r="AQ58" s="22">
        <f t="shared" si="7"/>
        <v>1.0183034410096583</v>
      </c>
      <c r="AR58" s="22"/>
      <c r="AS58" s="7">
        <f>ROW()</f>
        <v>58</v>
      </c>
    </row>
    <row r="59" spans="2:45" ht="13.95" customHeight="1">
      <c r="B59" s="291" t="str">
        <f>CONCATENATE("Calculated from figures in Row ",AS56,". Figures after 2015 duplicate projected real escalation rates in 'Parameters' tab, Row ",Parameters!$B69, ".")</f>
        <v>Calculated from figures in Row 56. Figures after 2015 duplicate projected real escalation rates in 'Parameters' tab, Row 69.</v>
      </c>
      <c r="AS59" s="7">
        <f>ROW()</f>
        <v>59</v>
      </c>
    </row>
    <row r="60" spans="2:45" ht="13.95" customHeight="1">
      <c r="B60" s="14" t="s">
        <v>1089</v>
      </c>
      <c r="H60" s="269">
        <v>1.923</v>
      </c>
      <c r="I60" s="269">
        <v>2.3380000000000001</v>
      </c>
      <c r="J60" s="269">
        <v>2.6349999999999998</v>
      </c>
      <c r="K60" s="269">
        <v>2.8490000000000002</v>
      </c>
      <c r="L60" s="269">
        <v>3.3170000000000002</v>
      </c>
      <c r="M60" s="270">
        <v>2.4009999999999998</v>
      </c>
      <c r="N60" s="270">
        <v>2.8359999999999999</v>
      </c>
      <c r="O60" s="269">
        <v>3.577</v>
      </c>
      <c r="P60" s="269">
        <v>3.6949999999999998</v>
      </c>
      <c r="Q60" s="269">
        <v>3.5840000000000001</v>
      </c>
      <c r="R60" s="270">
        <v>3.4769999999999999</v>
      </c>
      <c r="S60" s="270">
        <v>2.52</v>
      </c>
      <c r="T60" s="272">
        <f>T56*Parameters!S66</f>
        <v>2.6129501495204606</v>
      </c>
      <c r="U60" s="270">
        <f>U56*Parameters!T66</f>
        <v>2.7093287634440459</v>
      </c>
      <c r="V60" s="270">
        <f>V56*Parameters!U66</f>
        <v>2.8092623006115893</v>
      </c>
      <c r="W60" s="270">
        <f>W56*Parameters!V66</f>
        <v>2.9128818842957322</v>
      </c>
      <c r="X60" s="270">
        <f>X56*Parameters!W66</f>
        <v>3.0203234742484026</v>
      </c>
      <c r="Y60" s="270">
        <f>Y56*Parameters!X66</f>
        <v>3.1322698322293023</v>
      </c>
      <c r="Z60" s="270">
        <f>Z56*Parameters!Y66</f>
        <v>3.2483654103755382</v>
      </c>
      <c r="AA60" s="270">
        <f>AA56*Parameters!Z66</f>
        <v>3.3687639968789811</v>
      </c>
      <c r="AB60" s="270">
        <f>AB56*Parameters!AA66</f>
        <v>3.4936250799924804</v>
      </c>
      <c r="AC60" s="270">
        <f>AC56*Parameters!AB66</f>
        <v>3.6231140592989814</v>
      </c>
      <c r="AD60" s="270">
        <f>AD56*Parameters!AC66</f>
        <v>3.7574024648111921</v>
      </c>
      <c r="AE60" s="270">
        <f>AE56*Parameters!AD66</f>
        <v>3.8966681841920416</v>
      </c>
      <c r="AF60" s="270">
        <f>AF56*Parameters!AE66</f>
        <v>4.0410956983969228</v>
      </c>
      <c r="AG60" s="270">
        <f>AG56*Parameters!AF66</f>
        <v>4.1908763260498576</v>
      </c>
      <c r="AH60" s="270">
        <f>AH56*Parameters!AG66</f>
        <v>4.3462084768773135</v>
      </c>
      <c r="AI60" s="270">
        <f>AI56*Parameters!AH66</f>
        <v>4.5225805622686339</v>
      </c>
      <c r="AJ60" s="270">
        <f>AJ56*Parameters!AI66</f>
        <v>4.7061099464114484</v>
      </c>
      <c r="AK60" s="270">
        <f>AK56*Parameters!AJ66</f>
        <v>4.8970870773395507</v>
      </c>
      <c r="AL60" s="270">
        <f>AL56*Parameters!AK66</f>
        <v>5.0958141896647806</v>
      </c>
      <c r="AM60" s="270">
        <f>AL60*IF(AM$14&gt;=2040,AEO!$R18,IF(AM$14&gt;=2031,AEO!$Q18,IF(AM$14&gt;=2021,AEO!$P18,AEO!$O18)))*AEO!$S$28</f>
        <v>5.2985077102575948</v>
      </c>
      <c r="AN60" s="270">
        <f>AM60*IF(AN$14&gt;=2040,AEO!$R18,IF(AN$14&gt;=2031,AEO!$Q18,IF(AN$14&gt;=2021,AEO!$P18,AEO!$O18)))*AEO!$S$28</f>
        <v>5.5092636644009962</v>
      </c>
      <c r="AO60" s="270">
        <f>AN60*IF(AO$14&gt;=2040,AEO!$R18,IF(AO$14&gt;=2031,AEO!$Q18,IF(AO$14&gt;=2021,AEO!$P18,AEO!$O18)))*AEO!$S$28</f>
        <v>5.7284027472734369</v>
      </c>
      <c r="AP60" s="270">
        <f>AO60*IF(AP$14&gt;=2040,AEO!$R18,IF(AP$14&gt;=2031,AEO!$Q18,IF(AP$14&gt;=2021,AEO!$P18,AEO!$O18)))*AEO!$S$28</f>
        <v>5.9562584101767948</v>
      </c>
      <c r="AQ60" s="270">
        <f>AQ56*Parameters!AP66</f>
        <v>6.2171646699366008</v>
      </c>
      <c r="AR60" s="272"/>
      <c r="AS60" s="7">
        <f>ROW()</f>
        <v>60</v>
      </c>
    </row>
    <row r="61" spans="2:45" ht="13.95" customHeight="1">
      <c r="B61" s="291" t="str">
        <f>CONCATENATE("Historical values use source in box in Rows ",AS34, "-",AS35, ". Future values escalate &amp; inflate year-",S53, " value by AEO annual real incrs rates in 'AEO' tab in Row ",AEO!V18, ", incrs'd by annual general inflation index in 'Parameters' tab, Row ",Parameters!B63, ".")</f>
        <v>Historical values use source in box in Rows 34-35. Future values escalate &amp; inflate year-2015 value by AEO annual real incrs rates in 'AEO' tab in Row 18, incrs'd by annual general inflation index in 'Parameters' tab, Row 63.</v>
      </c>
      <c r="C61" s="291"/>
      <c r="D61" s="291"/>
      <c r="E61" s="291"/>
      <c r="F61" s="291"/>
      <c r="G61" s="291"/>
      <c r="H61" s="291"/>
      <c r="I61" s="291"/>
      <c r="J61" s="291"/>
      <c r="K61" s="291"/>
      <c r="L61" s="291"/>
      <c r="M61" s="291"/>
      <c r="N61" s="291"/>
      <c r="O61" s="291"/>
      <c r="P61" s="291"/>
      <c r="Q61" s="291"/>
      <c r="AS61" s="7">
        <f>ROW()</f>
        <v>61</v>
      </c>
    </row>
    <row r="62" spans="2:45" ht="13.95" customHeight="1">
      <c r="B62" s="14" t="s">
        <v>1095</v>
      </c>
      <c r="K62" s="269"/>
      <c r="L62" s="269"/>
      <c r="M62" s="270"/>
      <c r="N62" s="270"/>
      <c r="O62" s="269"/>
      <c r="P62" s="995" t="s">
        <v>1081</v>
      </c>
      <c r="Q62" s="269"/>
      <c r="R62" s="270"/>
      <c r="S62" s="270"/>
      <c r="T62" s="272">
        <f t="shared" ref="T62:AQ62" si="8">T60+T25</f>
        <v>2.7226877420983566</v>
      </c>
      <c r="U62" s="269">
        <f t="shared" si="8"/>
        <v>2.9309961135065086</v>
      </c>
      <c r="V62" s="269">
        <f t="shared" si="8"/>
        <v>3.1450844167804539</v>
      </c>
      <c r="W62" s="269">
        <f t="shared" si="8"/>
        <v>3.3651170563080317</v>
      </c>
      <c r="X62" s="269">
        <f t="shared" si="8"/>
        <v>3.5912637158174543</v>
      </c>
      <c r="Y62" s="269">
        <f t="shared" si="8"/>
        <v>3.8242413294323092</v>
      </c>
      <c r="Z62" s="269">
        <f t="shared" si="8"/>
        <v>4.063728975633917</v>
      </c>
      <c r="AA62" s="269">
        <f t="shared" si="8"/>
        <v>4.3099155285984097</v>
      </c>
      <c r="AB62" s="269">
        <f t="shared" si="8"/>
        <v>4.5629960279304349</v>
      </c>
      <c r="AC62" s="269">
        <f t="shared" si="8"/>
        <v>4.8231718957283221</v>
      </c>
      <c r="AD62" s="269">
        <f t="shared" si="8"/>
        <v>5.0906511615491521</v>
      </c>
      <c r="AE62" s="269">
        <f t="shared" si="8"/>
        <v>5.3656486955647882</v>
      </c>
      <c r="AF62" s="269">
        <f t="shared" si="8"/>
        <v>5.64838645021067</v>
      </c>
      <c r="AG62" s="269">
        <f t="shared" si="8"/>
        <v>5.9390937106403285</v>
      </c>
      <c r="AH62" s="269">
        <f t="shared" si="8"/>
        <v>6.2380073543102146</v>
      </c>
      <c r="AI62" s="269">
        <f t="shared" si="8"/>
        <v>6.5606547677646034</v>
      </c>
      <c r="AJ62" s="269">
        <f t="shared" si="8"/>
        <v>6.8931928040698409</v>
      </c>
      <c r="AK62" s="269">
        <f t="shared" si="8"/>
        <v>7.2359519202362481</v>
      </c>
      <c r="AL62" s="269">
        <f t="shared" si="8"/>
        <v>7.5892748864001138</v>
      </c>
      <c r="AM62" s="269">
        <f t="shared" si="8"/>
        <v>7.9494191980313484</v>
      </c>
      <c r="AN62" s="269">
        <f t="shared" si="8"/>
        <v>8.3205224886923297</v>
      </c>
      <c r="AO62" s="269">
        <f t="shared" si="8"/>
        <v>8.7029476082045161</v>
      </c>
      <c r="AP62" s="269">
        <f t="shared" si="8"/>
        <v>9.0970707156397701</v>
      </c>
      <c r="AQ62" s="269">
        <f t="shared" si="8"/>
        <v>9.52726909556457</v>
      </c>
      <c r="AS62" s="7">
        <f>ROW()</f>
        <v>62</v>
      </c>
    </row>
    <row r="63" spans="2:45" ht="13.95" customHeight="1">
      <c r="B63" s="291" t="str">
        <f>CONCATENATE("Sum of Rows ",AS60, " and ",AS25, ".")</f>
        <v>Sum of Rows 60 and 25.</v>
      </c>
      <c r="H63" s="291"/>
      <c r="K63" s="269"/>
      <c r="L63" s="269"/>
      <c r="M63" s="270"/>
      <c r="N63" s="270"/>
      <c r="O63" s="269"/>
      <c r="P63" s="269"/>
      <c r="Q63" s="269"/>
      <c r="R63" s="270"/>
      <c r="S63" s="270"/>
      <c r="T63" s="272"/>
      <c r="U63" s="269"/>
      <c r="V63" s="269"/>
      <c r="W63" s="269"/>
      <c r="X63" s="269"/>
      <c r="Y63" s="269"/>
      <c r="Z63" s="269"/>
      <c r="AA63" s="269"/>
      <c r="AB63" s="269"/>
      <c r="AC63" s="269"/>
      <c r="AD63" s="269"/>
      <c r="AE63" s="269"/>
      <c r="AF63" s="269"/>
      <c r="AG63" s="269"/>
      <c r="AH63" s="269"/>
      <c r="AI63" s="269"/>
      <c r="AJ63" s="269"/>
      <c r="AK63" s="269"/>
      <c r="AL63" s="269"/>
      <c r="AM63" s="269"/>
      <c r="AN63" s="269"/>
      <c r="AO63" s="269"/>
      <c r="AP63" s="269"/>
      <c r="AQ63" s="269"/>
      <c r="AS63" s="7">
        <f>ROW()</f>
        <v>63</v>
      </c>
    </row>
    <row r="64" spans="2:45" ht="13.95" customHeight="1">
      <c r="B64" s="14" t="s">
        <v>1096</v>
      </c>
      <c r="H64" s="269">
        <f t="shared" ref="H64:S64" si="9">H56</f>
        <v>2.4128305505558494</v>
      </c>
      <c r="I64" s="269">
        <f t="shared" si="9"/>
        <v>2.8374078136200716</v>
      </c>
      <c r="J64" s="269">
        <f t="shared" si="9"/>
        <v>3.0979156498015867</v>
      </c>
      <c r="K64" s="269">
        <f t="shared" si="9"/>
        <v>3.2567518061945964</v>
      </c>
      <c r="L64" s="269">
        <f t="shared" si="9"/>
        <v>3.6515301180197208</v>
      </c>
      <c r="M64" s="269">
        <f t="shared" si="9"/>
        <v>2.6525858802910451</v>
      </c>
      <c r="N64" s="269">
        <f t="shared" si="9"/>
        <v>3.0826036064130311</v>
      </c>
      <c r="O64" s="269">
        <f t="shared" si="9"/>
        <v>3.7690654310724239</v>
      </c>
      <c r="P64" s="269">
        <f t="shared" si="9"/>
        <v>3.814462986837635</v>
      </c>
      <c r="Q64" s="269">
        <f t="shared" si="9"/>
        <v>3.6464623428358025</v>
      </c>
      <c r="R64" s="269">
        <f t="shared" si="9"/>
        <v>3.481127116281427</v>
      </c>
      <c r="S64" s="269">
        <f t="shared" si="9"/>
        <v>2.52</v>
      </c>
      <c r="T64" s="272">
        <f>T62/(AEO!$S$28)^(T14-$S$14)</f>
        <v>2.6113932971291933</v>
      </c>
      <c r="U64" s="270">
        <f>U62/(AEO!$S$28)^(U14-$S$14)</f>
        <v>2.7531312497918812</v>
      </c>
      <c r="V64" s="270">
        <f>V62/(AEO!$S$28)^(V14-$S$14)</f>
        <v>2.8932183082921425</v>
      </c>
      <c r="W64" s="270">
        <f>W62/(AEO!$S$28)^(W14-$S$14)</f>
        <v>3.0317005196902009</v>
      </c>
      <c r="X64" s="270">
        <f>X62/(AEO!$S$28)^(X14-$S$14)</f>
        <v>3.1686235413174941</v>
      </c>
      <c r="Y64" s="270">
        <f>Y62/(AEO!$S$28)^(Y14-$S$14)</f>
        <v>3.3045008048105555</v>
      </c>
      <c r="Z64" s="270">
        <f>Z62/(AEO!$S$28)^(Z14-$S$14)</f>
        <v>3.4389236303382611</v>
      </c>
      <c r="AA64" s="270">
        <f>AA62/(AEO!$S$28)^(AA14-$S$14)</f>
        <v>3.5719369026604491</v>
      </c>
      <c r="AB64" s="270">
        <f>AB62/(AEO!$S$28)^(AB14-$S$14)</f>
        <v>3.7035851613962594</v>
      </c>
      <c r="AC64" s="270">
        <f>AC62/(AEO!$S$28)^(AC14-$S$14)</f>
        <v>3.8339126104028609</v>
      </c>
      <c r="AD64" s="270">
        <f>AD62/(AEO!$S$28)^(AD14-$S$14)</f>
        <v>3.9629631271033876</v>
      </c>
      <c r="AE64" s="270">
        <f>AE62/(AEO!$S$28)^(AE14-$S$14)</f>
        <v>4.0907802717658619</v>
      </c>
      <c r="AF64" s="270">
        <f>AF62/(AEO!$S$28)^(AF14-$S$14)</f>
        <v>4.2174072967348311</v>
      </c>
      <c r="AG64" s="270">
        <f>AG62/(AEO!$S$28)^(AG14-$S$14)</f>
        <v>4.3428871556174595</v>
      </c>
      <c r="AH64" s="270">
        <f>AH62/(AEO!$S$28)^(AH14-$S$14)</f>
        <v>4.4672625124258518</v>
      </c>
      <c r="AI64" s="270">
        <f>AI62/(AEO!$S$28)^(AI14-$S$14)</f>
        <v>4.6012941866659416</v>
      </c>
      <c r="AJ64" s="270">
        <f>AJ62/(AEO!$S$28)^(AJ14-$S$14)</f>
        <v>4.7346781954648147</v>
      </c>
      <c r="AK64" s="270">
        <f>AK62/(AEO!$S$28)^(AK14-$S$14)</f>
        <v>4.8674661211604233</v>
      </c>
      <c r="AL64" s="270">
        <f>AL62/(AEO!$S$28)^(AL14-$S$14)</f>
        <v>4.9997095195315788</v>
      </c>
      <c r="AM64" s="270">
        <f>AM62/(AEO!$S$28)^(AM14-$S$14)</f>
        <v>5.1288159342458002</v>
      </c>
      <c r="AN64" s="270">
        <f>AN62/(AEO!$S$28)^(AN14-$S$14)</f>
        <v>5.2573820383003138</v>
      </c>
      <c r="AO64" s="270">
        <f>AO62/(AEO!$S$28)^(AO14-$S$14)</f>
        <v>5.3854566182935635</v>
      </c>
      <c r="AP64" s="270">
        <f>AP62/(AEO!$S$28)^(AP14-$S$14)</f>
        <v>5.513088421243534</v>
      </c>
      <c r="AQ64" s="270">
        <f>AQ62/(AEO!$S$28)^(AQ14-$S$14)</f>
        <v>5.6545629550972416</v>
      </c>
      <c r="AS64" s="7">
        <f>ROW()</f>
        <v>64</v>
      </c>
    </row>
    <row r="65" spans="1:45" ht="13.95" customHeight="1">
      <c r="B65" s="291" t="str">
        <f>CONCATENATE("Calculated by dividing figures in Row ",AS62, " by AEO general inflation rate in AEO 'tab' Cell Q",AEO!$V$28, " exponentiated to difference in years from 2015.")</f>
        <v>Calculated by dividing figures in Row 62 by AEO general inflation rate in AEO 'tab' Cell Q28 exponentiated to difference in years from 2015.</v>
      </c>
      <c r="AS65" s="7">
        <f>ROW()</f>
        <v>65</v>
      </c>
    </row>
    <row r="66" spans="1:45" ht="13.95" customHeight="1">
      <c r="B66" s="14" t="s">
        <v>1092</v>
      </c>
      <c r="I66" s="22">
        <f>I64/H64</f>
        <v>1.1759664651819048</v>
      </c>
      <c r="J66" s="22">
        <f t="shared" ref="J66:S66" si="10">J64/I64</f>
        <v>1.0918119118905045</v>
      </c>
      <c r="K66" s="22">
        <f t="shared" si="10"/>
        <v>1.0512719435737969</v>
      </c>
      <c r="L66" s="22">
        <f t="shared" si="10"/>
        <v>1.1212184210888363</v>
      </c>
      <c r="M66" s="22">
        <f t="shared" si="10"/>
        <v>0.72643133003366323</v>
      </c>
      <c r="N66" s="22">
        <f t="shared" si="10"/>
        <v>1.1621126498927168</v>
      </c>
      <c r="O66" s="22">
        <f t="shared" si="10"/>
        <v>1.222688970852847</v>
      </c>
      <c r="P66" s="22">
        <f t="shared" si="10"/>
        <v>1.0120447778356276</v>
      </c>
      <c r="Q66" s="22">
        <f t="shared" si="10"/>
        <v>0.95595693428366102</v>
      </c>
      <c r="R66" s="22">
        <f t="shared" si="10"/>
        <v>0.95465873194077833</v>
      </c>
      <c r="S66" s="22">
        <f t="shared" si="10"/>
        <v>0.72390347029093494</v>
      </c>
      <c r="T66" s="524">
        <f t="shared" ref="T66:AQ66" si="11">T64/S64</f>
        <v>1.0362671814004736</v>
      </c>
      <c r="U66" s="154">
        <f t="shared" si="11"/>
        <v>1.0542767544124838</v>
      </c>
      <c r="V66" s="154">
        <f t="shared" si="11"/>
        <v>1.0508828115299085</v>
      </c>
      <c r="W66" s="154">
        <f t="shared" si="11"/>
        <v>1.0478644183196131</v>
      </c>
      <c r="X66" s="154">
        <f t="shared" si="11"/>
        <v>1.0451637688940612</v>
      </c>
      <c r="Y66" s="154">
        <f t="shared" si="11"/>
        <v>1.0428821100775401</v>
      </c>
      <c r="Z66" s="154">
        <f t="shared" si="11"/>
        <v>1.0406787086666822</v>
      </c>
      <c r="AA66" s="154">
        <f t="shared" si="11"/>
        <v>1.0386787514409281</v>
      </c>
      <c r="AB66" s="154">
        <f t="shared" si="11"/>
        <v>1.036856266592435</v>
      </c>
      <c r="AC66" s="154">
        <f t="shared" si="11"/>
        <v>1.0351895375230058</v>
      </c>
      <c r="AD66" s="154">
        <f t="shared" si="11"/>
        <v>1.0336602655862221</v>
      </c>
      <c r="AE66" s="154">
        <f t="shared" si="11"/>
        <v>1.0322529230182109</v>
      </c>
      <c r="AF66" s="154">
        <f t="shared" si="11"/>
        <v>1.030954247492327</v>
      </c>
      <c r="AG66" s="154">
        <f t="shared" si="11"/>
        <v>1.029752843406843</v>
      </c>
      <c r="AH66" s="154">
        <f t="shared" si="11"/>
        <v>1.0286388645045761</v>
      </c>
      <c r="AI66" s="154">
        <f t="shared" si="11"/>
        <v>1.0300030888866003</v>
      </c>
      <c r="AJ66" s="154">
        <f t="shared" si="11"/>
        <v>1.0289883679216612</v>
      </c>
      <c r="AK66" s="154">
        <f t="shared" si="11"/>
        <v>1.0280458185780823</v>
      </c>
      <c r="AL66" s="154">
        <f t="shared" si="11"/>
        <v>1.0271688379701815</v>
      </c>
      <c r="AM66" s="154">
        <f t="shared" si="11"/>
        <v>1.025822783145673</v>
      </c>
      <c r="AN66" s="154">
        <f t="shared" si="11"/>
        <v>1.0250674045828123</v>
      </c>
      <c r="AO66" s="154">
        <f t="shared" si="11"/>
        <v>1.0243609041648902</v>
      </c>
      <c r="AP66" s="154">
        <f t="shared" si="11"/>
        <v>1.0236993465914153</v>
      </c>
      <c r="AQ66" s="154">
        <f t="shared" si="11"/>
        <v>1.025661575335626</v>
      </c>
      <c r="AS66" s="7">
        <f>ROW()</f>
        <v>66</v>
      </c>
    </row>
    <row r="67" spans="1:45" ht="13.95" customHeight="1">
      <c r="B67" s="291" t="str">
        <f>CONCATENATE("Calculated from figures in Row ",AS64,".")</f>
        <v>Calculated from figures in Row 64.</v>
      </c>
      <c r="AS67" s="7">
        <f>ROW()</f>
        <v>67</v>
      </c>
    </row>
    <row r="68" spans="1:45" ht="13.95" customHeight="1">
      <c r="B68" s="8" t="s">
        <v>1097</v>
      </c>
      <c r="I68" s="24">
        <f t="shared" ref="I68:S68" si="12">I49</f>
        <v>134424.83128748415</v>
      </c>
      <c r="J68" s="24">
        <f t="shared" si="12"/>
        <v>133890.21235885876</v>
      </c>
      <c r="K68" s="24">
        <f t="shared" si="12"/>
        <v>131568.08462040336</v>
      </c>
      <c r="L68" s="24">
        <f t="shared" si="12"/>
        <v>125483.90713973423</v>
      </c>
      <c r="M68" s="24">
        <f t="shared" si="12"/>
        <v>122585.47258991537</v>
      </c>
      <c r="N68" s="24">
        <f t="shared" si="12"/>
        <v>121811.43001043031</v>
      </c>
      <c r="O68" s="24">
        <f t="shared" si="12"/>
        <v>119516.34306077783</v>
      </c>
      <c r="P68" s="24">
        <f t="shared" si="12"/>
        <v>118898.91171644333</v>
      </c>
      <c r="Q68" s="24">
        <f t="shared" si="12"/>
        <v>118807.08570446653</v>
      </c>
      <c r="R68" s="24">
        <f t="shared" si="12"/>
        <v>120675.71688070541</v>
      </c>
      <c r="S68" s="24">
        <f t="shared" si="12"/>
        <v>123794.96305542911</v>
      </c>
      <c r="T68" s="819">
        <f>S68*T66^Parameters!$P$54*AVERAGE(J66:S66)^Parameters!$P$55*IF(T$14&gt;=2040,AEO!$R27,IF(T$14&gt;=2031,AEO!$Q27,IF(T$14&gt;=2021,AEO!$P27,AEO!$O27))^Parameters!$I$10)/(1+$J$46)^MIN(1,(T33-$S$33))</f>
        <v>123488.34339544931</v>
      </c>
      <c r="U68" s="159">
        <f>T68*U66^Parameters!$P$54*AVERAGE(K66:T66)^Parameters!$P$55*IF(U$14&gt;=2040,AEO!$R27,IF(U$14&gt;=2031,AEO!$Q27,IF(U$14&gt;=2021,AEO!$P27,AEO!$O27))^Parameters!$I$10)/(1+$J$46)^MIN(1,(U33-$S$33))</f>
        <v>123072.30457167888</v>
      </c>
      <c r="V68" s="159">
        <f>U68*V66^Parameters!$P$54*AVERAGE(L66:U66)^Parameters!$P$55*IF(V$14&gt;=2040,AEO!$R27,IF(V$14&gt;=2031,AEO!$Q27,IF(V$14&gt;=2021,AEO!$P27,AEO!$O27))^Parameters!$I$10)/(1+$J$46)^MIN(1,(V33-$S$33))</f>
        <v>122700.28205467845</v>
      </c>
      <c r="W68" s="159">
        <f>V68*W66^Parameters!$P$54*AVERAGE(M66:V66)^Parameters!$P$55*IF(W$14&gt;=2040,AEO!$R27,IF(W$14&gt;=2031,AEO!$Q27,IF(W$14&gt;=2021,AEO!$P27,AEO!$O27))^Parameters!$I$10)/(1+$J$46)^MIN(1,(W33-$S$33))</f>
        <v>122586.53495538345</v>
      </c>
      <c r="X68" s="159">
        <f>W68*X66^Parameters!$P$54*AVERAGE(N66:W66)^Parameters!$P$55*IF(X$14&gt;=2040,AEO!$R27,IF(X$14&gt;=2031,AEO!$Q27,IF(X$14&gt;=2021,AEO!$P27,AEO!$O27))^Parameters!$I$10)/(1+$J$46)^MIN(1,(X33-$S$33))</f>
        <v>121360.88710242728</v>
      </c>
      <c r="Y68" s="159">
        <f>X68*Y66^Parameters!$P$54*AVERAGE(O66:X66)^Parameters!$P$55*IF(Y$14&gt;=2040,AEO!$R27,IF(Y$14&gt;=2031,AEO!$Q27,IF(Y$14&gt;=2021,AEO!$P27,AEO!$O27))^Parameters!$I$10)/(1+$J$46)^MIN(1,(Y33-$S$33))</f>
        <v>120519.12897935361</v>
      </c>
      <c r="Z68" s="159">
        <f>Y68*Z66^Parameters!$P$54*AVERAGE(P66:Y66)^Parameters!$P$55*IF(Z$14&gt;=2040,AEO!$R27,IF(Z$14&gt;=2031,AEO!$Q27,IF(Z$14&gt;=2021,AEO!$P27,AEO!$O27))^Parameters!$I$10)/(1+$J$46)^MIN(1,(Z33-$S$33))</f>
        <v>120241.00649362325</v>
      </c>
      <c r="AA68" s="159">
        <f>Z68*AA66^Parameters!$P$54*AVERAGE(Q66:Z66)^Parameters!$P$55*IF(AA$14&gt;=2040,AEO!$R27,IF(AA$14&gt;=2031,AEO!$Q27,IF(AA$14&gt;=2021,AEO!$P27,AEO!$O27))^Parameters!$I$10)/(1+$J$46)^MIN(1,(AA33-$S$33))</f>
        <v>119909.46369272987</v>
      </c>
      <c r="AB68" s="159">
        <f>AA68*AB66^Parameters!$P$54*AVERAGE(R66:AA66)^Parameters!$P$55*IF(AB$14&gt;=2040,AEO!$R27,IF(AB$14&gt;=2031,AEO!$Q27,IF(AB$14&gt;=2021,AEO!$P27,AEO!$O27))^Parameters!$I$10)/(1+$J$46)^MIN(1,(AB33-$S$33))</f>
        <v>119365.3412826039</v>
      </c>
      <c r="AC68" s="159">
        <f>AB68*AC66^Parameters!$P$54*AVERAGE(S66:AB66)^Parameters!$P$55*IF(AC$14&gt;=2040,AEO!$R27,IF(AC$14&gt;=2031,AEO!$Q27,IF(AC$14&gt;=2021,AEO!$P27,AEO!$O27))^Parameters!$I$10)/(1+$J$46)^MIN(1,(AC33-$S$33))</f>
        <v>118612.72135669141</v>
      </c>
      <c r="AD68" s="159">
        <f>AC68*AD66^Parameters!$P$54*AVERAGE(T66:AC66)^Parameters!$P$55*IF(AD$14&gt;=2040,AEO!$R27,IF(AD$14&gt;=2031,AEO!$Q27,IF(AD$14&gt;=2021,AEO!$P27,AEO!$O27))^Parameters!$I$10)/(1+$J$46)^MIN(1,(AD33-$S$33))</f>
        <v>117020.63721544464</v>
      </c>
      <c r="AE68" s="159">
        <f>AD68*AE66^Parameters!$P$54*AVERAGE(U66:AD66)^Parameters!$P$55*IF(AE$14&gt;=2040,AEO!$R27,IF(AE$14&gt;=2031,AEO!$Q27,IF(AE$14&gt;=2021,AEO!$P27,AEO!$O27))^Parameters!$I$10)/(1+$J$46)^MIN(1,(AE33-$S$33))</f>
        <v>115477.48375765441</v>
      </c>
      <c r="AF68" s="159">
        <f>AE68*AF66^Parameters!$P$54*AVERAGE(V66:AE66)^Parameters!$P$55*IF(AF$14&gt;=2040,AEO!$R27,IF(AF$14&gt;=2031,AEO!$Q27,IF(AF$14&gt;=2021,AEO!$P27,AEO!$O27))^Parameters!$I$10)/(1+$J$46)^MIN(1,(AF33-$S$33))</f>
        <v>114032.12215180929</v>
      </c>
      <c r="AG68" s="159">
        <f>AF68*AG66^Parameters!$P$54*AVERAGE(W66:AF66)^Parameters!$P$55*IF(AG$14&gt;=2040,AEO!$R27,IF(AG$14&gt;=2031,AEO!$Q27,IF(AG$14&gt;=2021,AEO!$P27,AEO!$O27))^Parameters!$I$10)/(1+$J$46)^MIN(1,(AG33-$S$33))</f>
        <v>112674.59498359014</v>
      </c>
      <c r="AH68" s="159">
        <f>AG68*AH66^Parameters!$P$54*AVERAGE(X66:AG66)^Parameters!$P$55*IF(AH$14&gt;=2040,AEO!$R27,IF(AH$14&gt;=2031,AEO!$Q27,IF(AH$14&gt;=2021,AEO!$P27,AEO!$O27))^Parameters!$I$10)/(1+$J$46)^MIN(1,(AH33-$S$33))</f>
        <v>111319.65555808246</v>
      </c>
      <c r="AI68" s="159">
        <f>AH68*AI66^Parameters!$P$54*AVERAGE(Y66:AH66)^Parameters!$P$55*IF(AI$14&gt;=2040,AEO!$R27,IF(AI$14&gt;=2031,AEO!$Q27,IF(AI$14&gt;=2021,AEO!$P27,AEO!$O27))^Parameters!$I$10)/(1+$J$46)^MIN(1,(AI33-$S$33))</f>
        <v>110004.7287061145</v>
      </c>
      <c r="AJ68" s="159">
        <f>AI68*AJ66^Parameters!$P$54*AVERAGE(Z66:AI66)^Parameters!$P$55*IF(AJ$14&gt;=2040,AEO!$R27,IF(AJ$14&gt;=2031,AEO!$Q27,IF(AJ$14&gt;=2021,AEO!$P27,AEO!$O27))^Parameters!$I$10)/(1+$J$46)^MIN(1,(AJ33-$S$33))</f>
        <v>108752.29690328118</v>
      </c>
      <c r="AK68" s="159">
        <f>AJ68*AK66^Parameters!$P$54*AVERAGE(AA66:AJ66)^Parameters!$P$55*IF(AK$14&gt;=2040,AEO!$R27,IF(AK$14&gt;=2031,AEO!$Q27,IF(AK$14&gt;=2021,AEO!$P27,AEO!$O27))^Parameters!$I$10)/(1+$J$46)^MIN(1,(AK33-$S$33))</f>
        <v>107556.62515163791</v>
      </c>
      <c r="AL68" s="159">
        <f>AK68*AL66^Parameters!$P$54*AVERAGE(AB66:AK66)^Parameters!$P$55*IF(AL$14&gt;=2040,AEO!$R27,IF(AL$14&gt;=2031,AEO!$Q27,IF(AL$14&gt;=2021,AEO!$P27,AEO!$O27))^Parameters!$I$10)/(1+$J$46)^MIN(1,(AL33-$S$33))</f>
        <v>106412.65025562869</v>
      </c>
      <c r="AM68" s="159">
        <f>AL68*AM66^Parameters!$P$54*AVERAGE(AC66:AL66)^Parameters!$P$55*IF(AM$14&gt;=2040,AEO!$R27,IF(AM$14&gt;=2031,AEO!$Q27,IF(AM$14&gt;=2021,AEO!$P27,AEO!$O27))^Parameters!$I$10)/(1+$J$46)^MIN(1,(AM33-$S$33))</f>
        <v>105322.96441913306</v>
      </c>
      <c r="AN68" s="159">
        <f>AM68*AN66^Parameters!$P$54*AVERAGE(AD66:AM66)^Parameters!$P$55*IF(AN$14&gt;=2040,AEO!$R27,IF(AN$14&gt;=2031,AEO!$Q27,IF(AN$14&gt;=2021,AEO!$P27,AEO!$O27))^Parameters!$I$10)/(1+$J$46)^MIN(1,(AN33-$S$33))</f>
        <v>104277.55472786351</v>
      </c>
      <c r="AO68" s="159">
        <f>AN68*AO66^Parameters!$P$54*AVERAGE(AE66:AN66)^Parameters!$P$55*IF(AO$14&gt;=2040,AEO!$R27,IF(AO$14&gt;=2031,AEO!$Q27,IF(AO$14&gt;=2021,AEO!$P27,AEO!$O27))^Parameters!$I$10)/(1+$J$46)^MIN(1,(AO33-$S$33))</f>
        <v>103272.81324480067</v>
      </c>
      <c r="AP68" s="159">
        <f>AO68*AP66^Parameters!$P$54*AVERAGE(AF66:AO66)^Parameters!$P$55*IF(AP$14&gt;=2040,AEO!$R27,IF(AP$14&gt;=2031,AEO!$Q27,IF(AP$14&gt;=2021,AEO!$P27,AEO!$O27))^Parameters!$I$10)/(1+$J$46)^MIN(1,(AP33-$S$33))</f>
        <v>102305.49979102729</v>
      </c>
      <c r="AQ68" s="159">
        <f>AP68*AQ66^Parameters!$P$54*AVERAGE(AG66:AP66)^Parameters!$P$55*IF(AQ$14&gt;=2040,AEO!$R27,IF(AQ$14&gt;=2031,AEO!$Q27,IF(AQ$14&gt;=2021,AEO!$P27,AEO!$O27))^Parameters!$I$10)/(1+$J$46)^MIN(1,(AQ33-$S$33))</f>
        <v>102387.96678716563</v>
      </c>
      <c r="AS68" s="7">
        <f>ROW()</f>
        <v>68</v>
      </c>
    </row>
    <row r="69" spans="1:45" ht="13.95" customHeight="1">
      <c r="B69" s="996" t="str">
        <f>CONCATENATE("Historical figs are from Row ",AS49,". Figs starting w/ ",T14, " use procedure in Row ",AS44," except yr-on-yr price ratios are from Row ",AS66, " and exogenous mpg gain applies fig in Cell J",AS46, " just once for each yr since each cell pivots off prior yr.")</f>
        <v>Historical figs are from Row 49. Figs starting w/ 2017 use procedure in Row 44 except yr-on-yr price ratios are from Row 66 and exogenous mpg gain applies fig in Cell J46 just once for each yr since each cell pivots off prior yr.</v>
      </c>
      <c r="T69" s="819"/>
      <c r="U69" s="159"/>
      <c r="V69" s="22"/>
      <c r="X69" s="159"/>
      <c r="AE69" s="159"/>
      <c r="AS69" s="7">
        <f>ROW()</f>
        <v>69</v>
      </c>
    </row>
    <row r="70" spans="1:45" ht="13.95" customHeight="1">
      <c r="B70" s="14" t="s">
        <v>1060</v>
      </c>
      <c r="K70" s="15"/>
      <c r="T70" s="281">
        <f t="shared" ref="T70:AQ70" si="13">T64/T56-1</f>
        <v>1.9008406575547809E-2</v>
      </c>
      <c r="U70" s="206">
        <f t="shared" si="13"/>
        <v>5.6424392487711916E-2</v>
      </c>
      <c r="V70" s="206">
        <f t="shared" si="13"/>
        <v>9.1688490504707953E-2</v>
      </c>
      <c r="W70" s="206">
        <f t="shared" si="13"/>
        <v>0.12488946057434402</v>
      </c>
      <c r="X70" s="206">
        <f t="shared" si="13"/>
        <v>0.156112818894661</v>
      </c>
      <c r="Y70" s="206">
        <f t="shared" si="13"/>
        <v>0.18705219194607525</v>
      </c>
      <c r="Z70" s="206">
        <f t="shared" si="13"/>
        <v>0.21624442858082449</v>
      </c>
      <c r="AA70" s="206">
        <f t="shared" si="13"/>
        <v>0.24375972987005112</v>
      </c>
      <c r="AB70" s="206">
        <f t="shared" si="13"/>
        <v>0.26966581964485536</v>
      </c>
      <c r="AC70" s="206">
        <f t="shared" si="13"/>
        <v>0.29402802606283651</v>
      </c>
      <c r="AD70" s="206">
        <f t="shared" si="13"/>
        <v>0.31690936060237918</v>
      </c>
      <c r="AE70" s="206">
        <f t="shared" si="13"/>
        <v>0.33837059456345475</v>
      </c>
      <c r="AF70" s="206">
        <f t="shared" si="13"/>
        <v>0.35847033315132859</v>
      </c>
      <c r="AG70" s="206">
        <f t="shared" si="13"/>
        <v>0.37726508721728247</v>
      </c>
      <c r="AH70" s="206">
        <f t="shared" si="13"/>
        <v>0.39480934272824664</v>
      </c>
      <c r="AI70" s="206">
        <f t="shared" si="13"/>
        <v>0.4108347998839339</v>
      </c>
      <c r="AJ70" s="206">
        <f t="shared" si="13"/>
        <v>0.42563850781083956</v>
      </c>
      <c r="AK70" s="206">
        <f t="shared" si="13"/>
        <v>0.439277967386275</v>
      </c>
      <c r="AL70" s="206">
        <f t="shared" si="13"/>
        <v>0.45180838808755741</v>
      </c>
      <c r="AM70" s="206">
        <f t="shared" si="13"/>
        <v>0.46252881143714597</v>
      </c>
      <c r="AN70" s="206">
        <f t="shared" si="13"/>
        <v>0.47224349097848251</v>
      </c>
      <c r="AO70" s="206">
        <f t="shared" si="13"/>
        <v>0.48100125447311415</v>
      </c>
      <c r="AP70" s="206">
        <f t="shared" si="13"/>
        <v>0.48884895744039181</v>
      </c>
      <c r="AQ70" s="206">
        <f t="shared" si="13"/>
        <v>0.4996071952884944</v>
      </c>
      <c r="AS70" s="7">
        <f>ROW()</f>
        <v>70</v>
      </c>
    </row>
    <row r="71" spans="1:45" ht="13.95" customHeight="1">
      <c r="B71" s="84" t="str">
        <f>CONCATENATE("Calculated as excess of Row ",AS64, " over Row ",AS56, ".")</f>
        <v>Calculated as excess of Row 64 over Row 56.</v>
      </c>
      <c r="K71" s="15"/>
      <c r="L71" s="84"/>
      <c r="T71" s="281"/>
      <c r="U71" s="206"/>
      <c r="V71" s="206"/>
      <c r="W71" s="206"/>
      <c r="X71" s="206"/>
      <c r="Y71" s="206"/>
      <c r="Z71" s="206"/>
      <c r="AA71" s="206"/>
      <c r="AB71" s="206"/>
      <c r="AC71" s="206"/>
      <c r="AD71" s="206"/>
      <c r="AE71" s="206"/>
      <c r="AF71" s="206"/>
      <c r="AG71" s="206"/>
      <c r="AH71" s="206"/>
      <c r="AI71" s="206"/>
      <c r="AJ71" s="206"/>
      <c r="AK71" s="206"/>
      <c r="AL71" s="206"/>
      <c r="AM71" s="206"/>
      <c r="AN71" s="206"/>
      <c r="AO71" s="206"/>
      <c r="AP71" s="206"/>
      <c r="AQ71" s="206"/>
      <c r="AS71" s="7">
        <f>ROW()</f>
        <v>71</v>
      </c>
    </row>
    <row r="72" spans="1:45" ht="13.95" customHeight="1">
      <c r="B72" t="s">
        <v>104</v>
      </c>
      <c r="K72" s="19">
        <f>K31</f>
        <v>19.570435014151581</v>
      </c>
      <c r="L72" s="6">
        <f t="shared" ref="L72:S72" si="14">$K$72*(1-$J$54)^(L23/$G$54)</f>
        <v>19.570435014151581</v>
      </c>
      <c r="M72" s="6">
        <f t="shared" si="14"/>
        <v>19.570435014151581</v>
      </c>
      <c r="N72" s="6">
        <f t="shared" si="14"/>
        <v>19.570435014151581</v>
      </c>
      <c r="O72" s="6">
        <f t="shared" si="14"/>
        <v>19.570435014151581</v>
      </c>
      <c r="P72" s="6">
        <f t="shared" si="14"/>
        <v>19.570435014151581</v>
      </c>
      <c r="Q72" s="6">
        <f t="shared" si="14"/>
        <v>19.570435014151581</v>
      </c>
      <c r="R72" s="6">
        <f t="shared" si="14"/>
        <v>19.570435014151581</v>
      </c>
      <c r="S72" s="6">
        <f t="shared" si="14"/>
        <v>19.570435014151581</v>
      </c>
      <c r="T72" s="292">
        <f t="shared" ref="T72:AQ72" si="15">$S$72*(1-$J$54)^(T23/$G$54)</f>
        <v>19.357711330740884</v>
      </c>
      <c r="U72" s="293">
        <f t="shared" si="15"/>
        <v>19.147299878277071</v>
      </c>
      <c r="V72" s="293">
        <f t="shared" si="15"/>
        <v>18.939175523630329</v>
      </c>
      <c r="W72" s="293">
        <f t="shared" si="15"/>
        <v>18.733313406859029</v>
      </c>
      <c r="X72" s="293">
        <f t="shared" si="15"/>
        <v>18.529688938240295</v>
      </c>
      <c r="Y72" s="293">
        <f t="shared" si="15"/>
        <v>18.328277795332809</v>
      </c>
      <c r="Z72" s="293">
        <f t="shared" si="15"/>
        <v>18.129055920071561</v>
      </c>
      <c r="AA72" s="293">
        <f t="shared" si="15"/>
        <v>17.931999515894162</v>
      </c>
      <c r="AB72" s="293">
        <f t="shared" si="15"/>
        <v>17.737085044898421</v>
      </c>
      <c r="AC72" s="293">
        <f t="shared" si="15"/>
        <v>17.544289225030788</v>
      </c>
      <c r="AD72" s="293">
        <f t="shared" si="15"/>
        <v>17.353589027305365</v>
      </c>
      <c r="AE72" s="293">
        <f t="shared" si="15"/>
        <v>17.164961673053174</v>
      </c>
      <c r="AF72" s="293">
        <f t="shared" si="15"/>
        <v>16.978384631201269</v>
      </c>
      <c r="AG72" s="293">
        <f t="shared" si="15"/>
        <v>16.793835615581479</v>
      </c>
      <c r="AH72" s="293">
        <f t="shared" si="15"/>
        <v>16.611292582268373</v>
      </c>
      <c r="AI72" s="293">
        <f t="shared" si="15"/>
        <v>16.430733726946158</v>
      </c>
      <c r="AJ72" s="293">
        <f t="shared" si="15"/>
        <v>16.252137482304231</v>
      </c>
      <c r="AK72" s="293">
        <f t="shared" si="15"/>
        <v>16.075482515460983</v>
      </c>
      <c r="AL72" s="293">
        <f t="shared" si="15"/>
        <v>15.900747725415677</v>
      </c>
      <c r="AM72" s="293">
        <f t="shared" si="15"/>
        <v>15.727912240527946</v>
      </c>
      <c r="AN72" s="293">
        <f t="shared" si="15"/>
        <v>15.556955416024758</v>
      </c>
      <c r="AO72" s="293">
        <f t="shared" si="15"/>
        <v>15.387856831534439</v>
      </c>
      <c r="AP72" s="293">
        <f t="shared" si="15"/>
        <v>15.220596288647503</v>
      </c>
      <c r="AQ72" s="293">
        <f t="shared" si="15"/>
        <v>15.055153808504011</v>
      </c>
      <c r="AS72" s="7">
        <f>ROW()</f>
        <v>72</v>
      </c>
    </row>
    <row r="73" spans="1:45" ht="13.95" customHeight="1">
      <c r="B73" s="84" t="str">
        <f>CONCATENATE("Figures reduce baseline emission factor by percentage calculated from Row ",AS23, " and Cell J",AS54, " normalized by Cell G",AS54, ".")</f>
        <v>Figures reduce baseline emission factor by percentage calculated from Row 23 and Cell J54 normalized by Cell G54.</v>
      </c>
      <c r="C73" s="8"/>
      <c r="D73" s="8"/>
      <c r="E73" s="8"/>
      <c r="F73" s="8"/>
      <c r="G73" s="8"/>
      <c r="H73" s="8"/>
      <c r="K73" s="30"/>
      <c r="L73" s="30"/>
      <c r="AS73" s="7">
        <f>ROW()</f>
        <v>73</v>
      </c>
    </row>
    <row r="74" spans="1:45" s="8" customFormat="1" ht="13.95" customHeight="1">
      <c r="B74" s="13" t="s">
        <v>661</v>
      </c>
      <c r="I74" s="23"/>
      <c r="J74" s="23"/>
      <c r="K74" s="13">
        <f t="shared" ref="K74:AQ74" si="16">K$14</f>
        <v>2007</v>
      </c>
      <c r="L74" s="13">
        <f t="shared" si="16"/>
        <v>2008</v>
      </c>
      <c r="M74" s="155">
        <f t="shared" si="16"/>
        <v>2009</v>
      </c>
      <c r="N74" s="155">
        <f t="shared" si="16"/>
        <v>2010</v>
      </c>
      <c r="O74" s="13">
        <f t="shared" si="16"/>
        <v>2011</v>
      </c>
      <c r="P74" s="13">
        <f t="shared" si="16"/>
        <v>2012</v>
      </c>
      <c r="Q74" s="13">
        <f t="shared" si="16"/>
        <v>2013</v>
      </c>
      <c r="R74" s="13">
        <f t="shared" si="16"/>
        <v>2014</v>
      </c>
      <c r="S74" s="13">
        <f t="shared" si="16"/>
        <v>2015</v>
      </c>
      <c r="T74" s="279">
        <f t="shared" si="16"/>
        <v>2017</v>
      </c>
      <c r="U74" s="13">
        <f t="shared" si="16"/>
        <v>2018</v>
      </c>
      <c r="V74" s="13">
        <f t="shared" si="16"/>
        <v>2019</v>
      </c>
      <c r="W74" s="13">
        <f t="shared" si="16"/>
        <v>2020</v>
      </c>
      <c r="X74" s="13">
        <f t="shared" si="16"/>
        <v>2021</v>
      </c>
      <c r="Y74" s="13">
        <f t="shared" si="16"/>
        <v>2022</v>
      </c>
      <c r="Z74" s="13">
        <f t="shared" si="16"/>
        <v>2023</v>
      </c>
      <c r="AA74" s="13">
        <f t="shared" si="16"/>
        <v>2024</v>
      </c>
      <c r="AB74" s="13">
        <f t="shared" si="16"/>
        <v>2025</v>
      </c>
      <c r="AC74" s="13">
        <f t="shared" si="16"/>
        <v>2026</v>
      </c>
      <c r="AD74" s="13">
        <f t="shared" si="16"/>
        <v>2027</v>
      </c>
      <c r="AE74" s="13">
        <f t="shared" si="16"/>
        <v>2028</v>
      </c>
      <c r="AF74" s="13">
        <f t="shared" si="16"/>
        <v>2029</v>
      </c>
      <c r="AG74" s="13">
        <f t="shared" si="16"/>
        <v>2030</v>
      </c>
      <c r="AH74" s="13">
        <f t="shared" si="16"/>
        <v>2031</v>
      </c>
      <c r="AI74" s="13">
        <f t="shared" si="16"/>
        <v>2032</v>
      </c>
      <c r="AJ74" s="13">
        <f t="shared" si="16"/>
        <v>2033</v>
      </c>
      <c r="AK74" s="13">
        <f t="shared" si="16"/>
        <v>2034</v>
      </c>
      <c r="AL74" s="13">
        <f t="shared" si="16"/>
        <v>2035</v>
      </c>
      <c r="AM74" s="13">
        <f t="shared" si="16"/>
        <v>2036</v>
      </c>
      <c r="AN74" s="13">
        <f t="shared" si="16"/>
        <v>2037</v>
      </c>
      <c r="AO74" s="13">
        <f t="shared" si="16"/>
        <v>2038</v>
      </c>
      <c r="AP74" s="13">
        <f t="shared" si="16"/>
        <v>2039</v>
      </c>
      <c r="AQ74" s="13">
        <f t="shared" si="16"/>
        <v>2040</v>
      </c>
      <c r="AS74" s="7">
        <f>ROW()</f>
        <v>74</v>
      </c>
    </row>
    <row r="75" spans="1:45" s="8" customFormat="1" ht="13.95" customHeight="1">
      <c r="B75" s="8" t="s">
        <v>7</v>
      </c>
      <c r="J75" s="84" t="str">
        <f>CONCATENATE("Copied from Row ",AS68, ".")</f>
        <v>Copied from Row 68.</v>
      </c>
      <c r="M75" s="107"/>
      <c r="N75" s="67"/>
      <c r="O75"/>
      <c r="P75"/>
      <c r="Q75"/>
      <c r="R75"/>
      <c r="S75" s="268"/>
      <c r="T75" s="280">
        <f>T68</f>
        <v>123488.34339544931</v>
      </c>
      <c r="U75" s="107">
        <f t="shared" ref="U75:AQ75" si="17">U68</f>
        <v>123072.30457167888</v>
      </c>
      <c r="V75" s="107">
        <f t="shared" si="17"/>
        <v>122700.28205467845</v>
      </c>
      <c r="W75" s="107">
        <f t="shared" si="17"/>
        <v>122586.53495538345</v>
      </c>
      <c r="X75" s="107">
        <f t="shared" si="17"/>
        <v>121360.88710242728</v>
      </c>
      <c r="Y75" s="107">
        <f t="shared" si="17"/>
        <v>120519.12897935361</v>
      </c>
      <c r="Z75" s="107">
        <f t="shared" si="17"/>
        <v>120241.00649362325</v>
      </c>
      <c r="AA75" s="107">
        <f t="shared" si="17"/>
        <v>119909.46369272987</v>
      </c>
      <c r="AB75" s="107">
        <f t="shared" si="17"/>
        <v>119365.3412826039</v>
      </c>
      <c r="AC75" s="107">
        <f t="shared" si="17"/>
        <v>118612.72135669141</v>
      </c>
      <c r="AD75" s="107">
        <f t="shared" si="17"/>
        <v>117020.63721544464</v>
      </c>
      <c r="AE75" s="107">
        <f t="shared" si="17"/>
        <v>115477.48375765441</v>
      </c>
      <c r="AF75" s="107">
        <f t="shared" si="17"/>
        <v>114032.12215180929</v>
      </c>
      <c r="AG75" s="107">
        <f t="shared" si="17"/>
        <v>112674.59498359014</v>
      </c>
      <c r="AH75" s="107">
        <f t="shared" si="17"/>
        <v>111319.65555808246</v>
      </c>
      <c r="AI75" s="107">
        <f t="shared" si="17"/>
        <v>110004.7287061145</v>
      </c>
      <c r="AJ75" s="107">
        <f t="shared" si="17"/>
        <v>108752.29690328118</v>
      </c>
      <c r="AK75" s="107">
        <f t="shared" si="17"/>
        <v>107556.62515163791</v>
      </c>
      <c r="AL75" s="107">
        <f t="shared" si="17"/>
        <v>106412.65025562869</v>
      </c>
      <c r="AM75" s="107">
        <f t="shared" si="17"/>
        <v>105322.96441913306</v>
      </c>
      <c r="AN75" s="107">
        <f t="shared" si="17"/>
        <v>104277.55472786351</v>
      </c>
      <c r="AO75" s="107">
        <f t="shared" si="17"/>
        <v>103272.81324480067</v>
      </c>
      <c r="AP75" s="107">
        <f t="shared" si="17"/>
        <v>102305.49979102729</v>
      </c>
      <c r="AQ75" s="107">
        <f t="shared" si="17"/>
        <v>102387.96678716563</v>
      </c>
      <c r="AS75" s="7">
        <f>ROW()</f>
        <v>75</v>
      </c>
    </row>
    <row r="76" spans="1:45" s="8" customFormat="1" ht="13.95" customHeight="1">
      <c r="B76" s="8" t="s">
        <v>402</v>
      </c>
      <c r="I76" s="23"/>
      <c r="J76" s="84" t="str">
        <f>CONCATENATE("Product of Rows ",AS75, " and ",AS72, ", with appropriate conversion factor.")</f>
        <v>Product of Rows 75 and 72, with appropriate conversion factor.</v>
      </c>
      <c r="M76" s="129"/>
      <c r="N76" s="67"/>
      <c r="O76"/>
      <c r="P76"/>
      <c r="Q76"/>
      <c r="R76"/>
      <c r="S76" s="268"/>
      <c r="T76" s="280">
        <f>T75*T72/Parameters!$I$18</f>
        <v>1084.105081251932</v>
      </c>
      <c r="U76" s="107">
        <f>U75*U72/Parameters!$I$18</f>
        <v>1068.7085362106964</v>
      </c>
      <c r="V76" s="107">
        <f>V75*V72/Parameters!$I$18</f>
        <v>1053.8966796519292</v>
      </c>
      <c r="W76" s="107">
        <f>W75*W72/Parameters!$I$18</f>
        <v>1041.4748203084253</v>
      </c>
      <c r="X76" s="107">
        <f>X75*X72/Parameters!$I$18</f>
        <v>1019.8546427559528</v>
      </c>
      <c r="Y76" s="107">
        <f>Y75*Y72/Parameters!$I$18</f>
        <v>1001.772369879881</v>
      </c>
      <c r="Z76" s="107">
        <f>Z75*Z72/Parameters!$I$18</f>
        <v>988.59679392679527</v>
      </c>
      <c r="AA76" s="107">
        <f>AA75*AA72/Parameters!$I$18</f>
        <v>975.15485028986882</v>
      </c>
      <c r="AB76" s="107">
        <f>AB75*AB72/Parameters!$I$18</f>
        <v>960.17832641399991</v>
      </c>
      <c r="AC76" s="107">
        <f>AC75*AC72/Parameters!$I$18</f>
        <v>943.75323775500249</v>
      </c>
      <c r="AD76" s="107">
        <f>AD75*AD72/Parameters!$I$18</f>
        <v>920.96510020418236</v>
      </c>
      <c r="AE76" s="107">
        <f>AE75*AE72/Parameters!$I$18</f>
        <v>898.94176090737335</v>
      </c>
      <c r="AF76" s="107">
        <f>AF75*AF72/Parameters!$I$18</f>
        <v>878.0413742428774</v>
      </c>
      <c r="AG76" s="107">
        <f>AG75*AG72/Parameters!$I$18</f>
        <v>858.15810712319012</v>
      </c>
      <c r="AH76" s="107">
        <f>AH75*AH72/Parameters!$I$18</f>
        <v>838.62284291729964</v>
      </c>
      <c r="AI76" s="107">
        <f>AI75*AI72/Parameters!$I$18</f>
        <v>819.70902769846612</v>
      </c>
      <c r="AJ76" s="107">
        <f>AJ75*AJ72/Parameters!$I$18</f>
        <v>801.56792779523562</v>
      </c>
      <c r="AK76" s="107">
        <f>AK75*AK72/Parameters!$I$18</f>
        <v>784.13816192614343</v>
      </c>
      <c r="AL76" s="107">
        <f>AL75*AL72/Parameters!$I$18</f>
        <v>767.36539977670827</v>
      </c>
      <c r="AM76" s="107">
        <f>AM75*AM72/Parameters!$I$18</f>
        <v>751.25185546320733</v>
      </c>
      <c r="AN76" s="107">
        <f>AN75*AN72/Parameters!$I$18</f>
        <v>735.7103264369407</v>
      </c>
      <c r="AO76" s="107">
        <f>AO75*AO72/Parameters!$I$18</f>
        <v>720.70170739264688</v>
      </c>
      <c r="AP76" s="107">
        <f>AP75*AP72/Parameters!$I$18</f>
        <v>706.19079837983577</v>
      </c>
      <c r="AQ76" s="107">
        <f>AQ75*AQ72/Parameters!$I$18</f>
        <v>699.0778177418498</v>
      </c>
      <c r="AS76" s="7">
        <f>ROW()</f>
        <v>76</v>
      </c>
    </row>
    <row r="77" spans="1:45" s="8" customFormat="1" ht="13.95" customHeight="1">
      <c r="B77" s="8" t="s">
        <v>355</v>
      </c>
      <c r="I77" s="23"/>
      <c r="J77" s="84" t="str">
        <f>CONCATENATE("Row ",AS76, " less Row ",AS51, ".")</f>
        <v>Row 76 less Row 51.</v>
      </c>
      <c r="M77" s="129"/>
      <c r="N77" s="67"/>
      <c r="O77"/>
      <c r="P77"/>
      <c r="Q77"/>
      <c r="R77"/>
      <c r="S77" s="268"/>
      <c r="T77" s="280">
        <f t="shared" ref="T77:AQ77" si="18">T76-T51</f>
        <v>-3.7315844003169332</v>
      </c>
      <c r="U77" s="107">
        <f t="shared" si="18"/>
        <v>-21.092410148293766</v>
      </c>
      <c r="V77" s="107">
        <f t="shared" si="18"/>
        <v>-38.791988411204329</v>
      </c>
      <c r="W77" s="107">
        <f t="shared" si="18"/>
        <v>-56.935038802436793</v>
      </c>
      <c r="X77" s="107">
        <f t="shared" si="18"/>
        <v>-74.65007881049371</v>
      </c>
      <c r="Y77" s="107">
        <f t="shared" si="18"/>
        <v>-92.868112209009837</v>
      </c>
      <c r="Z77" s="107">
        <f t="shared" si="18"/>
        <v>-111.79745663825906</v>
      </c>
      <c r="AA77" s="107">
        <f t="shared" si="18"/>
        <v>-130.922381814049</v>
      </c>
      <c r="AB77" s="107">
        <f t="shared" si="18"/>
        <v>-149.95825399230625</v>
      </c>
      <c r="AC77" s="107">
        <f t="shared" si="18"/>
        <v>-168.77541556378003</v>
      </c>
      <c r="AD77" s="107">
        <f t="shared" si="18"/>
        <v>-186.07754531634214</v>
      </c>
      <c r="AE77" s="107">
        <f t="shared" si="18"/>
        <v>-202.67457503566982</v>
      </c>
      <c r="AF77" s="107">
        <f t="shared" si="18"/>
        <v>-218.20774084268498</v>
      </c>
      <c r="AG77" s="107">
        <f t="shared" si="18"/>
        <v>-232.78227448659959</v>
      </c>
      <c r="AH77" s="107">
        <f t="shared" si="18"/>
        <v>-246.31958630670226</v>
      </c>
      <c r="AI77" s="107">
        <f t="shared" si="18"/>
        <v>-258.94006170055104</v>
      </c>
      <c r="AJ77" s="107">
        <f t="shared" si="18"/>
        <v>-270.75739434889647</v>
      </c>
      <c r="AK77" s="107">
        <f t="shared" si="18"/>
        <v>-281.83394803836393</v>
      </c>
      <c r="AL77" s="107">
        <f t="shared" si="18"/>
        <v>-292.22503498195147</v>
      </c>
      <c r="AM77" s="107">
        <f t="shared" si="18"/>
        <v>-301.92942211198317</v>
      </c>
      <c r="AN77" s="107">
        <f t="shared" si="18"/>
        <v>-311.03529193444047</v>
      </c>
      <c r="AO77" s="107">
        <f t="shared" si="18"/>
        <v>-319.58272838109735</v>
      </c>
      <c r="AP77" s="107">
        <f t="shared" si="18"/>
        <v>-327.60790846075906</v>
      </c>
      <c r="AQ77" s="107">
        <f t="shared" si="18"/>
        <v>-338.84155207379297</v>
      </c>
      <c r="AS77" s="7">
        <f>ROW()</f>
        <v>77</v>
      </c>
    </row>
    <row r="78" spans="1:45" s="8" customFormat="1" ht="13.95" customHeight="1">
      <c r="B78" s="8" t="s">
        <v>356</v>
      </c>
      <c r="I78" s="23"/>
      <c r="J78" s="84" t="str">
        <f>CONCATENATE("Row ",AS76, " less Cell I",AS51, ".")</f>
        <v>Row 76 less Cell I51.</v>
      </c>
      <c r="M78" s="129"/>
      <c r="N78" s="67"/>
      <c r="O78"/>
      <c r="P78"/>
      <c r="Q78"/>
      <c r="R78"/>
      <c r="S78" s="268"/>
      <c r="T78" s="280">
        <f t="shared" ref="T78:AQ78" si="19">T76-$I$51</f>
        <v>-108.97991874806758</v>
      </c>
      <c r="U78" s="107">
        <f t="shared" si="19"/>
        <v>-124.37646378930322</v>
      </c>
      <c r="V78" s="107">
        <f t="shared" si="19"/>
        <v>-139.18832034807042</v>
      </c>
      <c r="W78" s="107">
        <f t="shared" si="19"/>
        <v>-151.61017969157433</v>
      </c>
      <c r="X78" s="107">
        <f t="shared" si="19"/>
        <v>-173.23035724404679</v>
      </c>
      <c r="Y78" s="107">
        <f t="shared" si="19"/>
        <v>-191.31263012011857</v>
      </c>
      <c r="Z78" s="107">
        <f t="shared" si="19"/>
        <v>-204.48820607320431</v>
      </c>
      <c r="AA78" s="107">
        <f t="shared" si="19"/>
        <v>-217.93014971013076</v>
      </c>
      <c r="AB78" s="107">
        <f t="shared" si="19"/>
        <v>-232.90667358599967</v>
      </c>
      <c r="AC78" s="107">
        <f t="shared" si="19"/>
        <v>-249.33176224499709</v>
      </c>
      <c r="AD78" s="107">
        <f t="shared" si="19"/>
        <v>-272.11989979581722</v>
      </c>
      <c r="AE78" s="107">
        <f t="shared" si="19"/>
        <v>-294.14323909262623</v>
      </c>
      <c r="AF78" s="107">
        <f t="shared" si="19"/>
        <v>-315.04362575712219</v>
      </c>
      <c r="AG78" s="107">
        <f t="shared" si="19"/>
        <v>-334.92689287680946</v>
      </c>
      <c r="AH78" s="107">
        <f t="shared" si="19"/>
        <v>-354.46215708269995</v>
      </c>
      <c r="AI78" s="107">
        <f t="shared" si="19"/>
        <v>-373.37597230153347</v>
      </c>
      <c r="AJ78" s="107">
        <f t="shared" si="19"/>
        <v>-391.51707220476396</v>
      </c>
      <c r="AK78" s="107">
        <f t="shared" si="19"/>
        <v>-408.94683807385616</v>
      </c>
      <c r="AL78" s="107">
        <f t="shared" si="19"/>
        <v>-425.71960022329131</v>
      </c>
      <c r="AM78" s="107">
        <f t="shared" si="19"/>
        <v>-441.83314453679225</v>
      </c>
      <c r="AN78" s="107">
        <f t="shared" si="19"/>
        <v>-457.37467356305888</v>
      </c>
      <c r="AO78" s="107">
        <f t="shared" si="19"/>
        <v>-472.3832926073527</v>
      </c>
      <c r="AP78" s="107">
        <f t="shared" si="19"/>
        <v>-486.89420162016381</v>
      </c>
      <c r="AQ78" s="107">
        <f t="shared" si="19"/>
        <v>-494.00718225814978</v>
      </c>
      <c r="AS78" s="7">
        <f>ROW()</f>
        <v>78</v>
      </c>
    </row>
    <row r="79" spans="1:45" s="8" customFormat="1" ht="13.95" customHeight="1">
      <c r="B79" s="8" t="s">
        <v>854</v>
      </c>
      <c r="I79" s="23"/>
      <c r="J79" s="84" t="str">
        <f>CONCATENATE("Product of Rows ",AS20, " and ",AS76, ", with appropriate conversion factor.")</f>
        <v>Product of Rows 20 and 76, with appropriate conversion factor.</v>
      </c>
      <c r="M79" s="129"/>
      <c r="N79" s="67"/>
      <c r="O79"/>
      <c r="P79"/>
      <c r="Q79"/>
      <c r="R79"/>
      <c r="S79" s="268"/>
      <c r="T79" s="783">
        <f t="shared" ref="T79:AQ79" si="20">ROUND(T76*T20,-2)/1000</f>
        <v>13.6</v>
      </c>
      <c r="U79" s="785">
        <f t="shared" si="20"/>
        <v>27.3</v>
      </c>
      <c r="V79" s="785">
        <f t="shared" si="20"/>
        <v>41.2</v>
      </c>
      <c r="W79" s="785">
        <f t="shared" si="20"/>
        <v>55.4</v>
      </c>
      <c r="X79" s="785">
        <f t="shared" si="20"/>
        <v>69.3</v>
      </c>
      <c r="Y79" s="785">
        <f t="shared" si="20"/>
        <v>83.4</v>
      </c>
      <c r="Z79" s="785">
        <f t="shared" si="20"/>
        <v>98</v>
      </c>
      <c r="AA79" s="785">
        <f t="shared" si="20"/>
        <v>112.9</v>
      </c>
      <c r="AB79" s="785">
        <f t="shared" si="20"/>
        <v>127.6</v>
      </c>
      <c r="AC79" s="785">
        <f t="shared" si="20"/>
        <v>142.30000000000001</v>
      </c>
      <c r="AD79" s="785">
        <f t="shared" si="20"/>
        <v>156</v>
      </c>
      <c r="AE79" s="785">
        <f t="shared" si="20"/>
        <v>169.6</v>
      </c>
      <c r="AF79" s="785">
        <f t="shared" si="20"/>
        <v>183.3</v>
      </c>
      <c r="AG79" s="785">
        <f t="shared" si="20"/>
        <v>197</v>
      </c>
      <c r="AH79" s="785">
        <f t="shared" si="20"/>
        <v>210.6</v>
      </c>
      <c r="AI79" s="785">
        <f t="shared" si="20"/>
        <v>224.2</v>
      </c>
      <c r="AJ79" s="785">
        <f t="shared" si="20"/>
        <v>237.9</v>
      </c>
      <c r="AK79" s="785">
        <f t="shared" si="20"/>
        <v>251.6</v>
      </c>
      <c r="AL79" s="785">
        <f t="shared" si="20"/>
        <v>265.3</v>
      </c>
      <c r="AM79" s="785">
        <f t="shared" si="20"/>
        <v>279.2</v>
      </c>
      <c r="AN79" s="785">
        <f t="shared" si="20"/>
        <v>293.2</v>
      </c>
      <c r="AO79" s="785">
        <f t="shared" si="20"/>
        <v>307.2</v>
      </c>
      <c r="AP79" s="785">
        <f t="shared" si="20"/>
        <v>321.3</v>
      </c>
      <c r="AQ79" s="785">
        <f t="shared" si="20"/>
        <v>338.9</v>
      </c>
      <c r="AS79" s="7">
        <f>ROW()</f>
        <v>79</v>
      </c>
    </row>
    <row r="80" spans="1:45" s="8" customFormat="1" ht="13.95" customHeight="1">
      <c r="A80"/>
      <c r="I80" s="23"/>
      <c r="J80" s="23"/>
      <c r="M80" s="129"/>
      <c r="N80" s="129"/>
      <c r="O80" s="129"/>
      <c r="P80" s="129"/>
      <c r="Q80" s="129"/>
      <c r="R80" s="129"/>
      <c r="S80" s="129"/>
      <c r="T80" s="280"/>
      <c r="U80" s="24"/>
      <c r="V80" s="24"/>
      <c r="W80" s="24"/>
      <c r="X80" s="24"/>
      <c r="Y80" s="24"/>
      <c r="Z80" s="24"/>
      <c r="AA80" s="24"/>
      <c r="AB80" s="24"/>
      <c r="AC80" s="24"/>
      <c r="AD80" s="24"/>
      <c r="AE80" s="24"/>
      <c r="AF80" s="24"/>
      <c r="AG80" s="24"/>
      <c r="AH80" s="24"/>
      <c r="AI80" s="24"/>
      <c r="AJ80" s="24"/>
      <c r="AK80" s="24"/>
      <c r="AL80" s="24"/>
      <c r="AM80" s="24"/>
      <c r="AN80" s="24"/>
      <c r="AO80" s="24"/>
      <c r="AP80" s="24"/>
      <c r="AQ80" s="24"/>
      <c r="AS80" s="7">
        <f>ROW()</f>
        <v>80</v>
      </c>
    </row>
    <row r="81" spans="1:45" ht="13.95" customHeight="1">
      <c r="B81" s="54" t="s">
        <v>113</v>
      </c>
      <c r="I81" s="286">
        <f>-Parameters!H10</f>
        <v>0.35</v>
      </c>
      <c r="J81" s="54"/>
      <c r="AS81" s="7">
        <f>ROW()</f>
        <v>81</v>
      </c>
    </row>
    <row r="82" spans="1:45" ht="13.95" customHeight="1">
      <c r="B82" s="3" t="s">
        <v>1045</v>
      </c>
      <c r="AS82" s="7">
        <f>ROW()</f>
        <v>82</v>
      </c>
    </row>
    <row r="83" spans="1:45" ht="13.95" customHeight="1">
      <c r="B83" s="3"/>
      <c r="I83" s="4"/>
      <c r="J83" s="4"/>
      <c r="P83"/>
      <c r="Q83"/>
      <c r="R83"/>
      <c r="AS83" s="7">
        <f>ROW()</f>
        <v>83</v>
      </c>
    </row>
    <row r="84" spans="1:45" ht="13.95" customHeight="1">
      <c r="B84" s="8" t="s">
        <v>105</v>
      </c>
      <c r="D84" t="s">
        <v>82</v>
      </c>
      <c r="P84"/>
      <c r="Q84"/>
      <c r="R84"/>
      <c r="T84" s="282"/>
      <c r="U84" s="16"/>
      <c r="AS84" s="7">
        <f>ROW()</f>
        <v>84</v>
      </c>
    </row>
    <row r="85" spans="1:45" ht="13.95" customHeight="1">
      <c r="P85"/>
      <c r="Q85"/>
      <c r="R85"/>
      <c r="AS85" s="7">
        <f>ROW()</f>
        <v>85</v>
      </c>
    </row>
    <row r="86" spans="1:45" ht="13.95" customHeight="1">
      <c r="B86" s="1155" t="s">
        <v>486</v>
      </c>
      <c r="C86" s="1155"/>
      <c r="D86" s="1155"/>
      <c r="E86" s="1155"/>
      <c r="F86" s="1155"/>
      <c r="G86" s="1155"/>
      <c r="H86" s="1155"/>
      <c r="J86" s="56"/>
      <c r="P86"/>
      <c r="Q86"/>
      <c r="R86"/>
      <c r="AS86" s="7">
        <f>ROW()</f>
        <v>86</v>
      </c>
    </row>
    <row r="87" spans="1:45" ht="13.95" customHeight="1">
      <c r="B87" s="1155"/>
      <c r="C87" s="1155"/>
      <c r="D87" s="1155"/>
      <c r="E87" s="1155"/>
      <c r="F87" s="1155"/>
      <c r="G87" s="1155"/>
      <c r="H87" s="1155"/>
      <c r="J87" s="56"/>
      <c r="P87"/>
      <c r="Q87"/>
      <c r="R87"/>
      <c r="AS87" s="7">
        <f>ROW()</f>
        <v>87</v>
      </c>
    </row>
    <row r="88" spans="1:45" ht="13.95" customHeight="1">
      <c r="P88"/>
      <c r="Q88"/>
      <c r="R88"/>
      <c r="AS88" s="7">
        <f>ROW()</f>
        <v>88</v>
      </c>
    </row>
    <row r="89" spans="1:45" ht="13.95" customHeight="1">
      <c r="B89" s="13" t="s">
        <v>410</v>
      </c>
      <c r="F89" s="12"/>
      <c r="G89" s="12">
        <f>HLOOKUP(10,T16:AP33,18)</f>
        <v>2026</v>
      </c>
      <c r="H89" s="12"/>
      <c r="P89"/>
      <c r="Q89"/>
      <c r="R89"/>
      <c r="AS89" s="7">
        <f>ROW()</f>
        <v>89</v>
      </c>
    </row>
    <row r="90" spans="1:45" ht="13.95" customHeight="1">
      <c r="P90"/>
      <c r="Q90"/>
      <c r="R90"/>
      <c r="AS90" s="7">
        <f>ROW()</f>
        <v>90</v>
      </c>
    </row>
    <row r="91" spans="1:45" ht="13.95" customHeight="1">
      <c r="A91" s="13"/>
      <c r="B91" s="31" t="s">
        <v>422</v>
      </c>
      <c r="G91" s="36">
        <f>HLOOKUP(G89,T33:AP53,17)</f>
        <v>125348.5514652094</v>
      </c>
      <c r="H91" s="36"/>
      <c r="P91"/>
      <c r="Q91"/>
      <c r="R91"/>
      <c r="AS91" s="7">
        <f>ROW()</f>
        <v>91</v>
      </c>
    </row>
    <row r="92" spans="1:45" ht="13.95" customHeight="1">
      <c r="B92" s="31" t="s">
        <v>423</v>
      </c>
      <c r="G92" s="36">
        <f>HLOOKUP(G89,T74:AP79,2)</f>
        <v>118612.72135669141</v>
      </c>
      <c r="H92" s="36"/>
      <c r="P92"/>
      <c r="Q92"/>
      <c r="R92"/>
      <c r="AS92" s="7">
        <f>ROW()</f>
        <v>92</v>
      </c>
    </row>
    <row r="93" spans="1:45" s="13" customFormat="1" ht="13.95" customHeight="1">
      <c r="A93"/>
      <c r="B93" s="13" t="s">
        <v>5</v>
      </c>
      <c r="G93" s="37">
        <f>G92/G91</f>
        <v>0.94626319945637727</v>
      </c>
      <c r="H93" s="37"/>
      <c r="M93" s="155"/>
      <c r="N93" s="155"/>
      <c r="O93" s="155"/>
      <c r="P93"/>
      <c r="Q93"/>
      <c r="R93"/>
      <c r="S93" s="155"/>
      <c r="T93" s="279"/>
      <c r="AS93" s="7">
        <f>ROW()</f>
        <v>93</v>
      </c>
    </row>
    <row r="94" spans="1:45" ht="13.95" customHeight="1">
      <c r="P94"/>
      <c r="Q94"/>
      <c r="R94"/>
      <c r="AS94" s="7">
        <f>ROW()</f>
        <v>94</v>
      </c>
    </row>
    <row r="95" spans="1:45" ht="13.95" customHeight="1">
      <c r="A95" s="13"/>
      <c r="B95" t="s">
        <v>0</v>
      </c>
      <c r="G95" s="20">
        <f>K72</f>
        <v>19.570435014151581</v>
      </c>
      <c r="H95" s="20"/>
      <c r="P95"/>
      <c r="Q95"/>
      <c r="R95"/>
      <c r="AS95" s="7">
        <f>ROW()</f>
        <v>95</v>
      </c>
    </row>
    <row r="96" spans="1:45" ht="13.95" customHeight="1">
      <c r="B96" t="s">
        <v>1</v>
      </c>
      <c r="G96" s="20">
        <f>HLOOKUP(G89,T53:AP72,20)</f>
        <v>17.544289225030788</v>
      </c>
      <c r="H96" s="20"/>
      <c r="P96"/>
      <c r="Q96"/>
      <c r="R96"/>
      <c r="AS96" s="7">
        <f>ROW()</f>
        <v>96</v>
      </c>
    </row>
    <row r="97" spans="1:45" s="13" customFormat="1" ht="13.95" customHeight="1">
      <c r="A97"/>
      <c r="B97" s="13" t="s">
        <v>5</v>
      </c>
      <c r="G97" s="37">
        <f>G96/G95</f>
        <v>0.89646904692431895</v>
      </c>
      <c r="H97" s="37"/>
      <c r="M97" s="155"/>
      <c r="N97" s="155"/>
      <c r="O97" s="155"/>
      <c r="P97"/>
      <c r="Q97"/>
      <c r="R97"/>
      <c r="S97" s="155"/>
      <c r="T97" s="279"/>
      <c r="AS97" s="7">
        <f>ROW()</f>
        <v>97</v>
      </c>
    </row>
    <row r="98" spans="1:45" ht="13.95" customHeight="1">
      <c r="G98" s="20"/>
      <c r="H98" s="20"/>
      <c r="P98"/>
      <c r="Q98"/>
      <c r="R98"/>
      <c r="AS98" s="7">
        <f>ROW()</f>
        <v>98</v>
      </c>
    </row>
    <row r="99" spans="1:45" ht="13.95" customHeight="1">
      <c r="B99" s="3" t="s">
        <v>140</v>
      </c>
      <c r="G99" s="20"/>
      <c r="H99" s="20"/>
      <c r="P99"/>
      <c r="Q99"/>
      <c r="R99"/>
      <c r="AS99" s="7">
        <f>ROW()</f>
        <v>99</v>
      </c>
    </row>
    <row r="100" spans="1:45" ht="13.95" customHeight="1">
      <c r="A100" s="13"/>
      <c r="B100" s="31" t="s">
        <v>418</v>
      </c>
      <c r="G100" s="36">
        <f>HLOOKUP(G89,T33:AP54,19)</f>
        <v>1112.5286533187825</v>
      </c>
      <c r="H100" s="20"/>
      <c r="P100"/>
      <c r="Q100"/>
      <c r="R100"/>
      <c r="AS100" s="7">
        <f>ROW()</f>
        <v>100</v>
      </c>
    </row>
    <row r="101" spans="1:45" ht="13.95" customHeight="1">
      <c r="A101" s="13"/>
      <c r="B101" s="31" t="s">
        <v>419</v>
      </c>
      <c r="G101" s="36">
        <f>HLOOKUP(G89,T74:AP79,3)</f>
        <v>943.75323775500249</v>
      </c>
      <c r="H101" s="20"/>
      <c r="P101"/>
      <c r="Q101"/>
      <c r="R101"/>
      <c r="AS101" s="7">
        <f>ROW()</f>
        <v>101</v>
      </c>
    </row>
    <row r="102" spans="1:45" ht="13.95" customHeight="1">
      <c r="A102" s="13"/>
      <c r="B102" s="13" t="s">
        <v>5</v>
      </c>
      <c r="C102" s="13"/>
      <c r="D102" s="13"/>
      <c r="E102" s="13"/>
      <c r="F102" s="13"/>
      <c r="G102" s="55">
        <f>G101/G100</f>
        <v>0.8482956685562153</v>
      </c>
      <c r="H102" s="55"/>
      <c r="P102"/>
      <c r="Q102"/>
      <c r="R102"/>
      <c r="AS102" s="7">
        <f>ROW()</f>
        <v>102</v>
      </c>
    </row>
    <row r="103" spans="1:45" ht="13.95" customHeight="1">
      <c r="G103" s="20"/>
      <c r="H103" s="20"/>
      <c r="AS103" s="7">
        <f>ROW()</f>
        <v>103</v>
      </c>
    </row>
    <row r="104" spans="1:45" ht="13.95" customHeight="1">
      <c r="B104" s="13" t="s">
        <v>4</v>
      </c>
      <c r="C104" s="13"/>
      <c r="D104" s="13"/>
      <c r="E104" s="13"/>
      <c r="F104" s="13"/>
      <c r="G104" s="55">
        <f>G97*G93</f>
        <v>0.8482956685562153</v>
      </c>
      <c r="H104" s="55"/>
      <c r="AS104" s="7">
        <f>ROW()</f>
        <v>104</v>
      </c>
    </row>
    <row r="105" spans="1:45" ht="13.95" customHeight="1">
      <c r="G105" s="20"/>
      <c r="H105" s="20"/>
      <c r="AS105" s="7">
        <f>ROW()</f>
        <v>105</v>
      </c>
    </row>
    <row r="106" spans="1:45" ht="13.95" customHeight="1">
      <c r="B106" t="s">
        <v>109</v>
      </c>
      <c r="G106" s="20"/>
      <c r="H106" s="20"/>
      <c r="AS106" s="7">
        <f>ROW()</f>
        <v>106</v>
      </c>
    </row>
    <row r="107" spans="1:45" ht="13.95" customHeight="1">
      <c r="B107" t="s">
        <v>110</v>
      </c>
      <c r="G107" s="6">
        <f>(1-G93)/(1-G97)</f>
        <v>0.51904091430841137</v>
      </c>
      <c r="H107" s="6"/>
      <c r="AS107" s="7">
        <f>ROW()</f>
        <v>107</v>
      </c>
    </row>
    <row r="108" spans="1:45" ht="13.95" customHeight="1">
      <c r="AS108" s="7">
        <f>ROW()</f>
        <v>108</v>
      </c>
    </row>
    <row r="109" spans="1:45" ht="13.95" customHeight="1">
      <c r="B109" s="38" t="s">
        <v>111</v>
      </c>
      <c r="C109" s="39"/>
      <c r="D109" s="39"/>
      <c r="E109" s="39"/>
      <c r="F109" s="39"/>
      <c r="G109" s="68">
        <f>G107/(1+G107)</f>
        <v>0.34168988433383984</v>
      </c>
      <c r="H109" s="102"/>
      <c r="AS109" s="7">
        <f>ROW()</f>
        <v>109</v>
      </c>
    </row>
    <row r="110" spans="1:45" ht="13.95" customHeight="1">
      <c r="B110" s="41" t="s">
        <v>112</v>
      </c>
      <c r="C110" s="42"/>
      <c r="D110" s="42"/>
      <c r="E110" s="42"/>
      <c r="F110" s="42"/>
      <c r="G110" s="43">
        <f>1-G109</f>
        <v>0.65831011566616016</v>
      </c>
      <c r="H110" s="103"/>
      <c r="AS110" s="7">
        <f>ROW()</f>
        <v>110</v>
      </c>
    </row>
  </sheetData>
  <mergeCells count="23">
    <mergeCell ref="B4:F6"/>
    <mergeCell ref="T10:T13"/>
    <mergeCell ref="L10:L13"/>
    <mergeCell ref="P10:P13"/>
    <mergeCell ref="S10:S13"/>
    <mergeCell ref="K10:K13"/>
    <mergeCell ref="R10:R13"/>
    <mergeCell ref="Q3:S8"/>
    <mergeCell ref="K3:O3"/>
    <mergeCell ref="G4:I6"/>
    <mergeCell ref="B86:H87"/>
    <mergeCell ref="N10:N13"/>
    <mergeCell ref="O10:O13"/>
    <mergeCell ref="Q10:Q13"/>
    <mergeCell ref="B10:H11"/>
    <mergeCell ref="I10:I13"/>
    <mergeCell ref="J10:J13"/>
    <mergeCell ref="K34:Q35"/>
    <mergeCell ref="B44:Q45"/>
    <mergeCell ref="B36:I37"/>
    <mergeCell ref="K36:Q38"/>
    <mergeCell ref="B47:Q48"/>
    <mergeCell ref="M10:M13"/>
  </mergeCells>
  <phoneticPr fontId="3" type="noConversion"/>
  <printOptions headings="1" gridLines="1"/>
  <pageMargins left="0.6" right="0.6" top="0.4" bottom="0.4" header="0.5" footer="0.5"/>
  <pageSetup scale="90" orientation="landscape" r:id="rId1"/>
  <headerFooter alignWithMargins="0"/>
</worksheet>
</file>

<file path=xl/worksheets/sheet11.xml><?xml version="1.0" encoding="utf-8"?>
<worksheet xmlns="http://schemas.openxmlformats.org/spreadsheetml/2006/main" xmlns:r="http://schemas.openxmlformats.org/officeDocument/2006/relationships">
  <dimension ref="A1:AS159"/>
  <sheetViews>
    <sheetView zoomScaleNormal="100" workbookViewId="0"/>
  </sheetViews>
  <sheetFormatPr defaultColWidth="9" defaultRowHeight="13.95" customHeight="1"/>
  <cols>
    <col min="1" max="1" width="2.625" customWidth="1"/>
    <col min="2" max="12" width="9.25" customWidth="1"/>
    <col min="13" max="13" width="9.25" style="26" customWidth="1"/>
    <col min="14" max="19" width="9.25" style="67" customWidth="1"/>
    <col min="20" max="20" width="9.25" style="240" customWidth="1"/>
    <col min="21" max="43" width="9.25" customWidth="1"/>
    <col min="45" max="45" width="2.375" customWidth="1"/>
  </cols>
  <sheetData>
    <row r="1" spans="2:45" ht="13.95" customHeight="1">
      <c r="B1" s="57" t="s">
        <v>139</v>
      </c>
      <c r="O1" s="215">
        <f>Summary!I1</f>
        <v>42552</v>
      </c>
      <c r="S1" s="215"/>
      <c r="AS1" s="7">
        <f>ROW()</f>
        <v>1</v>
      </c>
    </row>
    <row r="2" spans="2:45" ht="13.95" customHeight="1">
      <c r="B2" s="1"/>
      <c r="M2" s="67"/>
      <c r="AS2" s="7">
        <f>ROW()</f>
        <v>2</v>
      </c>
    </row>
    <row r="3" spans="2:45" ht="13.95" customHeight="1">
      <c r="K3" s="1257" t="str">
        <f>CONCATENATE("Tax Inputs (copied from 'Summary' Tab, Rows ",Summary!AR53,"-",Summary!AR73,")")</f>
        <v>Tax Inputs (copied from 'Summary' Tab, Rows 53-73)</v>
      </c>
      <c r="L3" s="1258"/>
      <c r="M3" s="1258"/>
      <c r="N3" s="1258"/>
      <c r="O3" s="1259"/>
      <c r="AS3" s="7">
        <f>ROW()</f>
        <v>3</v>
      </c>
    </row>
    <row r="4" spans="2:45" ht="13.95" customHeight="1">
      <c r="B4" s="1255" t="s">
        <v>146</v>
      </c>
      <c r="C4" s="1155"/>
      <c r="D4" s="1155"/>
      <c r="E4" s="1155"/>
      <c r="F4" s="1155"/>
      <c r="G4" s="1255" t="s">
        <v>416</v>
      </c>
      <c r="H4" s="1155"/>
      <c r="I4" s="1155"/>
      <c r="K4" s="848" t="s">
        <v>360</v>
      </c>
      <c r="L4" s="849"/>
      <c r="M4" s="849"/>
      <c r="N4" s="849"/>
      <c r="O4" s="850">
        <f>Summary!I56</f>
        <v>11.337868480725623</v>
      </c>
      <c r="P4" s="532"/>
      <c r="AS4" s="7">
        <f>ROW()</f>
        <v>4</v>
      </c>
    </row>
    <row r="5" spans="2:45" ht="13.95" customHeight="1">
      <c r="B5" s="1155"/>
      <c r="C5" s="1155"/>
      <c r="D5" s="1155"/>
      <c r="E5" s="1155"/>
      <c r="F5" s="1155"/>
      <c r="G5" s="1155"/>
      <c r="H5" s="1155"/>
      <c r="I5" s="1155"/>
      <c r="K5" s="848" t="s">
        <v>361</v>
      </c>
      <c r="L5" s="849"/>
      <c r="M5" s="849"/>
      <c r="N5" s="849"/>
      <c r="O5" s="851" t="str">
        <f>IF(Summary!I58=1,"By Constant Amount","By Constant Percent")</f>
        <v>By Constant Amount</v>
      </c>
      <c r="P5" s="178"/>
      <c r="AS5" s="7">
        <f>ROW()</f>
        <v>5</v>
      </c>
    </row>
    <row r="6" spans="2:45" ht="13.95" customHeight="1">
      <c r="B6" s="1155"/>
      <c r="C6" s="1155"/>
      <c r="D6" s="1155"/>
      <c r="E6" s="1155"/>
      <c r="F6" s="1155"/>
      <c r="G6" s="1155"/>
      <c r="H6" s="1155"/>
      <c r="I6" s="1155"/>
      <c r="K6" s="848" t="s">
        <v>362</v>
      </c>
      <c r="L6" s="849"/>
      <c r="M6" s="849"/>
      <c r="N6" s="849"/>
      <c r="O6" s="850" t="str">
        <f>IF(Summary!$I$58=1,CONCATENATE("$",ROUND(Summary!$I$60,2),""),CONCATENATE("",Summary!$I$64*100,"%"))</f>
        <v>$11.34</v>
      </c>
      <c r="P6" s="532"/>
      <c r="AS6" s="7">
        <f>ROW()</f>
        <v>6</v>
      </c>
    </row>
    <row r="7" spans="2:45" ht="13.95" customHeight="1">
      <c r="B7" s="13"/>
      <c r="H7" s="3"/>
      <c r="K7" s="848" t="s">
        <v>363</v>
      </c>
      <c r="L7" s="849"/>
      <c r="M7" s="849"/>
      <c r="N7" s="849"/>
      <c r="O7" s="851" t="str">
        <f>Summary!I69</f>
        <v>real</v>
      </c>
      <c r="P7" s="178"/>
      <c r="AS7" s="7">
        <f>ROW()</f>
        <v>7</v>
      </c>
    </row>
    <row r="8" spans="2:45" ht="13.95" customHeight="1">
      <c r="B8" s="312" t="str">
        <f>CONCATENATE("This worksheet is pre-formatted to print to four pages. Print area extends to ",AL14, ".")</f>
        <v>This worksheet is pre-formatted to print to four pages. Print area extends to 2035.</v>
      </c>
      <c r="H8" s="3"/>
      <c r="J8" s="51"/>
      <c r="K8" s="852" t="s">
        <v>884</v>
      </c>
      <c r="L8" s="853"/>
      <c r="M8" s="853"/>
      <c r="N8" s="853"/>
      <c r="O8" s="854">
        <f>Summary!I73</f>
        <v>12.5</v>
      </c>
      <c r="P8" s="151"/>
      <c r="Q8" s="151"/>
      <c r="R8" s="151"/>
      <c r="S8" s="151"/>
      <c r="T8" s="271"/>
      <c r="U8" s="12"/>
      <c r="V8" s="12"/>
      <c r="W8" s="12"/>
      <c r="X8" s="12"/>
      <c r="Y8" s="12"/>
      <c r="Z8" s="12"/>
      <c r="AA8" s="12"/>
      <c r="AB8" s="12"/>
      <c r="AC8" s="12"/>
      <c r="AD8" s="12"/>
      <c r="AE8" s="12"/>
      <c r="AF8" s="12"/>
      <c r="AG8" s="12"/>
      <c r="AH8" s="12"/>
      <c r="AI8" s="12"/>
      <c r="AJ8" s="12"/>
      <c r="AK8" s="12"/>
      <c r="AL8" s="12"/>
      <c r="AM8" s="12"/>
      <c r="AN8" s="12"/>
      <c r="AO8" s="12"/>
      <c r="AP8" s="12"/>
      <c r="AQ8" s="12"/>
      <c r="AS8" s="7">
        <f>ROW()</f>
        <v>8</v>
      </c>
    </row>
    <row r="9" spans="2:45" ht="13.95" customHeight="1">
      <c r="B9" s="13"/>
      <c r="H9" s="3"/>
      <c r="J9" s="51"/>
      <c r="K9" s="12"/>
      <c r="L9" s="151"/>
      <c r="M9" s="151"/>
      <c r="N9" s="151"/>
      <c r="O9" s="151"/>
      <c r="P9" s="151"/>
      <c r="Q9" s="151"/>
      <c r="R9" s="151"/>
      <c r="S9" s="151"/>
      <c r="T9" s="271"/>
      <c r="U9" s="12"/>
      <c r="V9" s="12"/>
      <c r="W9" s="12"/>
      <c r="X9" s="12"/>
      <c r="Y9" s="12"/>
      <c r="Z9" s="12"/>
      <c r="AA9" s="12"/>
      <c r="AB9" s="12"/>
      <c r="AC9" s="12"/>
      <c r="AD9" s="12"/>
      <c r="AE9" s="12"/>
      <c r="AF9" s="12"/>
      <c r="AG9" s="12"/>
      <c r="AH9" s="12"/>
      <c r="AI9" s="12"/>
      <c r="AJ9" s="12"/>
      <c r="AK9" s="12"/>
      <c r="AL9" s="12"/>
      <c r="AM9" s="12"/>
      <c r="AN9" s="12"/>
      <c r="AO9" s="12"/>
      <c r="AP9" s="12"/>
      <c r="AQ9" s="12"/>
      <c r="AS9" s="7"/>
    </row>
    <row r="10" spans="2:45" ht="13.95" customHeight="1">
      <c r="B10" s="1277" t="s">
        <v>834</v>
      </c>
      <c r="C10" s="1145"/>
      <c r="D10" s="1145"/>
      <c r="E10" s="1145"/>
      <c r="F10" s="1145"/>
      <c r="G10" s="1145"/>
      <c r="H10" s="1145"/>
      <c r="I10" s="1125" t="s">
        <v>157</v>
      </c>
      <c r="J10" s="1125" t="s">
        <v>157</v>
      </c>
      <c r="K10" s="1125" t="s">
        <v>157</v>
      </c>
      <c r="L10" s="1125" t="s">
        <v>157</v>
      </c>
      <c r="M10" s="1125" t="s">
        <v>157</v>
      </c>
      <c r="N10" s="1125" t="s">
        <v>157</v>
      </c>
      <c r="O10" s="1125" t="s">
        <v>157</v>
      </c>
      <c r="P10" s="1125" t="s">
        <v>157</v>
      </c>
      <c r="Q10" s="1125" t="s">
        <v>157</v>
      </c>
      <c r="R10" s="1125" t="s">
        <v>157</v>
      </c>
      <c r="S10" s="1109" t="s">
        <v>366</v>
      </c>
      <c r="T10" s="1112" t="s">
        <v>80</v>
      </c>
      <c r="U10" s="12"/>
      <c r="V10" s="12"/>
      <c r="W10" s="12"/>
      <c r="X10" s="12"/>
      <c r="Y10" s="12"/>
      <c r="Z10" s="12"/>
      <c r="AA10" s="12"/>
      <c r="AB10" s="12"/>
      <c r="AC10" s="12"/>
      <c r="AD10" s="12"/>
      <c r="AE10" s="12"/>
      <c r="AF10" s="12"/>
      <c r="AG10" s="12"/>
      <c r="AH10" s="12"/>
      <c r="AI10" s="12"/>
      <c r="AJ10" s="12"/>
      <c r="AK10" s="12"/>
      <c r="AL10" s="12"/>
      <c r="AM10" s="12"/>
      <c r="AN10" s="12"/>
      <c r="AO10" s="12"/>
      <c r="AP10" s="12"/>
      <c r="AQ10" s="12"/>
      <c r="AS10" s="7">
        <f>ROW()</f>
        <v>10</v>
      </c>
    </row>
    <row r="11" spans="2:45" ht="13.95" customHeight="1">
      <c r="B11" s="1145"/>
      <c r="C11" s="1145"/>
      <c r="D11" s="1145"/>
      <c r="E11" s="1145"/>
      <c r="F11" s="1145"/>
      <c r="G11" s="1145"/>
      <c r="H11" s="1145"/>
      <c r="I11" s="1126"/>
      <c r="J11" s="1126"/>
      <c r="K11" s="1126"/>
      <c r="L11" s="1126"/>
      <c r="M11" s="1126"/>
      <c r="N11" s="1126"/>
      <c r="O11" s="1126"/>
      <c r="P11" s="1126"/>
      <c r="Q11" s="1126"/>
      <c r="R11" s="1126"/>
      <c r="S11" s="1110"/>
      <c r="T11" s="1113"/>
      <c r="U11" s="12"/>
      <c r="V11" s="12"/>
      <c r="W11" s="12"/>
      <c r="X11" s="12"/>
      <c r="Y11" s="12"/>
      <c r="Z11" s="12"/>
      <c r="AA11" s="12"/>
      <c r="AB11" s="12"/>
      <c r="AC11" s="12"/>
      <c r="AD11" s="12"/>
      <c r="AE11" s="12"/>
      <c r="AF11" s="12"/>
      <c r="AG11" s="12"/>
      <c r="AH11" s="12"/>
      <c r="AI11" s="12"/>
      <c r="AJ11" s="12"/>
      <c r="AK11" s="12"/>
      <c r="AL11" s="12"/>
      <c r="AM11" s="12"/>
      <c r="AN11" s="12"/>
      <c r="AO11" s="12"/>
      <c r="AP11" s="12"/>
      <c r="AQ11" s="12"/>
      <c r="AS11" s="7">
        <f>ROW()</f>
        <v>11</v>
      </c>
    </row>
    <row r="12" spans="2:45" ht="13.95" customHeight="1">
      <c r="I12" s="1126"/>
      <c r="J12" s="1126"/>
      <c r="K12" s="1126"/>
      <c r="L12" s="1126"/>
      <c r="M12" s="1126"/>
      <c r="N12" s="1126"/>
      <c r="O12" s="1126"/>
      <c r="P12" s="1126"/>
      <c r="Q12" s="1126"/>
      <c r="R12" s="1126"/>
      <c r="S12" s="1110"/>
      <c r="T12" s="1113"/>
      <c r="U12" s="12"/>
      <c r="V12" s="12"/>
      <c r="W12" s="12"/>
      <c r="X12" s="12"/>
      <c r="Y12" s="12"/>
      <c r="AS12" s="7">
        <f>ROW()</f>
        <v>12</v>
      </c>
    </row>
    <row r="13" spans="2:45" ht="13.95" customHeight="1">
      <c r="B13" s="52" t="s">
        <v>415</v>
      </c>
      <c r="H13" s="51"/>
      <c r="I13" s="1126"/>
      <c r="J13" s="1126"/>
      <c r="K13" s="1126"/>
      <c r="L13" s="1126"/>
      <c r="M13" s="1126"/>
      <c r="N13" s="1126"/>
      <c r="O13" s="1126"/>
      <c r="P13" s="1126"/>
      <c r="Q13" s="1126"/>
      <c r="R13" s="1126"/>
      <c r="S13" s="1111"/>
      <c r="T13" s="1114"/>
      <c r="AS13" s="7">
        <f>ROW()</f>
        <v>13</v>
      </c>
    </row>
    <row r="14" spans="2:45" ht="13.95" customHeight="1">
      <c r="B14" s="58" t="s">
        <v>414</v>
      </c>
      <c r="I14" s="122">
        <f>Summary!I110</f>
        <v>2005</v>
      </c>
      <c r="J14" s="122">
        <f>Summary!J110</f>
        <v>2006</v>
      </c>
      <c r="K14" s="122">
        <f>Summary!K110</f>
        <v>2007</v>
      </c>
      <c r="L14" s="122">
        <f>Summary!L110</f>
        <v>2008</v>
      </c>
      <c r="M14" s="122">
        <f>Summary!M110</f>
        <v>2009</v>
      </c>
      <c r="N14" s="122">
        <f>Summary!N110</f>
        <v>2010</v>
      </c>
      <c r="O14" s="122">
        <f>Summary!O110</f>
        <v>2011</v>
      </c>
      <c r="P14" s="122">
        <f>Summary!P110</f>
        <v>2012</v>
      </c>
      <c r="Q14" s="122">
        <f>Summary!Q110</f>
        <v>2013</v>
      </c>
      <c r="R14" s="212">
        <f>Summary!R110</f>
        <v>2014</v>
      </c>
      <c r="S14" s="212">
        <f>Summary!S110</f>
        <v>2015</v>
      </c>
      <c r="T14" s="101">
        <f>Summary!T110</f>
        <v>2017</v>
      </c>
      <c r="U14" s="12">
        <f>T14+1</f>
        <v>2018</v>
      </c>
      <c r="V14" s="12">
        <f t="shared" ref="V14:AQ14" si="0">U14+1</f>
        <v>2019</v>
      </c>
      <c r="W14" s="12">
        <f t="shared" si="0"/>
        <v>2020</v>
      </c>
      <c r="X14" s="12">
        <f t="shared" si="0"/>
        <v>2021</v>
      </c>
      <c r="Y14" s="12">
        <f t="shared" si="0"/>
        <v>2022</v>
      </c>
      <c r="Z14" s="12">
        <f t="shared" si="0"/>
        <v>2023</v>
      </c>
      <c r="AA14" s="12">
        <f t="shared" si="0"/>
        <v>2024</v>
      </c>
      <c r="AB14" s="12">
        <f t="shared" si="0"/>
        <v>2025</v>
      </c>
      <c r="AC14" s="12">
        <f t="shared" si="0"/>
        <v>2026</v>
      </c>
      <c r="AD14" s="12">
        <f t="shared" si="0"/>
        <v>2027</v>
      </c>
      <c r="AE14" s="12">
        <f t="shared" si="0"/>
        <v>2028</v>
      </c>
      <c r="AF14" s="12">
        <f t="shared" si="0"/>
        <v>2029</v>
      </c>
      <c r="AG14" s="12">
        <f t="shared" si="0"/>
        <v>2030</v>
      </c>
      <c r="AH14" s="12">
        <f t="shared" si="0"/>
        <v>2031</v>
      </c>
      <c r="AI14" s="12">
        <f t="shared" si="0"/>
        <v>2032</v>
      </c>
      <c r="AJ14" s="12">
        <f t="shared" si="0"/>
        <v>2033</v>
      </c>
      <c r="AK14" s="12">
        <f t="shared" si="0"/>
        <v>2034</v>
      </c>
      <c r="AL14" s="12">
        <f t="shared" si="0"/>
        <v>2035</v>
      </c>
      <c r="AM14" s="12">
        <f t="shared" si="0"/>
        <v>2036</v>
      </c>
      <c r="AN14" s="12">
        <f t="shared" si="0"/>
        <v>2037</v>
      </c>
      <c r="AO14" s="12">
        <f t="shared" si="0"/>
        <v>2038</v>
      </c>
      <c r="AP14" s="12">
        <f t="shared" si="0"/>
        <v>2039</v>
      </c>
      <c r="AQ14" s="12">
        <f t="shared" si="0"/>
        <v>2040</v>
      </c>
      <c r="AS14" s="7">
        <f>ROW()</f>
        <v>14</v>
      </c>
    </row>
    <row r="15" spans="2:45" ht="13.95" customHeight="1">
      <c r="B15" s="84"/>
      <c r="H15" s="49"/>
      <c r="I15" s="49"/>
      <c r="J15" s="49"/>
      <c r="M15" s="67"/>
      <c r="AS15" s="7">
        <f>ROW()</f>
        <v>15</v>
      </c>
    </row>
    <row r="16" spans="2:45" s="802" customFormat="1" ht="13.95" customHeight="1">
      <c r="B16" s="802" t="s">
        <v>187</v>
      </c>
      <c r="M16" s="807">
        <f>Summary!$P79</f>
        <v>0</v>
      </c>
      <c r="N16" s="807">
        <f>Summary!$P79</f>
        <v>0</v>
      </c>
      <c r="O16" s="807">
        <f>Summary!$P79</f>
        <v>0</v>
      </c>
      <c r="P16" s="807">
        <f>Summary!P79</f>
        <v>0</v>
      </c>
      <c r="Q16" s="807">
        <f>Summary!Q79</f>
        <v>0</v>
      </c>
      <c r="R16" s="807">
        <f>Summary!R79</f>
        <v>0</v>
      </c>
      <c r="S16" s="807">
        <f>Summary!S79</f>
        <v>0</v>
      </c>
      <c r="T16" s="808">
        <f>Summary!T79</f>
        <v>1</v>
      </c>
      <c r="U16" s="802">
        <f>Summary!U79</f>
        <v>2</v>
      </c>
      <c r="V16" s="802">
        <f>Summary!V79</f>
        <v>3</v>
      </c>
      <c r="W16" s="802">
        <f>Summary!W79</f>
        <v>4</v>
      </c>
      <c r="X16" s="802">
        <f>Summary!X79</f>
        <v>5</v>
      </c>
      <c r="Y16" s="802">
        <f>Summary!Y79</f>
        <v>6</v>
      </c>
      <c r="Z16" s="802">
        <f>Summary!Z79</f>
        <v>7</v>
      </c>
      <c r="AA16" s="802">
        <f>Summary!AA79</f>
        <v>8</v>
      </c>
      <c r="AB16" s="802">
        <f>Summary!AB79</f>
        <v>9</v>
      </c>
      <c r="AC16" s="802">
        <f>Summary!AC79</f>
        <v>10</v>
      </c>
      <c r="AD16" s="802">
        <f>Summary!AD79</f>
        <v>11</v>
      </c>
      <c r="AE16" s="802">
        <f>Summary!AE79</f>
        <v>12</v>
      </c>
      <c r="AF16" s="802">
        <f>Summary!AF79</f>
        <v>13</v>
      </c>
      <c r="AG16" s="802">
        <f>Summary!AG79</f>
        <v>14</v>
      </c>
      <c r="AH16" s="802">
        <f>Summary!AH79</f>
        <v>15</v>
      </c>
      <c r="AI16" s="802">
        <f>Summary!AI79</f>
        <v>16</v>
      </c>
      <c r="AJ16" s="802">
        <f>Summary!AJ79</f>
        <v>17</v>
      </c>
      <c r="AK16" s="802">
        <f>Summary!AK79</f>
        <v>18</v>
      </c>
      <c r="AL16" s="802">
        <f>Summary!AL79</f>
        <v>19</v>
      </c>
      <c r="AM16" s="802">
        <f>Summary!AM79</f>
        <v>20</v>
      </c>
      <c r="AN16" s="802">
        <f>Summary!AN79</f>
        <v>21</v>
      </c>
      <c r="AO16" s="802">
        <f>Summary!AO79</f>
        <v>22</v>
      </c>
      <c r="AP16" s="802">
        <f>Summary!AP79</f>
        <v>23</v>
      </c>
      <c r="AQ16" s="802">
        <f>Summary!AQ79</f>
        <v>24</v>
      </c>
      <c r="AS16" s="9">
        <f>ROW()</f>
        <v>16</v>
      </c>
    </row>
    <row r="17" spans="2:45" s="287" customFormat="1" ht="13.95" customHeight="1">
      <c r="B17" s="802" t="s">
        <v>847</v>
      </c>
      <c r="M17" s="288"/>
      <c r="N17" s="288"/>
      <c r="O17" s="288"/>
      <c r="P17" s="288"/>
      <c r="Q17" s="288"/>
      <c r="R17" s="288"/>
      <c r="S17" s="288"/>
      <c r="T17" s="289"/>
      <c r="AS17" s="7">
        <f>ROW()</f>
        <v>17</v>
      </c>
    </row>
    <row r="18" spans="2:45" ht="13.95" customHeight="1">
      <c r="B18" s="803" t="str">
        <f>CONCATENATE("Tax in year shown, in nominal $, per ton of CO2 (taken directly from 'Summary' tab, Row ",Summary!AR82, ")")</f>
        <v>Tax in year shown, in nominal $, per ton of CO2 (taken directly from 'Summary' tab, Row 82)</v>
      </c>
      <c r="H18" s="2"/>
      <c r="I18" s="2"/>
      <c r="J18" s="2"/>
      <c r="L18" s="363"/>
      <c r="M18" s="363"/>
      <c r="N18" s="363"/>
      <c r="O18" s="363"/>
      <c r="P18" s="363"/>
      <c r="Q18" s="363"/>
      <c r="R18" s="363"/>
      <c r="S18" s="363"/>
      <c r="T18" s="522">
        <f>Summary!T82</f>
        <v>11.337868480725623</v>
      </c>
      <c r="U18" s="363">
        <f>Summary!U82</f>
        <v>23.153901748198756</v>
      </c>
      <c r="V18" s="363">
        <f>Summary!V82</f>
        <v>35.463224441830718</v>
      </c>
      <c r="W18" s="363">
        <f>Summary!W82</f>
        <v>48.28138644674759</v>
      </c>
      <c r="X18" s="363">
        <f>Summary!X82</f>
        <v>61.624374102771327</v>
      </c>
      <c r="Y18" s="363">
        <f>Summary!Y82</f>
        <v>75.508621697038407</v>
      </c>
      <c r="Z18" s="363">
        <f>Summary!Z82</f>
        <v>89.951023247233749</v>
      </c>
      <c r="AA18" s="363">
        <f>Summary!AA82</f>
        <v>104.96894458258619</v>
      </c>
      <c r="AB18" s="363">
        <f>Summary!AB82</f>
        <v>120.58023572994358</v>
      </c>
      <c r="AC18" s="363">
        <f>Summary!AC82</f>
        <v>136.80324361242219</v>
      </c>
      <c r="AD18" s="363">
        <f>Summary!AD82</f>
        <v>153.65682506830512</v>
      </c>
      <c r="AE18" s="363">
        <f>Summary!AE82</f>
        <v>171.1603601980494</v>
      </c>
      <c r="AF18" s="363">
        <f>Summary!AF82</f>
        <v>189.33376604745069</v>
      </c>
      <c r="AG18" s="363">
        <f>Summary!AG82</f>
        <v>208.19751063520698</v>
      </c>
      <c r="AH18" s="363">
        <f>Summary!AH82</f>
        <v>227.77262733332276</v>
      </c>
      <c r="AI18" s="363">
        <f>Summary!AI82</f>
        <v>248.08072960899591</v>
      </c>
      <c r="AJ18" s="363">
        <f>Summary!AJ82</f>
        <v>269.1440261368387</v>
      </c>
      <c r="AK18" s="363">
        <f>Summary!AK82</f>
        <v>290.98533629049541</v>
      </c>
      <c r="AL18" s="363">
        <f>Summary!AL82</f>
        <v>313.62810602293854</v>
      </c>
      <c r="AM18" s="363">
        <f>Summary!AM82</f>
        <v>337.09642414494658</v>
      </c>
      <c r="AN18" s="363">
        <f>Summary!AN82</f>
        <v>361.41503901149451</v>
      </c>
      <c r="AO18" s="363">
        <f>Summary!AO82</f>
        <v>386.60937562602271</v>
      </c>
      <c r="AP18" s="363">
        <f>Summary!AP82</f>
        <v>412.70555317278786</v>
      </c>
      <c r="AQ18" s="363">
        <f>Summary!AQ82</f>
        <v>439.73040298774407</v>
      </c>
      <c r="AR18" s="67"/>
      <c r="AS18" s="6">
        <f>ROW()</f>
        <v>18</v>
      </c>
    </row>
    <row r="19" spans="2:45" ht="13.95" customHeight="1">
      <c r="B19" s="803" t="str">
        <f>CONCATENATE("Tax equivalent, in constant ",S$14, "$, per ton of CO2 (taken directly from 'Summary' tab, Row ",Summary!AR83, ")")</f>
        <v>Tax equivalent, in constant 2015$, per ton of CO2 (taken directly from 'Summary' tab, Row 83)</v>
      </c>
      <c r="L19" s="67"/>
      <c r="M19" s="399"/>
      <c r="N19" s="399"/>
      <c r="O19" s="399"/>
      <c r="P19" s="399"/>
      <c r="Q19" s="399"/>
      <c r="R19" s="399"/>
      <c r="S19" s="399"/>
      <c r="T19" s="522">
        <f>Summary!T83</f>
        <v>10.87441401983205</v>
      </c>
      <c r="U19" s="363">
        <f>Summary!U83</f>
        <v>21.748828039664104</v>
      </c>
      <c r="V19" s="363">
        <f>Summary!V83</f>
        <v>32.623242059496157</v>
      </c>
      <c r="W19" s="363">
        <f>Summary!W83</f>
        <v>43.497656079328209</v>
      </c>
      <c r="X19" s="363">
        <f>Summary!X83</f>
        <v>54.372070099160254</v>
      </c>
      <c r="Y19" s="363">
        <f>Summary!Y83</f>
        <v>65.246484118992299</v>
      </c>
      <c r="Z19" s="363">
        <f>Summary!Z83</f>
        <v>76.120898138824344</v>
      </c>
      <c r="AA19" s="363">
        <f>Summary!AA83</f>
        <v>86.995312158656404</v>
      </c>
      <c r="AB19" s="363">
        <f>Summary!AB83</f>
        <v>97.869726178488449</v>
      </c>
      <c r="AC19" s="363">
        <f>Summary!AC83</f>
        <v>108.74414019832052</v>
      </c>
      <c r="AD19" s="363">
        <f>Summary!AD83</f>
        <v>119.61855421815258</v>
      </c>
      <c r="AE19" s="363">
        <f>Summary!AE83</f>
        <v>130.4929682379846</v>
      </c>
      <c r="AF19" s="363">
        <f>Summary!AF83</f>
        <v>141.36738225781667</v>
      </c>
      <c r="AG19" s="363">
        <f>Summary!AG83</f>
        <v>152.24179627764875</v>
      </c>
      <c r="AH19" s="363">
        <f>Summary!AH83</f>
        <v>163.11621029748079</v>
      </c>
      <c r="AI19" s="363">
        <f>Summary!AI83</f>
        <v>173.99062431731281</v>
      </c>
      <c r="AJ19" s="363">
        <f>Summary!AJ83</f>
        <v>184.86503833714488</v>
      </c>
      <c r="AK19" s="363">
        <f>Summary!AK83</f>
        <v>195.73945235697698</v>
      </c>
      <c r="AL19" s="363">
        <f>Summary!AL83</f>
        <v>206.61386637680897</v>
      </c>
      <c r="AM19" s="363">
        <f>Summary!AM83</f>
        <v>217.48828039664099</v>
      </c>
      <c r="AN19" s="363">
        <f>Summary!AN83</f>
        <v>228.36269441647306</v>
      </c>
      <c r="AO19" s="363">
        <f>Summary!AO83</f>
        <v>239.23710843630516</v>
      </c>
      <c r="AP19" s="363">
        <f>Summary!AP83</f>
        <v>250.11152245613718</v>
      </c>
      <c r="AQ19" s="363">
        <f>Summary!AQ83</f>
        <v>260.9859364759692</v>
      </c>
      <c r="AS19" s="7">
        <f>ROW()</f>
        <v>19</v>
      </c>
    </row>
    <row r="20" spans="2:45" s="31" customFormat="1" ht="13.95" customHeight="1">
      <c r="B20" s="803" t="s">
        <v>857</v>
      </c>
      <c r="H20" s="17"/>
      <c r="I20" s="17"/>
      <c r="J20" s="17"/>
      <c r="M20" s="399"/>
      <c r="N20" s="399"/>
      <c r="O20" s="399"/>
      <c r="P20" s="399"/>
      <c r="Q20" s="399"/>
      <c r="R20" s="399"/>
      <c r="S20" s="364"/>
      <c r="T20" s="363">
        <f>T18*Parameters!$I$18/2000</f>
        <v>12.5</v>
      </c>
      <c r="U20" s="363">
        <f>U18*Parameters!$I$18/2000</f>
        <v>25.527176677389129</v>
      </c>
      <c r="V20" s="363">
        <f>V18*Parameters!$I$18/2000</f>
        <v>39.098204947118361</v>
      </c>
      <c r="W20" s="363">
        <f>W18*Parameters!$I$18/2000</f>
        <v>53.230228557539213</v>
      </c>
      <c r="X20" s="363">
        <f>X18*Parameters!$I$18/2000</f>
        <v>67.940872448305385</v>
      </c>
      <c r="Y20" s="363">
        <f>Y18*Parameters!$I$18/2000</f>
        <v>83.248255420984847</v>
      </c>
      <c r="Z20" s="363">
        <f>Z18*Parameters!$I$18/2000</f>
        <v>99.171003130075206</v>
      </c>
      <c r="AA20" s="363">
        <f>AA18*Parameters!$I$18/2000</f>
        <v>115.72826140230127</v>
      </c>
      <c r="AB20" s="363">
        <f>AB18*Parameters!$I$18/2000</f>
        <v>132.93970989226278</v>
      </c>
      <c r="AC20" s="363">
        <f>AC18*Parameters!$I$18/2000</f>
        <v>150.82557608269548</v>
      </c>
      <c r="AD20" s="363">
        <f>AD18*Parameters!$I$18/2000</f>
        <v>169.4066496378064</v>
      </c>
      <c r="AE20" s="363">
        <f>AE18*Parameters!$I$18/2000</f>
        <v>188.70429711834947</v>
      </c>
      <c r="AF20" s="363">
        <f>AF18*Parameters!$I$18/2000</f>
        <v>208.74047706731437</v>
      </c>
      <c r="AG20" s="363">
        <f>AG18*Parameters!$I$18/2000</f>
        <v>229.53775547531569</v>
      </c>
      <c r="AH20" s="363">
        <f>AH18*Parameters!$I$18/2000</f>
        <v>251.11932163498832</v>
      </c>
      <c r="AI20" s="363">
        <f>AI18*Parameters!$I$18/2000</f>
        <v>273.50900439391796</v>
      </c>
      <c r="AJ20" s="363">
        <f>AJ18*Parameters!$I$18/2000</f>
        <v>296.73128881586467</v>
      </c>
      <c r="AK20" s="363">
        <f>AK18*Parameters!$I$18/2000</f>
        <v>320.81133326027117</v>
      </c>
      <c r="AL20" s="363">
        <f>AL18*Parameters!$I$18/2000</f>
        <v>345.77498689028977</v>
      </c>
      <c r="AM20" s="363">
        <f>AM18*Parameters!$I$18/2000</f>
        <v>371.64880761980356</v>
      </c>
      <c r="AN20" s="363">
        <f>AN18*Parameters!$I$18/2000</f>
        <v>398.4600805101727</v>
      </c>
      <c r="AO20" s="363">
        <f>AO18*Parameters!$I$18/2000</f>
        <v>426.23683662769008</v>
      </c>
      <c r="AP20" s="363">
        <f>AP18*Parameters!$I$18/2000</f>
        <v>455.00787237299863</v>
      </c>
      <c r="AQ20" s="363">
        <f>AQ18*Parameters!$I$18/2000</f>
        <v>484.80276929398781</v>
      </c>
      <c r="AS20" s="81">
        <f>ROW()</f>
        <v>20</v>
      </c>
    </row>
    <row r="21" spans="2:45" s="31" customFormat="1" ht="13.95" customHeight="1">
      <c r="B21" s="803" t="s">
        <v>856</v>
      </c>
      <c r="H21" s="17"/>
      <c r="I21" s="17"/>
      <c r="J21" s="17"/>
      <c r="M21" s="399"/>
      <c r="N21" s="399"/>
      <c r="O21" s="399"/>
      <c r="P21" s="399"/>
      <c r="Q21" s="399"/>
      <c r="R21" s="399"/>
      <c r="S21" s="364"/>
      <c r="T21" s="363">
        <f>T18*T65*(1/Parameters!$I$19)</f>
        <v>0.12591946806336043</v>
      </c>
      <c r="U21" s="363">
        <f>U18*U65*(1/Parameters!$I$19)</f>
        <v>0.2543543570729126</v>
      </c>
      <c r="V21" s="363">
        <f>V18*V65*(1/Parameters!$I$19)</f>
        <v>0.38534235386910615</v>
      </c>
      <c r="W21" s="363">
        <f>W18*W65*(1/Parameters!$I$19)</f>
        <v>0.51892164719131251</v>
      </c>
      <c r="X21" s="363">
        <f>X18*X65*(1/Parameters!$I$19)</f>
        <v>0.65513093394416599</v>
      </c>
      <c r="Y21" s="363">
        <f>Y18*Y65*(1/Parameters!$I$19)</f>
        <v>0.79400942553901455</v>
      </c>
      <c r="Z21" s="363">
        <f>Z18*Z65*(1/Parameters!$I$19)</f>
        <v>0.9355968543113492</v>
      </c>
      <c r="AA21" s="363">
        <f>AA18*AA65*(1/Parameters!$I$19)</f>
        <v>1.0799334800151061</v>
      </c>
      <c r="AB21" s="363">
        <f>AB18*AB65*(1/Parameters!$I$19)</f>
        <v>1.2270600963947282</v>
      </c>
      <c r="AC21" s="363">
        <f>AC18*AC65*(1/Parameters!$I$19)</f>
        <v>1.3770180378358974</v>
      </c>
      <c r="AD21" s="363">
        <f>AD18*AD65*(1/Parameters!$I$19)</f>
        <v>1.5298491860958501</v>
      </c>
      <c r="AE21" s="363">
        <f>AE18*AE65*(1/Parameters!$I$19)</f>
        <v>1.6855959771142055</v>
      </c>
      <c r="AF21" s="363">
        <f>AF18*AF65*(1/Parameters!$I$19)</f>
        <v>1.8443014079052411</v>
      </c>
      <c r="AG21" s="363">
        <f>AG18*AG65*(1/Parameters!$I$19)</f>
        <v>2.0060090435325608</v>
      </c>
      <c r="AH21" s="363">
        <f>AH18*AH65*(1/Parameters!$I$19)</f>
        <v>2.1707630241671212</v>
      </c>
      <c r="AI21" s="363">
        <f>AI18*AI65*(1/Parameters!$I$19)</f>
        <v>2.3386080722295763</v>
      </c>
      <c r="AJ21" s="363">
        <f>AJ18*AJ65*(1/Parameters!$I$19)</f>
        <v>2.5095894996179333</v>
      </c>
      <c r="AK21" s="363">
        <f>AK18*AK65*(1/Parameters!$I$19)</f>
        <v>2.6837532150214889</v>
      </c>
      <c r="AL21" s="363">
        <f>AL18*AL65*(1/Parameters!$I$19)</f>
        <v>2.8611457313220803</v>
      </c>
      <c r="AM21" s="363">
        <f>AM18*AM65*(1/Parameters!$I$19)</f>
        <v>3.0418141730836372</v>
      </c>
      <c r="AN21" s="363">
        <f>AN18*AN65*(1/Parameters!$I$19)</f>
        <v>3.2258062841310728</v>
      </c>
      <c r="AO21" s="363">
        <f>AO18*AO65*(1/Parameters!$I$19)</f>
        <v>3.4131704352195529</v>
      </c>
      <c r="AP21" s="363">
        <f>AP18*AP65*(1/Parameters!$I$19)</f>
        <v>3.603955631795186</v>
      </c>
      <c r="AQ21" s="363">
        <f>AQ18*AQ65*(1/Parameters!$I$19)</f>
        <v>3.7982115218482027</v>
      </c>
      <c r="AS21" s="7">
        <f>ROW()</f>
        <v>21</v>
      </c>
    </row>
    <row r="22" spans="2:45" ht="13.95" customHeight="1">
      <c r="B22" s="802" t="s">
        <v>849</v>
      </c>
      <c r="M22"/>
      <c r="N22"/>
      <c r="AS22" s="7">
        <f>ROW()</f>
        <v>22</v>
      </c>
    </row>
    <row r="23" spans="2:45" ht="13.95" customHeight="1">
      <c r="B23" s="803" t="str">
        <f>CONCATENATE("Felt tax in constant ",S$14, "$, per ton of CO2 (taken directly from 'Summary' tab, Row ",Summary!AR86, ")")</f>
        <v>Felt tax in constant 2015$, per ton of CO2 (taken directly from 'Summary' tab, Row 86)</v>
      </c>
      <c r="M23"/>
      <c r="N23"/>
      <c r="T23" s="522">
        <f>Summary!T86</f>
        <v>10.87441401983205</v>
      </c>
      <c r="U23" s="363">
        <f>Summary!U86</f>
        <v>21.748828039664104</v>
      </c>
      <c r="V23" s="363">
        <f>Summary!V86</f>
        <v>32.623242059496157</v>
      </c>
      <c r="W23" s="363">
        <f>Summary!W86</f>
        <v>43.497656079328209</v>
      </c>
      <c r="X23" s="363">
        <f>Summary!X86</f>
        <v>54.372070099160254</v>
      </c>
      <c r="Y23" s="363">
        <f>Summary!Y86</f>
        <v>65.246484118992299</v>
      </c>
      <c r="Z23" s="363">
        <f>Summary!Z86</f>
        <v>76.120898138824344</v>
      </c>
      <c r="AA23" s="363">
        <f>Summary!AA86</f>
        <v>86.995312158656404</v>
      </c>
      <c r="AB23" s="363">
        <f>Summary!AB86</f>
        <v>97.869726178488449</v>
      </c>
      <c r="AC23" s="363">
        <f>Summary!AC86</f>
        <v>108.74414019832052</v>
      </c>
      <c r="AD23" s="363">
        <f>Summary!AD86</f>
        <v>119.61855421815258</v>
      </c>
      <c r="AE23" s="363">
        <f>Summary!AE86</f>
        <v>130.4929682379846</v>
      </c>
      <c r="AF23" s="363">
        <f>Summary!AF86</f>
        <v>141.36738225781667</v>
      </c>
      <c r="AG23" s="363">
        <f>Summary!AG86</f>
        <v>152.24179627764875</v>
      </c>
      <c r="AH23" s="363">
        <f>Summary!AH86</f>
        <v>163.11621029748079</v>
      </c>
      <c r="AI23" s="363">
        <f>Summary!AI86</f>
        <v>173.99062431731281</v>
      </c>
      <c r="AJ23" s="363">
        <f>Summary!AJ86</f>
        <v>184.86503833714488</v>
      </c>
      <c r="AK23" s="363">
        <f>Summary!AK86</f>
        <v>195.73945235697698</v>
      </c>
      <c r="AL23" s="363">
        <f>Summary!AL86</f>
        <v>206.61386637680897</v>
      </c>
      <c r="AM23" s="363">
        <f>Summary!AM86</f>
        <v>217.48828039664099</v>
      </c>
      <c r="AN23" s="363">
        <f>Summary!AN86</f>
        <v>228.36269441647306</v>
      </c>
      <c r="AO23" s="363">
        <f>Summary!AO86</f>
        <v>239.23710843630516</v>
      </c>
      <c r="AP23" s="363">
        <f>Summary!AP86</f>
        <v>250.11152245613718</v>
      </c>
      <c r="AQ23" s="363">
        <f>Summary!AQ86</f>
        <v>260.9859364759692</v>
      </c>
      <c r="AS23" s="7">
        <f>ROW()</f>
        <v>23</v>
      </c>
    </row>
    <row r="24" spans="2:45" ht="13.95" customHeight="1">
      <c r="B24" s="803" t="str">
        <f>CONCATENATE("Felt tax in nominal $ per ton of CO2 (taken directly from 'Summary' tab, Row ",Summary!AR88, ")")</f>
        <v>Felt tax in nominal $ per ton of CO2 (taken directly from 'Summary' tab, Row 88)</v>
      </c>
      <c r="M24"/>
      <c r="N24"/>
      <c r="T24" s="522">
        <f>Summary!T88</f>
        <v>11.337868480725623</v>
      </c>
      <c r="U24" s="363">
        <f>Summary!U88</f>
        <v>23.153901748198756</v>
      </c>
      <c r="V24" s="363">
        <f>Summary!V88</f>
        <v>35.463224441830718</v>
      </c>
      <c r="W24" s="363">
        <f>Summary!W88</f>
        <v>48.281386446747597</v>
      </c>
      <c r="X24" s="363">
        <f>Summary!X88</f>
        <v>61.624374102771327</v>
      </c>
      <c r="Y24" s="363">
        <f>Summary!Y88</f>
        <v>75.508621697038393</v>
      </c>
      <c r="Z24" s="363">
        <f>Summary!Z88</f>
        <v>89.951023247233749</v>
      </c>
      <c r="AA24" s="363">
        <f>Summary!AA88</f>
        <v>104.96894458258619</v>
      </c>
      <c r="AB24" s="363">
        <f>Summary!AB88</f>
        <v>120.58023572994358</v>
      </c>
      <c r="AC24" s="363">
        <f>Summary!AC88</f>
        <v>136.80324361242219</v>
      </c>
      <c r="AD24" s="363">
        <f>Summary!AD88</f>
        <v>153.65682506830512</v>
      </c>
      <c r="AE24" s="363">
        <f>Summary!AE88</f>
        <v>171.1603601980494</v>
      </c>
      <c r="AF24" s="363">
        <f>Summary!AF88</f>
        <v>189.33376604745072</v>
      </c>
      <c r="AG24" s="363">
        <f>Summary!AG88</f>
        <v>208.19751063520698</v>
      </c>
      <c r="AH24" s="363">
        <f>Summary!AH88</f>
        <v>227.77262733332276</v>
      </c>
      <c r="AI24" s="363">
        <f>Summary!AI88</f>
        <v>248.08072960899591</v>
      </c>
      <c r="AJ24" s="363">
        <f>Summary!AJ88</f>
        <v>269.1440261368387</v>
      </c>
      <c r="AK24" s="363">
        <f>Summary!AK88</f>
        <v>290.98533629049541</v>
      </c>
      <c r="AL24" s="363">
        <f>Summary!AL88</f>
        <v>313.62810602293854</v>
      </c>
      <c r="AM24" s="363">
        <f>Summary!AM88</f>
        <v>337.09642414494658</v>
      </c>
      <c r="AN24" s="363">
        <f>Summary!AN88</f>
        <v>361.41503901149451</v>
      </c>
      <c r="AO24" s="363">
        <f>Summary!AO88</f>
        <v>386.60937562602271</v>
      </c>
      <c r="AP24" s="363">
        <f>Summary!AP88</f>
        <v>412.70555317278786</v>
      </c>
      <c r="AQ24" s="363">
        <f>Summary!AQ88</f>
        <v>439.73040298774407</v>
      </c>
      <c r="AS24" s="7">
        <f>ROW()</f>
        <v>24</v>
      </c>
    </row>
    <row r="25" spans="2:45" ht="13.95" customHeight="1">
      <c r="B25" s="803" t="s">
        <v>858</v>
      </c>
      <c r="M25"/>
      <c r="N25"/>
      <c r="T25" s="522">
        <f>T24*T65*(1/Parameters!$I$19)</f>
        <v>0.12591946806336043</v>
      </c>
      <c r="U25" s="363">
        <f>U24*U65*(1/Parameters!$I$19)</f>
        <v>0.2543543570729126</v>
      </c>
      <c r="V25" s="363">
        <f>V24*V65*(1/Parameters!$I$19)</f>
        <v>0.38534235386910615</v>
      </c>
      <c r="W25" s="363">
        <f>W24*W65*(1/Parameters!$I$19)</f>
        <v>0.51892164719131262</v>
      </c>
      <c r="X25" s="363">
        <f>X24*X65*(1/Parameters!$I$19)</f>
        <v>0.65513093394416599</v>
      </c>
      <c r="Y25" s="363">
        <f>Y24*Y65*(1/Parameters!$I$19)</f>
        <v>0.79400942553901432</v>
      </c>
      <c r="Z25" s="363">
        <f>Z24*Z65*(1/Parameters!$I$19)</f>
        <v>0.9355968543113492</v>
      </c>
      <c r="AA25" s="363">
        <f>AA24*AA65*(1/Parameters!$I$19)</f>
        <v>1.0799334800151061</v>
      </c>
      <c r="AB25" s="363">
        <f>AB24*AB65*(1/Parameters!$I$19)</f>
        <v>1.2270600963947282</v>
      </c>
      <c r="AC25" s="363">
        <f>AC24*AC65*(1/Parameters!$I$19)</f>
        <v>1.3770180378358974</v>
      </c>
      <c r="AD25" s="363">
        <f>AD24*AD65*(1/Parameters!$I$19)</f>
        <v>1.5298491860958501</v>
      </c>
      <c r="AE25" s="363">
        <f>AE24*AE65*(1/Parameters!$I$19)</f>
        <v>1.6855959771142055</v>
      </c>
      <c r="AF25" s="363">
        <f>AF24*AF65*(1/Parameters!$I$19)</f>
        <v>1.8443014079052413</v>
      </c>
      <c r="AG25" s="363">
        <f>AG24*AG65*(1/Parameters!$I$19)</f>
        <v>2.0060090435325608</v>
      </c>
      <c r="AH25" s="363">
        <f>AH24*AH65*(1/Parameters!$I$19)</f>
        <v>2.1707630241671212</v>
      </c>
      <c r="AI25" s="363">
        <f>AI24*AI65*(1/Parameters!$I$19)</f>
        <v>2.3386080722295763</v>
      </c>
      <c r="AJ25" s="363">
        <f>AJ24*AJ65*(1/Parameters!$I$19)</f>
        <v>2.5095894996179333</v>
      </c>
      <c r="AK25" s="363">
        <f>AK24*AK65*(1/Parameters!$I$19)</f>
        <v>2.6837532150214889</v>
      </c>
      <c r="AL25" s="363">
        <f>AL24*AL65*(1/Parameters!$I$19)</f>
        <v>2.8611457313220803</v>
      </c>
      <c r="AM25" s="363">
        <f>AM24*AM65*(1/Parameters!$I$19)</f>
        <v>3.0418141730836372</v>
      </c>
      <c r="AN25" s="363">
        <f>AN24*AN65*(1/Parameters!$I$19)</f>
        <v>3.2258062841310728</v>
      </c>
      <c r="AO25" s="363">
        <f>AO24*AO65*(1/Parameters!$I$19)</f>
        <v>3.4131704352195529</v>
      </c>
      <c r="AP25" s="363">
        <f>AP24*AP65*(1/Parameters!$I$19)</f>
        <v>3.603955631795186</v>
      </c>
      <c r="AQ25" s="363">
        <f>AQ24*AQ65*(1/Parameters!$I$19)</f>
        <v>3.7982115218482027</v>
      </c>
      <c r="AS25" s="7">
        <f>ROW()</f>
        <v>25</v>
      </c>
    </row>
    <row r="26" spans="2:45" ht="13.95" customHeight="1">
      <c r="M26" s="67"/>
      <c r="T26" s="272"/>
      <c r="U26" s="270"/>
      <c r="V26" s="270"/>
      <c r="W26" s="270"/>
      <c r="X26" s="270"/>
      <c r="Y26" s="270"/>
      <c r="Z26" s="270"/>
      <c r="AA26" s="270"/>
      <c r="AB26" s="270"/>
      <c r="AC26" s="270"/>
      <c r="AD26" s="270"/>
      <c r="AE26" s="270"/>
      <c r="AF26" s="270"/>
      <c r="AG26" s="270"/>
      <c r="AH26" s="270"/>
      <c r="AI26" s="270"/>
      <c r="AJ26" s="270"/>
      <c r="AK26" s="270"/>
      <c r="AL26" s="270"/>
      <c r="AM26" s="270"/>
      <c r="AN26" s="270"/>
      <c r="AO26" s="270"/>
      <c r="AP26" s="270"/>
      <c r="AQ26" s="270"/>
      <c r="AS26" s="7">
        <f>ROW()</f>
        <v>26</v>
      </c>
    </row>
    <row r="27" spans="2:45" ht="13.95" customHeight="1">
      <c r="B27" t="s">
        <v>364</v>
      </c>
      <c r="E27" s="84" t="s">
        <v>358</v>
      </c>
      <c r="K27">
        <v>5.8250000000000002</v>
      </c>
      <c r="M27" s="67"/>
      <c r="Z27" s="67"/>
      <c r="AA27" s="67"/>
      <c r="AB27" s="67"/>
      <c r="AC27" s="67"/>
      <c r="AD27" s="67"/>
      <c r="AE27" s="67"/>
      <c r="AF27" s="67"/>
      <c r="AG27" s="67"/>
      <c r="AH27" s="67"/>
      <c r="AI27" s="67"/>
      <c r="AJ27" s="67"/>
      <c r="AK27" s="67"/>
      <c r="AL27" s="67"/>
      <c r="AM27" s="67"/>
      <c r="AN27" s="67"/>
      <c r="AO27" s="67"/>
      <c r="AP27" s="67"/>
      <c r="AQ27" s="67"/>
      <c r="AS27" s="7">
        <f>ROW()</f>
        <v>27</v>
      </c>
    </row>
    <row r="28" spans="2:45" ht="13.95" customHeight="1">
      <c r="B28" t="s">
        <v>365</v>
      </c>
      <c r="K28" s="21">
        <f>K27*1000000/Parameters!$I$21</f>
        <v>138690.47619047618</v>
      </c>
      <c r="M28" s="67"/>
      <c r="Z28" s="67"/>
      <c r="AA28" s="67"/>
      <c r="AB28" s="67"/>
      <c r="AC28" s="67"/>
      <c r="AD28" s="67"/>
      <c r="AE28" s="67"/>
      <c r="AF28" s="67"/>
      <c r="AG28" s="67"/>
      <c r="AH28" s="67"/>
      <c r="AI28" s="67"/>
      <c r="AJ28" s="67"/>
      <c r="AK28" s="67"/>
      <c r="AL28" s="67"/>
      <c r="AM28" s="67"/>
      <c r="AN28" s="67"/>
      <c r="AO28" s="67"/>
      <c r="AP28" s="67"/>
      <c r="AQ28" s="67"/>
      <c r="AS28" s="7">
        <f>ROW()</f>
        <v>28</v>
      </c>
    </row>
    <row r="29" spans="2:45" ht="13.95" customHeight="1">
      <c r="B29" s="8" t="s">
        <v>163</v>
      </c>
      <c r="K29" s="28">
        <f>Emissions!J114/Parameters!I20</f>
        <v>6.1244416434958993</v>
      </c>
      <c r="L29" s="21"/>
      <c r="M29" s="67"/>
      <c r="Z29" s="67"/>
      <c r="AA29" s="67"/>
      <c r="AB29" s="67"/>
      <c r="AC29" s="67"/>
      <c r="AD29" s="67"/>
      <c r="AE29" s="67"/>
      <c r="AF29" s="67"/>
      <c r="AG29" s="67"/>
      <c r="AH29" s="67"/>
      <c r="AI29" s="67"/>
      <c r="AJ29" s="67"/>
      <c r="AK29" s="67"/>
      <c r="AL29" s="67"/>
      <c r="AM29" s="67"/>
      <c r="AN29" s="67"/>
      <c r="AO29" s="67"/>
      <c r="AP29" s="67"/>
      <c r="AQ29" s="67"/>
      <c r="AS29" s="7">
        <f>ROW()</f>
        <v>29</v>
      </c>
    </row>
    <row r="30" spans="2:45" ht="13.95" customHeight="1">
      <c r="B30" s="124" t="s">
        <v>165</v>
      </c>
      <c r="K30" s="7">
        <f>K29*1000000/K28</f>
        <v>44.159064210614211</v>
      </c>
      <c r="M30"/>
      <c r="N30"/>
      <c r="Z30" s="67"/>
      <c r="AA30" s="67"/>
      <c r="AB30" s="67"/>
      <c r="AC30" s="67"/>
      <c r="AD30" s="67"/>
      <c r="AE30" s="67"/>
      <c r="AF30" s="67"/>
      <c r="AG30" s="67"/>
      <c r="AH30" s="67"/>
      <c r="AI30" s="67"/>
      <c r="AJ30" s="67"/>
      <c r="AK30" s="67"/>
      <c r="AL30" s="67"/>
      <c r="AM30" s="67"/>
      <c r="AN30" s="67"/>
      <c r="AO30" s="67"/>
      <c r="AP30" s="67"/>
      <c r="AQ30" s="67"/>
      <c r="AS30" s="7">
        <f>ROW()</f>
        <v>30</v>
      </c>
    </row>
    <row r="31" spans="2:45" ht="13.95" customHeight="1">
      <c r="B31" s="8" t="s">
        <v>164</v>
      </c>
      <c r="K31" s="181">
        <f>K29*Parameters!$I$17</f>
        <v>22.456286026151631</v>
      </c>
      <c r="M31"/>
      <c r="N31"/>
      <c r="T31" s="273"/>
      <c r="U31" s="152"/>
      <c r="V31" s="152"/>
      <c r="W31" s="152"/>
      <c r="X31" s="152"/>
      <c r="Y31" s="152"/>
      <c r="Z31" s="152"/>
      <c r="AA31" s="152"/>
      <c r="AB31" s="152"/>
      <c r="AC31" s="152"/>
      <c r="AD31" s="152"/>
      <c r="AE31" s="152"/>
      <c r="AF31" s="152"/>
      <c r="AG31" s="152"/>
      <c r="AH31" s="152"/>
      <c r="AI31" s="152"/>
      <c r="AJ31" s="152"/>
      <c r="AK31" s="152"/>
      <c r="AL31" s="152"/>
      <c r="AM31" s="152"/>
      <c r="AN31" s="152"/>
      <c r="AO31" s="152"/>
      <c r="AP31" s="152"/>
      <c r="AQ31" s="152"/>
      <c r="AS31" s="7">
        <f>ROW()</f>
        <v>31</v>
      </c>
    </row>
    <row r="32" spans="2:45" ht="13.95" customHeight="1">
      <c r="I32" s="19"/>
      <c r="J32" s="19"/>
      <c r="K32" s="28"/>
      <c r="L32" s="28"/>
      <c r="M32" s="67"/>
      <c r="T32" s="273"/>
      <c r="U32" s="152"/>
      <c r="V32" s="152"/>
      <c r="W32" s="152"/>
      <c r="X32" s="152"/>
      <c r="Y32" s="152"/>
      <c r="Z32" s="152"/>
      <c r="AA32" s="152"/>
      <c r="AB32" s="152"/>
      <c r="AC32" s="152"/>
      <c r="AD32" s="152"/>
      <c r="AE32" s="152"/>
      <c r="AF32" s="152"/>
      <c r="AG32" s="152"/>
      <c r="AH32" s="152"/>
      <c r="AI32" s="152"/>
      <c r="AJ32" s="152"/>
      <c r="AK32" s="152"/>
      <c r="AL32" s="152"/>
      <c r="AM32" s="152"/>
      <c r="AN32" s="152"/>
      <c r="AO32" s="152"/>
      <c r="AP32" s="152"/>
      <c r="AQ32" s="152"/>
      <c r="AS32" s="7">
        <f>ROW()</f>
        <v>32</v>
      </c>
    </row>
    <row r="33" spans="2:45" ht="13.95" customHeight="1">
      <c r="B33" s="8"/>
      <c r="I33" s="118">
        <v>2005</v>
      </c>
      <c r="J33" s="118">
        <v>2006</v>
      </c>
      <c r="K33" s="118">
        <f t="shared" ref="K33:AP33" si="1">K14</f>
        <v>2007</v>
      </c>
      <c r="L33" s="118">
        <f t="shared" si="1"/>
        <v>2008</v>
      </c>
      <c r="M33" s="118">
        <f t="shared" si="1"/>
        <v>2009</v>
      </c>
      <c r="N33" s="118">
        <f t="shared" si="1"/>
        <v>2010</v>
      </c>
      <c r="O33" s="118">
        <f t="shared" si="1"/>
        <v>2011</v>
      </c>
      <c r="P33" s="118">
        <f t="shared" si="1"/>
        <v>2012</v>
      </c>
      <c r="Q33" s="118">
        <f t="shared" si="1"/>
        <v>2013</v>
      </c>
      <c r="R33" s="118">
        <f t="shared" si="1"/>
        <v>2014</v>
      </c>
      <c r="S33" s="118">
        <f t="shared" si="1"/>
        <v>2015</v>
      </c>
      <c r="T33" s="274">
        <f t="shared" si="1"/>
        <v>2017</v>
      </c>
      <c r="U33" s="118">
        <f t="shared" si="1"/>
        <v>2018</v>
      </c>
      <c r="V33" s="118">
        <f t="shared" si="1"/>
        <v>2019</v>
      </c>
      <c r="W33" s="118">
        <f t="shared" si="1"/>
        <v>2020</v>
      </c>
      <c r="X33" s="118">
        <f t="shared" si="1"/>
        <v>2021</v>
      </c>
      <c r="Y33" s="118">
        <f t="shared" si="1"/>
        <v>2022</v>
      </c>
      <c r="Z33" s="118">
        <f t="shared" si="1"/>
        <v>2023</v>
      </c>
      <c r="AA33" s="118">
        <f t="shared" si="1"/>
        <v>2024</v>
      </c>
      <c r="AB33" s="118">
        <f t="shared" si="1"/>
        <v>2025</v>
      </c>
      <c r="AC33" s="118">
        <f t="shared" si="1"/>
        <v>2026</v>
      </c>
      <c r="AD33" s="118">
        <f t="shared" si="1"/>
        <v>2027</v>
      </c>
      <c r="AE33" s="118">
        <f t="shared" si="1"/>
        <v>2028</v>
      </c>
      <c r="AF33" s="118">
        <f t="shared" si="1"/>
        <v>2029</v>
      </c>
      <c r="AG33" s="118">
        <f t="shared" si="1"/>
        <v>2030</v>
      </c>
      <c r="AH33" s="118">
        <f t="shared" si="1"/>
        <v>2031</v>
      </c>
      <c r="AI33" s="118">
        <f t="shared" si="1"/>
        <v>2032</v>
      </c>
      <c r="AJ33" s="118">
        <f t="shared" si="1"/>
        <v>2033</v>
      </c>
      <c r="AK33" s="118">
        <f t="shared" si="1"/>
        <v>2034</v>
      </c>
      <c r="AL33" s="118">
        <f t="shared" si="1"/>
        <v>2035</v>
      </c>
      <c r="AM33" s="118">
        <f t="shared" si="1"/>
        <v>2036</v>
      </c>
      <c r="AN33" s="118">
        <f t="shared" si="1"/>
        <v>2037</v>
      </c>
      <c r="AO33" s="118">
        <f t="shared" si="1"/>
        <v>2038</v>
      </c>
      <c r="AP33" s="118">
        <f t="shared" si="1"/>
        <v>2039</v>
      </c>
      <c r="AQ33" s="118">
        <f t="shared" ref="AQ33" si="2">AQ14</f>
        <v>2040</v>
      </c>
      <c r="AS33" s="7">
        <f>ROW()</f>
        <v>33</v>
      </c>
    </row>
    <row r="34" spans="2:45" ht="13.95" customHeight="1">
      <c r="B34" s="8" t="s">
        <v>688</v>
      </c>
      <c r="M34"/>
      <c r="N34"/>
      <c r="AS34" s="7">
        <f>ROW()</f>
        <v>34</v>
      </c>
    </row>
    <row r="35" spans="2:45" ht="13.95" customHeight="1">
      <c r="B35" s="14" t="s">
        <v>1101</v>
      </c>
      <c r="C35" s="172"/>
      <c r="D35" s="172"/>
      <c r="E35" s="172"/>
      <c r="F35" s="172"/>
      <c r="G35" s="172"/>
      <c r="H35" s="172"/>
      <c r="I35" s="25">
        <f>Emissions!G82</f>
        <v>510.21500000000003</v>
      </c>
      <c r="J35" s="25">
        <f>Emissions!H82</f>
        <v>525.87</v>
      </c>
      <c r="K35" s="25">
        <f>Emissions!I82</f>
        <v>555.97</v>
      </c>
      <c r="L35" s="25">
        <f>Emissions!J82</f>
        <v>530.87</v>
      </c>
      <c r="M35" s="25">
        <f>Emissions!K82</f>
        <v>475.69499999999999</v>
      </c>
      <c r="N35" s="25">
        <f>Emissions!L82</f>
        <v>499.36500000000001</v>
      </c>
      <c r="O35" s="25">
        <f>Emissions!M82</f>
        <v>494.53499999999997</v>
      </c>
      <c r="P35" s="25">
        <f>Emissions!N82</f>
        <v>481.71499999999997</v>
      </c>
      <c r="Q35" s="25">
        <f>Emissions!O82</f>
        <v>482.33000000000004</v>
      </c>
      <c r="R35" s="25">
        <f>Emissions!P82</f>
        <v>482.54500000000002</v>
      </c>
      <c r="S35" s="25">
        <f>Emissions!Q82</f>
        <v>480.08011596161907</v>
      </c>
      <c r="T35" s="278">
        <f>T37*$K$31/Parameters!$I$18</f>
        <v>480.16183873664647</v>
      </c>
      <c r="U35" s="25">
        <f>U37*$K$31/Parameters!$I$18</f>
        <v>480.2435754231268</v>
      </c>
      <c r="V35" s="25">
        <f>V37*$K$31/Parameters!$I$18</f>
        <v>480.32532602342843</v>
      </c>
      <c r="W35" s="25">
        <f>W37*$K$31/Parameters!$I$18</f>
        <v>480.40709053991941</v>
      </c>
      <c r="X35" s="25">
        <f>X37*$K$31/Parameters!$I$18</f>
        <v>479.52436741685352</v>
      </c>
      <c r="Y35" s="25">
        <f>Y37*$K$31/Parameters!$I$18</f>
        <v>480.92044856359973</v>
      </c>
      <c r="Z35" s="25">
        <f>Z37*$K$31/Parameters!$I$18</f>
        <v>482.32059424324723</v>
      </c>
      <c r="AA35" s="25">
        <f>AA37*$K$31/Parameters!$I$18</f>
        <v>483.72481628922532</v>
      </c>
      <c r="AB35" s="25">
        <f>AB37*$K$31/Parameters!$I$18</f>
        <v>485.13312656941514</v>
      </c>
      <c r="AC35" s="25">
        <f>AC37*$K$31/Parameters!$I$18</f>
        <v>486.54553698624977</v>
      </c>
      <c r="AD35" s="25">
        <f>AD37*$K$31/Parameters!$I$18</f>
        <v>487.96205947681494</v>
      </c>
      <c r="AE35" s="25">
        <f>AE37*$K$31/Parameters!$I$18</f>
        <v>489.38270601294988</v>
      </c>
      <c r="AF35" s="25">
        <f>AF37*$K$31/Parameters!$I$18</f>
        <v>490.80748860134833</v>
      </c>
      <c r="AG35" s="25">
        <f>AG37*$K$31/Parameters!$I$18</f>
        <v>492.23641928366033</v>
      </c>
      <c r="AH35" s="25">
        <f>AH37*$K$31/Parameters!$I$18</f>
        <v>493.26187810684075</v>
      </c>
      <c r="AI35" s="25">
        <f>AI37*$K$31/Parameters!$I$18</f>
        <v>494.41980746068799</v>
      </c>
      <c r="AJ35" s="25">
        <f>AJ37*$K$31/Parameters!$I$18</f>
        <v>495.58045504687391</v>
      </c>
      <c r="AK35" s="25">
        <f>AK37*$K$31/Parameters!$I$18</f>
        <v>496.74382724643289</v>
      </c>
      <c r="AL35" s="25">
        <f>AL37*$K$31/Parameters!$I$18</f>
        <v>497.90993045537874</v>
      </c>
      <c r="AM35" s="25">
        <f>AM37*$K$31/Parameters!$I$18</f>
        <v>499.07877108473997</v>
      </c>
      <c r="AN35" s="25">
        <f>AN37*$K$31/Parameters!$I$18</f>
        <v>500.25035556059493</v>
      </c>
      <c r="AO35" s="25">
        <f>AO37*$K$31/Parameters!$I$18</f>
        <v>501.42469032410702</v>
      </c>
      <c r="AP35" s="25">
        <f>AP37*$K$31/Parameters!$I$18</f>
        <v>502.6017818315604</v>
      </c>
      <c r="AQ35" s="25">
        <f>AQ37*$K$31/Parameters!$I$18</f>
        <v>513.05702453472463</v>
      </c>
      <c r="AS35" s="7">
        <f>ROW()</f>
        <v>35</v>
      </c>
    </row>
    <row r="36" spans="2:45" ht="13.95" customHeight="1">
      <c r="B36" s="291" t="str">
        <f>CONCATENATE("Historical data are from 'Emissions' tab, Row ",Emissions!S82, ". Figures after ",S14, " multiply projected fuel usage in Row ",AS37, " by CO2 emission factor for diesel fuel in Cell K",AS31, ".")</f>
        <v>Historical data are from 'Emissions' tab, Row 82. Figures after 2015 multiply projected fuel usage in Row 37 by CO2 emission factor for diesel fuel in Cell K31.</v>
      </c>
      <c r="C36" s="172"/>
      <c r="D36" s="172"/>
      <c r="E36" s="172"/>
      <c r="F36" s="172"/>
      <c r="G36" s="172"/>
      <c r="H36" s="172"/>
      <c r="I36" s="172"/>
      <c r="J36" s="172"/>
      <c r="K36" s="172"/>
      <c r="L36" s="172"/>
      <c r="M36" s="172"/>
      <c r="N36" s="172"/>
      <c r="O36" s="172"/>
      <c r="P36" s="516"/>
      <c r="Q36" s="156"/>
      <c r="R36" s="777"/>
      <c r="S36" s="733"/>
      <c r="T36" s="272"/>
      <c r="U36" s="269"/>
      <c r="V36" s="269"/>
      <c r="W36" s="269"/>
      <c r="X36" s="269"/>
      <c r="Y36" s="269"/>
      <c r="Z36" s="269"/>
      <c r="AA36" s="269"/>
      <c r="AB36" s="269"/>
      <c r="AC36" s="269"/>
      <c r="AD36" s="269"/>
      <c r="AE36" s="269"/>
      <c r="AF36" s="269"/>
      <c r="AG36" s="269"/>
      <c r="AH36" s="269"/>
      <c r="AI36" s="269"/>
      <c r="AJ36" s="269"/>
      <c r="AK36" s="269"/>
      <c r="AL36" s="269"/>
      <c r="AM36" s="269"/>
      <c r="AN36" s="269"/>
      <c r="AO36" s="269"/>
      <c r="AP36" s="269"/>
      <c r="AQ36" s="269"/>
      <c r="AS36" s="7">
        <f>ROW()</f>
        <v>36</v>
      </c>
    </row>
    <row r="37" spans="2:45" ht="13.95" customHeight="1">
      <c r="B37" s="537" t="s">
        <v>1100</v>
      </c>
      <c r="C37" s="67"/>
      <c r="D37" s="67"/>
      <c r="E37" s="67"/>
      <c r="F37" s="67"/>
      <c r="G37" s="67"/>
      <c r="H37" s="67"/>
      <c r="I37" s="119">
        <f>I35/$K$31*Parameters!$I$18</f>
        <v>50098.40334638796</v>
      </c>
      <c r="J37" s="119">
        <f>J35/$K$31*Parameters!$I$18</f>
        <v>51635.579839410908</v>
      </c>
      <c r="K37" s="119">
        <f>K35/$K$31*Parameters!$I$18</f>
        <v>54591.121994632289</v>
      </c>
      <c r="L37" s="119">
        <f>L35/$K$31*Parameters!$I$18</f>
        <v>52126.533685793198</v>
      </c>
      <c r="M37" s="119">
        <f>M35/$K$31*Parameters!$I$18</f>
        <v>46708.857990964629</v>
      </c>
      <c r="N37" s="119">
        <f>N35/$K$31*Parameters!$I$18</f>
        <v>49033.033499738391</v>
      </c>
      <c r="O37" s="119">
        <f>O35/$K$31*Parameters!$I$18</f>
        <v>48558.772084133096</v>
      </c>
      <c r="P37" s="119">
        <f>P35/$K$31*Parameters!$I$18</f>
        <v>47299.966422008911</v>
      </c>
      <c r="Q37" s="119">
        <f>Q35/$K$31*Parameters!$I$18</f>
        <v>47360.353745113935</v>
      </c>
      <c r="R37" s="119">
        <f>R35/$K$31*Parameters!$I$18</f>
        <v>47381.464760508374</v>
      </c>
      <c r="S37" s="252">
        <f>S35/$K$31*Parameters!$I$18</f>
        <v>47139.435900602482</v>
      </c>
      <c r="T37" s="119">
        <f>S37*IF(T$14&gt;=2040,AEO!$R27,IF(T$14&gt;=2031,AEO!$Q27,IF(T$14&gt;=2021,AEO!$P27,AEO!$O27))^Parameters!$I$11*Parameters!S71^Parameters!$H$11)</f>
        <v>47147.46032274983</v>
      </c>
      <c r="U37" s="119">
        <f>T37*IF(U$14&gt;=2040,AEO!$R27,IF(U$14&gt;=2031,AEO!$Q27,IF(U$14&gt;=2021,AEO!$P27,AEO!$O27))^Parameters!$I$11*Parameters!T71^Parameters!$H$11)</f>
        <v>47155.486110873448</v>
      </c>
      <c r="V37" s="119">
        <f>U37*IF(V$14&gt;=2040,AEO!$R27,IF(V$14&gt;=2031,AEO!$Q27,IF(V$14&gt;=2021,AEO!$P27,AEO!$O27))^Parameters!$I$11*Parameters!U71^Parameters!$H$11)</f>
        <v>47163.513265205867</v>
      </c>
      <c r="W37" s="119">
        <f>V37*IF(W$14&gt;=2040,AEO!$R27,IF(W$14&gt;=2031,AEO!$Q27,IF(W$14&gt;=2021,AEO!$P27,AEO!$O27))^Parameters!$I$11*Parameters!V71^Parameters!$H$11)</f>
        <v>47171.541785979643</v>
      </c>
      <c r="X37" s="119">
        <f>W37*IF(X$14&gt;=2040,AEO!$R27,IF(X$14&gt;=2031,AEO!$Q27,IF(X$14&gt;=2021,AEO!$P27,AEO!$O27))^Parameters!$I$11*Parameters!W71^Parameters!$H$11)</f>
        <v>47084.866523467681</v>
      </c>
      <c r="Y37" s="119">
        <f>X37*IF(Y$14&gt;=2040,AEO!$R27,IF(Y$14&gt;=2031,AEO!$Q27,IF(Y$14&gt;=2021,AEO!$P27,AEO!$O27))^Parameters!$I$11*Parameters!X71^Parameters!$H$11)</f>
        <v>47221.948805239052</v>
      </c>
      <c r="Z37" s="119">
        <f>Y37*IF(Z$14&gt;=2040,AEO!$R27,IF(Z$14&gt;=2031,AEO!$Q27,IF(Z$14&gt;=2021,AEO!$P27,AEO!$O27))^Parameters!$I$11*Parameters!Y71^Parameters!$H$11)</f>
        <v>47359.430186622747</v>
      </c>
      <c r="AA37" s="119">
        <f>Z37*IF(AA$14&gt;=2040,AEO!$R27,IF(AA$14&gt;=2031,AEO!$Q27,IF(AA$14&gt;=2021,AEO!$P27,AEO!$O27))^Parameters!$I$11*Parameters!Z71^Parameters!$H$11)</f>
        <v>47497.311829552295</v>
      </c>
      <c r="AB37" s="119">
        <f>AA37*IF(AB$14&gt;=2040,AEO!$R27,IF(AB$14&gt;=2031,AEO!$Q27,IF(AB$14&gt;=2021,AEO!$P27,AEO!$O27))^Parameters!$I$11*Parameters!AA71^Parameters!$H$11)</f>
        <v>47635.594899344076</v>
      </c>
      <c r="AC37" s="119">
        <f>AB37*IF(AC$14&gt;=2040,AEO!$R27,IF(AC$14&gt;=2031,AEO!$Q27,IF(AC$14&gt;=2021,AEO!$P27,AEO!$O27))^Parameters!$I$11*Parameters!AB71^Parameters!$H$11)</f>
        <v>47774.280564707151</v>
      </c>
      <c r="AD37" s="119">
        <f>AC37*IF(AD$14&gt;=2040,AEO!$R27,IF(AD$14&gt;=2031,AEO!$Q27,IF(AD$14&gt;=2021,AEO!$P27,AEO!$O27))^Parameters!$I$11*Parameters!AC71^Parameters!$H$11)</f>
        <v>47913.369997753151</v>
      </c>
      <c r="AE37" s="119">
        <f>AD37*IF(AE$14&gt;=2040,AEO!$R27,IF(AE$14&gt;=2031,AEO!$Q27,IF(AE$14&gt;=2021,AEO!$P27,AEO!$O27))^Parameters!$I$11*Parameters!AD71^Parameters!$H$11)</f>
        <v>48052.864374006174</v>
      </c>
      <c r="AF37" s="119">
        <f>AE37*IF(AF$14&gt;=2040,AEO!$R27,IF(AF$14&gt;=2031,AEO!$Q27,IF(AF$14&gt;=2021,AEO!$P27,AEO!$O27))^Parameters!$I$11*Parameters!AE71^Parameters!$H$11)</f>
        <v>48192.764872412728</v>
      </c>
      <c r="AG37" s="119">
        <f>AF37*IF(AG$14&gt;=2040,AEO!$R27,IF(AG$14&gt;=2031,AEO!$Q27,IF(AG$14&gt;=2021,AEO!$P27,AEO!$O27))^Parameters!$I$11*Parameters!AF71^Parameters!$H$11)</f>
        <v>48333.072675351679</v>
      </c>
      <c r="AH37" s="119">
        <f>AG37*IF(AH$14&gt;=2040,AEO!$R27,IF(AH$14&gt;=2031,AEO!$Q27,IF(AH$14&gt;=2021,AEO!$P27,AEO!$O27))^Parameters!$I$11*Parameters!AG71^Parameters!$H$11)</f>
        <v>48433.763266061098</v>
      </c>
      <c r="AI37" s="119">
        <f>AH37*IF(AI$14&gt;=2040,AEO!$R27,IF(AI$14&gt;=2031,AEO!$Q27,IF(AI$14&gt;=2021,AEO!$P27,AEO!$O27))^Parameters!$I$11*Parameters!AH71^Parameters!$H$11)</f>
        <v>48547.461240083147</v>
      </c>
      <c r="AJ37" s="119">
        <f>AI37*IF(AJ$14&gt;=2040,AEO!$R27,IF(AJ$14&gt;=2031,AEO!$Q27,IF(AJ$14&gt;=2021,AEO!$P27,AEO!$O27))^Parameters!$I$11*Parameters!AI71^Parameters!$H$11)</f>
        <v>48661.426119429605</v>
      </c>
      <c r="AK37" s="119">
        <f>AJ37*IF(AK$14&gt;=2040,AEO!$R27,IF(AK$14&gt;=2031,AEO!$Q27,IF(AK$14&gt;=2021,AEO!$P27,AEO!$O27))^Parameters!$I$11*Parameters!AJ71^Parameters!$H$11)</f>
        <v>48775.658530659144</v>
      </c>
      <c r="AL37" s="119">
        <f>AK37*IF(AL$14&gt;=2040,AEO!$R27,IF(AL$14&gt;=2031,AEO!$Q27,IF(AL$14&gt;=2021,AEO!$P27,AEO!$O27))^Parameters!$I$11*Parameters!AK71^Parameters!$H$11)</f>
        <v>48890.159101801284</v>
      </c>
      <c r="AM37" s="119">
        <f>AL37*IF(AM$14&gt;=2040,AEO!$R27,IF(AM$14&gt;=2031,AEO!$Q27,IF(AM$14&gt;=2021,AEO!$P27,AEO!$O27))^Parameters!$I$11*Parameters!AL71^Parameters!$H$11)</f>
        <v>49004.928462359843</v>
      </c>
      <c r="AN37" s="119">
        <f>AM37*IF(AN$14&gt;=2040,AEO!$R27,IF(AN$14&gt;=2031,AEO!$Q27,IF(AN$14&gt;=2021,AEO!$P27,AEO!$O27))^Parameters!$I$11*Parameters!AM71^Parameters!$H$11)</f>
        <v>49119.967243316394</v>
      </c>
      <c r="AO37" s="119">
        <f>AN37*IF(AO$14&gt;=2040,AEO!$R27,IF(AO$14&gt;=2031,AEO!$Q27,IF(AO$14&gt;=2021,AEO!$P27,AEO!$O27))^Parameters!$I$11*Parameters!AN71^Parameters!$H$11)</f>
        <v>49235.276077133734</v>
      </c>
      <c r="AP37" s="119">
        <f>AO37*IF(AP$14&gt;=2040,AEO!$R27,IF(AP$14&gt;=2031,AEO!$Q27,IF(AP$14&gt;=2021,AEO!$P27,AEO!$O27))^Parameters!$I$11*Parameters!AO71^Parameters!$H$11)</f>
        <v>49350.855597759364</v>
      </c>
      <c r="AQ37" s="119">
        <f>AP37*IF(AQ$14&gt;=2040,AEO!$R27,IF(AQ$14&gt;=2031,AEO!$Q27,IF(AQ$14&gt;=2021,AEO!$P27,AEO!$O27))^Parameters!$I$11*Parameters!AP71^Parameters!$H$11)</f>
        <v>50377.463921755138</v>
      </c>
      <c r="AR37" s="119"/>
      <c r="AS37" s="7">
        <f>ROW()</f>
        <v>37</v>
      </c>
    </row>
    <row r="38" spans="2:45" ht="13.95" customHeight="1">
      <c r="B38" s="1296" t="str">
        <f>CONCATENATE("Historical figures divide Row ",AS35, " by CO2 emission factor per gallon of diesel fuel. Figures from ",T14, " apply income-elasticity for diesel in Parameters page, Row ",Parameters!B11,", to assumed GDP growth rates in 'AEO' tab, Row ",AEO!V27, ", and same with price-elasticity for diesel, to assumed changes in real distillate fuel price in 'Parameters' tab, Row ",Parameters!B11, ".")</f>
        <v>Historical figures divide Row 35 by CO2 emission factor per gallon of diesel fuel. Figures from 2017 apply income-elasticity for diesel in Parameters page, Row 11, to assumed GDP growth rates in 'AEO' tab, Row 27, and same with price-elasticity for diesel, to assumed changes in real distillate fuel price in 'Parameters' tab, Row 11.</v>
      </c>
      <c r="C38" s="1102"/>
      <c r="D38" s="1102"/>
      <c r="E38" s="1102"/>
      <c r="F38" s="1102"/>
      <c r="G38" s="1102"/>
      <c r="H38" s="1102"/>
      <c r="I38" s="1102"/>
      <c r="J38" s="1102"/>
      <c r="K38" s="1102"/>
      <c r="L38" s="1102"/>
      <c r="M38" s="1102"/>
      <c r="N38" s="1102"/>
      <c r="O38" s="1102"/>
      <c r="P38" s="1102"/>
      <c r="Q38" s="1102"/>
      <c r="R38" s="777"/>
      <c r="S38" s="983"/>
      <c r="V38" s="173"/>
      <c r="W38" s="173"/>
      <c r="X38" s="173"/>
      <c r="Y38" s="173"/>
      <c r="Z38" s="171"/>
      <c r="AC38" s="170"/>
      <c r="AS38" s="7">
        <f>ROW()</f>
        <v>38</v>
      </c>
    </row>
    <row r="39" spans="2:45" ht="13.95" customHeight="1">
      <c r="B39" s="1102"/>
      <c r="C39" s="1102"/>
      <c r="D39" s="1102"/>
      <c r="E39" s="1102"/>
      <c r="F39" s="1102"/>
      <c r="G39" s="1102"/>
      <c r="H39" s="1102"/>
      <c r="I39" s="1102"/>
      <c r="J39" s="1102"/>
      <c r="K39" s="1102"/>
      <c r="L39" s="1102"/>
      <c r="M39" s="1102"/>
      <c r="N39" s="1102"/>
      <c r="O39" s="1102"/>
      <c r="P39" s="1102"/>
      <c r="Q39" s="1102"/>
      <c r="R39" s="777"/>
      <c r="S39" s="733"/>
      <c r="W39" s="119"/>
      <c r="AS39" s="7">
        <f>ROW()</f>
        <v>39</v>
      </c>
    </row>
    <row r="40" spans="2:45" ht="13.95" customHeight="1">
      <c r="B40" s="518"/>
      <c r="C40" s="732"/>
      <c r="D40" s="518"/>
      <c r="E40" s="518"/>
      <c r="F40" s="518"/>
      <c r="G40" s="518"/>
      <c r="H40" s="518"/>
      <c r="I40" s="518"/>
      <c r="J40" s="518"/>
      <c r="K40" s="13">
        <f>K33</f>
        <v>2007</v>
      </c>
      <c r="L40" s="13">
        <f>L33</f>
        <v>2008</v>
      </c>
      <c r="M40" s="13">
        <f>M33</f>
        <v>2009</v>
      </c>
      <c r="N40" s="13">
        <f>N33</f>
        <v>2010</v>
      </c>
      <c r="O40" s="13">
        <f>O33</f>
        <v>2011</v>
      </c>
      <c r="P40" s="13">
        <v>2012</v>
      </c>
      <c r="Q40" s="13">
        <f t="shared" ref="Q40:AP40" si="3">Q33</f>
        <v>2013</v>
      </c>
      <c r="R40" s="13">
        <f t="shared" si="3"/>
        <v>2014</v>
      </c>
      <c r="S40" s="251">
        <f t="shared" si="3"/>
        <v>2015</v>
      </c>
      <c r="T40" s="13">
        <f t="shared" si="3"/>
        <v>2017</v>
      </c>
      <c r="U40" s="13">
        <f t="shared" si="3"/>
        <v>2018</v>
      </c>
      <c r="V40" s="13">
        <f t="shared" si="3"/>
        <v>2019</v>
      </c>
      <c r="W40" s="13">
        <f t="shared" si="3"/>
        <v>2020</v>
      </c>
      <c r="X40" s="13">
        <f t="shared" si="3"/>
        <v>2021</v>
      </c>
      <c r="Y40" s="13">
        <f t="shared" si="3"/>
        <v>2022</v>
      </c>
      <c r="Z40" s="13">
        <f t="shared" si="3"/>
        <v>2023</v>
      </c>
      <c r="AA40" s="13">
        <f t="shared" si="3"/>
        <v>2024</v>
      </c>
      <c r="AB40" s="13">
        <f t="shared" si="3"/>
        <v>2025</v>
      </c>
      <c r="AC40" s="13">
        <f t="shared" si="3"/>
        <v>2026</v>
      </c>
      <c r="AD40" s="13">
        <f t="shared" si="3"/>
        <v>2027</v>
      </c>
      <c r="AE40" s="13">
        <f t="shared" si="3"/>
        <v>2028</v>
      </c>
      <c r="AF40" s="13">
        <f t="shared" si="3"/>
        <v>2029</v>
      </c>
      <c r="AG40" s="13">
        <f t="shared" si="3"/>
        <v>2030</v>
      </c>
      <c r="AH40" s="13">
        <f t="shared" si="3"/>
        <v>2031</v>
      </c>
      <c r="AI40" s="13">
        <f t="shared" si="3"/>
        <v>2032</v>
      </c>
      <c r="AJ40" s="13">
        <f t="shared" si="3"/>
        <v>2033</v>
      </c>
      <c r="AK40" s="13">
        <f t="shared" si="3"/>
        <v>2034</v>
      </c>
      <c r="AL40" s="13">
        <f t="shared" si="3"/>
        <v>2035</v>
      </c>
      <c r="AM40" s="13">
        <f t="shared" si="3"/>
        <v>2036</v>
      </c>
      <c r="AN40" s="13">
        <f t="shared" si="3"/>
        <v>2037</v>
      </c>
      <c r="AO40" s="13">
        <f t="shared" si="3"/>
        <v>2038</v>
      </c>
      <c r="AP40" s="13">
        <f t="shared" si="3"/>
        <v>2039</v>
      </c>
      <c r="AQ40" s="13">
        <f t="shared" ref="AQ40" si="4">AQ33</f>
        <v>2040</v>
      </c>
      <c r="AS40" s="7">
        <f>ROW()</f>
        <v>40</v>
      </c>
    </row>
    <row r="41" spans="2:45" ht="13.95" customHeight="1">
      <c r="B41" s="1003" t="s">
        <v>880</v>
      </c>
      <c r="C41" s="1004"/>
      <c r="D41" s="1004"/>
      <c r="E41" s="1004"/>
      <c r="F41" s="1004"/>
      <c r="G41" s="1004"/>
      <c r="H41" s="1004"/>
      <c r="I41" s="1005"/>
      <c r="J41" s="1000">
        <f>'Personal Ground Travel'!J46</f>
        <v>0.01</v>
      </c>
      <c r="K41" s="997" t="s">
        <v>878</v>
      </c>
      <c r="L41" s="84" t="str">
        <f>CONCATENATE("Reproduced from 'Personal Ground Travel' tab, Cell J",'Personal Ground Travel'!AS46, ".")</f>
        <v>Reproduced from 'Personal Ground Travel' tab, Cell J46.</v>
      </c>
      <c r="M41" s="13"/>
      <c r="N41" s="13"/>
      <c r="O41" s="13"/>
      <c r="P41" s="13"/>
      <c r="Q41" s="13"/>
      <c r="R41" s="13"/>
      <c r="S41" s="251"/>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S41" s="7">
        <f>ROW()</f>
        <v>41</v>
      </c>
    </row>
    <row r="42" spans="2:45" ht="13.95" customHeight="1">
      <c r="B42" s="1001" t="s">
        <v>1109</v>
      </c>
      <c r="C42" s="1002"/>
      <c r="D42" s="1002"/>
      <c r="E42" s="1002"/>
      <c r="F42" s="1002"/>
      <c r="G42" s="1002"/>
      <c r="H42" s="1002"/>
      <c r="I42" s="1002"/>
      <c r="J42" s="999">
        <v>0.75</v>
      </c>
      <c r="K42" s="13"/>
      <c r="L42" s="84" t="s">
        <v>953</v>
      </c>
      <c r="M42" s="13"/>
      <c r="N42" s="13"/>
      <c r="O42" s="13"/>
      <c r="P42" s="13"/>
      <c r="Q42" s="13"/>
      <c r="R42" s="13"/>
      <c r="S42" s="251"/>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S42" s="7">
        <f>ROW()</f>
        <v>42</v>
      </c>
    </row>
    <row r="43" spans="2:45" ht="13.95" customHeight="1">
      <c r="B43" s="997" t="s">
        <v>1102</v>
      </c>
      <c r="C43" s="998"/>
      <c r="D43" s="998"/>
      <c r="E43" s="998"/>
      <c r="F43" s="998"/>
      <c r="G43" s="998"/>
      <c r="H43" s="998"/>
      <c r="I43" s="998"/>
      <c r="J43" s="1006">
        <f>J42*J41</f>
        <v>7.4999999999999997E-3</v>
      </c>
      <c r="K43" s="997" t="s">
        <v>878</v>
      </c>
      <c r="L43" s="84" t="str">
        <f>CONCATENATE("Product of Cells J",AS41, " and J",AS42, ".")</f>
        <v>Product of Cells J41 and J42.</v>
      </c>
      <c r="M43" s="13"/>
      <c r="N43" s="13"/>
      <c r="P43" s="13"/>
      <c r="Q43" s="13"/>
      <c r="R43" s="13"/>
      <c r="S43" s="251"/>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S43" s="7">
        <f>ROW()</f>
        <v>43</v>
      </c>
    </row>
    <row r="44" spans="2:45" ht="13.95" customHeight="1">
      <c r="B44" s="8" t="s">
        <v>1116</v>
      </c>
      <c r="C44" s="984"/>
      <c r="D44" s="984"/>
      <c r="E44" s="984"/>
      <c r="F44" s="984"/>
      <c r="G44" s="984"/>
      <c r="H44" s="984"/>
      <c r="I44" s="159">
        <f t="shared" ref="I44:R44" si="5">I37/(1+$J$43)^MAX(0,(I33-$S$33))</f>
        <v>50098.40334638796</v>
      </c>
      <c r="J44" s="159">
        <f t="shared" si="5"/>
        <v>51635.579839410908</v>
      </c>
      <c r="K44" s="159">
        <f t="shared" si="5"/>
        <v>54591.121994632289</v>
      </c>
      <c r="L44" s="159">
        <f t="shared" si="5"/>
        <v>52126.533685793198</v>
      </c>
      <c r="M44" s="159">
        <f t="shared" si="5"/>
        <v>46708.857990964629</v>
      </c>
      <c r="N44" s="159">
        <f t="shared" si="5"/>
        <v>49033.033499738391</v>
      </c>
      <c r="O44" s="159">
        <f t="shared" si="5"/>
        <v>48558.772084133096</v>
      </c>
      <c r="P44" s="159">
        <f t="shared" si="5"/>
        <v>47299.966422008911</v>
      </c>
      <c r="Q44" s="159">
        <f t="shared" si="5"/>
        <v>47360.353745113935</v>
      </c>
      <c r="R44" s="159">
        <f t="shared" si="5"/>
        <v>47381.464760508374</v>
      </c>
      <c r="S44" s="1009">
        <f t="shared" ref="S44:AQ44" si="6">S37/(1+$J$43)^MAX(0,(S33-$S$33))</f>
        <v>47139.435900602482</v>
      </c>
      <c r="T44" s="159">
        <f t="shared" si="6"/>
        <v>46448.125729731546</v>
      </c>
      <c r="U44" s="159">
        <f t="shared" si="6"/>
        <v>46110.205927511044</v>
      </c>
      <c r="V44" s="159">
        <f t="shared" si="6"/>
        <v>45774.744562330547</v>
      </c>
      <c r="W44" s="159">
        <f t="shared" si="6"/>
        <v>45441.72374854784</v>
      </c>
      <c r="X44" s="159">
        <f t="shared" si="6"/>
        <v>45020.572642184103</v>
      </c>
      <c r="Y44" s="159">
        <f t="shared" si="6"/>
        <v>44815.528501235145</v>
      </c>
      <c r="Z44" s="159">
        <f t="shared" si="6"/>
        <v>44611.418224456953</v>
      </c>
      <c r="AA44" s="159">
        <f t="shared" si="6"/>
        <v>44408.23755860782</v>
      </c>
      <c r="AB44" s="159">
        <f t="shared" si="6"/>
        <v>44205.982269817243</v>
      </c>
      <c r="AC44" s="159">
        <f t="shared" si="6"/>
        <v>44004.648143497703</v>
      </c>
      <c r="AD44" s="159">
        <f t="shared" si="6"/>
        <v>43804.230984256814</v>
      </c>
      <c r="AE44" s="159">
        <f t="shared" si="6"/>
        <v>43604.726615809923</v>
      </c>
      <c r="AF44" s="159">
        <f t="shared" si="6"/>
        <v>43406.130880893048</v>
      </c>
      <c r="AG44" s="159">
        <f t="shared" si="6"/>
        <v>43208.439641176315</v>
      </c>
      <c r="AH44" s="159">
        <f t="shared" si="6"/>
        <v>42976.133264604861</v>
      </c>
      <c r="AI44" s="159">
        <f t="shared" si="6"/>
        <v>42756.346882720165</v>
      </c>
      <c r="AJ44" s="159">
        <f t="shared" si="6"/>
        <v>42537.684521308984</v>
      </c>
      <c r="AK44" s="159">
        <f t="shared" si="6"/>
        <v>42320.140431962289</v>
      </c>
      <c r="AL44" s="159">
        <f t="shared" si="6"/>
        <v>42103.708895669231</v>
      </c>
      <c r="AM44" s="159">
        <f t="shared" si="6"/>
        <v>41888.384222666908</v>
      </c>
      <c r="AN44" s="159">
        <f t="shared" si="6"/>
        <v>41674.160752290649</v>
      </c>
      <c r="AO44" s="159">
        <f t="shared" si="6"/>
        <v>41461.03285282533</v>
      </c>
      <c r="AP44" s="159">
        <f t="shared" si="6"/>
        <v>41248.994921357218</v>
      </c>
      <c r="AQ44" s="159">
        <f t="shared" si="6"/>
        <v>41793.614290946978</v>
      </c>
      <c r="AS44" s="7">
        <f>ROW()</f>
        <v>44</v>
      </c>
    </row>
    <row r="45" spans="2:45" ht="13.95" customHeight="1">
      <c r="B45" s="291" t="str">
        <f>CONCATENATE("Applies accumulated compound mpg change from Cell J",AS43, " to base-case fuel use data in Row ",AS37, ".")</f>
        <v>Applies accumulated compound mpg change from Cell J43 to base-case fuel use data in Row 37.</v>
      </c>
      <c r="C45" s="986"/>
      <c r="D45" s="986"/>
      <c r="E45" s="986"/>
      <c r="F45" s="986"/>
      <c r="G45" s="986"/>
      <c r="H45" s="986"/>
      <c r="I45" s="159"/>
      <c r="J45" s="159"/>
      <c r="K45" s="159"/>
      <c r="L45" s="159"/>
      <c r="M45" s="159"/>
      <c r="N45" s="159"/>
      <c r="O45" s="159"/>
      <c r="P45" s="159"/>
      <c r="Q45" s="159"/>
      <c r="R45" s="159"/>
      <c r="S45" s="159"/>
      <c r="T45" s="159"/>
      <c r="U45" s="159"/>
      <c r="V45" s="159"/>
      <c r="W45" s="159"/>
      <c r="X45" s="159"/>
      <c r="Y45" s="159"/>
      <c r="Z45" s="159"/>
      <c r="AA45" s="159"/>
      <c r="AB45" s="159"/>
      <c r="AC45" s="159"/>
      <c r="AD45" s="159"/>
      <c r="AE45" s="159"/>
      <c r="AF45" s="159"/>
      <c r="AG45" s="159"/>
      <c r="AH45" s="159"/>
      <c r="AI45" s="159"/>
      <c r="AJ45" s="159"/>
      <c r="AK45" s="159"/>
      <c r="AL45" s="159"/>
      <c r="AM45" s="159"/>
      <c r="AN45" s="159"/>
      <c r="AO45" s="159"/>
      <c r="AP45" s="159"/>
      <c r="AQ45" s="159"/>
      <c r="AS45" s="555">
        <f>ROW()</f>
        <v>45</v>
      </c>
    </row>
    <row r="46" spans="2:45" s="14" customFormat="1" ht="13.95" customHeight="1">
      <c r="B46" s="14" t="s">
        <v>883</v>
      </c>
      <c r="I46" s="129">
        <f>I44*$K$31/Parameters!$I$18</f>
        <v>510.21499999999997</v>
      </c>
      <c r="J46" s="129">
        <f>J44*$K$31/Parameters!$I$18</f>
        <v>525.87</v>
      </c>
      <c r="K46" s="129">
        <f>K44*$K$31/Parameters!$I$18</f>
        <v>555.97</v>
      </c>
      <c r="L46" s="129">
        <f>L44*$K$31/Parameters!$I$18</f>
        <v>530.87</v>
      </c>
      <c r="M46" s="129">
        <f>M44*$K$31/Parameters!$I$18</f>
        <v>475.69499999999994</v>
      </c>
      <c r="N46" s="129">
        <f>N44*$K$31/Parameters!$I$18</f>
        <v>499.36499999999995</v>
      </c>
      <c r="O46" s="129">
        <f>O44*$K$31/Parameters!$I$18</f>
        <v>494.53499999999991</v>
      </c>
      <c r="P46" s="129">
        <f>P44*$K$31/Parameters!$I$18</f>
        <v>481.71499999999997</v>
      </c>
      <c r="Q46" s="129">
        <f>Q44*$K$31/Parameters!$I$18</f>
        <v>482.33000000000004</v>
      </c>
      <c r="R46" s="129">
        <f>R44*$K$31/Parameters!$I$18</f>
        <v>482.54500000000002</v>
      </c>
      <c r="S46" s="25">
        <f>S44*$K$31/Parameters!$I$18</f>
        <v>480.08011596161901</v>
      </c>
      <c r="T46" s="278">
        <f>T44*$K$31/Parameters!$I$18</f>
        <v>473.03963572131721</v>
      </c>
      <c r="U46" s="129">
        <f>U44*$K$31/Parameters!$I$18</f>
        <v>469.59817371108403</v>
      </c>
      <c r="V46" s="129">
        <f>V44*$K$31/Parameters!$I$18</f>
        <v>466.18174905475001</v>
      </c>
      <c r="W46" s="129">
        <f>W44*$K$31/Parameters!$I$18</f>
        <v>462.79017960034355</v>
      </c>
      <c r="X46" s="129">
        <f>X44*$K$31/Parameters!$I$18</f>
        <v>458.50106862313982</v>
      </c>
      <c r="Y46" s="129">
        <f>Y44*$K$31/Parameters!$I$18</f>
        <v>456.41284645663808</v>
      </c>
      <c r="Z46" s="129">
        <f>Z44*$K$31/Parameters!$I$18</f>
        <v>454.33413500257547</v>
      </c>
      <c r="AA46" s="129">
        <f>AA44*$K$31/Parameters!$I$18</f>
        <v>452.26489094484657</v>
      </c>
      <c r="AB46" s="129">
        <f>AB44*$K$31/Parameters!$I$18</f>
        <v>450.20507116462755</v>
      </c>
      <c r="AC46" s="129">
        <f>AC44*$K$31/Parameters!$I$18</f>
        <v>448.15463273947699</v>
      </c>
      <c r="AD46" s="129">
        <f>AD44*$K$31/Parameters!$I$18</f>
        <v>446.11353294244202</v>
      </c>
      <c r="AE46" s="129">
        <f>AE44*$K$31/Parameters!$I$18</f>
        <v>444.08172924116752</v>
      </c>
      <c r="AF46" s="129">
        <f>AF44*$K$31/Parameters!$I$18</f>
        <v>442.05917929701013</v>
      </c>
      <c r="AG46" s="129">
        <f>AG44*$K$31/Parameters!$I$18</f>
        <v>440.04584096415596</v>
      </c>
      <c r="AH46" s="129">
        <f>AH44*$K$31/Parameters!$I$18</f>
        <v>437.67997319182604</v>
      </c>
      <c r="AI46" s="129">
        <f>AI44*$K$31/Parameters!$I$18</f>
        <v>435.44161225928372</v>
      </c>
      <c r="AJ46" s="129">
        <f>AJ44*$K$31/Parameters!$I$18</f>
        <v>433.21469863978115</v>
      </c>
      <c r="AK46" s="129">
        <f>AK44*$K$31/Parameters!$I$18</f>
        <v>430.99917379004506</v>
      </c>
      <c r="AL46" s="129">
        <f>AL44*$K$31/Parameters!$I$18</f>
        <v>428.79497946620091</v>
      </c>
      <c r="AM46" s="129">
        <f>AM44*$K$31/Parameters!$I$18</f>
        <v>426.60205772224276</v>
      </c>
      <c r="AN46" s="129">
        <f>AN44*$K$31/Parameters!$I$18</f>
        <v>424.42035090850845</v>
      </c>
      <c r="AO46" s="129">
        <f>AO44*$K$31/Parameters!$I$18</f>
        <v>422.2498016701656</v>
      </c>
      <c r="AP46" s="129">
        <f>AP44*$K$31/Parameters!$I$18</f>
        <v>420.09035294570236</v>
      </c>
      <c r="AQ46" s="129">
        <f>AQ44*$K$31/Parameters!$I$18</f>
        <v>425.63689641005158</v>
      </c>
      <c r="AS46" s="555">
        <f>ROW()</f>
        <v>46</v>
      </c>
    </row>
    <row r="47" spans="2:45" ht="13.95" customHeight="1">
      <c r="B47" s="291" t="str">
        <f>CONCATENATE("Row ",AS44, " multiplied by lb CO2 per gallon of diesel in Cell K",AS31, " and divided by pounds per metric ton in 'Parameters' tab.")</f>
        <v>Row 44 multiplied by lb CO2 per gallon of diesel in Cell K31 and divided by pounds per metric ton in 'Parameters' tab.</v>
      </c>
      <c r="C47" s="987"/>
      <c r="D47" s="987"/>
      <c r="E47" s="987"/>
      <c r="F47" s="987"/>
      <c r="G47" s="987"/>
      <c r="H47" s="987"/>
      <c r="I47" s="987"/>
      <c r="J47" s="987"/>
      <c r="K47" s="987"/>
      <c r="L47" s="987"/>
      <c r="M47" s="987"/>
      <c r="N47" s="987"/>
      <c r="O47" s="987"/>
      <c r="P47" s="987"/>
      <c r="Q47" s="987"/>
      <c r="R47" s="987"/>
      <c r="S47" s="987"/>
      <c r="AS47" s="7">
        <f>ROW()</f>
        <v>47</v>
      </c>
    </row>
    <row r="48" spans="2:45" ht="13.95" customHeight="1">
      <c r="B48" s="14" t="s">
        <v>665</v>
      </c>
      <c r="H48" s="29"/>
      <c r="I48" s="29"/>
      <c r="J48" s="29"/>
      <c r="K48" s="269">
        <f>Energy!I116</f>
        <v>2.2669999999999999</v>
      </c>
      <c r="L48" s="269">
        <f>Energy!J116</f>
        <v>3.15</v>
      </c>
      <c r="M48" s="269">
        <f>Energy!K116</f>
        <v>1.8340000000000001</v>
      </c>
      <c r="N48" s="269">
        <f>Energy!L116</f>
        <v>2.3140000000000001</v>
      </c>
      <c r="O48" s="269">
        <f>Energy!M116</f>
        <v>3.117</v>
      </c>
      <c r="P48" s="269">
        <f>Energy!N116</f>
        <v>3.202</v>
      </c>
      <c r="Q48" s="269">
        <f>Energy!O116</f>
        <v>3.1219999999999999</v>
      </c>
      <c r="R48" s="270">
        <f>Energy!P116</f>
        <v>2.923</v>
      </c>
      <c r="S48" s="270">
        <f>Energy!Q116</f>
        <v>1.819</v>
      </c>
      <c r="T48" s="272">
        <f>S48*IF(T$14&gt;=2040,AEO!$R28,IF(T$14&gt;=2031,AEO!$Q28,IF(T$14&gt;=2021,AEO!$P28,AEO!$O28)))*Parameters!S71</f>
        <v>1.9112355003261068</v>
      </c>
      <c r="U48" s="270">
        <f>T48*IF(U$14&gt;=2040,AEO!$R28,IF(U$14&gt;=2031,AEO!$Q28,IF(U$14&gt;=2021,AEO!$P28,AEO!$O28)))*Parameters!T71</f>
        <v>2.0081479591571103</v>
      </c>
      <c r="V48" s="270">
        <f>U48*IF(V$14&gt;=2040,AEO!$R28,IF(V$14&gt;=2031,AEO!$Q28,IF(V$14&gt;=2021,AEO!$P28,AEO!$O28)))*Parameters!U71</f>
        <v>2.1099745296583232</v>
      </c>
      <c r="W48" s="270">
        <f>V48*IF(W$14&gt;=2040,AEO!$R28,IF(W$14&gt;=2031,AEO!$Q28,IF(W$14&gt;=2021,AEO!$P28,AEO!$O28)))*Parameters!V71</f>
        <v>2.2169643902511642</v>
      </c>
      <c r="X48" s="270">
        <f>W48*IF(X$14&gt;=2040,AEO!$R28,IF(X$14&gt;=2031,AEO!$Q28,IF(X$14&gt;=2021,AEO!$P28,AEO!$O28)))*Parameters!W71</f>
        <v>2.3326184463601281</v>
      </c>
      <c r="Y48" s="270">
        <f>X48*IF(Y$14&gt;=2040,AEO!$R28,IF(Y$14&gt;=2031,AEO!$Q28,IF(Y$14&gt;=2021,AEO!$P28,AEO!$O28)))*Parameters!X71</f>
        <v>2.4311184203807668</v>
      </c>
      <c r="Z48" s="270">
        <f>Y48*IF(Z$14&gt;=2040,AEO!$R28,IF(Z$14&gt;=2031,AEO!$Q28,IF(Z$14&gt;=2021,AEO!$P28,AEO!$O28)))*Parameters!Y71</f>
        <v>2.533777773702039</v>
      </c>
      <c r="AA48" s="270">
        <f>Z48*IF(AA$14&gt;=2040,AEO!$R28,IF(AA$14&gt;=2031,AEO!$Q28,IF(AA$14&gt;=2021,AEO!$P28,AEO!$O28)))*Parameters!Z71</f>
        <v>2.6407721453161228</v>
      </c>
      <c r="AB48" s="270">
        <f>AA48*IF(AB$14&gt;=2040,AEO!$R28,IF(AB$14&gt;=2031,AEO!$Q28,IF(AB$14&gt;=2021,AEO!$P28,AEO!$O28)))*Parameters!AA71</f>
        <v>2.7522845909601821</v>
      </c>
      <c r="AC48" s="270">
        <f>AB48*IF(AC$14&gt;=2040,AEO!$R28,IF(AC$14&gt;=2031,AEO!$Q28,IF(AC$14&gt;=2021,AEO!$P28,AEO!$O28)))*Parameters!AB71</f>
        <v>2.8685058963048311</v>
      </c>
      <c r="AD48" s="270">
        <f>AC48*IF(AD$14&gt;=2040,AEO!$R28,IF(AD$14&gt;=2031,AEO!$Q28,IF(AD$14&gt;=2021,AEO!$P28,AEO!$O28)))*Parameters!AC71</f>
        <v>2.9896349033676746</v>
      </c>
      <c r="AE48" s="270">
        <f>AD48*IF(AE$14&gt;=2040,AEO!$R28,IF(AE$14&gt;=2031,AEO!$Q28,IF(AE$14&gt;=2021,AEO!$P28,AEO!$O28)))*Parameters!AD71</f>
        <v>3.1158788507103798</v>
      </c>
      <c r="AF48" s="270">
        <f>AE48*IF(AF$14&gt;=2040,AEO!$R28,IF(AF$14&gt;=2031,AEO!$Q28,IF(AF$14&gt;=2021,AEO!$P28,AEO!$O28)))*Parameters!AE71</f>
        <v>3.2474537280013256</v>
      </c>
      <c r="AG48" s="270">
        <f>AF48*IF(AG$14&gt;=2040,AEO!$R28,IF(AG$14&gt;=2031,AEO!$Q28,IF(AG$14&gt;=2021,AEO!$P28,AEO!$O28)))*Parameters!AF71</f>
        <v>3.3845846455504409</v>
      </c>
      <c r="AH48" s="270">
        <f>AG48*IF(AH$14&gt;=2040,AEO!$R28,IF(AH$14&gt;=2031,AEO!$Q28,IF(AH$14&gt;=2021,AEO!$P28,AEO!$O28)))*Parameters!AG71</f>
        <v>3.5304189398721961</v>
      </c>
      <c r="AI48" s="270">
        <f>AH48*IF(AI$14&gt;=2040,AEO!$R28,IF(AI$14&gt;=2031,AEO!$Q28,IF(AI$14&gt;=2021,AEO!$P28,AEO!$O28)))*Parameters!AH71</f>
        <v>3.6805956580546528</v>
      </c>
      <c r="AJ48" s="270">
        <f>AI48*IF(AJ$14&gt;=2040,AEO!$R28,IF(AJ$14&gt;=2031,AEO!$Q28,IF(AJ$14&gt;=2021,AEO!$P28,AEO!$O28)))*Parameters!AI71</f>
        <v>3.8371605831519719</v>
      </c>
      <c r="AK48" s="270">
        <f>AJ48*IF(AK$14&gt;=2040,AEO!$R28,IF(AK$14&gt;=2031,AEO!$Q28,IF(AK$14&gt;=2021,AEO!$P28,AEO!$O28)))*Parameters!AJ71</f>
        <v>4.000385456270771</v>
      </c>
      <c r="AL48" s="270">
        <f>AK48*IF(AL$14&gt;=2040,AEO!$R28,IF(AL$14&gt;=2031,AEO!$Q28,IF(AL$14&gt;=2021,AEO!$P28,AEO!$O28)))*Parameters!AK71</f>
        <v>4.1705535778221812</v>
      </c>
      <c r="AM48" s="270">
        <f>AL48*IF(AM$14&gt;=2040,AEO!$R28,IF(AM$14&gt;=2031,AEO!$Q28,IF(AM$14&gt;=2021,AEO!$P28,AEO!$O28)))*Parameters!AL71</f>
        <v>4.3479602992307491</v>
      </c>
      <c r="AN48" s="270">
        <f>AM48*IF(AN$14&gt;=2040,AEO!$R28,IF(AN$14&gt;=2031,AEO!$Q28,IF(AN$14&gt;=2021,AEO!$P28,AEO!$O28)))*Parameters!AM71</f>
        <v>4.5329135355596142</v>
      </c>
      <c r="AO48" s="270">
        <f>AN48*IF(AO$14&gt;=2040,AEO!$R28,IF(AO$14&gt;=2031,AEO!$Q28,IF(AO$14&gt;=2021,AEO!$P28,AEO!$O28)))*Parameters!AN71</f>
        <v>4.7257342999417071</v>
      </c>
      <c r="AP48" s="270">
        <f>AO48*IF(AP$14&gt;=2040,AEO!$R28,IF(AP$14&gt;=2031,AEO!$Q28,IF(AP$14&gt;=2021,AEO!$P28,AEO!$O28)))*Parameters!AO71</f>
        <v>4.9267572607445418</v>
      </c>
      <c r="AQ48" s="270">
        <f>AP48*IF(AQ$14&gt;=2040,AEO!$R28,IF(AQ$14&gt;=2031,AEO!$Q28,IF(AQ$14&gt;=2021,AEO!$P28,AEO!$O28)))*Parameters!AP71</f>
        <v>5.1363313224356419</v>
      </c>
      <c r="AR48" s="270"/>
      <c r="AS48" s="7">
        <f>ROW()</f>
        <v>48</v>
      </c>
    </row>
    <row r="49" spans="2:45" ht="13.95" customHeight="1">
      <c r="B49" s="291" t="str">
        <f>CONCATENATE("Historical values are from 'Energy' tab, Row ",Energy!R116,". Future values escalate and inflate year-",S14," value by AEO inflation rates in 'AEO' tab, Rows ",AEO!V28," and AEO distillate price escalation rates in 'Parameters' tab, Row ",Parameters!B71, ".")</f>
        <v>Historical values are from 'Energy' tab, Row 116. Future values escalate and inflate year-2015 value by AEO inflation rates in 'AEO' tab, Rows 28 and AEO distillate price escalation rates in 'Parameters' tab, Row 71.</v>
      </c>
      <c r="K49" s="269"/>
      <c r="L49" s="269"/>
      <c r="M49" s="269"/>
      <c r="N49" s="270"/>
      <c r="O49" s="270"/>
      <c r="P49" s="270"/>
      <c r="Q49" s="270"/>
      <c r="R49" s="270"/>
      <c r="S49" s="270"/>
      <c r="T49" s="272"/>
      <c r="U49" s="269"/>
      <c r="V49" s="269"/>
      <c r="W49" s="269"/>
      <c r="X49" s="269"/>
      <c r="Y49" s="269"/>
      <c r="Z49" s="269"/>
      <c r="AA49" s="269"/>
      <c r="AB49" s="269"/>
      <c r="AC49" s="269"/>
      <c r="AD49" s="269"/>
      <c r="AE49" s="269"/>
      <c r="AF49" s="269"/>
      <c r="AG49" s="269"/>
      <c r="AH49" s="269"/>
      <c r="AI49" s="269"/>
      <c r="AJ49" s="269"/>
      <c r="AK49" s="269"/>
      <c r="AL49" s="269"/>
      <c r="AM49" s="269"/>
      <c r="AN49" s="269"/>
      <c r="AO49" s="269"/>
      <c r="AP49" s="269"/>
      <c r="AQ49" s="269"/>
      <c r="AS49" s="7">
        <f>ROW()</f>
        <v>49</v>
      </c>
    </row>
    <row r="50" spans="2:45" ht="13.95" customHeight="1">
      <c r="B50" s="14" t="s">
        <v>664</v>
      </c>
      <c r="K50" s="270">
        <f t="shared" ref="K50:P50" si="7">$Q$50-0.01*($Q$14-K14)</f>
        <v>0.49379999999999996</v>
      </c>
      <c r="L50" s="270">
        <f t="shared" si="7"/>
        <v>0.50379999999999991</v>
      </c>
      <c r="M50" s="270">
        <f t="shared" si="7"/>
        <v>0.51379999999999992</v>
      </c>
      <c r="N50" s="270">
        <f t="shared" si="7"/>
        <v>0.52379999999999993</v>
      </c>
      <c r="O50" s="270">
        <f t="shared" si="7"/>
        <v>0.53379999999999994</v>
      </c>
      <c r="P50" s="270">
        <f t="shared" si="7"/>
        <v>0.54379999999999995</v>
      </c>
      <c r="Q50" s="290">
        <v>0.55379999999999996</v>
      </c>
      <c r="R50" s="290">
        <v>0.54100000000000004</v>
      </c>
      <c r="S50" s="290">
        <v>0.53520000000000001</v>
      </c>
      <c r="T50" s="272">
        <f>S50</f>
        <v>0.53520000000000001</v>
      </c>
      <c r="U50" s="270">
        <f>T50*IF(U$14&gt;=2040,AEO!$R28,IF(U$14&gt;=2031,AEO!$Q28,IF(U$14&gt;=2021,AEO!$P28,AEO!$O28)))</f>
        <v>0.54569843816850483</v>
      </c>
      <c r="V50" s="270">
        <f>U50*IF(V$14&gt;=2040,AEO!$R28,IF(V$14&gt;=2031,AEO!$Q28,IF(V$14&gt;=2021,AEO!$P28,AEO!$O28)))</f>
        <v>0.55640281281678905</v>
      </c>
      <c r="W50" s="270">
        <f>V50*IF(W$14&gt;=2040,AEO!$R28,IF(W$14&gt;=2031,AEO!$Q28,IF(W$14&gt;=2021,AEO!$P28,AEO!$O28)))</f>
        <v>0.5673171635775125</v>
      </c>
      <c r="X50" s="270">
        <f>W50*IF(X$14&gt;=2040,AEO!$R28,IF(X$14&gt;=2031,AEO!$Q28,IF(X$14&gt;=2021,AEO!$P28,AEO!$O28)))</f>
        <v>0.57924996029194531</v>
      </c>
      <c r="Y50" s="270">
        <f>X50*IF(Y$14&gt;=2040,AEO!$R28,IF(Y$14&gt;=2031,AEO!$Q28,IF(Y$14&gt;=2021,AEO!$P28,AEO!$O28)))</f>
        <v>0.59143374824473594</v>
      </c>
      <c r="Z50" s="270">
        <f>Y50*IF(Z$14&gt;=2040,AEO!$R28,IF(Z$14&gt;=2031,AEO!$Q28,IF(Z$14&gt;=2021,AEO!$P28,AEO!$O28)))</f>
        <v>0.60387380671812141</v>
      </c>
      <c r="AA50" s="270">
        <f>Z50*IF(AA$14&gt;=2040,AEO!$R28,IF(AA$14&gt;=2031,AEO!$Q28,IF(AA$14&gt;=2021,AEO!$P28,AEO!$O28)))</f>
        <v>0.61657552603734223</v>
      </c>
      <c r="AB50" s="270">
        <f>AA50*IF(AB$14&gt;=2040,AEO!$R28,IF(AB$14&gt;=2031,AEO!$Q28,IF(AB$14&gt;=2021,AEO!$P28,AEO!$O28)))</f>
        <v>0.62954440990629079</v>
      </c>
      <c r="AC50" s="270">
        <f>AB50*IF(AC$14&gt;=2040,AEO!$R28,IF(AC$14&gt;=2031,AEO!$Q28,IF(AC$14&gt;=2021,AEO!$P28,AEO!$O28)))</f>
        <v>0.64278607779228791</v>
      </c>
      <c r="AD50" s="270">
        <f>AC50*IF(AD$14&gt;=2040,AEO!$R28,IF(AD$14&gt;=2031,AEO!$Q28,IF(AD$14&gt;=2021,AEO!$P28,AEO!$O28)))</f>
        <v>0.65630626736101927</v>
      </c>
      <c r="AE50" s="270">
        <f>AD50*IF(AE$14&gt;=2040,AEO!$R28,IF(AE$14&gt;=2031,AEO!$Q28,IF(AE$14&gt;=2021,AEO!$P28,AEO!$O28)))</f>
        <v>0.67011083696268825</v>
      </c>
      <c r="AF50" s="270">
        <f>AE50*IF(AF$14&gt;=2040,AEO!$R28,IF(AF$14&gt;=2031,AEO!$Q28,IF(AF$14&gt;=2021,AEO!$P28,AEO!$O28)))</f>
        <v>0.68420576817046164</v>
      </c>
      <c r="AG50" s="270">
        <f>AF50*IF(AG$14&gt;=2040,AEO!$R28,IF(AG$14&gt;=2031,AEO!$Q28,IF(AG$14&gt;=2021,AEO!$P28,AEO!$O28)))</f>
        <v>0.69859716837230823</v>
      </c>
      <c r="AH50" s="270">
        <f>AG50*IF(AH$14&gt;=2040,AEO!$R28,IF(AH$14&gt;=2031,AEO!$Q28,IF(AH$14&gt;=2021,AEO!$P28,AEO!$O28)))</f>
        <v>0.71388024985875342</v>
      </c>
      <c r="AI50" s="270">
        <f>AH50*IF(AI$14&gt;=2040,AEO!$R28,IF(AI$14&gt;=2031,AEO!$Q28,IF(AI$14&gt;=2021,AEO!$P28,AEO!$O28)))</f>
        <v>0.72949767650188668</v>
      </c>
      <c r="AJ50" s="270">
        <f>AI50*IF(AJ$14&gt;=2040,AEO!$R28,IF(AJ$14&gt;=2031,AEO!$Q28,IF(AJ$14&gt;=2021,AEO!$P28,AEO!$O28)))</f>
        <v>0.74545676270907424</v>
      </c>
      <c r="AK50" s="270">
        <f>AJ50*IF(AK$14&gt;=2040,AEO!$R28,IF(AK$14&gt;=2031,AEO!$Q28,IF(AK$14&gt;=2021,AEO!$P28,AEO!$O28)))</f>
        <v>0.76176498290362382</v>
      </c>
      <c r="AL50" s="270">
        <f>AK50*IF(AL$14&gt;=2040,AEO!$R28,IF(AL$14&gt;=2031,AEO!$Q28,IF(AL$14&gt;=2021,AEO!$P28,AEO!$O28)))</f>
        <v>0.77842997502542421</v>
      </c>
      <c r="AM50" s="270">
        <f>AL50*IF(AM$14&gt;=2040,AEO!$R28,IF(AM$14&gt;=2031,AEO!$Q28,IF(AM$14&gt;=2021,AEO!$P28,AEO!$O28)))</f>
        <v>0.79545954410816744</v>
      </c>
      <c r="AN50" s="270">
        <f>AM50*IF(AN$14&gt;=2040,AEO!$R28,IF(AN$14&gt;=2031,AEO!$Q28,IF(AN$14&gt;=2021,AEO!$P28,AEO!$O28)))</f>
        <v>0.81286166593482889</v>
      </c>
      <c r="AO50" s="270">
        <f>AN50*IF(AO$14&gt;=2040,AEO!$R28,IF(AO$14&gt;=2031,AEO!$Q28,IF(AO$14&gt;=2021,AEO!$P28,AEO!$O28)))</f>
        <v>0.83064449077311808</v>
      </c>
      <c r="AP50" s="270">
        <f>AO50*IF(AP$14&gt;=2040,AEO!$R28,IF(AP$14&gt;=2031,AEO!$Q28,IF(AP$14&gt;=2021,AEO!$P28,AEO!$O28)))</f>
        <v>0.84881634719264876</v>
      </c>
      <c r="AQ50" s="270">
        <f>AP50*IF(AQ$14&gt;=2040,AEO!$R28,IF(AQ$14&gt;=2031,AEO!$Q28,IF(AQ$14&gt;=2021,AEO!$P28,AEO!$O28)))</f>
        <v>0.86738574596561724</v>
      </c>
      <c r="AS50" s="7">
        <f>ROW()</f>
        <v>50</v>
      </c>
    </row>
    <row r="51" spans="2:45" ht="13.95" customHeight="1">
      <c r="B51" s="1145" t="s">
        <v>1104</v>
      </c>
      <c r="C51" s="1155"/>
      <c r="D51" s="1155"/>
      <c r="E51" s="1155"/>
      <c r="F51" s="1155"/>
      <c r="G51" s="1155"/>
      <c r="H51" s="1155"/>
      <c r="I51" s="1155"/>
      <c r="J51" s="1155"/>
      <c r="K51" s="1155"/>
      <c r="L51" s="1155"/>
      <c r="M51" s="1155"/>
      <c r="N51" s="1155"/>
      <c r="O51" s="1155"/>
      <c r="P51" s="1155"/>
      <c r="Q51" s="291"/>
      <c r="R51" s="291"/>
      <c r="S51" s="291"/>
      <c r="T51" s="272"/>
      <c r="U51" s="269"/>
      <c r="V51" s="269"/>
      <c r="W51" s="269"/>
      <c r="X51" s="269"/>
      <c r="Y51" s="269"/>
      <c r="Z51" s="269"/>
      <c r="AA51" s="269"/>
      <c r="AB51" s="269"/>
      <c r="AC51" s="269"/>
      <c r="AD51" s="269"/>
      <c r="AE51" s="269"/>
      <c r="AF51" s="269"/>
      <c r="AG51" s="269"/>
      <c r="AH51" s="269"/>
      <c r="AI51" s="269"/>
      <c r="AJ51" s="269"/>
      <c r="AK51" s="269"/>
      <c r="AL51" s="269"/>
      <c r="AM51" s="269"/>
      <c r="AN51" s="269"/>
      <c r="AO51" s="269"/>
      <c r="AP51" s="269"/>
      <c r="AQ51" s="269"/>
      <c r="AS51" s="7">
        <f>ROW()</f>
        <v>51</v>
      </c>
    </row>
    <row r="52" spans="2:45" ht="13.95" customHeight="1">
      <c r="B52" s="1155"/>
      <c r="C52" s="1155"/>
      <c r="D52" s="1155"/>
      <c r="E52" s="1155"/>
      <c r="F52" s="1155"/>
      <c r="G52" s="1155"/>
      <c r="H52" s="1155"/>
      <c r="I52" s="1155"/>
      <c r="J52" s="1155"/>
      <c r="K52" s="1155"/>
      <c r="L52" s="1155"/>
      <c r="M52" s="1155"/>
      <c r="N52" s="1155"/>
      <c r="O52" s="1155"/>
      <c r="P52" s="1155"/>
      <c r="Q52" s="291"/>
      <c r="R52" s="291"/>
      <c r="S52" s="291"/>
      <c r="T52" s="272"/>
      <c r="U52" s="269"/>
      <c r="V52" s="269"/>
      <c r="W52" s="269"/>
      <c r="X52" s="269"/>
      <c r="Y52" s="269"/>
      <c r="Z52" s="269"/>
      <c r="AA52" s="269"/>
      <c r="AB52" s="269"/>
      <c r="AC52" s="269"/>
      <c r="AD52" s="269"/>
      <c r="AE52" s="269"/>
      <c r="AF52" s="269"/>
      <c r="AG52" s="269"/>
      <c r="AH52" s="269"/>
      <c r="AI52" s="269"/>
      <c r="AJ52" s="269"/>
      <c r="AK52" s="269"/>
      <c r="AL52" s="269"/>
      <c r="AM52" s="269"/>
      <c r="AN52" s="269"/>
      <c r="AO52" s="269"/>
      <c r="AP52" s="269"/>
      <c r="AQ52" s="269"/>
      <c r="AS52" s="7">
        <f>ROW()</f>
        <v>52</v>
      </c>
    </row>
    <row r="53" spans="2:45" ht="13.95" customHeight="1">
      <c r="B53" s="14" t="s">
        <v>666</v>
      </c>
      <c r="C53" s="172"/>
      <c r="D53" s="172"/>
      <c r="E53" s="172"/>
      <c r="F53" s="172"/>
      <c r="G53" s="172"/>
      <c r="H53" s="172"/>
      <c r="I53" s="172"/>
      <c r="J53" s="172"/>
      <c r="K53" s="269">
        <f t="shared" ref="K53:AP53" si="8">K48+K50</f>
        <v>2.7607999999999997</v>
      </c>
      <c r="L53" s="269">
        <f t="shared" si="8"/>
        <v>3.6537999999999999</v>
      </c>
      <c r="M53" s="269">
        <f t="shared" si="8"/>
        <v>2.3477999999999999</v>
      </c>
      <c r="N53" s="269">
        <f t="shared" si="8"/>
        <v>2.8378000000000001</v>
      </c>
      <c r="O53" s="269">
        <f t="shared" si="8"/>
        <v>3.6507999999999998</v>
      </c>
      <c r="P53" s="269">
        <f t="shared" si="8"/>
        <v>3.7458</v>
      </c>
      <c r="Q53" s="269">
        <f t="shared" si="8"/>
        <v>3.6757999999999997</v>
      </c>
      <c r="R53" s="269">
        <f t="shared" si="8"/>
        <v>3.464</v>
      </c>
      <c r="S53" s="269">
        <f t="shared" si="8"/>
        <v>2.3542000000000001</v>
      </c>
      <c r="T53" s="272">
        <f t="shared" si="8"/>
        <v>2.4464355003261069</v>
      </c>
      <c r="U53" s="269">
        <f t="shared" si="8"/>
        <v>2.5538463973256151</v>
      </c>
      <c r="V53" s="269">
        <f t="shared" si="8"/>
        <v>2.666377342475112</v>
      </c>
      <c r="W53" s="269">
        <f t="shared" si="8"/>
        <v>2.7842815538286767</v>
      </c>
      <c r="X53" s="269">
        <f t="shared" si="8"/>
        <v>2.9118684066520735</v>
      </c>
      <c r="Y53" s="269">
        <f t="shared" si="8"/>
        <v>3.0225521686255026</v>
      </c>
      <c r="Z53" s="269">
        <f t="shared" si="8"/>
        <v>3.1376515804201603</v>
      </c>
      <c r="AA53" s="269">
        <f t="shared" si="8"/>
        <v>3.257347671353465</v>
      </c>
      <c r="AB53" s="269">
        <f t="shared" si="8"/>
        <v>3.3818290008664729</v>
      </c>
      <c r="AC53" s="269">
        <f t="shared" si="8"/>
        <v>3.5112919740971189</v>
      </c>
      <c r="AD53" s="269">
        <f t="shared" si="8"/>
        <v>3.6459411707286939</v>
      </c>
      <c r="AE53" s="269">
        <f t="shared" si="8"/>
        <v>3.7859896876730681</v>
      </c>
      <c r="AF53" s="269">
        <f t="shared" si="8"/>
        <v>3.931659496171787</v>
      </c>
      <c r="AG53" s="269">
        <f t="shared" si="8"/>
        <v>4.0831818139227494</v>
      </c>
      <c r="AH53" s="269">
        <f t="shared" si="8"/>
        <v>4.2442991897309499</v>
      </c>
      <c r="AI53" s="269">
        <f t="shared" si="8"/>
        <v>4.4100933345565396</v>
      </c>
      <c r="AJ53" s="269">
        <f t="shared" si="8"/>
        <v>4.5826173458610464</v>
      </c>
      <c r="AK53" s="269">
        <f t="shared" si="8"/>
        <v>4.7621504391743947</v>
      </c>
      <c r="AL53" s="269">
        <f t="shared" si="8"/>
        <v>4.9489835528476052</v>
      </c>
      <c r="AM53" s="269">
        <f t="shared" si="8"/>
        <v>5.1434198433389167</v>
      </c>
      <c r="AN53" s="269">
        <f t="shared" si="8"/>
        <v>5.3457752014944431</v>
      </c>
      <c r="AO53" s="269">
        <f t="shared" si="8"/>
        <v>5.5563787907148257</v>
      </c>
      <c r="AP53" s="269">
        <f t="shared" si="8"/>
        <v>5.7755736079371909</v>
      </c>
      <c r="AQ53" s="269">
        <f t="shared" ref="AQ53" si="9">AQ48+AQ50</f>
        <v>6.0037170684012588</v>
      </c>
      <c r="AS53" s="7">
        <f>ROW()</f>
        <v>53</v>
      </c>
    </row>
    <row r="54" spans="2:45" ht="13.95" customHeight="1">
      <c r="B54" s="291" t="str">
        <f>CONCATENATE("Sum of Rows ",AS48," and ",AS50, ".")</f>
        <v>Sum of Rows 48 and 50.</v>
      </c>
      <c r="C54" s="172"/>
      <c r="D54" s="172"/>
      <c r="E54" s="172"/>
      <c r="F54" s="172"/>
      <c r="G54" s="172"/>
      <c r="H54" s="172"/>
      <c r="I54" s="172"/>
      <c r="J54" s="172"/>
      <c r="K54" s="269"/>
      <c r="L54" s="269"/>
      <c r="M54" s="269"/>
      <c r="N54" s="269"/>
      <c r="O54" s="269"/>
      <c r="P54" s="269"/>
      <c r="Q54" s="269"/>
      <c r="R54" s="269"/>
      <c r="S54" s="269"/>
      <c r="T54" s="272"/>
      <c r="U54" s="269"/>
      <c r="V54" s="269"/>
      <c r="W54" s="269"/>
      <c r="X54" s="269"/>
      <c r="Y54" s="269"/>
      <c r="Z54" s="269"/>
      <c r="AA54" s="269"/>
      <c r="AB54" s="269"/>
      <c r="AC54" s="269"/>
      <c r="AD54" s="269"/>
      <c r="AE54" s="269"/>
      <c r="AF54" s="269"/>
      <c r="AG54" s="269"/>
      <c r="AH54" s="269"/>
      <c r="AI54" s="269"/>
      <c r="AJ54" s="269"/>
      <c r="AK54" s="269"/>
      <c r="AL54" s="269"/>
      <c r="AM54" s="269"/>
      <c r="AN54" s="269"/>
      <c r="AO54" s="269"/>
      <c r="AP54" s="269"/>
      <c r="AQ54" s="269"/>
      <c r="AS54" s="7">
        <f>ROW()</f>
        <v>54</v>
      </c>
    </row>
    <row r="55" spans="2:45" ht="13.95" customHeight="1">
      <c r="B55" s="14" t="s">
        <v>1098</v>
      </c>
      <c r="C55" s="172"/>
      <c r="D55" s="172"/>
      <c r="E55" s="172"/>
      <c r="F55" s="172"/>
      <c r="G55" s="172"/>
      <c r="H55" s="172"/>
      <c r="I55" s="172"/>
      <c r="J55" s="172"/>
      <c r="K55" s="270">
        <f>K53/(AEO!$S$28)^(K14-$S$14)</f>
        <v>3.2623995650716364</v>
      </c>
      <c r="L55" s="270">
        <f>L53/(AEO!$S$28)^(L14-$S$14)</f>
        <v>4.2284792151172841</v>
      </c>
      <c r="M55" s="270">
        <f>M53/(AEO!$S$28)^(M14-$S$14)</f>
        <v>2.6609563559861784</v>
      </c>
      <c r="N55" s="270">
        <f>N53/(AEO!$S$28)^(N14-$S$14)</f>
        <v>3.1498919897822781</v>
      </c>
      <c r="O55" s="270">
        <f>O53/(AEO!$S$28)^(O14-$S$14)</f>
        <v>3.9686165941483726</v>
      </c>
      <c r="P55" s="270">
        <f>P53/(AEO!$S$28)^(P14-$S$14)</f>
        <v>3.987795802616608</v>
      </c>
      <c r="Q55" s="270">
        <f>Q53/(AEO!$S$28)^(Q14-$S$14)</f>
        <v>3.8324581798564719</v>
      </c>
      <c r="R55" s="270">
        <f>R53/(AEO!$S$28)^(R14-$S$14)</f>
        <v>3.5370456004190376</v>
      </c>
      <c r="S55" s="269">
        <f>S53/(AEO!$S$28)^(S14-$S$14)</f>
        <v>2.3542000000000001</v>
      </c>
      <c r="T55" s="272">
        <f>T53/(AEO!$S$28)^(T14-$S$14)</f>
        <v>2.3464333307964451</v>
      </c>
      <c r="U55" s="270">
        <f>U53/(AEO!$S$28)^(U14-$S$14)</f>
        <v>2.3988685250196089</v>
      </c>
      <c r="V55" s="270">
        <f>V53/(AEO!$S$28)^(V14-$S$14)</f>
        <v>2.4528472758646642</v>
      </c>
      <c r="W55" s="270">
        <f>W53/(AEO!$S$28)^(W14-$S$14)</f>
        <v>2.5084143262960445</v>
      </c>
      <c r="X55" s="270">
        <f>X53/(AEO!$S$28)^(X14-$S$14)</f>
        <v>2.5691833050016579</v>
      </c>
      <c r="Y55" s="270">
        <f>Y53/(AEO!$S$28)^(Y14-$S$14)</f>
        <v>2.6117666782518505</v>
      </c>
      <c r="Z55" s="270">
        <f>Z53/(AEO!$S$28)^(Z14-$S$14)</f>
        <v>2.6552322333434857</v>
      </c>
      <c r="AA55" s="270">
        <f>AA53/(AEO!$S$28)^(AA14-$S$14)</f>
        <v>2.699598234558962</v>
      </c>
      <c r="AB55" s="270">
        <f>AB53/(AEO!$S$28)^(AB14-$S$14)</f>
        <v>2.7448833243164845</v>
      </c>
      <c r="AC55" s="270">
        <f>AC53/(AEO!$S$28)^(AC14-$S$14)</f>
        <v>2.7911065309988241</v>
      </c>
      <c r="AD55" s="270">
        <f>AD53/(AEO!$S$28)^(AD14-$S$14)</f>
        <v>2.8382872769441607</v>
      </c>
      <c r="AE55" s="270">
        <f>AE53/(AEO!$S$28)^(AE14-$S$14)</f>
        <v>2.8864453866023658</v>
      </c>
      <c r="AF55" s="270">
        <f>AF53/(AEO!$S$28)^(AF14-$S$14)</f>
        <v>2.9356010948601505</v>
      </c>
      <c r="AG55" s="270">
        <f>AG53/(AEO!$S$28)^(AG14-$S$14)</f>
        <v>2.9857750555385714</v>
      </c>
      <c r="AH55" s="270">
        <f>AH53/(AEO!$S$28)^(AH14-$S$14)</f>
        <v>3.0394960417453838</v>
      </c>
      <c r="AI55" s="270">
        <f>AI53/(AEO!$S$28)^(AI14-$S$14)</f>
        <v>3.0930048205940452</v>
      </c>
      <c r="AJ55" s="270">
        <f>AJ53/(AEO!$S$28)^(AJ14-$S$14)</f>
        <v>3.1476297040170973</v>
      </c>
      <c r="AK55" s="270">
        <f>AK53/(AEO!$S$28)^(AK14-$S$14)</f>
        <v>3.2033941328059297</v>
      </c>
      <c r="AL55" s="270">
        <f>AL53/(AEO!$S$28)^(AL14-$S$14)</f>
        <v>3.2603220401882393</v>
      </c>
      <c r="AM55" s="270">
        <f>AM53/(AEO!$S$28)^(AM14-$S$14)</f>
        <v>3.3184378621730657</v>
      </c>
      <c r="AN55" s="270">
        <f>AN53/(AEO!$S$28)^(AN14-$S$14)</f>
        <v>3.3777665481131502</v>
      </c>
      <c r="AO55" s="270">
        <f>AO53/(AEO!$S$28)^(AO14-$S$14)</f>
        <v>3.4383335714891912</v>
      </c>
      <c r="AP55" s="270">
        <f>AP53/(AEO!$S$28)^(AP14-$S$14)</f>
        <v>3.5001649409206519</v>
      </c>
      <c r="AQ55" s="270">
        <f>AQ53/(AEO!$S$28)^(AQ14-$S$14)</f>
        <v>3.5632872114078822</v>
      </c>
      <c r="AS55" s="7">
        <f>ROW()</f>
        <v>55</v>
      </c>
    </row>
    <row r="56" spans="2:45" ht="13.95" customHeight="1">
      <c r="B56" s="291" t="str">
        <f>CONCATENATE("Row ",AS53, ", deflated by economy-wide price index in 'AEO' tab. That single figure is used as a calculational shortcut. Those figures aren't used in this tab, but are basis of prices in 'Miscellany' tab.")</f>
        <v>Row 53, deflated by economy-wide price index in 'AEO' tab. That single figure is used as a calculational shortcut. Those figures aren't used in this tab, but are basis of prices in 'Miscellany' tab.</v>
      </c>
      <c r="C56" s="172"/>
      <c r="D56" s="172"/>
      <c r="E56" s="172"/>
      <c r="F56" s="172"/>
      <c r="G56" s="172"/>
      <c r="H56" s="172"/>
      <c r="M56"/>
      <c r="N56"/>
      <c r="T56" s="272"/>
      <c r="U56" s="269"/>
      <c r="V56" s="269"/>
      <c r="W56" s="269"/>
      <c r="X56" s="269"/>
      <c r="Y56" s="269"/>
      <c r="Z56" s="269"/>
      <c r="AA56" s="269"/>
      <c r="AB56" s="269"/>
      <c r="AC56" s="269"/>
      <c r="AD56" s="269"/>
      <c r="AE56" s="269"/>
      <c r="AF56" s="269"/>
      <c r="AG56" s="269"/>
      <c r="AH56" s="269"/>
      <c r="AI56" s="269"/>
      <c r="AJ56" s="269"/>
      <c r="AK56" s="269"/>
      <c r="AL56" s="269"/>
      <c r="AM56" s="269"/>
      <c r="AN56" s="269"/>
      <c r="AO56" s="269"/>
      <c r="AP56" s="269"/>
      <c r="AQ56" s="269"/>
      <c r="AS56" s="7">
        <f>ROW()</f>
        <v>56</v>
      </c>
    </row>
    <row r="57" spans="2:45" ht="13.95" customHeight="1">
      <c r="B57" s="14" t="s">
        <v>853</v>
      </c>
      <c r="K57" s="269">
        <f t="shared" ref="K57:AQ57" si="10">K53+K25</f>
        <v>2.7607999999999997</v>
      </c>
      <c r="L57" s="269">
        <f t="shared" si="10"/>
        <v>3.6537999999999999</v>
      </c>
      <c r="M57" s="269">
        <f t="shared" si="10"/>
        <v>2.3477999999999999</v>
      </c>
      <c r="N57" s="269">
        <f t="shared" si="10"/>
        <v>2.8378000000000001</v>
      </c>
      <c r="O57" s="269">
        <f t="shared" si="10"/>
        <v>3.6507999999999998</v>
      </c>
      <c r="P57" s="269">
        <f t="shared" si="10"/>
        <v>3.7458</v>
      </c>
      <c r="Q57" s="269">
        <f t="shared" si="10"/>
        <v>3.6757999999999997</v>
      </c>
      <c r="R57" s="269">
        <f t="shared" si="10"/>
        <v>3.464</v>
      </c>
      <c r="S57" s="269">
        <f t="shared" si="10"/>
        <v>2.3542000000000001</v>
      </c>
      <c r="T57" s="272">
        <f t="shared" si="10"/>
        <v>2.5723549683894675</v>
      </c>
      <c r="U57" s="269">
        <f t="shared" si="10"/>
        <v>2.8082007543985279</v>
      </c>
      <c r="V57" s="269">
        <f t="shared" si="10"/>
        <v>3.0517196963442181</v>
      </c>
      <c r="W57" s="269">
        <f t="shared" si="10"/>
        <v>3.3032032010199894</v>
      </c>
      <c r="X57" s="269">
        <f t="shared" si="10"/>
        <v>3.5669993405962392</v>
      </c>
      <c r="Y57" s="269">
        <f t="shared" si="10"/>
        <v>3.8165615941645168</v>
      </c>
      <c r="Z57" s="269">
        <f t="shared" si="10"/>
        <v>4.0732484347315099</v>
      </c>
      <c r="AA57" s="269">
        <f t="shared" si="10"/>
        <v>4.337281151368571</v>
      </c>
      <c r="AB57" s="269">
        <f t="shared" si="10"/>
        <v>4.6088890972612013</v>
      </c>
      <c r="AC57" s="269">
        <f t="shared" si="10"/>
        <v>4.8883100119330161</v>
      </c>
      <c r="AD57" s="269">
        <f t="shared" si="10"/>
        <v>5.1757903568245442</v>
      </c>
      <c r="AE57" s="269">
        <f t="shared" si="10"/>
        <v>5.4715856647872734</v>
      </c>
      <c r="AF57" s="269">
        <f t="shared" si="10"/>
        <v>5.7759609040770279</v>
      </c>
      <c r="AG57" s="269">
        <f t="shared" si="10"/>
        <v>6.0891908574553106</v>
      </c>
      <c r="AH57" s="269">
        <f t="shared" si="10"/>
        <v>6.4150622138980715</v>
      </c>
      <c r="AI57" s="269">
        <f t="shared" si="10"/>
        <v>6.7487014067861164</v>
      </c>
      <c r="AJ57" s="269">
        <f t="shared" si="10"/>
        <v>7.0922068454789802</v>
      </c>
      <c r="AK57" s="269">
        <f t="shared" si="10"/>
        <v>7.4459036541958836</v>
      </c>
      <c r="AL57" s="269">
        <f t="shared" si="10"/>
        <v>7.810129284169685</v>
      </c>
      <c r="AM57" s="269">
        <f t="shared" si="10"/>
        <v>8.1852340164225534</v>
      </c>
      <c r="AN57" s="269">
        <f t="shared" si="10"/>
        <v>8.571581485625515</v>
      </c>
      <c r="AO57" s="269">
        <f t="shared" si="10"/>
        <v>8.9695492259343794</v>
      </c>
      <c r="AP57" s="269">
        <f t="shared" si="10"/>
        <v>9.3795292397323777</v>
      </c>
      <c r="AQ57" s="269">
        <f t="shared" si="10"/>
        <v>9.8019285902494619</v>
      </c>
      <c r="AS57" s="7">
        <f>ROW()</f>
        <v>57</v>
      </c>
    </row>
    <row r="58" spans="2:45" ht="13.95" customHeight="1">
      <c r="B58" s="291" t="str">
        <f>CONCATENATE("Sum of Rows ",AS53, " and ",AS25, ".")</f>
        <v>Sum of Rows 53 and 25.</v>
      </c>
      <c r="M58"/>
      <c r="AS58" s="7">
        <f>ROW()</f>
        <v>58</v>
      </c>
    </row>
    <row r="59" spans="2:45" ht="13.95" customHeight="1">
      <c r="B59" s="14" t="s">
        <v>1099</v>
      </c>
      <c r="J59" s="67"/>
      <c r="K59" s="270"/>
      <c r="L59" s="270"/>
      <c r="M59" s="270"/>
      <c r="N59" s="270"/>
      <c r="O59" s="270"/>
      <c r="P59" s="270"/>
      <c r="Q59" s="270"/>
      <c r="R59" s="270"/>
      <c r="S59" s="270"/>
      <c r="T59" s="272">
        <f>T57/(AEO!$S$28)^(T14-$S$14)</f>
        <v>2.4672056286234851</v>
      </c>
      <c r="U59" s="270">
        <f>U57/(AEO!$S$28)^(U14-$S$14)</f>
        <v>2.6377876166387328</v>
      </c>
      <c r="V59" s="270">
        <f>V57/(AEO!$S$28)^(V14-$S$14)</f>
        <v>2.8073304646865918</v>
      </c>
      <c r="W59" s="270">
        <f>W57/(AEO!$S$28)^(W14-$S$14)</f>
        <v>2.9759211027748447</v>
      </c>
      <c r="X59" s="270">
        <f>X57/(AEO!$S$28)^(X14-$S$14)</f>
        <v>3.1472147346618673</v>
      </c>
      <c r="Y59" s="270">
        <f>Y57/(AEO!$S$28)^(Y14-$S$14)</f>
        <v>3.2978647980350835</v>
      </c>
      <c r="Z59" s="270">
        <f>Z57/(AEO!$S$28)^(Z14-$S$14)</f>
        <v>3.4469794561659777</v>
      </c>
      <c r="AA59" s="270">
        <f>AA57/(AEO!$S$28)^(AA14-$S$14)</f>
        <v>3.5946167619728686</v>
      </c>
      <c r="AB59" s="270">
        <f>AB57/(AEO!$S$28)^(AB14-$S$14)</f>
        <v>3.7408345671691254</v>
      </c>
      <c r="AC59" s="270">
        <f>AC57/(AEO!$S$28)^(AC14-$S$14)</f>
        <v>3.8856905379853801</v>
      </c>
      <c r="AD59" s="270">
        <f>AD57/(AEO!$S$28)^(AD14-$S$14)</f>
        <v>4.0292421709506892</v>
      </c>
      <c r="AE59" s="270">
        <f>AE57/(AEO!$S$28)^(AE14-$S$14)</f>
        <v>4.1715468087372871</v>
      </c>
      <c r="AF59" s="270">
        <f>AF57/(AEO!$S$28)^(AF14-$S$14)</f>
        <v>4.3126616560736597</v>
      </c>
      <c r="AG59" s="270">
        <f>AG57/(AEO!$S$28)^(AG14-$S$14)</f>
        <v>4.452643795730709</v>
      </c>
      <c r="AH59" s="270">
        <f>AH57/(AEO!$S$28)^(AH14-$S$14)</f>
        <v>4.5940578962647542</v>
      </c>
      <c r="AI59" s="270">
        <f>AI57/(AEO!$S$28)^(AI14-$S$14)</f>
        <v>4.7331800940304252</v>
      </c>
      <c r="AJ59" s="270">
        <f>AJ57/(AEO!$S$28)^(AJ14-$S$14)</f>
        <v>4.8713735511924039</v>
      </c>
      <c r="AK59" s="270">
        <f>AK57/(AEO!$S$28)^(AK14-$S$14)</f>
        <v>5.0086960468692237</v>
      </c>
      <c r="AL59" s="270">
        <f>AL57/(AEO!$S$28)^(AL14-$S$14)</f>
        <v>5.1452053477216566</v>
      </c>
      <c r="AM59" s="270">
        <f>AM57/(AEO!$S$28)^(AM14-$S$14)</f>
        <v>5.280959225216745</v>
      </c>
      <c r="AN59" s="270">
        <f>AN57/(AEO!$S$28)^(AN14-$S$14)</f>
        <v>5.416015473018386</v>
      </c>
      <c r="AO59" s="270">
        <f>AO57/(AEO!$S$28)^(AO14-$S$14)</f>
        <v>5.5504319245102209</v>
      </c>
      <c r="AP59" s="270">
        <f>AP57/(AEO!$S$28)^(AP14-$S$14)</f>
        <v>5.6842664704565964</v>
      </c>
      <c r="AQ59" s="270">
        <f>AQ57/(AEO!$S$28)^(AQ14-$S$14)</f>
        <v>5.8175770768075186</v>
      </c>
      <c r="AS59" s="7">
        <f>ROW()</f>
        <v>59</v>
      </c>
    </row>
    <row r="60" spans="2:45" ht="13.95" customHeight="1">
      <c r="B60" s="291" t="str">
        <f>CONCATENATE("Row ",AS57, ", deflated by economy-wide price index in 'AEO' tab. Again, that single figure is used as a calculational shortcut. ")</f>
        <v xml:space="preserve">Row 57, deflated by economy-wide price index in 'AEO' tab. Again, that single figure is used as a calculational shortcut. </v>
      </c>
      <c r="M60"/>
      <c r="AS60" s="7">
        <f>ROW()</f>
        <v>60</v>
      </c>
    </row>
    <row r="61" spans="2:45" ht="13.95" customHeight="1">
      <c r="B61" s="14" t="s">
        <v>1061</v>
      </c>
      <c r="K61" s="15"/>
      <c r="M61" s="67"/>
      <c r="T61" s="281">
        <f t="shared" ref="T61:AP61" si="11">T57/T53-1</f>
        <v>5.1470585693583981E-2</v>
      </c>
      <c r="U61" s="206">
        <f t="shared" si="11"/>
        <v>9.9596576105466683E-2</v>
      </c>
      <c r="V61" s="206">
        <f t="shared" si="11"/>
        <v>0.14451906252376312</v>
      </c>
      <c r="W61" s="206">
        <f t="shared" si="11"/>
        <v>0.18637542114867722</v>
      </c>
      <c r="X61" s="206">
        <f t="shared" si="11"/>
        <v>0.22498644940394263</v>
      </c>
      <c r="Y61" s="206">
        <f t="shared" si="11"/>
        <v>0.26269502765938624</v>
      </c>
      <c r="Z61" s="206">
        <f t="shared" si="11"/>
        <v>0.29818379457736488</v>
      </c>
      <c r="AA61" s="206">
        <f t="shared" si="11"/>
        <v>0.33153767696107828</v>
      </c>
      <c r="AB61" s="206">
        <f t="shared" si="11"/>
        <v>0.36283919029623846</v>
      </c>
      <c r="AC61" s="206">
        <f t="shared" si="11"/>
        <v>0.39216848043232821</v>
      </c>
      <c r="AD61" s="206">
        <f t="shared" si="11"/>
        <v>0.419603365621527</v>
      </c>
      <c r="AE61" s="206">
        <f t="shared" si="11"/>
        <v>0.44521937885948137</v>
      </c>
      <c r="AF61" s="206">
        <f t="shared" si="11"/>
        <v>0.46908981047341891</v>
      </c>
      <c r="AG61" s="206">
        <f t="shared" si="11"/>
        <v>0.49128575090448168</v>
      </c>
      <c r="AH61" s="206">
        <f t="shared" si="11"/>
        <v>0.51145381772785159</v>
      </c>
      <c r="AI61" s="206">
        <f t="shared" si="11"/>
        <v>0.5302853918997017</v>
      </c>
      <c r="AJ61" s="206">
        <f t="shared" si="11"/>
        <v>0.54763234854958132</v>
      </c>
      <c r="AK61" s="206">
        <f t="shared" si="11"/>
        <v>0.56355909988571606</v>
      </c>
      <c r="AL61" s="206">
        <f t="shared" si="11"/>
        <v>0.57812795309772236</v>
      </c>
      <c r="AM61" s="206">
        <f t="shared" si="11"/>
        <v>0.59139915965114054</v>
      </c>
      <c r="AN61" s="206">
        <f t="shared" si="11"/>
        <v>0.60343096418070075</v>
      </c>
      <c r="AO61" s="206">
        <f t="shared" si="11"/>
        <v>0.61427965295009179</v>
      </c>
      <c r="AP61" s="206">
        <f t="shared" si="11"/>
        <v>0.62399960184775116</v>
      </c>
      <c r="AQ61" s="206">
        <f t="shared" ref="AQ61" si="12">AQ57/AQ53-1</f>
        <v>0.6326433238899507</v>
      </c>
      <c r="AS61" s="7">
        <f>ROW()</f>
        <v>61</v>
      </c>
    </row>
    <row r="62" spans="2:45" ht="13.95" customHeight="1">
      <c r="B62" s="84" t="str">
        <f>CONCATENATE("Calculated as excess of Row ",AS57, " over Row ",AS53, ".")</f>
        <v>Calculated as excess of Row 57 over Row 53.</v>
      </c>
      <c r="K62" s="15"/>
      <c r="L62" s="84"/>
      <c r="M62" s="67"/>
      <c r="T62" s="281"/>
      <c r="U62" s="206"/>
      <c r="V62" s="206"/>
      <c r="W62" s="206"/>
      <c r="X62" s="206"/>
      <c r="Y62" s="206"/>
      <c r="Z62" s="206"/>
      <c r="AA62" s="206"/>
      <c r="AB62" s="206"/>
      <c r="AC62" s="206"/>
      <c r="AD62" s="206"/>
      <c r="AE62" s="206"/>
      <c r="AF62" s="206"/>
      <c r="AG62" s="206"/>
      <c r="AH62" s="206"/>
      <c r="AI62" s="206"/>
      <c r="AJ62" s="206"/>
      <c r="AK62" s="206"/>
      <c r="AL62" s="206"/>
      <c r="AM62" s="206"/>
      <c r="AN62" s="206"/>
      <c r="AO62" s="206"/>
      <c r="AP62" s="206"/>
      <c r="AQ62" s="206"/>
      <c r="AS62" s="7">
        <f>ROW()</f>
        <v>62</v>
      </c>
    </row>
    <row r="63" spans="2:45" ht="13.95" customHeight="1">
      <c r="B63" s="54" t="s">
        <v>359</v>
      </c>
      <c r="G63" s="183">
        <v>10</v>
      </c>
      <c r="H63" s="54" t="s">
        <v>860</v>
      </c>
      <c r="J63" s="283">
        <v>0.01</v>
      </c>
      <c r="L63" s="84"/>
      <c r="M63" s="67"/>
      <c r="T63" s="281"/>
      <c r="U63" s="206"/>
      <c r="V63" s="206"/>
      <c r="W63" s="206"/>
      <c r="X63" s="206"/>
      <c r="Y63" s="206"/>
      <c r="Z63" s="206"/>
      <c r="AA63" s="206"/>
      <c r="AB63" s="206"/>
      <c r="AC63" s="206"/>
      <c r="AD63" s="206"/>
      <c r="AE63" s="206"/>
      <c r="AF63" s="206"/>
      <c r="AG63" s="206"/>
      <c r="AH63" s="206"/>
      <c r="AI63" s="206"/>
      <c r="AJ63" s="206"/>
      <c r="AK63" s="206"/>
      <c r="AL63" s="206"/>
      <c r="AM63" s="206"/>
      <c r="AN63" s="206"/>
      <c r="AO63" s="206"/>
      <c r="AP63" s="206"/>
      <c r="AQ63" s="206"/>
      <c r="AS63" s="7">
        <f>ROW()</f>
        <v>63</v>
      </c>
    </row>
    <row r="64" spans="2:45" ht="13.95" customHeight="1">
      <c r="B64" s="291" t="s">
        <v>1103</v>
      </c>
      <c r="C64" s="291"/>
      <c r="D64" s="291"/>
      <c r="E64" s="291"/>
      <c r="F64" s="291"/>
      <c r="G64" s="291"/>
      <c r="H64" s="291"/>
      <c r="I64" s="291"/>
      <c r="J64" s="291"/>
      <c r="K64" s="291"/>
      <c r="L64" s="84"/>
      <c r="M64" s="67"/>
      <c r="T64" s="281"/>
      <c r="U64" s="206"/>
      <c r="V64" s="206"/>
      <c r="W64" s="206"/>
      <c r="X64" s="206"/>
      <c r="Y64" s="206"/>
      <c r="Z64" s="206"/>
      <c r="AA64" s="206"/>
      <c r="AB64" s="206"/>
      <c r="AC64" s="206"/>
      <c r="AD64" s="206"/>
      <c r="AE64" s="206"/>
      <c r="AF64" s="206"/>
      <c r="AG64" s="206"/>
      <c r="AH64" s="206"/>
      <c r="AI64" s="206"/>
      <c r="AJ64" s="206"/>
      <c r="AK64" s="206"/>
      <c r="AL64" s="206"/>
      <c r="AM64" s="206"/>
      <c r="AN64" s="206"/>
      <c r="AO64" s="206"/>
      <c r="AP64" s="206"/>
      <c r="AQ64" s="206"/>
      <c r="AS64" s="7">
        <f>ROW()</f>
        <v>64</v>
      </c>
    </row>
    <row r="65" spans="1:45" ht="13.95" customHeight="1">
      <c r="B65" t="s">
        <v>104</v>
      </c>
      <c r="K65" s="19">
        <f>K31</f>
        <v>22.456286026151631</v>
      </c>
      <c r="L65" s="6">
        <f t="shared" ref="L65:S65" si="13">$K$65*(1-$J$63)^(L23/$G$63)</f>
        <v>22.456286026151631</v>
      </c>
      <c r="M65" s="6">
        <f t="shared" si="13"/>
        <v>22.456286026151631</v>
      </c>
      <c r="N65" s="6">
        <f t="shared" si="13"/>
        <v>22.456286026151631</v>
      </c>
      <c r="O65" s="6">
        <f t="shared" si="13"/>
        <v>22.456286026151631</v>
      </c>
      <c r="P65" s="6">
        <f t="shared" si="13"/>
        <v>22.456286026151631</v>
      </c>
      <c r="Q65" s="6">
        <f t="shared" si="13"/>
        <v>22.456286026151631</v>
      </c>
      <c r="R65" s="6">
        <f t="shared" si="13"/>
        <v>22.456286026151631</v>
      </c>
      <c r="S65" s="6">
        <f t="shared" si="13"/>
        <v>22.456286026151631</v>
      </c>
      <c r="T65" s="292">
        <f t="shared" ref="T65:AQ65" si="14">$S$65*(1-$J$63)^(T23/$G$63)</f>
        <v>22.212194166376779</v>
      </c>
      <c r="U65" s="293">
        <f t="shared" si="14"/>
        <v>21.97075549849389</v>
      </c>
      <c r="V65" s="293">
        <f t="shared" si="14"/>
        <v>21.731941183248683</v>
      </c>
      <c r="W65" s="293">
        <f t="shared" si="14"/>
        <v>21.49572269485931</v>
      </c>
      <c r="X65" s="293">
        <f t="shared" si="14"/>
        <v>21.262071817609066</v>
      </c>
      <c r="Y65" s="293">
        <f t="shared" si="14"/>
        <v>21.030960642476064</v>
      </c>
      <c r="Z65" s="293">
        <f t="shared" si="14"/>
        <v>20.802361563799586</v>
      </c>
      <c r="AA65" s="293">
        <f t="shared" si="14"/>
        <v>20.576247275982645</v>
      </c>
      <c r="AB65" s="293">
        <f t="shared" si="14"/>
        <v>20.352590770230407</v>
      </c>
      <c r="AC65" s="293">
        <f t="shared" si="14"/>
        <v>20.131365331324051</v>
      </c>
      <c r="AD65" s="293">
        <f t="shared" si="14"/>
        <v>19.912544534429703</v>
      </c>
      <c r="AE65" s="293">
        <f t="shared" si="14"/>
        <v>19.696102241942057</v>
      </c>
      <c r="AF65" s="293">
        <f t="shared" si="14"/>
        <v>19.4820126003623</v>
      </c>
      <c r="AG65" s="293">
        <f t="shared" si="14"/>
        <v>19.270250037209976</v>
      </c>
      <c r="AH65" s="293">
        <f t="shared" si="14"/>
        <v>19.06078925796842</v>
      </c>
      <c r="AI65" s="293">
        <f t="shared" si="14"/>
        <v>18.853605243063377</v>
      </c>
      <c r="AJ65" s="293">
        <f t="shared" si="14"/>
        <v>18.648673244874498</v>
      </c>
      <c r="AK65" s="293">
        <f t="shared" si="14"/>
        <v>18.445968784779271</v>
      </c>
      <c r="AL65" s="293">
        <f t="shared" si="14"/>
        <v>18.245467650229141</v>
      </c>
      <c r="AM65" s="293">
        <f t="shared" si="14"/>
        <v>18.047145891857348</v>
      </c>
      <c r="AN65" s="293">
        <f t="shared" si="14"/>
        <v>17.85097982061825</v>
      </c>
      <c r="AO65" s="293">
        <f t="shared" si="14"/>
        <v>17.656946004957735</v>
      </c>
      <c r="AP65" s="293">
        <f t="shared" si="14"/>
        <v>17.465021268014361</v>
      </c>
      <c r="AQ65" s="293">
        <f t="shared" si="14"/>
        <v>17.275182684850947</v>
      </c>
      <c r="AS65" s="7">
        <f>ROW()</f>
        <v>65</v>
      </c>
    </row>
    <row r="66" spans="1:45" ht="13.95" customHeight="1">
      <c r="B66" s="84" t="str">
        <f>CONCATENATE("Figures reduce baseline emission factor by percentage calculated from Row ",AS23, " and Cell J",AS63, " normalized by Cell G",AS63, ".")</f>
        <v>Figures reduce baseline emission factor by percentage calculated from Row 23 and Cell J63 normalized by Cell G63.</v>
      </c>
      <c r="C66" s="8"/>
      <c r="D66" s="8"/>
      <c r="E66" s="8"/>
      <c r="F66" s="8"/>
      <c r="G66" s="8"/>
      <c r="H66" s="8"/>
      <c r="K66" s="30"/>
      <c r="L66" s="30"/>
      <c r="M66" s="67"/>
      <c r="AS66" s="7">
        <f>ROW()</f>
        <v>66</v>
      </c>
    </row>
    <row r="67" spans="1:45" s="8" customFormat="1" ht="13.95" customHeight="1">
      <c r="B67" s="13" t="s">
        <v>667</v>
      </c>
      <c r="I67" s="23"/>
      <c r="J67" s="23"/>
      <c r="K67" s="13">
        <f t="shared" ref="K67:AP67" si="15">K14</f>
        <v>2007</v>
      </c>
      <c r="L67" s="13">
        <f t="shared" si="15"/>
        <v>2008</v>
      </c>
      <c r="M67" s="13">
        <f t="shared" si="15"/>
        <v>2009</v>
      </c>
      <c r="N67" s="13">
        <f t="shared" si="15"/>
        <v>2010</v>
      </c>
      <c r="O67" s="13">
        <f t="shared" si="15"/>
        <v>2011</v>
      </c>
      <c r="P67" s="13">
        <f t="shared" si="15"/>
        <v>2012</v>
      </c>
      <c r="Q67" s="13">
        <f t="shared" si="15"/>
        <v>2013</v>
      </c>
      <c r="R67" s="13">
        <f t="shared" si="15"/>
        <v>2014</v>
      </c>
      <c r="S67" s="13">
        <f t="shared" si="15"/>
        <v>2015</v>
      </c>
      <c r="T67" s="279">
        <f t="shared" si="15"/>
        <v>2017</v>
      </c>
      <c r="U67" s="155">
        <f t="shared" si="15"/>
        <v>2018</v>
      </c>
      <c r="V67" s="155">
        <f t="shared" si="15"/>
        <v>2019</v>
      </c>
      <c r="W67" s="155">
        <f t="shared" si="15"/>
        <v>2020</v>
      </c>
      <c r="X67" s="155">
        <f t="shared" si="15"/>
        <v>2021</v>
      </c>
      <c r="Y67" s="155">
        <f t="shared" si="15"/>
        <v>2022</v>
      </c>
      <c r="Z67" s="155">
        <f t="shared" si="15"/>
        <v>2023</v>
      </c>
      <c r="AA67" s="155">
        <f t="shared" si="15"/>
        <v>2024</v>
      </c>
      <c r="AB67" s="155">
        <f t="shared" si="15"/>
        <v>2025</v>
      </c>
      <c r="AC67" s="155">
        <f t="shared" si="15"/>
        <v>2026</v>
      </c>
      <c r="AD67" s="155">
        <f t="shared" si="15"/>
        <v>2027</v>
      </c>
      <c r="AE67" s="155">
        <f t="shared" si="15"/>
        <v>2028</v>
      </c>
      <c r="AF67" s="155">
        <f t="shared" si="15"/>
        <v>2029</v>
      </c>
      <c r="AG67" s="155">
        <f t="shared" si="15"/>
        <v>2030</v>
      </c>
      <c r="AH67" s="155">
        <f t="shared" si="15"/>
        <v>2031</v>
      </c>
      <c r="AI67" s="155">
        <f t="shared" si="15"/>
        <v>2032</v>
      </c>
      <c r="AJ67" s="155">
        <f t="shared" si="15"/>
        <v>2033</v>
      </c>
      <c r="AK67" s="155">
        <f t="shared" si="15"/>
        <v>2034</v>
      </c>
      <c r="AL67" s="155">
        <f t="shared" si="15"/>
        <v>2035</v>
      </c>
      <c r="AM67" s="155">
        <f t="shared" si="15"/>
        <v>2036</v>
      </c>
      <c r="AN67" s="155">
        <f t="shared" si="15"/>
        <v>2037</v>
      </c>
      <c r="AO67" s="155">
        <f t="shared" si="15"/>
        <v>2038</v>
      </c>
      <c r="AP67" s="155">
        <f t="shared" si="15"/>
        <v>2039</v>
      </c>
      <c r="AQ67" s="155">
        <f t="shared" ref="AQ67" si="16">AQ14</f>
        <v>2040</v>
      </c>
      <c r="AS67" s="7">
        <f>ROW()</f>
        <v>67</v>
      </c>
    </row>
    <row r="68" spans="1:45" s="8" customFormat="1" ht="13.95" customHeight="1">
      <c r="B68" s="8" t="s">
        <v>161</v>
      </c>
      <c r="J68" s="84" t="str">
        <f>CONCATENATE("Row ",AS37, " (sales w/o c-tax), x (one plus Row ",AS61, ") raised to diesel price-elasticity.")</f>
        <v>Row 37 (sales w/o c-tax), x (one plus Row 61) raised to diesel price-elasticity.</v>
      </c>
      <c r="M68" s="107"/>
      <c r="N68"/>
      <c r="O68"/>
      <c r="P68"/>
      <c r="Q68" s="268"/>
      <c r="R68" s="268"/>
      <c r="S68" s="268"/>
      <c r="T68" s="280">
        <f>T44*(1+T61)^Parameters!$H$11</f>
        <v>45297.01983950795</v>
      </c>
      <c r="U68" s="107">
        <f>U44*(1+U61)^Parameters!$H$11</f>
        <v>43972.420494253238</v>
      </c>
      <c r="V68" s="107">
        <f>V44*(1+V61)^Parameters!$H$11</f>
        <v>42787.253903365265</v>
      </c>
      <c r="W68" s="107">
        <f>W44*(1+W61)^Parameters!$H$11</f>
        <v>41719.944968845288</v>
      </c>
      <c r="X68" s="107">
        <f>X44*(1+X61)^Parameters!$H$11</f>
        <v>40676.668152930586</v>
      </c>
      <c r="Y68" s="107">
        <f>Y44*(1+Y61)^Parameters!$H$11</f>
        <v>39882.216544327828</v>
      </c>
      <c r="Z68" s="107">
        <f>Z44*(1+Z61)^Parameters!$H$11</f>
        <v>39154.162435961414</v>
      </c>
      <c r="AA68" s="107">
        <f>AA44*(1+AA61)^Parameters!$H$11</f>
        <v>38484.585002796441</v>
      </c>
      <c r="AB68" s="107">
        <f>AB44*(1+AB61)^Parameters!$H$11</f>
        <v>37866.811544339493</v>
      </c>
      <c r="AC68" s="107">
        <f>AC44*(1+AC61)^Parameters!$H$11</f>
        <v>37295.175431090836</v>
      </c>
      <c r="AD68" s="107">
        <f>AD44*(1+AD61)^Parameters!$H$11</f>
        <v>36764.828990846217</v>
      </c>
      <c r="AE68" s="107">
        <f>AE44*(1+AE61)^Parameters!$H$11</f>
        <v>36271.597189817658</v>
      </c>
      <c r="AF68" s="107">
        <f>AF44*(1+AF61)^Parameters!$H$11</f>
        <v>35811.862004373812</v>
      </c>
      <c r="AG68" s="107">
        <f>AG44*(1+AG61)^Parameters!$H$11</f>
        <v>35382.470159996679</v>
      </c>
      <c r="AH68" s="107">
        <f>AH44*(1+AH61)^Parameters!$H$11</f>
        <v>34956.65728595604</v>
      </c>
      <c r="AI68" s="107">
        <f>AI44*(1+AI61)^Parameters!$H$11</f>
        <v>34563.234317204369</v>
      </c>
      <c r="AJ68" s="107">
        <f>AJ44*(1+AJ61)^Parameters!$H$11</f>
        <v>34193.215755093726</v>
      </c>
      <c r="AK68" s="107">
        <f>AK44*(1+AK61)^Parameters!$H$11</f>
        <v>33844.643933904379</v>
      </c>
      <c r="AL68" s="107">
        <f>AL44*(1+AL61)^Parameters!$H$11</f>
        <v>33515.773599059285</v>
      </c>
      <c r="AM68" s="107">
        <f>AM44*(1+AM61)^Parameters!$H$11</f>
        <v>33205.042946026275</v>
      </c>
      <c r="AN68" s="107">
        <f>AN44*(1+AN61)^Parameters!$H$11</f>
        <v>32911.04933737962</v>
      </c>
      <c r="AO68" s="107">
        <f>AO44*(1+AO61)^Parameters!$H$11</f>
        <v>32632.528831638479</v>
      </c>
      <c r="AP68" s="107">
        <f>AP44*(1+AP61)^Parameters!$H$11</f>
        <v>32368.338837432206</v>
      </c>
      <c r="AQ68" s="107">
        <f>AQ44*(1+AQ61)^Parameters!$H$11</f>
        <v>32708.774442618353</v>
      </c>
      <c r="AS68" s="7">
        <f>ROW()</f>
        <v>68</v>
      </c>
    </row>
    <row r="69" spans="1:45" s="8" customFormat="1" ht="13.95" customHeight="1">
      <c r="B69" s="8" t="s">
        <v>367</v>
      </c>
      <c r="I69" s="23"/>
      <c r="J69" s="84" t="str">
        <f>CONCATENATE("Product of Rows ",AS68, " and ",AS65, ", with appropriate conversion factor.")</f>
        <v>Product of Rows 68 and 65, with appropriate conversion factor.</v>
      </c>
      <c r="M69" s="129"/>
      <c r="N69"/>
      <c r="O69"/>
      <c r="P69"/>
      <c r="Q69" s="268"/>
      <c r="R69" s="268"/>
      <c r="S69" s="268"/>
      <c r="T69" s="280">
        <f>T68*T65/Parameters!$I$18</f>
        <v>456.302131443706</v>
      </c>
      <c r="U69" s="107">
        <f>U68*U65/Parameters!$I$18</f>
        <v>438.14389993478449</v>
      </c>
      <c r="V69" s="107">
        <f>V68*V65/Parameters!$I$18</f>
        <v>421.70071892093495</v>
      </c>
      <c r="W69" s="107">
        <f>W68*W65/Parameters!$I$18</f>
        <v>406.71218498643503</v>
      </c>
      <c r="X69" s="107">
        <f>X68*X65/Parameters!$I$18</f>
        <v>392.2314011649259</v>
      </c>
      <c r="Y69" s="107">
        <f>Y68*Y65/Parameters!$I$18</f>
        <v>380.39062425327268</v>
      </c>
      <c r="Z69" s="107">
        <f>Z68*Z65/Parameters!$I$18</f>
        <v>369.3873214152423</v>
      </c>
      <c r="AA69" s="107">
        <f>AA68*AA65/Parameters!$I$18</f>
        <v>359.1239625084412</v>
      </c>
      <c r="AB69" s="107">
        <f>AB68*AB65/Parameters!$I$18</f>
        <v>349.51823997069306</v>
      </c>
      <c r="AC69" s="107">
        <f>AC68*AC65/Parameters!$I$18</f>
        <v>340.50013682499349</v>
      </c>
      <c r="AD69" s="107">
        <f>AD68*AD65/Parameters!$I$18</f>
        <v>332.00965740631182</v>
      </c>
      <c r="AE69" s="107">
        <f>AE68*AE65/Parameters!$I$18</f>
        <v>323.99505067083305</v>
      </c>
      <c r="AF69" s="107">
        <f>AF68*AF65/Parameters!$I$18</f>
        <v>316.41140444972632</v>
      </c>
      <c r="AG69" s="107">
        <f>AG68*AG65/Parameters!$I$18</f>
        <v>309.21952241145436</v>
      </c>
      <c r="AH69" s="107">
        <f>AH68*AH65/Parameters!$I$18</f>
        <v>302.17754090278208</v>
      </c>
      <c r="AI69" s="107">
        <f>AI68*AI65/Parameters!$I$18</f>
        <v>295.52905929254979</v>
      </c>
      <c r="AJ69" s="107">
        <f>AJ68*AJ65/Parameters!$I$18</f>
        <v>289.18735047992635</v>
      </c>
      <c r="AK69" s="107">
        <f>AK68*AK65/Parameters!$I$18</f>
        <v>283.12800251100646</v>
      </c>
      <c r="AL69" s="107">
        <f>AL68*AL65/Parameters!$I$18</f>
        <v>277.32923490886174</v>
      </c>
      <c r="AM69" s="107">
        <f>AM68*AM65/Parameters!$I$18</f>
        <v>271.77154394209742</v>
      </c>
      <c r="AN69" s="107">
        <f>AN68*AN65/Parameters!$I$18</f>
        <v>266.43740480586632</v>
      </c>
      <c r="AO69" s="107">
        <f>AO68*AO65/Parameters!$I$18</f>
        <v>261.31102022016654</v>
      </c>
      <c r="AP69" s="107">
        <f>AP68*AP65/Parameters!$I$18</f>
        <v>256.37810712292458</v>
      </c>
      <c r="AQ69" s="107">
        <f>AQ68*AQ65/Parameters!$I$18</f>
        <v>256.25852784300031</v>
      </c>
      <c r="AS69" s="7">
        <f>ROW()</f>
        <v>69</v>
      </c>
    </row>
    <row r="70" spans="1:45" s="8" customFormat="1" ht="13.95" customHeight="1">
      <c r="B70" s="8" t="s">
        <v>355</v>
      </c>
      <c r="I70" s="23"/>
      <c r="J70" s="84" t="str">
        <f>CONCATENATE("Row ",AS69, " less Row ",AS46, ".")</f>
        <v>Row 69 less Row 46.</v>
      </c>
      <c r="M70" s="129"/>
      <c r="N70"/>
      <c r="O70"/>
      <c r="P70"/>
      <c r="Q70" s="268"/>
      <c r="R70" s="268"/>
      <c r="S70" s="268"/>
      <c r="T70" s="280">
        <f>T69-T46</f>
        <v>-16.737504277611208</v>
      </c>
      <c r="U70" s="107">
        <f>U69-U46</f>
        <v>-31.454273776299544</v>
      </c>
      <c r="V70" s="107">
        <f t="shared" ref="V70:AQ70" si="17">V69-V46</f>
        <v>-44.481030133815068</v>
      </c>
      <c r="W70" s="107">
        <f t="shared" si="17"/>
        <v>-56.077994613908515</v>
      </c>
      <c r="X70" s="107">
        <f t="shared" si="17"/>
        <v>-66.269667458213917</v>
      </c>
      <c r="Y70" s="107">
        <f t="shared" si="17"/>
        <v>-76.022222203365402</v>
      </c>
      <c r="Z70" s="107">
        <f t="shared" si="17"/>
        <v>-84.946813587333168</v>
      </c>
      <c r="AA70" s="107">
        <f t="shared" si="17"/>
        <v>-93.140928436405375</v>
      </c>
      <c r="AB70" s="107">
        <f t="shared" si="17"/>
        <v>-100.68683119393449</v>
      </c>
      <c r="AC70" s="107">
        <f t="shared" si="17"/>
        <v>-107.6544959144835</v>
      </c>
      <c r="AD70" s="107">
        <f t="shared" si="17"/>
        <v>-114.1038755361302</v>
      </c>
      <c r="AE70" s="107">
        <f t="shared" si="17"/>
        <v>-120.08667857033447</v>
      </c>
      <c r="AF70" s="107">
        <f t="shared" si="17"/>
        <v>-125.64777484728381</v>
      </c>
      <c r="AG70" s="107">
        <f t="shared" si="17"/>
        <v>-130.82631855270159</v>
      </c>
      <c r="AH70" s="107">
        <f t="shared" si="17"/>
        <v>-135.50243228904395</v>
      </c>
      <c r="AI70" s="107">
        <f t="shared" si="17"/>
        <v>-139.91255296673393</v>
      </c>
      <c r="AJ70" s="107">
        <f t="shared" si="17"/>
        <v>-144.0273481598548</v>
      </c>
      <c r="AK70" s="107">
        <f t="shared" si="17"/>
        <v>-147.87117127903861</v>
      </c>
      <c r="AL70" s="107">
        <f t="shared" si="17"/>
        <v>-151.46574455733918</v>
      </c>
      <c r="AM70" s="107">
        <f t="shared" si="17"/>
        <v>-154.83051378014534</v>
      </c>
      <c r="AN70" s="107">
        <f t="shared" si="17"/>
        <v>-157.98294610264213</v>
      </c>
      <c r="AO70" s="107">
        <f t="shared" si="17"/>
        <v>-160.93878144999906</v>
      </c>
      <c r="AP70" s="107">
        <f t="shared" si="17"/>
        <v>-163.71224582277779</v>
      </c>
      <c r="AQ70" s="107">
        <f t="shared" si="17"/>
        <v>-169.37836856705127</v>
      </c>
      <c r="AS70" s="7">
        <f>ROW()</f>
        <v>70</v>
      </c>
    </row>
    <row r="71" spans="1:45" s="8" customFormat="1" ht="13.95" customHeight="1">
      <c r="B71" s="8" t="s">
        <v>356</v>
      </c>
      <c r="I71" s="23"/>
      <c r="J71" s="84" t="str">
        <f>CONCATENATE("Row ",AS69, " less Cell I",A436, ".")</f>
        <v>Row 69 less Cell I.</v>
      </c>
      <c r="M71" s="129"/>
      <c r="N71"/>
      <c r="O71"/>
      <c r="P71"/>
      <c r="Q71" s="268"/>
      <c r="R71" s="268"/>
      <c r="S71" s="268"/>
      <c r="T71" s="280">
        <f>T69-$I$46</f>
        <v>-53.912868556293972</v>
      </c>
      <c r="U71" s="107">
        <f>U69-$I$46</f>
        <v>-72.071100065215489</v>
      </c>
      <c r="V71" s="107">
        <f t="shared" ref="V71:AQ71" si="18">V69-$I$46</f>
        <v>-88.514281079065029</v>
      </c>
      <c r="W71" s="107">
        <f t="shared" si="18"/>
        <v>-103.50281501356494</v>
      </c>
      <c r="X71" s="107">
        <f t="shared" si="18"/>
        <v>-117.98359883507408</v>
      </c>
      <c r="Y71" s="107">
        <f t="shared" si="18"/>
        <v>-129.8243757467273</v>
      </c>
      <c r="Z71" s="107">
        <f t="shared" si="18"/>
        <v>-140.82767858475768</v>
      </c>
      <c r="AA71" s="107">
        <f t="shared" si="18"/>
        <v>-151.09103749155878</v>
      </c>
      <c r="AB71" s="107">
        <f t="shared" si="18"/>
        <v>-160.69676002930692</v>
      </c>
      <c r="AC71" s="107">
        <f t="shared" si="18"/>
        <v>-169.71486317500649</v>
      </c>
      <c r="AD71" s="107">
        <f t="shared" si="18"/>
        <v>-178.20534259368816</v>
      </c>
      <c r="AE71" s="107">
        <f t="shared" si="18"/>
        <v>-186.21994932916692</v>
      </c>
      <c r="AF71" s="107">
        <f t="shared" si="18"/>
        <v>-193.80359555027366</v>
      </c>
      <c r="AG71" s="107">
        <f t="shared" si="18"/>
        <v>-200.99547758854561</v>
      </c>
      <c r="AH71" s="107">
        <f t="shared" si="18"/>
        <v>-208.03745909721789</v>
      </c>
      <c r="AI71" s="107">
        <f t="shared" si="18"/>
        <v>-214.68594070745019</v>
      </c>
      <c r="AJ71" s="107">
        <f t="shared" si="18"/>
        <v>-221.02764952007362</v>
      </c>
      <c r="AK71" s="107">
        <f t="shared" si="18"/>
        <v>-227.08699748899352</v>
      </c>
      <c r="AL71" s="107">
        <f t="shared" si="18"/>
        <v>-232.88576509113824</v>
      </c>
      <c r="AM71" s="107">
        <f t="shared" si="18"/>
        <v>-238.44345605790255</v>
      </c>
      <c r="AN71" s="107">
        <f t="shared" si="18"/>
        <v>-243.77759519413365</v>
      </c>
      <c r="AO71" s="107">
        <f t="shared" si="18"/>
        <v>-248.90397977983343</v>
      </c>
      <c r="AP71" s="107">
        <f t="shared" si="18"/>
        <v>-253.8368928770754</v>
      </c>
      <c r="AQ71" s="107">
        <f t="shared" si="18"/>
        <v>-253.95647215699967</v>
      </c>
      <c r="AS71" s="7">
        <f>ROW()</f>
        <v>71</v>
      </c>
    </row>
    <row r="72" spans="1:45" s="8" customFormat="1" ht="13.95" customHeight="1">
      <c r="B72" s="8" t="s">
        <v>855</v>
      </c>
      <c r="I72" s="23"/>
      <c r="J72" s="84" t="str">
        <f>CONCATENATE("Product of Rows ",AS20, " and ",AS69, ", with appropriate conversion factor.")</f>
        <v>Product of Rows 20 and 69, with appropriate conversion factor.</v>
      </c>
      <c r="M72" s="129"/>
      <c r="N72"/>
      <c r="O72"/>
      <c r="P72"/>
      <c r="Q72" s="268"/>
      <c r="R72" s="268"/>
      <c r="S72" s="268"/>
      <c r="T72" s="783">
        <f t="shared" ref="T72:AQ72" si="19">ROUND(T69*T20,-2)/1000</f>
        <v>5.7</v>
      </c>
      <c r="U72" s="785">
        <f t="shared" si="19"/>
        <v>11.2</v>
      </c>
      <c r="V72" s="785">
        <f t="shared" si="19"/>
        <v>16.5</v>
      </c>
      <c r="W72" s="785">
        <f t="shared" si="19"/>
        <v>21.6</v>
      </c>
      <c r="X72" s="785">
        <f t="shared" si="19"/>
        <v>26.6</v>
      </c>
      <c r="Y72" s="785">
        <f t="shared" si="19"/>
        <v>31.7</v>
      </c>
      <c r="Z72" s="785">
        <f t="shared" si="19"/>
        <v>36.6</v>
      </c>
      <c r="AA72" s="785">
        <f t="shared" si="19"/>
        <v>41.6</v>
      </c>
      <c r="AB72" s="785">
        <f t="shared" si="19"/>
        <v>46.5</v>
      </c>
      <c r="AC72" s="785">
        <f t="shared" si="19"/>
        <v>51.4</v>
      </c>
      <c r="AD72" s="785">
        <f t="shared" si="19"/>
        <v>56.2</v>
      </c>
      <c r="AE72" s="785">
        <f t="shared" si="19"/>
        <v>61.1</v>
      </c>
      <c r="AF72" s="785">
        <f t="shared" si="19"/>
        <v>66</v>
      </c>
      <c r="AG72" s="785">
        <f t="shared" si="19"/>
        <v>71</v>
      </c>
      <c r="AH72" s="785">
        <f t="shared" si="19"/>
        <v>75.900000000000006</v>
      </c>
      <c r="AI72" s="785">
        <f t="shared" si="19"/>
        <v>80.8</v>
      </c>
      <c r="AJ72" s="785">
        <f t="shared" si="19"/>
        <v>85.8</v>
      </c>
      <c r="AK72" s="785">
        <f t="shared" si="19"/>
        <v>90.8</v>
      </c>
      <c r="AL72" s="785">
        <f t="shared" si="19"/>
        <v>95.9</v>
      </c>
      <c r="AM72" s="785">
        <f t="shared" si="19"/>
        <v>101</v>
      </c>
      <c r="AN72" s="785">
        <f t="shared" si="19"/>
        <v>106.2</v>
      </c>
      <c r="AO72" s="785">
        <f t="shared" si="19"/>
        <v>111.4</v>
      </c>
      <c r="AP72" s="785">
        <f t="shared" si="19"/>
        <v>116.7</v>
      </c>
      <c r="AQ72" s="785">
        <f t="shared" si="19"/>
        <v>124.2</v>
      </c>
      <c r="AS72" s="7">
        <f>ROW()</f>
        <v>72</v>
      </c>
    </row>
    <row r="73" spans="1:45" s="8" customFormat="1" ht="13.95" customHeight="1">
      <c r="A73"/>
      <c r="I73" s="23"/>
      <c r="J73" s="23"/>
      <c r="M73" s="129"/>
      <c r="N73" s="129"/>
      <c r="O73" s="129"/>
      <c r="P73" s="129"/>
      <c r="Q73" s="129"/>
      <c r="R73" s="129"/>
      <c r="S73" s="129"/>
      <c r="T73" s="280"/>
      <c r="U73" s="24"/>
      <c r="V73" s="24"/>
      <c r="W73" s="24"/>
      <c r="X73" s="24"/>
      <c r="Y73" s="24"/>
      <c r="Z73" s="24"/>
      <c r="AA73" s="24"/>
      <c r="AB73" s="24"/>
      <c r="AC73" s="24"/>
      <c r="AD73" s="24"/>
      <c r="AE73" s="24"/>
      <c r="AF73" s="24"/>
      <c r="AG73" s="24"/>
      <c r="AH73" s="24"/>
      <c r="AI73" s="24"/>
      <c r="AJ73" s="24"/>
      <c r="AK73" s="24"/>
      <c r="AL73" s="24"/>
      <c r="AM73" s="24"/>
      <c r="AN73" s="24"/>
      <c r="AO73" s="24"/>
      <c r="AP73" s="24"/>
      <c r="AQ73" s="24"/>
      <c r="AS73" s="7">
        <f>ROW()</f>
        <v>73</v>
      </c>
    </row>
    <row r="74" spans="1:45" ht="13.95" customHeight="1">
      <c r="B74" s="54" t="s">
        <v>162</v>
      </c>
      <c r="I74" s="286">
        <f>-Parameters!H11</f>
        <v>0.5</v>
      </c>
      <c r="J74" s="54"/>
      <c r="M74" s="67"/>
      <c r="AS74" s="7">
        <f>ROW()</f>
        <v>74</v>
      </c>
    </row>
    <row r="75" spans="1:45" ht="13.95" customHeight="1">
      <c r="B75" s="3" t="s">
        <v>103</v>
      </c>
      <c r="M75" s="67"/>
      <c r="AS75" s="7">
        <f>ROW()</f>
        <v>75</v>
      </c>
    </row>
    <row r="76" spans="1:45" ht="13.95" customHeight="1">
      <c r="B76" s="3"/>
      <c r="I76" s="4"/>
      <c r="J76" s="4"/>
      <c r="M76" s="67"/>
      <c r="AS76" s="7">
        <f>ROW()</f>
        <v>76</v>
      </c>
    </row>
    <row r="77" spans="1:45" ht="13.95" customHeight="1">
      <c r="B77" s="8" t="s">
        <v>105</v>
      </c>
      <c r="D77" t="s">
        <v>82</v>
      </c>
      <c r="M77" s="67"/>
      <c r="T77" s="282"/>
      <c r="U77" s="16"/>
      <c r="AS77" s="7">
        <f>ROW()</f>
        <v>77</v>
      </c>
    </row>
    <row r="78" spans="1:45" ht="13.95" customHeight="1">
      <c r="M78" s="67"/>
      <c r="AS78" s="7">
        <f>ROW()</f>
        <v>78</v>
      </c>
    </row>
    <row r="79" spans="1:45" ht="13.95" customHeight="1">
      <c r="B79" s="1155" t="s">
        <v>486</v>
      </c>
      <c r="C79" s="1155"/>
      <c r="D79" s="1155"/>
      <c r="E79" s="1155"/>
      <c r="F79" s="1155"/>
      <c r="G79" s="1155"/>
      <c r="H79" s="1155"/>
      <c r="J79" s="56"/>
      <c r="M79" s="67"/>
      <c r="AS79" s="7">
        <f>ROW()</f>
        <v>79</v>
      </c>
    </row>
    <row r="80" spans="1:45" ht="13.95" customHeight="1">
      <c r="B80" s="1155"/>
      <c r="C80" s="1155"/>
      <c r="D80" s="1155"/>
      <c r="E80" s="1155"/>
      <c r="F80" s="1155"/>
      <c r="G80" s="1155"/>
      <c r="H80" s="1155"/>
      <c r="J80" s="56"/>
      <c r="M80" s="67"/>
      <c r="AS80" s="7">
        <f>ROW()</f>
        <v>80</v>
      </c>
    </row>
    <row r="81" spans="1:45" ht="13.95" customHeight="1">
      <c r="M81" s="67"/>
      <c r="AS81" s="7">
        <f>ROW()</f>
        <v>81</v>
      </c>
    </row>
    <row r="82" spans="1:45" ht="13.95" customHeight="1">
      <c r="B82" s="13" t="s">
        <v>410</v>
      </c>
      <c r="F82" s="12"/>
      <c r="G82" s="12">
        <f>HLOOKUP(10,T16:AP33,18)</f>
        <v>2026</v>
      </c>
      <c r="H82" s="12"/>
      <c r="M82" s="67"/>
      <c r="AS82" s="7">
        <f>ROW()</f>
        <v>82</v>
      </c>
    </row>
    <row r="83" spans="1:45" ht="13.95" customHeight="1">
      <c r="M83" s="67"/>
      <c r="AS83" s="7">
        <f>ROW()</f>
        <v>83</v>
      </c>
    </row>
    <row r="84" spans="1:45" ht="13.95" customHeight="1">
      <c r="A84" s="13"/>
      <c r="B84" s="31" t="s">
        <v>424</v>
      </c>
      <c r="G84" s="36">
        <f>HLOOKUP(G82,T33:AP60,12)</f>
        <v>44004.648143497703</v>
      </c>
      <c r="H84" s="36"/>
      <c r="M84" s="67"/>
      <c r="AS84" s="7">
        <f>ROW()</f>
        <v>84</v>
      </c>
    </row>
    <row r="85" spans="1:45" ht="13.95" customHeight="1">
      <c r="B85" s="31" t="s">
        <v>425</v>
      </c>
      <c r="G85" s="36">
        <f>HLOOKUP(G82,T67:AP72,2)</f>
        <v>37295.175431090836</v>
      </c>
      <c r="H85" s="36"/>
      <c r="M85" s="67"/>
      <c r="AS85" s="7">
        <f>ROW()</f>
        <v>85</v>
      </c>
    </row>
    <row r="86" spans="1:45" s="13" customFormat="1" ht="13.95" customHeight="1">
      <c r="A86"/>
      <c r="B86" s="13" t="s">
        <v>5</v>
      </c>
      <c r="G86" s="37">
        <f>G85/G84</f>
        <v>0.84752809088422887</v>
      </c>
      <c r="H86" s="37"/>
      <c r="M86" s="155"/>
      <c r="N86" s="155"/>
      <c r="O86" s="155"/>
      <c r="P86" s="155"/>
      <c r="Q86" s="155"/>
      <c r="R86" s="155"/>
      <c r="S86" s="155"/>
      <c r="T86" s="279"/>
      <c r="AS86" s="7">
        <f>ROW()</f>
        <v>86</v>
      </c>
    </row>
    <row r="87" spans="1:45" ht="13.95" customHeight="1">
      <c r="M87" s="67"/>
      <c r="AS87" s="7">
        <f>ROW()</f>
        <v>87</v>
      </c>
    </row>
    <row r="88" spans="1:45" ht="13.95" customHeight="1">
      <c r="A88" s="13"/>
      <c r="B88" t="s">
        <v>0</v>
      </c>
      <c r="G88" s="20">
        <f>K65</f>
        <v>22.456286026151631</v>
      </c>
      <c r="H88" s="20"/>
      <c r="M88" s="67"/>
      <c r="AS88" s="7">
        <f>ROW()</f>
        <v>88</v>
      </c>
    </row>
    <row r="89" spans="1:45" ht="13.95" customHeight="1">
      <c r="B89" t="s">
        <v>1</v>
      </c>
      <c r="G89" s="20">
        <f>HLOOKUP(G82,T40:AP65,26)</f>
        <v>20.131365331324051</v>
      </c>
      <c r="H89" s="20"/>
      <c r="M89" s="67"/>
      <c r="AS89" s="7">
        <f>ROW()</f>
        <v>89</v>
      </c>
    </row>
    <row r="90" spans="1:45" s="13" customFormat="1" ht="13.95" customHeight="1">
      <c r="A90"/>
      <c r="B90" s="13" t="s">
        <v>5</v>
      </c>
      <c r="G90" s="37">
        <f>G89/G88</f>
        <v>0.89646904692431884</v>
      </c>
      <c r="H90" s="37"/>
      <c r="M90" s="155"/>
      <c r="N90" s="155"/>
      <c r="O90" s="155"/>
      <c r="P90" s="155"/>
      <c r="Q90" s="155"/>
      <c r="R90" s="155"/>
      <c r="S90" s="155"/>
      <c r="T90" s="279"/>
      <c r="AS90" s="7">
        <f>ROW()</f>
        <v>90</v>
      </c>
    </row>
    <row r="91" spans="1:45" ht="13.95" customHeight="1">
      <c r="G91" s="20"/>
      <c r="H91" s="20"/>
      <c r="M91" s="67"/>
      <c r="AS91" s="7">
        <f>ROW()</f>
        <v>91</v>
      </c>
    </row>
    <row r="92" spans="1:45" ht="13.95" customHeight="1">
      <c r="B92" s="3" t="s">
        <v>140</v>
      </c>
      <c r="G92" s="20"/>
      <c r="H92" s="20"/>
      <c r="M92" s="67"/>
      <c r="AS92" s="7">
        <f>ROW()</f>
        <v>92</v>
      </c>
    </row>
    <row r="93" spans="1:45" ht="13.95" customHeight="1">
      <c r="A93" s="13"/>
      <c r="B93" s="31" t="s">
        <v>426</v>
      </c>
      <c r="G93" s="36">
        <f>HLOOKUP(G82,T33:AP38,3)</f>
        <v>486.54553698624977</v>
      </c>
      <c r="H93" s="20"/>
      <c r="M93" s="67"/>
      <c r="AS93" s="7">
        <f>ROW()</f>
        <v>93</v>
      </c>
    </row>
    <row r="94" spans="1:45" ht="13.95" customHeight="1">
      <c r="A94" s="13"/>
      <c r="B94" s="31" t="s">
        <v>427</v>
      </c>
      <c r="G94" s="36">
        <f>HLOOKUP(G82,T67:AP72,3)</f>
        <v>340.50013682499349</v>
      </c>
      <c r="H94" s="20"/>
      <c r="M94" s="67"/>
      <c r="AS94" s="7">
        <f>ROW()</f>
        <v>94</v>
      </c>
    </row>
    <row r="95" spans="1:45" ht="13.95" customHeight="1">
      <c r="A95" s="13"/>
      <c r="B95" s="13" t="s">
        <v>5</v>
      </c>
      <c r="C95" s="13"/>
      <c r="D95" s="13"/>
      <c r="E95" s="13"/>
      <c r="F95" s="13"/>
      <c r="G95" s="55">
        <f>G94/G93</f>
        <v>0.6998320012020095</v>
      </c>
      <c r="H95" s="55"/>
      <c r="M95" s="67"/>
      <c r="AS95" s="7">
        <f>ROW()</f>
        <v>95</v>
      </c>
    </row>
    <row r="96" spans="1:45" ht="13.95" customHeight="1">
      <c r="G96" s="20"/>
      <c r="H96" s="20"/>
      <c r="M96" s="67"/>
      <c r="AS96" s="7">
        <f>ROW()</f>
        <v>96</v>
      </c>
    </row>
    <row r="97" spans="2:45" ht="13.95" customHeight="1">
      <c r="B97" s="13" t="s">
        <v>4</v>
      </c>
      <c r="C97" s="13"/>
      <c r="D97" s="13"/>
      <c r="E97" s="13"/>
      <c r="F97" s="13"/>
      <c r="G97" s="55">
        <f>G90*G86</f>
        <v>0.7597826998765721</v>
      </c>
      <c r="H97" s="55"/>
      <c r="M97" s="67"/>
      <c r="AS97" s="7">
        <f>ROW()</f>
        <v>97</v>
      </c>
    </row>
    <row r="98" spans="2:45" ht="13.95" customHeight="1">
      <c r="G98" s="20"/>
      <c r="H98" s="20"/>
      <c r="M98" s="67"/>
      <c r="AS98" s="7">
        <f>ROW()</f>
        <v>98</v>
      </c>
    </row>
    <row r="99" spans="2:45" ht="13.95" customHeight="1">
      <c r="B99" t="s">
        <v>109</v>
      </c>
      <c r="G99" s="20"/>
      <c r="H99" s="20"/>
      <c r="M99" s="67"/>
      <c r="AS99" s="7">
        <f>ROW()</f>
        <v>99</v>
      </c>
    </row>
    <row r="100" spans="2:45" ht="13.95" customHeight="1">
      <c r="B100" t="s">
        <v>110</v>
      </c>
      <c r="G100" s="6">
        <f>(1-G86)/(1-G90)</f>
        <v>1.4727181059012768</v>
      </c>
      <c r="H100" s="6"/>
      <c r="M100" s="67"/>
      <c r="AS100" s="7">
        <f>ROW()</f>
        <v>100</v>
      </c>
    </row>
    <row r="101" spans="2:45" ht="13.95" customHeight="1">
      <c r="M101" s="67"/>
      <c r="AS101" s="7">
        <f>ROW()</f>
        <v>101</v>
      </c>
    </row>
    <row r="102" spans="2:45" ht="13.95" customHeight="1">
      <c r="B102" s="38" t="s">
        <v>111</v>
      </c>
      <c r="C102" s="39"/>
      <c r="D102" s="39"/>
      <c r="E102" s="39"/>
      <c r="F102" s="39"/>
      <c r="G102" s="40">
        <f>G100/(1+G100)</f>
        <v>0.59558673606447687</v>
      </c>
      <c r="H102" s="102"/>
      <c r="M102" s="67"/>
      <c r="AS102" s="7">
        <f>ROW()</f>
        <v>102</v>
      </c>
    </row>
    <row r="103" spans="2:45" ht="13.95" customHeight="1">
      <c r="B103" s="41" t="s">
        <v>112</v>
      </c>
      <c r="C103" s="42"/>
      <c r="D103" s="42"/>
      <c r="E103" s="42"/>
      <c r="F103" s="42"/>
      <c r="G103" s="43">
        <f>1-G102</f>
        <v>0.40441326393552313</v>
      </c>
      <c r="H103" s="103"/>
      <c r="M103" s="67"/>
      <c r="AS103" s="7">
        <f>ROW()</f>
        <v>103</v>
      </c>
    </row>
    <row r="104" spans="2:45" ht="13.95" customHeight="1">
      <c r="M104" s="67"/>
    </row>
    <row r="105" spans="2:45" ht="13.95" customHeight="1">
      <c r="M105" s="67"/>
    </row>
    <row r="106" spans="2:45" ht="13.95" customHeight="1">
      <c r="M106" s="67"/>
    </row>
    <row r="107" spans="2:45" ht="13.95" customHeight="1">
      <c r="M107" s="67"/>
    </row>
    <row r="108" spans="2:45" ht="13.95" customHeight="1">
      <c r="M108" s="67"/>
    </row>
    <row r="109" spans="2:45" ht="13.95" customHeight="1">
      <c r="M109" s="67"/>
    </row>
    <row r="110" spans="2:45" ht="13.95" customHeight="1">
      <c r="M110" s="67"/>
    </row>
    <row r="111" spans="2:45" ht="13.95" customHeight="1">
      <c r="M111" s="67"/>
    </row>
    <row r="112" spans="2:45" ht="13.95" customHeight="1">
      <c r="M112" s="67"/>
    </row>
    <row r="113" spans="13:13" ht="13.95" customHeight="1">
      <c r="M113" s="67"/>
    </row>
    <row r="114" spans="13:13" ht="13.95" customHeight="1">
      <c r="M114" s="67"/>
    </row>
    <row r="115" spans="13:13" ht="13.95" customHeight="1">
      <c r="M115" s="67"/>
    </row>
    <row r="116" spans="13:13" ht="13.95" customHeight="1">
      <c r="M116" s="67"/>
    </row>
    <row r="117" spans="13:13" ht="13.95" customHeight="1">
      <c r="M117" s="67"/>
    </row>
    <row r="118" spans="13:13" ht="13.95" customHeight="1">
      <c r="M118" s="67"/>
    </row>
    <row r="119" spans="13:13" ht="13.95" customHeight="1">
      <c r="M119" s="67"/>
    </row>
    <row r="120" spans="13:13" ht="13.95" customHeight="1">
      <c r="M120" s="67"/>
    </row>
    <row r="121" spans="13:13" ht="13.95" customHeight="1">
      <c r="M121" s="67"/>
    </row>
    <row r="122" spans="13:13" ht="13.95" customHeight="1">
      <c r="M122" s="67"/>
    </row>
    <row r="123" spans="13:13" ht="13.95" customHeight="1">
      <c r="M123" s="67"/>
    </row>
    <row r="124" spans="13:13" ht="13.95" customHeight="1">
      <c r="M124" s="67"/>
    </row>
    <row r="125" spans="13:13" ht="13.95" customHeight="1">
      <c r="M125" s="67"/>
    </row>
    <row r="126" spans="13:13" ht="13.95" customHeight="1">
      <c r="M126" s="67"/>
    </row>
    <row r="127" spans="13:13" ht="13.95" customHeight="1">
      <c r="M127" s="67"/>
    </row>
    <row r="128" spans="13:13" ht="13.95" customHeight="1">
      <c r="M128" s="67"/>
    </row>
    <row r="129" spans="13:13" ht="13.95" customHeight="1">
      <c r="M129" s="67"/>
    </row>
    <row r="130" spans="13:13" ht="13.95" customHeight="1">
      <c r="M130" s="67"/>
    </row>
    <row r="131" spans="13:13" ht="13.95" customHeight="1">
      <c r="M131" s="67"/>
    </row>
    <row r="132" spans="13:13" ht="13.95" customHeight="1">
      <c r="M132" s="67"/>
    </row>
    <row r="133" spans="13:13" ht="13.95" customHeight="1">
      <c r="M133" s="67"/>
    </row>
    <row r="134" spans="13:13" ht="13.95" customHeight="1">
      <c r="M134" s="67"/>
    </row>
    <row r="135" spans="13:13" ht="13.95" customHeight="1">
      <c r="M135" s="67"/>
    </row>
    <row r="136" spans="13:13" ht="13.95" customHeight="1">
      <c r="M136" s="67"/>
    </row>
    <row r="137" spans="13:13" ht="13.95" customHeight="1">
      <c r="M137" s="67"/>
    </row>
    <row r="138" spans="13:13" ht="13.95" customHeight="1">
      <c r="M138" s="67"/>
    </row>
    <row r="139" spans="13:13" ht="13.95" customHeight="1">
      <c r="M139" s="67"/>
    </row>
    <row r="140" spans="13:13" ht="13.95" customHeight="1">
      <c r="M140" s="67"/>
    </row>
    <row r="141" spans="13:13" ht="13.95" customHeight="1">
      <c r="M141" s="67"/>
    </row>
    <row r="142" spans="13:13" ht="13.95" customHeight="1">
      <c r="M142" s="67"/>
    </row>
    <row r="143" spans="13:13" ht="13.95" customHeight="1">
      <c r="M143" s="67"/>
    </row>
    <row r="144" spans="13:13" ht="13.95" customHeight="1">
      <c r="M144" s="67"/>
    </row>
    <row r="145" spans="13:13" ht="13.95" customHeight="1">
      <c r="M145" s="67"/>
    </row>
    <row r="146" spans="13:13" ht="13.95" customHeight="1">
      <c r="M146" s="67"/>
    </row>
    <row r="147" spans="13:13" ht="13.95" customHeight="1">
      <c r="M147" s="67"/>
    </row>
    <row r="148" spans="13:13" ht="13.95" customHeight="1">
      <c r="M148" s="67"/>
    </row>
    <row r="149" spans="13:13" ht="13.95" customHeight="1">
      <c r="M149" s="67"/>
    </row>
    <row r="150" spans="13:13" ht="13.95" customHeight="1">
      <c r="M150" s="67"/>
    </row>
    <row r="151" spans="13:13" ht="13.95" customHeight="1">
      <c r="M151" s="67"/>
    </row>
    <row r="152" spans="13:13" ht="13.95" customHeight="1">
      <c r="M152" s="67"/>
    </row>
    <row r="153" spans="13:13" ht="13.95" customHeight="1">
      <c r="M153" s="67"/>
    </row>
    <row r="154" spans="13:13" ht="13.95" customHeight="1">
      <c r="M154" s="67"/>
    </row>
    <row r="155" spans="13:13" ht="13.95" customHeight="1">
      <c r="M155" s="67"/>
    </row>
    <row r="156" spans="13:13" ht="13.95" customHeight="1">
      <c r="M156" s="67"/>
    </row>
    <row r="157" spans="13:13" ht="13.95" customHeight="1">
      <c r="M157" s="67"/>
    </row>
    <row r="158" spans="13:13" ht="13.95" customHeight="1">
      <c r="M158" s="67"/>
    </row>
    <row r="159" spans="13:13" ht="13.95" customHeight="1">
      <c r="M159" s="67"/>
    </row>
  </sheetData>
  <mergeCells count="19">
    <mergeCell ref="B51:P52"/>
    <mergeCell ref="B79:H80"/>
    <mergeCell ref="O10:O13"/>
    <mergeCell ref="Q10:Q13"/>
    <mergeCell ref="T10:T13"/>
    <mergeCell ref="K10:K13"/>
    <mergeCell ref="L10:L13"/>
    <mergeCell ref="M10:M13"/>
    <mergeCell ref="N10:N13"/>
    <mergeCell ref="P10:P13"/>
    <mergeCell ref="B38:Q39"/>
    <mergeCell ref="S10:S13"/>
    <mergeCell ref="R10:R13"/>
    <mergeCell ref="K3:O3"/>
    <mergeCell ref="G4:I6"/>
    <mergeCell ref="B10:H11"/>
    <mergeCell ref="I10:I13"/>
    <mergeCell ref="J10:J13"/>
    <mergeCell ref="B4:F6"/>
  </mergeCells>
  <printOptions gridLines="1"/>
  <pageMargins left="0.2" right="0.2" top="0.4" bottom="0.25" header="0.5" footer="0.5"/>
  <pageSetup orientation="landscape" verticalDpi="0" r:id="rId1"/>
</worksheet>
</file>

<file path=xl/worksheets/sheet12.xml><?xml version="1.0" encoding="utf-8"?>
<worksheet xmlns="http://schemas.openxmlformats.org/spreadsheetml/2006/main" xmlns:r="http://schemas.openxmlformats.org/officeDocument/2006/relationships">
  <dimension ref="A1:AS24681"/>
  <sheetViews>
    <sheetView zoomScaleNormal="100" workbookViewId="0"/>
  </sheetViews>
  <sheetFormatPr defaultColWidth="9" defaultRowHeight="13.95" customHeight="1"/>
  <cols>
    <col min="1" max="1" width="2.625" customWidth="1"/>
    <col min="2" max="12" width="9.25" customWidth="1"/>
    <col min="13" max="13" width="9.25" style="26" customWidth="1"/>
    <col min="14" max="16" width="9.25" style="67" customWidth="1"/>
    <col min="17" max="17" width="9.25" style="26" customWidth="1"/>
    <col min="18" max="19" width="9.25" style="67" customWidth="1"/>
    <col min="20" max="43" width="9.25" customWidth="1"/>
    <col min="45" max="45" width="2.375" customWidth="1"/>
  </cols>
  <sheetData>
    <row r="1" spans="2:45" ht="13.95" customHeight="1">
      <c r="B1" s="57" t="s">
        <v>9</v>
      </c>
      <c r="M1" s="67"/>
      <c r="O1" s="215">
        <f>Summary!I1</f>
        <v>42552</v>
      </c>
      <c r="Q1" s="67"/>
      <c r="S1" s="26"/>
      <c r="AS1" s="7">
        <f>ROW()</f>
        <v>1</v>
      </c>
    </row>
    <row r="2" spans="2:45" ht="13.95" customHeight="1">
      <c r="B2" s="1"/>
      <c r="M2"/>
      <c r="N2"/>
      <c r="O2"/>
      <c r="P2"/>
      <c r="Q2" s="67"/>
      <c r="S2" s="26"/>
      <c r="AS2" s="7">
        <f>ROW()</f>
        <v>2</v>
      </c>
    </row>
    <row r="3" spans="2:45" ht="13.95" customHeight="1">
      <c r="K3" s="1257" t="str">
        <f>CONCATENATE("Tax Inputs (copied from 'Summary' Tab, Rows ",Summary!AR53,"-",Summary!AR73,")")</f>
        <v>Tax Inputs (copied from 'Summary' Tab, Rows 53-73)</v>
      </c>
      <c r="L3" s="1258"/>
      <c r="M3" s="1258"/>
      <c r="N3" s="1258"/>
      <c r="O3" s="1259"/>
      <c r="Q3" s="67"/>
      <c r="S3" s="26"/>
      <c r="AS3" s="7">
        <f>ROW()</f>
        <v>3</v>
      </c>
    </row>
    <row r="4" spans="2:45" ht="13.95" customHeight="1">
      <c r="B4" s="1255" t="s">
        <v>147</v>
      </c>
      <c r="C4" s="1155"/>
      <c r="D4" s="1155"/>
      <c r="E4" s="1155"/>
      <c r="F4" s="1155"/>
      <c r="G4" s="1255" t="s">
        <v>417</v>
      </c>
      <c r="H4" s="1155"/>
      <c r="I4" s="1155"/>
      <c r="K4" s="848" t="s">
        <v>360</v>
      </c>
      <c r="L4" s="849"/>
      <c r="M4" s="849"/>
      <c r="N4" s="849"/>
      <c r="O4" s="850">
        <f>Summary!I56</f>
        <v>11.337868480725623</v>
      </c>
      <c r="P4" s="532"/>
      <c r="Q4" s="67"/>
      <c r="S4" s="26"/>
      <c r="AS4" s="7">
        <f>ROW()</f>
        <v>4</v>
      </c>
    </row>
    <row r="5" spans="2:45" ht="13.95" customHeight="1">
      <c r="B5" s="1155"/>
      <c r="C5" s="1155"/>
      <c r="D5" s="1155"/>
      <c r="E5" s="1155"/>
      <c r="F5" s="1155"/>
      <c r="G5" s="1155"/>
      <c r="H5" s="1155"/>
      <c r="I5" s="1155"/>
      <c r="K5" s="848" t="s">
        <v>361</v>
      </c>
      <c r="L5" s="849"/>
      <c r="M5" s="849"/>
      <c r="N5" s="849"/>
      <c r="O5" s="851" t="str">
        <f>IF(Summary!I58=1,"By Constant Amount","By Constant Percent")</f>
        <v>By Constant Amount</v>
      </c>
      <c r="P5" s="178"/>
      <c r="Q5" s="67"/>
      <c r="S5" s="26"/>
      <c r="AS5" s="7">
        <f>ROW()</f>
        <v>5</v>
      </c>
    </row>
    <row r="6" spans="2:45" ht="13.95" customHeight="1">
      <c r="B6" s="1155"/>
      <c r="C6" s="1155"/>
      <c r="D6" s="1155"/>
      <c r="E6" s="1155"/>
      <c r="F6" s="1155"/>
      <c r="G6" s="1155"/>
      <c r="H6" s="1155"/>
      <c r="I6" s="1155"/>
      <c r="K6" s="848" t="s">
        <v>362</v>
      </c>
      <c r="L6" s="849"/>
      <c r="M6" s="849"/>
      <c r="N6" s="849"/>
      <c r="O6" s="850" t="str">
        <f>IF(Summary!$I$58=1,CONCATENATE("$",ROUND(Summary!$I$60,2),""),CONCATENATE("",Summary!$I$64*100,"%"))</f>
        <v>$11.34</v>
      </c>
      <c r="P6" s="532"/>
      <c r="Q6" s="67"/>
      <c r="S6" s="26"/>
      <c r="AS6" s="7">
        <f>ROW()</f>
        <v>6</v>
      </c>
    </row>
    <row r="7" spans="2:45" ht="13.95" customHeight="1">
      <c r="B7" s="13"/>
      <c r="H7" s="3"/>
      <c r="K7" s="848" t="s">
        <v>363</v>
      </c>
      <c r="L7" s="849"/>
      <c r="M7" s="849"/>
      <c r="N7" s="849"/>
      <c r="O7" s="851" t="str">
        <f>Summary!I69</f>
        <v>real</v>
      </c>
      <c r="P7" s="178"/>
      <c r="Q7" s="67"/>
      <c r="S7" s="26"/>
      <c r="AS7" s="7">
        <f>ROW()</f>
        <v>7</v>
      </c>
    </row>
    <row r="8" spans="2:45" ht="13.95" customHeight="1">
      <c r="B8" s="312" t="str">
        <f>CONCATENATE("This worksheet is pre-formatted to print to four pages. Print area extends to ",AL14, ".")</f>
        <v>This worksheet is pre-formatted to print to four pages. Print area extends to 2035.</v>
      </c>
      <c r="H8" s="3"/>
      <c r="K8" s="852" t="s">
        <v>884</v>
      </c>
      <c r="L8" s="853"/>
      <c r="M8" s="853"/>
      <c r="N8" s="853"/>
      <c r="O8" s="854">
        <f>Summary!I73</f>
        <v>12.5</v>
      </c>
      <c r="P8" s="178"/>
      <c r="Q8" s="67"/>
      <c r="S8" s="26"/>
      <c r="AS8" s="7">
        <f>ROW()</f>
        <v>8</v>
      </c>
    </row>
    <row r="9" spans="2:45" ht="13.95" customHeight="1">
      <c r="B9" s="13"/>
      <c r="H9" s="3"/>
      <c r="J9" s="51"/>
      <c r="M9"/>
      <c r="N9"/>
      <c r="O9"/>
      <c r="P9"/>
      <c r="Q9" s="67"/>
      <c r="S9" s="250"/>
      <c r="T9" s="50"/>
      <c r="U9" s="12"/>
      <c r="V9" s="12"/>
      <c r="W9" s="12"/>
      <c r="X9" s="12"/>
      <c r="Y9" s="12"/>
      <c r="Z9" s="12"/>
      <c r="AA9" s="12"/>
      <c r="AB9" s="12"/>
      <c r="AC9" s="12"/>
      <c r="AD9" s="12"/>
      <c r="AE9" s="12"/>
      <c r="AF9" s="12"/>
      <c r="AG9" s="12"/>
      <c r="AH9" s="12"/>
      <c r="AI9" s="12"/>
      <c r="AJ9" s="12"/>
      <c r="AK9" s="12"/>
      <c r="AL9" s="12"/>
      <c r="AM9" s="12"/>
      <c r="AN9" s="12"/>
      <c r="AO9" s="12"/>
      <c r="AP9" s="12"/>
      <c r="AQ9" s="12"/>
      <c r="AS9" s="7">
        <f>ROW()</f>
        <v>9</v>
      </c>
    </row>
    <row r="10" spans="2:45" ht="13.95" customHeight="1">
      <c r="B10" s="1277" t="s">
        <v>834</v>
      </c>
      <c r="C10" s="1145"/>
      <c r="D10" s="1145"/>
      <c r="E10" s="1145"/>
      <c r="F10" s="1145"/>
      <c r="G10" s="1145"/>
      <c r="H10" s="1145"/>
      <c r="I10" s="1125" t="s">
        <v>157</v>
      </c>
      <c r="J10" s="1125" t="s">
        <v>157</v>
      </c>
      <c r="K10" s="1125" t="s">
        <v>157</v>
      </c>
      <c r="L10" s="1125" t="s">
        <v>157</v>
      </c>
      <c r="M10" s="1125" t="s">
        <v>157</v>
      </c>
      <c r="N10" s="1125" t="s">
        <v>157</v>
      </c>
      <c r="O10" s="1125" t="s">
        <v>157</v>
      </c>
      <c r="P10" s="1125" t="s">
        <v>157</v>
      </c>
      <c r="Q10" s="1125" t="s">
        <v>157</v>
      </c>
      <c r="R10" s="1125" t="s">
        <v>157</v>
      </c>
      <c r="S10" s="1109" t="s">
        <v>366</v>
      </c>
      <c r="T10" s="1316" t="s">
        <v>80</v>
      </c>
      <c r="AS10" s="7">
        <f>ROW()</f>
        <v>10</v>
      </c>
    </row>
    <row r="11" spans="2:45" ht="13.95" customHeight="1">
      <c r="B11" s="1145"/>
      <c r="C11" s="1145"/>
      <c r="D11" s="1145"/>
      <c r="E11" s="1145"/>
      <c r="F11" s="1145"/>
      <c r="G11" s="1145"/>
      <c r="H11" s="1145"/>
      <c r="I11" s="1126"/>
      <c r="J11" s="1126"/>
      <c r="K11" s="1126"/>
      <c r="L11" s="1126"/>
      <c r="M11" s="1126"/>
      <c r="N11" s="1126"/>
      <c r="O11" s="1126"/>
      <c r="P11" s="1126"/>
      <c r="Q11" s="1126"/>
      <c r="R11" s="1126"/>
      <c r="S11" s="1110"/>
      <c r="T11" s="1317"/>
      <c r="AS11" s="7">
        <f>ROW()</f>
        <v>11</v>
      </c>
    </row>
    <row r="12" spans="2:45" ht="13.95" customHeight="1">
      <c r="I12" s="1126"/>
      <c r="J12" s="1126"/>
      <c r="K12" s="1126"/>
      <c r="L12" s="1126"/>
      <c r="M12" s="1126"/>
      <c r="N12" s="1126"/>
      <c r="O12" s="1126"/>
      <c r="P12" s="1126"/>
      <c r="Q12" s="1126"/>
      <c r="R12" s="1126"/>
      <c r="S12" s="1110"/>
      <c r="T12" s="1317"/>
      <c r="AS12" s="7">
        <f>ROW()</f>
        <v>12</v>
      </c>
    </row>
    <row r="13" spans="2:45" ht="13.95" customHeight="1">
      <c r="B13" s="52" t="s">
        <v>415</v>
      </c>
      <c r="H13" s="51"/>
      <c r="I13" s="1126"/>
      <c r="J13" s="1126"/>
      <c r="K13" s="1126"/>
      <c r="L13" s="1126"/>
      <c r="M13" s="1126"/>
      <c r="N13" s="1126"/>
      <c r="O13" s="1126"/>
      <c r="P13" s="1126"/>
      <c r="Q13" s="1126"/>
      <c r="R13" s="1126"/>
      <c r="S13" s="1111"/>
      <c r="T13" s="1318"/>
      <c r="AS13" s="7">
        <f>ROW()</f>
        <v>13</v>
      </c>
    </row>
    <row r="14" spans="2:45" ht="13.95" customHeight="1">
      <c r="B14" s="58" t="s">
        <v>414</v>
      </c>
      <c r="I14" s="122">
        <f>Summary!I110</f>
        <v>2005</v>
      </c>
      <c r="J14" s="122">
        <f>Summary!J110</f>
        <v>2006</v>
      </c>
      <c r="K14" s="122">
        <f>Summary!K110</f>
        <v>2007</v>
      </c>
      <c r="L14" s="122">
        <f>Summary!L110</f>
        <v>2008</v>
      </c>
      <c r="M14" s="122">
        <f>Summary!M110</f>
        <v>2009</v>
      </c>
      <c r="N14" s="122">
        <f>Summary!N110</f>
        <v>2010</v>
      </c>
      <c r="O14" s="122">
        <f>Summary!O110</f>
        <v>2011</v>
      </c>
      <c r="P14" s="122">
        <f>Summary!P110</f>
        <v>2012</v>
      </c>
      <c r="Q14" s="122">
        <f>Summary!Q110</f>
        <v>2013</v>
      </c>
      <c r="R14" s="212">
        <f>Summary!R110</f>
        <v>2014</v>
      </c>
      <c r="S14" s="212">
        <f>Summary!S110</f>
        <v>2015</v>
      </c>
      <c r="T14" s="249">
        <f>Summary!T110</f>
        <v>2017</v>
      </c>
      <c r="U14" s="12">
        <f t="shared" ref="U14:AQ14" si="0">T14+1</f>
        <v>2018</v>
      </c>
      <c r="V14" s="12">
        <f t="shared" si="0"/>
        <v>2019</v>
      </c>
      <c r="W14" s="12">
        <f t="shared" si="0"/>
        <v>2020</v>
      </c>
      <c r="X14" s="12">
        <f t="shared" si="0"/>
        <v>2021</v>
      </c>
      <c r="Y14" s="12">
        <f t="shared" si="0"/>
        <v>2022</v>
      </c>
      <c r="Z14" s="12">
        <f t="shared" si="0"/>
        <v>2023</v>
      </c>
      <c r="AA14" s="12">
        <f t="shared" si="0"/>
        <v>2024</v>
      </c>
      <c r="AB14" s="12">
        <f t="shared" si="0"/>
        <v>2025</v>
      </c>
      <c r="AC14" s="12">
        <f t="shared" si="0"/>
        <v>2026</v>
      </c>
      <c r="AD14" s="12">
        <f t="shared" si="0"/>
        <v>2027</v>
      </c>
      <c r="AE14" s="12">
        <f t="shared" si="0"/>
        <v>2028</v>
      </c>
      <c r="AF14" s="12">
        <f t="shared" si="0"/>
        <v>2029</v>
      </c>
      <c r="AG14" s="12">
        <f t="shared" si="0"/>
        <v>2030</v>
      </c>
      <c r="AH14" s="12">
        <f t="shared" si="0"/>
        <v>2031</v>
      </c>
      <c r="AI14" s="12">
        <f t="shared" si="0"/>
        <v>2032</v>
      </c>
      <c r="AJ14" s="12">
        <f t="shared" si="0"/>
        <v>2033</v>
      </c>
      <c r="AK14" s="12">
        <f t="shared" si="0"/>
        <v>2034</v>
      </c>
      <c r="AL14" s="12">
        <f t="shared" si="0"/>
        <v>2035</v>
      </c>
      <c r="AM14" s="12">
        <f t="shared" si="0"/>
        <v>2036</v>
      </c>
      <c r="AN14" s="12">
        <f t="shared" si="0"/>
        <v>2037</v>
      </c>
      <c r="AO14" s="12">
        <f t="shared" si="0"/>
        <v>2038</v>
      </c>
      <c r="AP14" s="12">
        <f t="shared" si="0"/>
        <v>2039</v>
      </c>
      <c r="AQ14" s="12">
        <f t="shared" si="0"/>
        <v>2040</v>
      </c>
      <c r="AS14" s="7">
        <f>ROW()</f>
        <v>14</v>
      </c>
    </row>
    <row r="15" spans="2:45" ht="13.95" customHeight="1">
      <c r="H15" s="51"/>
      <c r="I15" s="51"/>
      <c r="J15" s="51"/>
      <c r="K15" s="12"/>
      <c r="L15" s="151"/>
      <c r="M15" s="151"/>
      <c r="N15" s="151"/>
      <c r="O15" s="151"/>
      <c r="P15" s="151"/>
      <c r="Q15" s="67"/>
      <c r="T15" s="240"/>
      <c r="U15" s="12"/>
      <c r="V15" s="12"/>
      <c r="W15" s="12"/>
      <c r="X15" s="12"/>
      <c r="Y15" s="12"/>
      <c r="Z15" s="12"/>
      <c r="AA15" s="12"/>
      <c r="AB15" s="12"/>
      <c r="AC15" s="12"/>
      <c r="AD15" s="12"/>
      <c r="AE15" s="12"/>
      <c r="AF15" s="12"/>
      <c r="AG15" s="12"/>
      <c r="AH15" s="12"/>
      <c r="AI15" s="12"/>
      <c r="AJ15" s="12"/>
      <c r="AK15" s="12"/>
      <c r="AL15" s="12"/>
      <c r="AM15" s="12"/>
      <c r="AN15" s="12"/>
      <c r="AO15" s="12"/>
      <c r="AP15" s="12"/>
      <c r="AQ15" s="12"/>
      <c r="AS15" s="7">
        <f>ROW()</f>
        <v>15</v>
      </c>
    </row>
    <row r="16" spans="2:45" s="802" customFormat="1" ht="13.8" customHeight="1">
      <c r="B16" s="802" t="s">
        <v>187</v>
      </c>
      <c r="M16" s="807">
        <f>Summary!$P79</f>
        <v>0</v>
      </c>
      <c r="N16" s="807">
        <f>Summary!$P79</f>
        <v>0</v>
      </c>
      <c r="O16" s="807">
        <f>Summary!$P79</f>
        <v>0</v>
      </c>
      <c r="P16" s="807">
        <f>Summary!P79</f>
        <v>0</v>
      </c>
      <c r="Q16" s="807">
        <f>Summary!Q79</f>
        <v>0</v>
      </c>
      <c r="R16" s="807">
        <f>Summary!R79</f>
        <v>0</v>
      </c>
      <c r="S16" s="807">
        <f>Summary!S79</f>
        <v>0</v>
      </c>
      <c r="T16" s="808">
        <f>Summary!T79</f>
        <v>1</v>
      </c>
      <c r="U16" s="802">
        <f>Summary!U79</f>
        <v>2</v>
      </c>
      <c r="V16" s="802">
        <f>Summary!V79</f>
        <v>3</v>
      </c>
      <c r="W16" s="802">
        <f>Summary!W79</f>
        <v>4</v>
      </c>
      <c r="X16" s="802">
        <f>Summary!X79</f>
        <v>5</v>
      </c>
      <c r="Y16" s="802">
        <f>Summary!Y79</f>
        <v>6</v>
      </c>
      <c r="Z16" s="802">
        <f>Summary!Z79</f>
        <v>7</v>
      </c>
      <c r="AA16" s="802">
        <f>Summary!AA79</f>
        <v>8</v>
      </c>
      <c r="AB16" s="802">
        <f>Summary!AB79</f>
        <v>9</v>
      </c>
      <c r="AC16" s="802">
        <f>Summary!AC79</f>
        <v>10</v>
      </c>
      <c r="AD16" s="802">
        <f>Summary!AD79</f>
        <v>11</v>
      </c>
      <c r="AE16" s="802">
        <f>Summary!AE79</f>
        <v>12</v>
      </c>
      <c r="AF16" s="802">
        <f>Summary!AF79</f>
        <v>13</v>
      </c>
      <c r="AG16" s="802">
        <f>Summary!AG79</f>
        <v>14</v>
      </c>
      <c r="AH16" s="802">
        <f>Summary!AH79</f>
        <v>15</v>
      </c>
      <c r="AI16" s="802">
        <f>Summary!AI79</f>
        <v>16</v>
      </c>
      <c r="AJ16" s="802">
        <f>Summary!AJ79</f>
        <v>17</v>
      </c>
      <c r="AK16" s="802">
        <f>Summary!AK79</f>
        <v>18</v>
      </c>
      <c r="AL16" s="802">
        <f>Summary!AL79</f>
        <v>19</v>
      </c>
      <c r="AM16" s="802">
        <f>Summary!AM79</f>
        <v>20</v>
      </c>
      <c r="AN16" s="802">
        <f>Summary!AN79</f>
        <v>21</v>
      </c>
      <c r="AO16" s="802">
        <f>Summary!AO79</f>
        <v>22</v>
      </c>
      <c r="AP16" s="802">
        <f>Summary!AP79</f>
        <v>23</v>
      </c>
      <c r="AQ16" s="802">
        <f>Summary!AQ79</f>
        <v>24</v>
      </c>
      <c r="AS16" s="7">
        <f>ROW()</f>
        <v>16</v>
      </c>
    </row>
    <row r="17" spans="2:45" ht="13.95" customHeight="1">
      <c r="B17" s="802" t="s">
        <v>847</v>
      </c>
      <c r="H17" s="2"/>
      <c r="I17" s="2"/>
      <c r="J17" s="2"/>
      <c r="L17" s="363"/>
      <c r="M17"/>
      <c r="N17"/>
      <c r="O17"/>
      <c r="P17"/>
      <c r="Q17"/>
      <c r="S17" s="26"/>
      <c r="AR17" s="67"/>
      <c r="AS17" s="6">
        <f>ROW()</f>
        <v>17</v>
      </c>
    </row>
    <row r="18" spans="2:45" ht="13.95" customHeight="1">
      <c r="B18" s="803" t="str">
        <f>CONCATENATE("Tax in year shown, in nominal $, per ton of CO2 (taken directly from 'Summary' tab, Row ",Summary!AR82, ")")</f>
        <v>Tax in year shown, in nominal $, per ton of CO2 (taken directly from 'Summary' tab, Row 82)</v>
      </c>
      <c r="L18" s="67"/>
      <c r="M18" s="363"/>
      <c r="N18" s="363"/>
      <c r="O18" s="363"/>
      <c r="P18" s="363"/>
      <c r="Q18" s="363"/>
      <c r="R18" s="363"/>
      <c r="S18" s="363"/>
      <c r="T18" s="522">
        <f>Summary!T82</f>
        <v>11.337868480725623</v>
      </c>
      <c r="U18" s="363">
        <f>Summary!U82</f>
        <v>23.153901748198756</v>
      </c>
      <c r="V18" s="363">
        <f>Summary!V82</f>
        <v>35.463224441830718</v>
      </c>
      <c r="W18" s="363">
        <f>Summary!W82</f>
        <v>48.28138644674759</v>
      </c>
      <c r="X18" s="363">
        <f>Summary!X82</f>
        <v>61.624374102771327</v>
      </c>
      <c r="Y18" s="363">
        <f>Summary!Y82</f>
        <v>75.508621697038407</v>
      </c>
      <c r="Z18" s="363">
        <f>Summary!Z82</f>
        <v>89.951023247233749</v>
      </c>
      <c r="AA18" s="363">
        <f>Summary!AA82</f>
        <v>104.96894458258619</v>
      </c>
      <c r="AB18" s="363">
        <f>Summary!AB82</f>
        <v>120.58023572994358</v>
      </c>
      <c r="AC18" s="363">
        <f>Summary!AC82</f>
        <v>136.80324361242219</v>
      </c>
      <c r="AD18" s="363">
        <f>Summary!AD82</f>
        <v>153.65682506830512</v>
      </c>
      <c r="AE18" s="363">
        <f>Summary!AE82</f>
        <v>171.1603601980494</v>
      </c>
      <c r="AF18" s="363">
        <f>Summary!AF82</f>
        <v>189.33376604745069</v>
      </c>
      <c r="AG18" s="363">
        <f>Summary!AG82</f>
        <v>208.19751063520698</v>
      </c>
      <c r="AH18" s="363">
        <f>Summary!AH82</f>
        <v>227.77262733332276</v>
      </c>
      <c r="AI18" s="363">
        <f>Summary!AI82</f>
        <v>248.08072960899591</v>
      </c>
      <c r="AJ18" s="363">
        <f>Summary!AJ82</f>
        <v>269.1440261368387</v>
      </c>
      <c r="AK18" s="363">
        <f>Summary!AK82</f>
        <v>290.98533629049541</v>
      </c>
      <c r="AL18" s="363">
        <f>Summary!AL82</f>
        <v>313.62810602293854</v>
      </c>
      <c r="AM18" s="363">
        <f>Summary!AM82</f>
        <v>337.09642414494658</v>
      </c>
      <c r="AN18" s="363">
        <f>Summary!AN82</f>
        <v>361.41503901149451</v>
      </c>
      <c r="AO18" s="363">
        <f>Summary!AO82</f>
        <v>386.60937562602271</v>
      </c>
      <c r="AP18" s="363">
        <f>Summary!AP82</f>
        <v>412.70555317278786</v>
      </c>
      <c r="AQ18" s="363">
        <f>Summary!AQ82</f>
        <v>439.73040298774407</v>
      </c>
      <c r="AS18" s="7">
        <f>ROW()</f>
        <v>18</v>
      </c>
    </row>
    <row r="19" spans="2:45" s="31" customFormat="1" ht="13.95" customHeight="1">
      <c r="B19" s="803" t="str">
        <f>CONCATENATE("Tax equivalent, in constant ",S$14, "$, per ton of CO2 (taken directly from 'Summary' tab, Row ",Summary!AR83, ")")</f>
        <v>Tax equivalent, in constant 2015$, per ton of CO2 (taken directly from 'Summary' tab, Row 83)</v>
      </c>
      <c r="H19" s="17"/>
      <c r="I19" s="17"/>
      <c r="J19" s="17"/>
      <c r="M19" s="399"/>
      <c r="N19" s="399"/>
      <c r="O19" s="399"/>
      <c r="P19" s="399"/>
      <c r="Q19" s="399"/>
      <c r="R19" s="399"/>
      <c r="S19" s="399"/>
      <c r="T19" s="522">
        <f>Summary!T83</f>
        <v>10.87441401983205</v>
      </c>
      <c r="U19" s="363">
        <f>Summary!U83</f>
        <v>21.748828039664104</v>
      </c>
      <c r="V19" s="363">
        <f>Summary!V83</f>
        <v>32.623242059496157</v>
      </c>
      <c r="W19" s="363">
        <f>Summary!W83</f>
        <v>43.497656079328209</v>
      </c>
      <c r="X19" s="363">
        <f>Summary!X83</f>
        <v>54.372070099160254</v>
      </c>
      <c r="Y19" s="363">
        <f>Summary!Y83</f>
        <v>65.246484118992299</v>
      </c>
      <c r="Z19" s="363">
        <f>Summary!Z83</f>
        <v>76.120898138824344</v>
      </c>
      <c r="AA19" s="363">
        <f>Summary!AA83</f>
        <v>86.995312158656404</v>
      </c>
      <c r="AB19" s="363">
        <f>Summary!AB83</f>
        <v>97.869726178488449</v>
      </c>
      <c r="AC19" s="363">
        <f>Summary!AC83</f>
        <v>108.74414019832052</v>
      </c>
      <c r="AD19" s="363">
        <f>Summary!AD83</f>
        <v>119.61855421815258</v>
      </c>
      <c r="AE19" s="363">
        <f>Summary!AE83</f>
        <v>130.4929682379846</v>
      </c>
      <c r="AF19" s="363">
        <f>Summary!AF83</f>
        <v>141.36738225781667</v>
      </c>
      <c r="AG19" s="363">
        <f>Summary!AG83</f>
        <v>152.24179627764875</v>
      </c>
      <c r="AH19" s="363">
        <f>Summary!AH83</f>
        <v>163.11621029748079</v>
      </c>
      <c r="AI19" s="363">
        <f>Summary!AI83</f>
        <v>173.99062431731281</v>
      </c>
      <c r="AJ19" s="363">
        <f>Summary!AJ83</f>
        <v>184.86503833714488</v>
      </c>
      <c r="AK19" s="363">
        <f>Summary!AK83</f>
        <v>195.73945235697698</v>
      </c>
      <c r="AL19" s="363">
        <f>Summary!AL83</f>
        <v>206.61386637680897</v>
      </c>
      <c r="AM19" s="363">
        <f>Summary!AM83</f>
        <v>217.48828039664099</v>
      </c>
      <c r="AN19" s="363">
        <f>Summary!AN83</f>
        <v>228.36269441647306</v>
      </c>
      <c r="AO19" s="363">
        <f>Summary!AO83</f>
        <v>239.23710843630516</v>
      </c>
      <c r="AP19" s="363">
        <f>Summary!AP83</f>
        <v>250.11152245613718</v>
      </c>
      <c r="AQ19" s="363">
        <f>Summary!AQ83</f>
        <v>260.9859364759692</v>
      </c>
      <c r="AS19" s="81">
        <f>ROW()</f>
        <v>19</v>
      </c>
    </row>
    <row r="20" spans="2:45" s="31" customFormat="1" ht="13.95" customHeight="1">
      <c r="B20" s="803" t="s">
        <v>857</v>
      </c>
      <c r="H20" s="17"/>
      <c r="I20" s="17"/>
      <c r="J20" s="17"/>
      <c r="M20" s="399"/>
      <c r="N20" s="399"/>
      <c r="O20" s="399"/>
      <c r="P20" s="399"/>
      <c r="Q20" s="399"/>
      <c r="R20" s="399"/>
      <c r="S20" s="364"/>
      <c r="T20" s="363">
        <f>T18*Parameters!$I$18/2000</f>
        <v>12.5</v>
      </c>
      <c r="U20" s="363">
        <f>U18*Parameters!$I$18/2000</f>
        <v>25.527176677389129</v>
      </c>
      <c r="V20" s="363">
        <f>V18*Parameters!$I$18/2000</f>
        <v>39.098204947118361</v>
      </c>
      <c r="W20" s="363">
        <f>W18*Parameters!$I$18/2000</f>
        <v>53.230228557539213</v>
      </c>
      <c r="X20" s="363">
        <f>X18*Parameters!$I$18/2000</f>
        <v>67.940872448305385</v>
      </c>
      <c r="Y20" s="363">
        <f>Y18*Parameters!$I$18/2000</f>
        <v>83.248255420984847</v>
      </c>
      <c r="Z20" s="363">
        <f>Z18*Parameters!$I$18/2000</f>
        <v>99.171003130075206</v>
      </c>
      <c r="AA20" s="363">
        <f>AA18*Parameters!$I$18/2000</f>
        <v>115.72826140230127</v>
      </c>
      <c r="AB20" s="363">
        <f>AB18*Parameters!$I$18/2000</f>
        <v>132.93970989226278</v>
      </c>
      <c r="AC20" s="363">
        <f>AC18*Parameters!$I$18/2000</f>
        <v>150.82557608269548</v>
      </c>
      <c r="AD20" s="363">
        <f>AD18*Parameters!$I$18/2000</f>
        <v>169.4066496378064</v>
      </c>
      <c r="AE20" s="363">
        <f>AE18*Parameters!$I$18/2000</f>
        <v>188.70429711834947</v>
      </c>
      <c r="AF20" s="363">
        <f>AF18*Parameters!$I$18/2000</f>
        <v>208.74047706731437</v>
      </c>
      <c r="AG20" s="363">
        <f>AG18*Parameters!$I$18/2000</f>
        <v>229.53775547531569</v>
      </c>
      <c r="AH20" s="363">
        <f>AH18*Parameters!$I$18/2000</f>
        <v>251.11932163498832</v>
      </c>
      <c r="AI20" s="363">
        <f>AI18*Parameters!$I$18/2000</f>
        <v>273.50900439391796</v>
      </c>
      <c r="AJ20" s="363">
        <f>AJ18*Parameters!$I$18/2000</f>
        <v>296.73128881586467</v>
      </c>
      <c r="AK20" s="363">
        <f>AK18*Parameters!$I$18/2000</f>
        <v>320.81133326027117</v>
      </c>
      <c r="AL20" s="363">
        <f>AL18*Parameters!$I$18/2000</f>
        <v>345.77498689028977</v>
      </c>
      <c r="AM20" s="363">
        <f>AM18*Parameters!$I$18/2000</f>
        <v>371.64880761980356</v>
      </c>
      <c r="AN20" s="363">
        <f>AN18*Parameters!$I$18/2000</f>
        <v>398.4600805101727</v>
      </c>
      <c r="AO20" s="363">
        <f>AO18*Parameters!$I$18/2000</f>
        <v>426.23683662769008</v>
      </c>
      <c r="AP20" s="363">
        <f>AP18*Parameters!$I$18/2000</f>
        <v>455.00787237299863</v>
      </c>
      <c r="AQ20" s="363">
        <f>AQ18*Parameters!$I$18/2000</f>
        <v>484.80276929398781</v>
      </c>
      <c r="AS20" s="7">
        <f>ROW()</f>
        <v>20</v>
      </c>
    </row>
    <row r="21" spans="2:45" ht="13.95" customHeight="1">
      <c r="B21" s="803" t="s">
        <v>856</v>
      </c>
      <c r="H21" s="51"/>
      <c r="I21" s="51"/>
      <c r="J21" s="51"/>
      <c r="K21" s="12"/>
      <c r="L21" s="151"/>
      <c r="M21" s="399"/>
      <c r="N21" s="399"/>
      <c r="O21" s="399"/>
      <c r="P21" s="399"/>
      <c r="Q21" s="399"/>
      <c r="R21" s="399"/>
      <c r="S21" s="364"/>
      <c r="T21" s="363">
        <f>T18*T65*(1/Parameters!$I$19)</f>
        <v>0.11934442352495002</v>
      </c>
      <c r="U21" s="363">
        <f>U18*U65*(1/Parameters!$I$19)</f>
        <v>0.24319207416774091</v>
      </c>
      <c r="V21" s="363">
        <f>V18*V65*(1/Parameters!$I$19)</f>
        <v>0.37167039224277476</v>
      </c>
      <c r="W21" s="363">
        <f>W18*W65*(1/Parameters!$I$19)</f>
        <v>0.50491002387087924</v>
      </c>
      <c r="X21" s="363">
        <f>X18*X65*(1/Parameters!$I$19)</f>
        <v>0.64304489658230835</v>
      </c>
      <c r="Y21" s="363">
        <f>Y18*Y65*(1/Parameters!$I$19)</f>
        <v>0.78621229663138137</v>
      </c>
      <c r="Z21" s="363">
        <f>Z18*Z65*(1/Parameters!$I$19)</f>
        <v>0.93455294806043487</v>
      </c>
      <c r="AA21" s="363">
        <f>AA18*AA65*(1/Parameters!$I$19)</f>
        <v>1.0882110935515747</v>
      </c>
      <c r="AB21" s="363">
        <f>AB18*AB65*(1/Parameters!$I$19)</f>
        <v>1.2473345771055453</v>
      </c>
      <c r="AC21" s="363">
        <f>AC18*AC65*(1/Parameters!$I$19)</f>
        <v>1.4120749285878782</v>
      </c>
      <c r="AD21" s="363">
        <f>AD18*AD65*(1/Parameters!$I$19)</f>
        <v>1.5825874501833541</v>
      </c>
      <c r="AE21" s="363">
        <f>AE18*AE65*(1/Parameters!$I$19)</f>
        <v>1.7590313048006814</v>
      </c>
      <c r="AF21" s="363">
        <f>AF18*AF65*(1/Parameters!$I$19)</f>
        <v>1.9415696064702168</v>
      </c>
      <c r="AG21" s="363">
        <f>AG18*AG65*(1/Parameters!$I$19)</f>
        <v>2.130369512778457</v>
      </c>
      <c r="AH21" s="363">
        <f>AH18*AH65*(1/Parameters!$I$19)</f>
        <v>2.3256023193839779</v>
      </c>
      <c r="AI21" s="363">
        <f>AI18*AI65*(1/Parameters!$I$19)</f>
        <v>2.5274435566604652</v>
      </c>
      <c r="AJ21" s="363">
        <f>AJ18*AJ65*(1/Parameters!$I$19)</f>
        <v>2.7360730885134541</v>
      </c>
      <c r="AK21" s="363">
        <f>AK18*AK65*(1/Parameters!$I$19)</f>
        <v>2.951675213418385</v>
      </c>
      <c r="AL21" s="363">
        <f>AL18*AL65*(1/Parameters!$I$19)</f>
        <v>3.1744387677286441</v>
      </c>
      <c r="AM21" s="363">
        <f>AM18*AM65*(1/Parameters!$I$19)</f>
        <v>3.4045572313032619</v>
      </c>
      <c r="AN21" s="363">
        <f>AN18*AN65*(1/Parameters!$I$19)</f>
        <v>3.6422288355050174</v>
      </c>
      <c r="AO21" s="363">
        <f>AO18*AO65*(1/Parameters!$I$19)</f>
        <v>3.8876566736208198</v>
      </c>
      <c r="AP21" s="363">
        <f>AP18*AP65*(1/Parameters!$I$19)</f>
        <v>4.1410488137572958</v>
      </c>
      <c r="AQ21" s="363">
        <f>AQ18*AQ65*(1/Parameters!$I$19)</f>
        <v>4.4026184142656994</v>
      </c>
      <c r="AS21" s="7">
        <f>ROW()</f>
        <v>21</v>
      </c>
    </row>
    <row r="22" spans="2:45" ht="13.95" customHeight="1">
      <c r="B22" s="802" t="s">
        <v>849</v>
      </c>
      <c r="M22"/>
      <c r="N22"/>
      <c r="Q22" s="67"/>
      <c r="T22" s="240"/>
      <c r="AS22" s="7">
        <f>ROW()</f>
        <v>22</v>
      </c>
    </row>
    <row r="23" spans="2:45" ht="13.95" customHeight="1">
      <c r="B23" s="803" t="str">
        <f>CONCATENATE("Felt tax in constant ",S$14, "$, per ton of CO2 (taken directly from 'Summary' tab, Row ",Summary!AR86, ")")</f>
        <v>Felt tax in constant 2015$, per ton of CO2 (taken directly from 'Summary' tab, Row 86)</v>
      </c>
      <c r="M23"/>
      <c r="N23"/>
      <c r="Q23" s="67"/>
      <c r="T23" s="522">
        <f>Summary!T86</f>
        <v>10.87441401983205</v>
      </c>
      <c r="U23" s="363">
        <f>Summary!U86</f>
        <v>21.748828039664104</v>
      </c>
      <c r="V23" s="363">
        <f>Summary!V86</f>
        <v>32.623242059496157</v>
      </c>
      <c r="W23" s="363">
        <f>Summary!W86</f>
        <v>43.497656079328209</v>
      </c>
      <c r="X23" s="363">
        <f>Summary!X86</f>
        <v>54.372070099160254</v>
      </c>
      <c r="Y23" s="363">
        <f>Summary!Y86</f>
        <v>65.246484118992299</v>
      </c>
      <c r="Z23" s="363">
        <f>Summary!Z86</f>
        <v>76.120898138824344</v>
      </c>
      <c r="AA23" s="363">
        <f>Summary!AA86</f>
        <v>86.995312158656404</v>
      </c>
      <c r="AB23" s="363">
        <f>Summary!AB86</f>
        <v>97.869726178488449</v>
      </c>
      <c r="AC23" s="363">
        <f>Summary!AC86</f>
        <v>108.74414019832052</v>
      </c>
      <c r="AD23" s="363">
        <f>Summary!AD86</f>
        <v>119.61855421815258</v>
      </c>
      <c r="AE23" s="363">
        <f>Summary!AE86</f>
        <v>130.4929682379846</v>
      </c>
      <c r="AF23" s="363">
        <f>Summary!AF86</f>
        <v>141.36738225781667</v>
      </c>
      <c r="AG23" s="363">
        <f>Summary!AG86</f>
        <v>152.24179627764875</v>
      </c>
      <c r="AH23" s="363">
        <f>Summary!AH86</f>
        <v>163.11621029748079</v>
      </c>
      <c r="AI23" s="363">
        <f>Summary!AI86</f>
        <v>173.99062431731281</v>
      </c>
      <c r="AJ23" s="363">
        <f>Summary!AJ86</f>
        <v>184.86503833714488</v>
      </c>
      <c r="AK23" s="363">
        <f>Summary!AK86</f>
        <v>195.73945235697698</v>
      </c>
      <c r="AL23" s="363">
        <f>Summary!AL86</f>
        <v>206.61386637680897</v>
      </c>
      <c r="AM23" s="363">
        <f>Summary!AM86</f>
        <v>217.48828039664099</v>
      </c>
      <c r="AN23" s="363">
        <f>Summary!AN86</f>
        <v>228.36269441647306</v>
      </c>
      <c r="AO23" s="363">
        <f>Summary!AO86</f>
        <v>239.23710843630516</v>
      </c>
      <c r="AP23" s="363">
        <f>Summary!AP86</f>
        <v>250.11152245613718</v>
      </c>
      <c r="AQ23" s="363">
        <f>Summary!AQ86</f>
        <v>260.9859364759692</v>
      </c>
      <c r="AS23" s="7">
        <f>ROW()</f>
        <v>23</v>
      </c>
    </row>
    <row r="24" spans="2:45" ht="13.95" customHeight="1">
      <c r="B24" s="803" t="str">
        <f>CONCATENATE("Felt tax in nominal $ per ton of CO2 (taken directly from 'Summary' tab, Row ",Summary!AR88, ")")</f>
        <v>Felt tax in nominal $ per ton of CO2 (taken directly from 'Summary' tab, Row 88)</v>
      </c>
      <c r="M24"/>
      <c r="N24"/>
      <c r="Q24" s="67"/>
      <c r="T24" s="522">
        <f>Summary!T88</f>
        <v>11.337868480725623</v>
      </c>
      <c r="U24" s="363">
        <f>Summary!U88</f>
        <v>23.153901748198756</v>
      </c>
      <c r="V24" s="363">
        <f>Summary!V88</f>
        <v>35.463224441830718</v>
      </c>
      <c r="W24" s="363">
        <f>Summary!W88</f>
        <v>48.281386446747597</v>
      </c>
      <c r="X24" s="363">
        <f>Summary!X88</f>
        <v>61.624374102771327</v>
      </c>
      <c r="Y24" s="363">
        <f>Summary!Y88</f>
        <v>75.508621697038393</v>
      </c>
      <c r="Z24" s="363">
        <f>Summary!Z88</f>
        <v>89.951023247233749</v>
      </c>
      <c r="AA24" s="363">
        <f>Summary!AA88</f>
        <v>104.96894458258619</v>
      </c>
      <c r="AB24" s="363">
        <f>Summary!AB88</f>
        <v>120.58023572994358</v>
      </c>
      <c r="AC24" s="363">
        <f>Summary!AC88</f>
        <v>136.80324361242219</v>
      </c>
      <c r="AD24" s="363">
        <f>Summary!AD88</f>
        <v>153.65682506830512</v>
      </c>
      <c r="AE24" s="363">
        <f>Summary!AE88</f>
        <v>171.1603601980494</v>
      </c>
      <c r="AF24" s="363">
        <f>Summary!AF88</f>
        <v>189.33376604745072</v>
      </c>
      <c r="AG24" s="363">
        <f>Summary!AG88</f>
        <v>208.19751063520698</v>
      </c>
      <c r="AH24" s="363">
        <f>Summary!AH88</f>
        <v>227.77262733332276</v>
      </c>
      <c r="AI24" s="363">
        <f>Summary!AI88</f>
        <v>248.08072960899591</v>
      </c>
      <c r="AJ24" s="363">
        <f>Summary!AJ88</f>
        <v>269.1440261368387</v>
      </c>
      <c r="AK24" s="363">
        <f>Summary!AK88</f>
        <v>290.98533629049541</v>
      </c>
      <c r="AL24" s="363">
        <f>Summary!AL88</f>
        <v>313.62810602293854</v>
      </c>
      <c r="AM24" s="363">
        <f>Summary!AM88</f>
        <v>337.09642414494658</v>
      </c>
      <c r="AN24" s="363">
        <f>Summary!AN88</f>
        <v>361.41503901149451</v>
      </c>
      <c r="AO24" s="363">
        <f>Summary!AO88</f>
        <v>386.60937562602271</v>
      </c>
      <c r="AP24" s="363">
        <f>Summary!AP88</f>
        <v>412.70555317278786</v>
      </c>
      <c r="AQ24" s="363">
        <f>Summary!AQ88</f>
        <v>439.73040298774407</v>
      </c>
      <c r="AS24" s="7">
        <f>ROW()</f>
        <v>24</v>
      </c>
    </row>
    <row r="25" spans="2:45" ht="13.95" customHeight="1">
      <c r="B25" s="803" t="s">
        <v>859</v>
      </c>
      <c r="M25"/>
      <c r="N25"/>
      <c r="Q25" s="67"/>
      <c r="T25" s="522">
        <f>T24*T65*(1/Parameters!$I$19)</f>
        <v>0.11934442352495002</v>
      </c>
      <c r="U25" s="363">
        <f>U24*U65*(1/Parameters!$I$19)</f>
        <v>0.24319207416774091</v>
      </c>
      <c r="V25" s="363">
        <f>V24*V65*(1/Parameters!$I$19)</f>
        <v>0.37167039224277476</v>
      </c>
      <c r="W25" s="363">
        <f>W24*W65*(1/Parameters!$I$19)</f>
        <v>0.50491002387087935</v>
      </c>
      <c r="X25" s="363">
        <f>X24*X65*(1/Parameters!$I$19)</f>
        <v>0.64304489658230835</v>
      </c>
      <c r="Y25" s="363">
        <f>Y24*Y65*(1/Parameters!$I$19)</f>
        <v>0.78621229663138126</v>
      </c>
      <c r="Z25" s="363">
        <f>Z24*Z65*(1/Parameters!$I$19)</f>
        <v>0.93455294806043487</v>
      </c>
      <c r="AA25" s="363">
        <f>AA24*AA65*(1/Parameters!$I$19)</f>
        <v>1.0882110935515747</v>
      </c>
      <c r="AB25" s="363">
        <f>AB24*AB65*(1/Parameters!$I$19)</f>
        <v>1.2473345771055453</v>
      </c>
      <c r="AC25" s="363">
        <f>AC24*AC65*(1/Parameters!$I$19)</f>
        <v>1.4120749285878782</v>
      </c>
      <c r="AD25" s="363">
        <f>AD24*AD65*(1/Parameters!$I$19)</f>
        <v>1.5825874501833541</v>
      </c>
      <c r="AE25" s="363">
        <f>AE24*AE65*(1/Parameters!$I$19)</f>
        <v>1.7590313048006814</v>
      </c>
      <c r="AF25" s="363">
        <f>AF24*AF65*(1/Parameters!$I$19)</f>
        <v>1.9415696064702173</v>
      </c>
      <c r="AG25" s="363">
        <f>AG24*AG65*(1/Parameters!$I$19)</f>
        <v>2.130369512778457</v>
      </c>
      <c r="AH25" s="363">
        <f>AH24*AH65*(1/Parameters!$I$19)</f>
        <v>2.3256023193839779</v>
      </c>
      <c r="AI25" s="363">
        <f>AI24*AI65*(1/Parameters!$I$19)</f>
        <v>2.5274435566604652</v>
      </c>
      <c r="AJ25" s="363">
        <f>AJ24*AJ65*(1/Parameters!$I$19)</f>
        <v>2.7360730885134541</v>
      </c>
      <c r="AK25" s="363">
        <f>AK24*AK65*(1/Parameters!$I$19)</f>
        <v>2.951675213418385</v>
      </c>
      <c r="AL25" s="363">
        <f>AL24*AL65*(1/Parameters!$I$19)</f>
        <v>3.1744387677286441</v>
      </c>
      <c r="AM25" s="363">
        <f>AM24*AM65*(1/Parameters!$I$19)</f>
        <v>3.4045572313032619</v>
      </c>
      <c r="AN25" s="363">
        <f>AN24*AN65*(1/Parameters!$I$19)</f>
        <v>3.6422288355050174</v>
      </c>
      <c r="AO25" s="363">
        <f>AO24*AO65*(1/Parameters!$I$19)</f>
        <v>3.8876566736208198</v>
      </c>
      <c r="AP25" s="363">
        <f>AP24*AP65*(1/Parameters!$I$19)</f>
        <v>4.1410488137572958</v>
      </c>
      <c r="AQ25" s="363">
        <f>AQ24*AQ65*(1/Parameters!$I$19)</f>
        <v>4.4026184142656994</v>
      </c>
      <c r="AS25" s="7">
        <f>ROW()</f>
        <v>25</v>
      </c>
    </row>
    <row r="26" spans="2:45" ht="13.95" customHeight="1">
      <c r="B26" s="803"/>
      <c r="H26" s="51"/>
      <c r="I26" s="51"/>
      <c r="J26" s="51"/>
      <c r="K26" s="12"/>
      <c r="L26" s="151"/>
      <c r="M26" s="151"/>
      <c r="N26" s="151"/>
      <c r="O26" s="151"/>
      <c r="P26" s="151"/>
      <c r="Q26" s="67"/>
      <c r="T26" s="272"/>
      <c r="U26" s="12"/>
      <c r="V26" s="12"/>
      <c r="W26" s="12"/>
      <c r="X26" s="12"/>
      <c r="Y26" s="12"/>
      <c r="Z26" s="12"/>
      <c r="AA26" s="12"/>
      <c r="AB26" s="12"/>
      <c r="AC26" s="12"/>
      <c r="AD26" s="12"/>
      <c r="AE26" s="12"/>
      <c r="AF26" s="12"/>
      <c r="AG26" s="12"/>
      <c r="AH26" s="12"/>
      <c r="AI26" s="12"/>
      <c r="AJ26" s="12"/>
      <c r="AK26" s="12"/>
      <c r="AL26" s="12"/>
      <c r="AM26" s="12"/>
      <c r="AN26" s="12"/>
      <c r="AO26" s="12"/>
      <c r="AP26" s="12"/>
      <c r="AQ26" s="12"/>
      <c r="AS26" s="7">
        <f>ROW()</f>
        <v>26</v>
      </c>
    </row>
    <row r="27" spans="2:45" ht="13.95" customHeight="1">
      <c r="B27" t="s">
        <v>12</v>
      </c>
      <c r="E27" s="1145" t="s">
        <v>158</v>
      </c>
      <c r="F27" s="1155"/>
      <c r="G27" s="1155"/>
      <c r="H27" s="1155"/>
      <c r="I27" s="1155"/>
      <c r="J27" s="1155"/>
      <c r="K27">
        <v>5.67</v>
      </c>
      <c r="M27" s="67"/>
      <c r="Q27" s="67"/>
      <c r="T27" s="240"/>
      <c r="AS27" s="7">
        <f>ROW()</f>
        <v>27</v>
      </c>
    </row>
    <row r="28" spans="2:45" ht="13.95" customHeight="1">
      <c r="B28" s="31" t="s">
        <v>159</v>
      </c>
      <c r="E28" s="1155"/>
      <c r="F28" s="1155"/>
      <c r="G28" s="1155"/>
      <c r="H28" s="1155"/>
      <c r="I28" s="1155"/>
      <c r="J28" s="1155"/>
      <c r="K28" s="21">
        <f>$K$27*1000000/Parameters!$I$21</f>
        <v>135000</v>
      </c>
      <c r="M28" s="67"/>
      <c r="Q28" s="67"/>
      <c r="T28" s="240"/>
      <c r="AS28" s="7">
        <f>ROW()</f>
        <v>28</v>
      </c>
    </row>
    <row r="29" spans="2:45" ht="13.95" customHeight="1">
      <c r="B29" s="8" t="s">
        <v>166</v>
      </c>
      <c r="K29" s="28">
        <f>Emissions!J120/Parameters!I20</f>
        <v>5.7540650430253049</v>
      </c>
      <c r="L29" s="21"/>
      <c r="M29" s="67"/>
      <c r="Q29" s="67"/>
      <c r="T29" s="240"/>
      <c r="AS29" s="7">
        <f>ROW()</f>
        <v>29</v>
      </c>
    </row>
    <row r="30" spans="2:45" ht="13.95" customHeight="1">
      <c r="B30" s="124" t="s">
        <v>165</v>
      </c>
      <c r="K30" s="7">
        <f>K29*1000000/K28</f>
        <v>42.622704022409664</v>
      </c>
      <c r="L30" s="21"/>
      <c r="M30" s="67"/>
      <c r="Q30" s="67"/>
      <c r="T30" s="240"/>
      <c r="AS30" s="7">
        <f>ROW()</f>
        <v>30</v>
      </c>
    </row>
    <row r="31" spans="2:45" ht="13.95" customHeight="1">
      <c r="B31" s="8" t="s">
        <v>13</v>
      </c>
      <c r="I31" s="19"/>
      <c r="J31" s="19"/>
      <c r="K31" s="181">
        <f>K29*Parameters!$I$17</f>
        <v>21.098238491092783</v>
      </c>
      <c r="L31" s="19"/>
      <c r="M31" s="67"/>
      <c r="Q31" s="67"/>
      <c r="T31" s="273"/>
      <c r="U31" s="6"/>
      <c r="V31" s="6"/>
      <c r="W31" s="6"/>
      <c r="X31" s="6"/>
      <c r="Y31" s="6"/>
      <c r="Z31" s="6"/>
      <c r="AA31" s="6"/>
      <c r="AB31" s="6"/>
      <c r="AC31" s="6"/>
      <c r="AD31" s="6"/>
      <c r="AE31" s="6"/>
      <c r="AF31" s="6"/>
      <c r="AG31" s="6"/>
      <c r="AH31" s="6"/>
      <c r="AI31" s="6"/>
      <c r="AJ31" s="6"/>
      <c r="AK31" s="6"/>
      <c r="AL31" s="6"/>
      <c r="AM31" s="6"/>
      <c r="AN31" s="6"/>
      <c r="AO31" s="6"/>
      <c r="AP31" s="6"/>
      <c r="AQ31" s="6"/>
      <c r="AS31" s="7">
        <f>ROW()</f>
        <v>31</v>
      </c>
    </row>
    <row r="32" spans="2:45" ht="13.95" customHeight="1">
      <c r="B32" s="8"/>
      <c r="I32" s="19"/>
      <c r="J32" s="19"/>
      <c r="K32" s="181"/>
      <c r="L32" s="19"/>
      <c r="M32" s="67"/>
      <c r="Q32" s="67"/>
      <c r="T32" s="273"/>
      <c r="U32" s="6"/>
      <c r="V32" s="6"/>
      <c r="W32" s="6"/>
      <c r="X32" s="6"/>
      <c r="Y32" s="6"/>
      <c r="Z32" s="6"/>
      <c r="AA32" s="6"/>
      <c r="AB32" s="6"/>
      <c r="AC32" s="6"/>
      <c r="AD32" s="6"/>
      <c r="AE32" s="6"/>
      <c r="AF32" s="6"/>
      <c r="AG32" s="6"/>
      <c r="AH32" s="6"/>
      <c r="AI32" s="6"/>
      <c r="AJ32" s="6"/>
      <c r="AK32" s="6"/>
      <c r="AL32" s="6"/>
      <c r="AM32" s="6"/>
      <c r="AN32" s="6"/>
      <c r="AO32" s="6"/>
      <c r="AP32" s="6"/>
      <c r="AQ32" s="6"/>
      <c r="AS32" s="7">
        <f>ROW()</f>
        <v>32</v>
      </c>
    </row>
    <row r="33" spans="2:45" ht="13.95" customHeight="1">
      <c r="B33" s="8"/>
      <c r="I33" s="118">
        <v>2005</v>
      </c>
      <c r="J33" s="118">
        <v>2006</v>
      </c>
      <c r="K33" s="118">
        <f t="shared" ref="K33:AP33" si="1">K14</f>
        <v>2007</v>
      </c>
      <c r="L33" s="118">
        <f t="shared" si="1"/>
        <v>2008</v>
      </c>
      <c r="M33" s="118">
        <f t="shared" si="1"/>
        <v>2009</v>
      </c>
      <c r="N33" s="118">
        <f t="shared" si="1"/>
        <v>2010</v>
      </c>
      <c r="O33" s="118">
        <f t="shared" si="1"/>
        <v>2011</v>
      </c>
      <c r="P33" s="118">
        <f t="shared" ref="P33" si="2">P14</f>
        <v>2012</v>
      </c>
      <c r="Q33" s="118">
        <f t="shared" si="1"/>
        <v>2013</v>
      </c>
      <c r="R33" s="118">
        <f t="shared" si="1"/>
        <v>2014</v>
      </c>
      <c r="S33" s="118">
        <f t="shared" si="1"/>
        <v>2015</v>
      </c>
      <c r="T33" s="274">
        <f t="shared" si="1"/>
        <v>2017</v>
      </c>
      <c r="U33" s="118">
        <f t="shared" si="1"/>
        <v>2018</v>
      </c>
      <c r="V33" s="118">
        <f t="shared" si="1"/>
        <v>2019</v>
      </c>
      <c r="W33" s="118">
        <f t="shared" si="1"/>
        <v>2020</v>
      </c>
      <c r="X33" s="118">
        <f t="shared" si="1"/>
        <v>2021</v>
      </c>
      <c r="Y33" s="118">
        <f t="shared" si="1"/>
        <v>2022</v>
      </c>
      <c r="Z33" s="118">
        <f t="shared" si="1"/>
        <v>2023</v>
      </c>
      <c r="AA33" s="118">
        <f t="shared" si="1"/>
        <v>2024</v>
      </c>
      <c r="AB33" s="118">
        <f t="shared" si="1"/>
        <v>2025</v>
      </c>
      <c r="AC33" s="118">
        <f t="shared" si="1"/>
        <v>2026</v>
      </c>
      <c r="AD33" s="118">
        <f t="shared" si="1"/>
        <v>2027</v>
      </c>
      <c r="AE33" s="118">
        <f t="shared" si="1"/>
        <v>2028</v>
      </c>
      <c r="AF33" s="118">
        <f t="shared" si="1"/>
        <v>2029</v>
      </c>
      <c r="AG33" s="118">
        <f t="shared" si="1"/>
        <v>2030</v>
      </c>
      <c r="AH33" s="118">
        <f t="shared" si="1"/>
        <v>2031</v>
      </c>
      <c r="AI33" s="118">
        <f t="shared" si="1"/>
        <v>2032</v>
      </c>
      <c r="AJ33" s="118">
        <f t="shared" si="1"/>
        <v>2033</v>
      </c>
      <c r="AK33" s="118">
        <f t="shared" si="1"/>
        <v>2034</v>
      </c>
      <c r="AL33" s="118">
        <f t="shared" si="1"/>
        <v>2035</v>
      </c>
      <c r="AM33" s="118">
        <f t="shared" si="1"/>
        <v>2036</v>
      </c>
      <c r="AN33" s="118">
        <f t="shared" si="1"/>
        <v>2037</v>
      </c>
      <c r="AO33" s="118">
        <f t="shared" si="1"/>
        <v>2038</v>
      </c>
      <c r="AP33" s="118">
        <f t="shared" si="1"/>
        <v>2039</v>
      </c>
      <c r="AQ33" s="118">
        <f t="shared" ref="AQ33" si="3">AQ14</f>
        <v>2040</v>
      </c>
      <c r="AS33" s="7">
        <f>ROW()</f>
        <v>33</v>
      </c>
    </row>
    <row r="34" spans="2:45" ht="13.95" customHeight="1">
      <c r="B34" s="8" t="s">
        <v>1107</v>
      </c>
      <c r="M34"/>
      <c r="N34"/>
      <c r="O34"/>
      <c r="P34"/>
      <c r="Q34"/>
      <c r="T34" s="240"/>
      <c r="U34" s="118"/>
      <c r="V34" s="118"/>
      <c r="W34" s="118"/>
      <c r="X34" s="118"/>
      <c r="Y34" s="118"/>
      <c r="Z34" s="118"/>
      <c r="AA34" s="118"/>
      <c r="AB34" s="118"/>
      <c r="AC34" s="118"/>
      <c r="AD34" s="118"/>
      <c r="AE34" s="118"/>
      <c r="AF34" s="118"/>
      <c r="AG34" s="118"/>
      <c r="AH34" s="118"/>
      <c r="AI34" s="118"/>
      <c r="AJ34" s="118"/>
      <c r="AK34" s="118"/>
      <c r="AL34" s="118"/>
      <c r="AM34" s="118"/>
      <c r="AN34" s="118"/>
      <c r="AO34" s="118"/>
      <c r="AP34" s="118"/>
      <c r="AQ34" s="118"/>
      <c r="AS34" s="7">
        <f>ROW()</f>
        <v>34</v>
      </c>
    </row>
    <row r="35" spans="2:45" ht="13.95" customHeight="1">
      <c r="B35" s="14" t="s">
        <v>1101</v>
      </c>
      <c r="I35" s="25">
        <f>Emissions!G85</f>
        <v>232.5</v>
      </c>
      <c r="J35" s="25">
        <f>Emissions!H85</f>
        <v>230</v>
      </c>
      <c r="K35" s="25">
        <f>Emissions!I85</f>
        <v>228.6</v>
      </c>
      <c r="L35" s="25">
        <f>Emissions!J85</f>
        <v>213.6</v>
      </c>
      <c r="M35" s="25">
        <f>Emissions!K85</f>
        <v>193.3</v>
      </c>
      <c r="N35" s="25">
        <f>Emissions!L85</f>
        <v>200.8</v>
      </c>
      <c r="O35" s="25">
        <f>Emissions!M85</f>
        <v>201.70000000000002</v>
      </c>
      <c r="P35" s="25">
        <f>Emissions!N85</f>
        <v>197.5</v>
      </c>
      <c r="Q35" s="129">
        <f>Emissions!O85</f>
        <v>203.8</v>
      </c>
      <c r="R35" s="129">
        <f>Emissions!P85</f>
        <v>204.1</v>
      </c>
      <c r="S35" s="129">
        <f>Emissions!Q85</f>
        <v>213.45843074940368</v>
      </c>
      <c r="T35" s="278">
        <f>T37*$K$31/Parameters!$I$18</f>
        <v>209.91515519947166</v>
      </c>
      <c r="U35" s="129">
        <f>U37*$K$31/Parameters!$I$18</f>
        <v>206.43069579270471</v>
      </c>
      <c r="V35" s="129">
        <f>V37*$K$31/Parameters!$I$18</f>
        <v>203.00407621815887</v>
      </c>
      <c r="W35" s="129">
        <f>W37*$K$31/Parameters!$I$18</f>
        <v>199.63433637103714</v>
      </c>
      <c r="X35" s="129">
        <f>X37*$K$31/Parameters!$I$18</f>
        <v>196.59352336821541</v>
      </c>
      <c r="Y35" s="129">
        <f>Y37*$K$31/Parameters!$I$18</f>
        <v>197.45014971512342</v>
      </c>
      <c r="Z35" s="129">
        <f>Z37*$K$31/Parameters!$I$18</f>
        <v>198.31050868091751</v>
      </c>
      <c r="AA35" s="129">
        <f>AA37*$K$31/Parameters!$I$18</f>
        <v>199.17461652991634</v>
      </c>
      <c r="AB35" s="129">
        <f>AB37*$K$31/Parameters!$I$18</f>
        <v>200.04248959730754</v>
      </c>
      <c r="AC35" s="129">
        <f>AC37*$K$31/Parameters!$I$18</f>
        <v>200.91414428945711</v>
      </c>
      <c r="AD35" s="129">
        <f>AD37*$K$31/Parameters!$I$18</f>
        <v>201.78959708421914</v>
      </c>
      <c r="AE35" s="129">
        <f>AE37*$K$31/Parameters!$I$18</f>
        <v>202.66886453124758</v>
      </c>
      <c r="AF35" s="129">
        <f>AF37*$K$31/Parameters!$I$18</f>
        <v>203.55196325230884</v>
      </c>
      <c r="AG35" s="129">
        <f>AG37*$K$31/Parameters!$I$18</f>
        <v>204.43890994159619</v>
      </c>
      <c r="AH35" s="129">
        <f>AH37*$K$31/Parameters!$I$18</f>
        <v>205.49926552438674</v>
      </c>
      <c r="AI35" s="129">
        <f>AI37*$K$31/Parameters!$I$18</f>
        <v>206.70480562573709</v>
      </c>
      <c r="AJ35" s="129">
        <f>AJ37*$K$31/Parameters!$I$18</f>
        <v>207.91741790290405</v>
      </c>
      <c r="AK35" s="129">
        <f>AK37*$K$31/Parameters!$I$18</f>
        <v>209.13714384407257</v>
      </c>
      <c r="AL35" s="129">
        <f>AL37*$K$31/Parameters!$I$18</f>
        <v>210.36402518081383</v>
      </c>
      <c r="AM35" s="129">
        <f>AM37*$K$31/Parameters!$I$18</f>
        <v>211.59810388951294</v>
      </c>
      <c r="AN35" s="129">
        <f>AN37*$K$31/Parameters!$I$18</f>
        <v>212.83942219280507</v>
      </c>
      <c r="AO35" s="129">
        <f>AO37*$K$31/Parameters!$I$18</f>
        <v>214.0880225610201</v>
      </c>
      <c r="AP35" s="129">
        <f>AP37*$K$31/Parameters!$I$18</f>
        <v>215.34394771363574</v>
      </c>
      <c r="AQ35" s="129">
        <f>AQ37*$K$31/Parameters!$I$18</f>
        <v>220.05498756538378</v>
      </c>
      <c r="AS35" s="7">
        <f>ROW()</f>
        <v>35</v>
      </c>
    </row>
    <row r="36" spans="2:45" ht="13.95" customHeight="1">
      <c r="B36" s="291" t="str">
        <f>CONCATENATE("Historical data are from 'Emissions' tab, Row ",Emissions!S85, ". Figures after ",S40, " multiply projected fuel usage in Row ",AS37, " by CO2 emission factor for jet fuel in Cell K",AS31, ".")</f>
        <v>Historical data are from 'Emissions' tab, Row 85. Figures after 2015 multiply projected fuel usage in Row 37 by CO2 emission factor for jet fuel in Cell K31.</v>
      </c>
      <c r="C36" s="518"/>
      <c r="D36" s="518"/>
      <c r="E36" s="518"/>
      <c r="F36" s="518"/>
      <c r="G36" s="518"/>
      <c r="H36" s="518"/>
      <c r="I36" s="518"/>
      <c r="J36" s="518"/>
      <c r="K36" s="518"/>
      <c r="L36" s="518"/>
      <c r="M36" s="518"/>
      <c r="N36" s="518"/>
      <c r="O36" s="518"/>
      <c r="P36" s="518"/>
      <c r="Q36" s="733"/>
      <c r="R36" s="777"/>
      <c r="S36" s="733"/>
      <c r="T36" s="272"/>
      <c r="U36" s="269"/>
      <c r="V36" s="269"/>
      <c r="W36" s="269"/>
      <c r="X36" s="269"/>
      <c r="Y36" s="269"/>
      <c r="Z36" s="269"/>
      <c r="AA36" s="269"/>
      <c r="AB36" s="269"/>
      <c r="AC36" s="269"/>
      <c r="AD36" s="269"/>
      <c r="AE36" s="269"/>
      <c r="AF36" s="269"/>
      <c r="AG36" s="269"/>
      <c r="AH36" s="269"/>
      <c r="AI36" s="269"/>
      <c r="AJ36" s="269"/>
      <c r="AK36" s="269"/>
      <c r="AL36" s="269"/>
      <c r="AM36" s="269"/>
      <c r="AN36" s="269"/>
      <c r="AO36" s="269"/>
      <c r="AP36" s="269"/>
      <c r="AQ36" s="269"/>
      <c r="AS36" s="7">
        <f>ROW()</f>
        <v>36</v>
      </c>
    </row>
    <row r="37" spans="2:45" ht="13.95" customHeight="1">
      <c r="B37" s="14" t="s">
        <v>1108</v>
      </c>
      <c r="I37" s="119">
        <f>I35/$K$31*Parameters!$I$18</f>
        <v>24298.829507327588</v>
      </c>
      <c r="J37" s="119">
        <f>J35/$K$31*Parameters!$I$18</f>
        <v>24037.551770689657</v>
      </c>
      <c r="K37" s="119">
        <f>K35/$K$31*Parameters!$I$18</f>
        <v>23891.236238172416</v>
      </c>
      <c r="L37" s="119">
        <f>L35/$K$31*Parameters!$I$18</f>
        <v>22323.569818344829</v>
      </c>
      <c r="M37" s="119">
        <f>M35/$K$31*Parameters!$I$18</f>
        <v>20201.99459684483</v>
      </c>
      <c r="N37" s="119">
        <f>N35/$K$31*Parameters!$I$18</f>
        <v>20985.827806758625</v>
      </c>
      <c r="O37" s="119">
        <f>O35/$K$31*Parameters!$I$18</f>
        <v>21079.88779194828</v>
      </c>
      <c r="P37" s="119">
        <f>P35/$K$31*Parameters!$I$18</f>
        <v>20640.941194396553</v>
      </c>
      <c r="Q37" s="119">
        <f>Q35/$K$31*Parameters!$I$18</f>
        <v>21299.361090724142</v>
      </c>
      <c r="R37" s="119">
        <f>R35/$K$31*Parameters!$I$18</f>
        <v>21330.714419120693</v>
      </c>
      <c r="S37" s="252">
        <f>S35/$K$31*Parameters!$I$18</f>
        <v>22308.774260995495</v>
      </c>
      <c r="T37" s="119">
        <f>S37*IF(T$14&gt;=2040,AEO!$R28,IF(T$14&gt;=2031,AEO!$Q28,IF(T$14&gt;=2021,AEO!$P28,AEO!$O28))^Parameters!$I$12*Parameters!S70^Parameters!$H$12)</f>
        <v>21938.462654607192</v>
      </c>
      <c r="U37" s="119">
        <f>T37*IF(U$14&gt;=2040,AEO!$R28,IF(U$14&gt;=2031,AEO!$Q28,IF(U$14&gt;=2021,AEO!$P28,AEO!$O28))^Parameters!$I$12*Parameters!T70^Parameters!$H$12)</f>
        <v>21574.297987724465</v>
      </c>
      <c r="V37" s="119">
        <f>U37*IF(V$14&gt;=2040,AEO!$R28,IF(V$14&gt;=2031,AEO!$Q28,IF(V$14&gt;=2021,AEO!$P28,AEO!$O28))^Parameters!$I$12*Parameters!U70^Parameters!$H$12)</f>
        <v>21216.178225021838</v>
      </c>
      <c r="W37" s="119">
        <f>V37*IF(W$14&gt;=2040,AEO!$R28,IF(W$14&gt;=2031,AEO!$Q28,IF(W$14&gt;=2021,AEO!$P28,AEO!$O28))^Parameters!$I$12*Parameters!V70^Parameters!$H$12)</f>
        <v>20864.003024895992</v>
      </c>
      <c r="X37" s="119">
        <f>W37*IF(X$14&gt;=2040,AEO!$R28,IF(X$14&gt;=2031,AEO!$Q28,IF(X$14&gt;=2021,AEO!$P28,AEO!$O28))^Parameters!$I$12*Parameters!W70^Parameters!$H$12)</f>
        <v>20546.204329329412</v>
      </c>
      <c r="Y37" s="119">
        <f>X37*IF(Y$14&gt;=2040,AEO!$R28,IF(Y$14&gt;=2031,AEO!$Q28,IF(Y$14&gt;=2021,AEO!$P28,AEO!$O28))^Parameters!$I$12*Parameters!X70^Parameters!$H$12)</f>
        <v>20635.731286555227</v>
      </c>
      <c r="Z37" s="119">
        <f>Y37*IF(Z$14&gt;=2040,AEO!$R28,IF(Z$14&gt;=2031,AEO!$Q28,IF(Z$14&gt;=2021,AEO!$P28,AEO!$O28))^Parameters!$I$12*Parameters!Y70^Parameters!$H$12)</f>
        <v>20725.648343866764</v>
      </c>
      <c r="AA37" s="119">
        <f>Z37*IF(AA$14&gt;=2040,AEO!$R28,IF(AA$14&gt;=2031,AEO!$Q28,IF(AA$14&gt;=2021,AEO!$P28,AEO!$O28))^Parameters!$I$12*Parameters!Z70^Parameters!$H$12)</f>
        <v>20815.957201065754</v>
      </c>
      <c r="AB37" s="119">
        <f>AA37*IF(AB$14&gt;=2040,AEO!$R28,IF(AB$14&gt;=2031,AEO!$Q28,IF(AB$14&gt;=2021,AEO!$P28,AEO!$O28))^Parameters!$I$12*Parameters!AA70^Parameters!$H$12)</f>
        <v>20906.659565360555</v>
      </c>
      <c r="AC37" s="119">
        <f>AB37*IF(AC$14&gt;=2040,AEO!$R28,IF(AC$14&gt;=2031,AEO!$Q28,IF(AC$14&gt;=2021,AEO!$P28,AEO!$O28))^Parameters!$I$12*Parameters!AB70^Parameters!$H$12)</f>
        <v>20997.757151398422</v>
      </c>
      <c r="AD37" s="119">
        <f>AC37*IF(AD$14&gt;=2040,AEO!$R28,IF(AD$14&gt;=2031,AEO!$Q28,IF(AD$14&gt;=2021,AEO!$P28,AEO!$O28))^Parameters!$I$12*Parameters!AC70^Parameters!$H$12)</f>
        <v>21089.251681297934</v>
      </c>
      <c r="AE37" s="119">
        <f>AD37*IF(AE$14&gt;=2040,AEO!$R28,IF(AE$14&gt;=2031,AEO!$Q28,IF(AE$14&gt;=2021,AEO!$P28,AEO!$O28))^Parameters!$I$12*Parameters!AD70^Parameters!$H$12)</f>
        <v>21181.144884681533</v>
      </c>
      <c r="AF37" s="119">
        <f>AE37*IF(AF$14&gt;=2040,AEO!$R28,IF(AF$14&gt;=2031,AEO!$Q28,IF(AF$14&gt;=2021,AEO!$P28,AEO!$O28))^Parameters!$I$12*Parameters!AE70^Parameters!$H$12)</f>
        <v>21273.438498708227</v>
      </c>
      <c r="AG37" s="119">
        <f>AF37*IF(AG$14&gt;=2040,AEO!$R28,IF(AG$14&gt;=2031,AEO!$Q28,IF(AG$14&gt;=2021,AEO!$P28,AEO!$O28))^Parameters!$I$12*Parameters!AF70^Parameters!$H$12)</f>
        <v>21366.134268106431</v>
      </c>
      <c r="AH37" s="119">
        <f>AG37*IF(AH$14&gt;=2040,AEO!$R28,IF(AH$14&gt;=2031,AEO!$Q28,IF(AH$14&gt;=2021,AEO!$P28,AEO!$O28))^Parameters!$I$12*Parameters!AG70^Parameters!$H$12)</f>
        <v>21476.953190787593</v>
      </c>
      <c r="AI37" s="119">
        <f>AH37*IF(AI$14&gt;=2040,AEO!$R28,IF(AI$14&gt;=2031,AEO!$Q28,IF(AI$14&gt;=2021,AEO!$P28,AEO!$O28))^Parameters!$I$12*Parameters!AH70^Parameters!$H$12)</f>
        <v>21602.945506430427</v>
      </c>
      <c r="AJ37" s="119">
        <f>AI37*IF(AJ$14&gt;=2040,AEO!$R28,IF(AJ$14&gt;=2031,AEO!$Q28,IF(AJ$14&gt;=2021,AEO!$P28,AEO!$O28))^Parameters!$I$12*Parameters!AI70^Parameters!$H$12)</f>
        <v>21729.676942909446</v>
      </c>
      <c r="AK37" s="119">
        <f>AJ37*IF(AK$14&gt;=2040,AEO!$R28,IF(AK$14&gt;=2031,AEO!$Q28,IF(AK$14&gt;=2021,AEO!$P28,AEO!$O28))^Parameters!$I$12*Parameters!AJ70^Parameters!$H$12)</f>
        <v>21857.151836200279</v>
      </c>
      <c r="AL37" s="119">
        <f>AK37*IF(AL$14&gt;=2040,AEO!$R28,IF(AL$14&gt;=2031,AEO!$Q28,IF(AL$14&gt;=2021,AEO!$P28,AEO!$O28))^Parameters!$I$12*Parameters!AK70^Parameters!$H$12)</f>
        <v>21985.37454771511</v>
      </c>
      <c r="AM37" s="119">
        <f>AL37*IF(AM$14&gt;=2040,AEO!$R28,IF(AM$14&gt;=2031,AEO!$Q28,IF(AM$14&gt;=2021,AEO!$P28,AEO!$O28))^Parameters!$I$12*Parameters!AL70^Parameters!$H$12)</f>
        <v>22114.349464451894</v>
      </c>
      <c r="AN37" s="119">
        <f>AM37*IF(AN$14&gt;=2040,AEO!$R28,IF(AN$14&gt;=2031,AEO!$Q28,IF(AN$14&gt;=2021,AEO!$P28,AEO!$O28))^Parameters!$I$12*Parameters!AM70^Parameters!$H$12)</f>
        <v>22244.080999144455</v>
      </c>
      <c r="AO37" s="119">
        <f>AN37*IF(AO$14&gt;=2040,AEO!$R28,IF(AO$14&gt;=2031,AEO!$Q28,IF(AO$14&gt;=2021,AEO!$P28,AEO!$O28))^Parameters!$I$12*Parameters!AN70^Parameters!$H$12)</f>
        <v>22374.57359041346</v>
      </c>
      <c r="AP37" s="119">
        <f>AO37*IF(AP$14&gt;=2040,AEO!$R28,IF(AP$14&gt;=2031,AEO!$Q28,IF(AP$14&gt;=2021,AEO!$P28,AEO!$O28))^Parameters!$I$12*Parameters!AO70^Parameters!$H$12)</f>
        <v>22505.831702918284</v>
      </c>
      <c r="AQ37" s="119">
        <f>AP37*IF(AQ$14&gt;=2040,AEO!$R28,IF(AQ$14&gt;=2031,AEO!$Q28,IF(AQ$14&gt;=2021,AEO!$P28,AEO!$O28))^Parameters!$I$12*Parameters!AP70^Parameters!$H$12)</f>
        <v>22998.187634788614</v>
      </c>
      <c r="AS37" s="7">
        <f>ROW()</f>
        <v>37</v>
      </c>
    </row>
    <row r="38" spans="2:45" ht="13.95" customHeight="1">
      <c r="B38" s="1296" t="str">
        <f>CONCATENATE("Historical figures divide Row ",AS35, " by CO2 emission factor per gallon of diesel fuel. Figures from ",T14, " apply income-elasticity for jet fuel in Parameters page, Row ",Parameters!B12,", to assumed GDP growth rates in 'AEO' tab, Row ",AEO!V27, ", and same with price-elasticity for jet fuel, to assumed changes in real jet fuel price in 'Parameters' tab, Row ",Parameters!B70, ".")</f>
        <v>Historical figures divide Row 35 by CO2 emission factor per gallon of diesel fuel. Figures from 2017 apply income-elasticity for jet fuel in Parameters page, Row 12, to assumed GDP growth rates in 'AEO' tab, Row 27, and same with price-elasticity for jet fuel, to assumed changes in real jet fuel price in 'Parameters' tab, Row 70.</v>
      </c>
      <c r="C38" s="1102"/>
      <c r="D38" s="1102"/>
      <c r="E38" s="1102"/>
      <c r="F38" s="1102"/>
      <c r="G38" s="1102"/>
      <c r="H38" s="1102"/>
      <c r="I38" s="1102"/>
      <c r="J38" s="1102"/>
      <c r="K38" s="1102"/>
      <c r="L38" s="1102"/>
      <c r="M38" s="1102"/>
      <c r="N38" s="1102"/>
      <c r="O38" s="1102"/>
      <c r="P38" s="1102"/>
      <c r="Q38" s="1102"/>
      <c r="R38" s="779"/>
      <c r="S38" s="1296"/>
      <c r="T38" s="276"/>
      <c r="U38" s="173"/>
      <c r="V38" s="173"/>
      <c r="W38" s="173"/>
      <c r="X38" s="173"/>
      <c r="Y38" s="173"/>
      <c r="Z38" s="171"/>
      <c r="AC38" s="170"/>
      <c r="AS38" s="7">
        <f>ROW()</f>
        <v>38</v>
      </c>
    </row>
    <row r="39" spans="2:45" ht="13.95" customHeight="1">
      <c r="B39" s="1102"/>
      <c r="C39" s="1102"/>
      <c r="D39" s="1102"/>
      <c r="E39" s="1102"/>
      <c r="F39" s="1102"/>
      <c r="G39" s="1102"/>
      <c r="H39" s="1102"/>
      <c r="I39" s="1102"/>
      <c r="J39" s="1102"/>
      <c r="K39" s="1102"/>
      <c r="L39" s="1102"/>
      <c r="M39" s="1102"/>
      <c r="N39" s="1102"/>
      <c r="O39" s="1102"/>
      <c r="P39" s="1102"/>
      <c r="Q39" s="1102"/>
      <c r="R39" s="776"/>
      <c r="S39" s="1155"/>
      <c r="T39" s="240"/>
      <c r="W39" s="119"/>
      <c r="AS39" s="7">
        <f>ROW()</f>
        <v>39</v>
      </c>
    </row>
    <row r="40" spans="2:45" ht="13.95" customHeight="1">
      <c r="B40" s="518"/>
      <c r="C40" s="518"/>
      <c r="D40" s="518"/>
      <c r="E40" s="518"/>
      <c r="F40" s="518"/>
      <c r="G40" s="518"/>
      <c r="H40" s="518"/>
      <c r="I40" s="518"/>
      <c r="J40" s="518"/>
      <c r="K40" s="13">
        <f>K33</f>
        <v>2007</v>
      </c>
      <c r="L40" s="13">
        <f>L33</f>
        <v>2008</v>
      </c>
      <c r="M40" s="13">
        <f>M33</f>
        <v>2009</v>
      </c>
      <c r="N40" s="13">
        <f>N33</f>
        <v>2010</v>
      </c>
      <c r="O40" s="13">
        <f>O33</f>
        <v>2011</v>
      </c>
      <c r="P40" s="13">
        <v>2012</v>
      </c>
      <c r="Q40" s="13">
        <f t="shared" ref="Q40:AP40" si="4">Q33</f>
        <v>2013</v>
      </c>
      <c r="R40" s="13">
        <f t="shared" si="4"/>
        <v>2014</v>
      </c>
      <c r="S40" s="13">
        <f t="shared" si="4"/>
        <v>2015</v>
      </c>
      <c r="T40" s="279">
        <f t="shared" si="4"/>
        <v>2017</v>
      </c>
      <c r="U40" s="13">
        <f t="shared" si="4"/>
        <v>2018</v>
      </c>
      <c r="V40" s="13">
        <f t="shared" si="4"/>
        <v>2019</v>
      </c>
      <c r="W40" s="13">
        <f t="shared" si="4"/>
        <v>2020</v>
      </c>
      <c r="X40" s="13">
        <f t="shared" si="4"/>
        <v>2021</v>
      </c>
      <c r="Y40" s="13">
        <f t="shared" si="4"/>
        <v>2022</v>
      </c>
      <c r="Z40" s="13">
        <f t="shared" si="4"/>
        <v>2023</v>
      </c>
      <c r="AA40" s="13">
        <f t="shared" si="4"/>
        <v>2024</v>
      </c>
      <c r="AB40" s="13">
        <f t="shared" si="4"/>
        <v>2025</v>
      </c>
      <c r="AC40" s="13">
        <f t="shared" si="4"/>
        <v>2026</v>
      </c>
      <c r="AD40" s="13">
        <f t="shared" si="4"/>
        <v>2027</v>
      </c>
      <c r="AE40" s="13">
        <f t="shared" si="4"/>
        <v>2028</v>
      </c>
      <c r="AF40" s="13">
        <f t="shared" si="4"/>
        <v>2029</v>
      </c>
      <c r="AG40" s="13">
        <f t="shared" si="4"/>
        <v>2030</v>
      </c>
      <c r="AH40" s="13">
        <f t="shared" si="4"/>
        <v>2031</v>
      </c>
      <c r="AI40" s="13">
        <f t="shared" si="4"/>
        <v>2032</v>
      </c>
      <c r="AJ40" s="13">
        <f t="shared" si="4"/>
        <v>2033</v>
      </c>
      <c r="AK40" s="13">
        <f t="shared" si="4"/>
        <v>2034</v>
      </c>
      <c r="AL40" s="13">
        <f t="shared" si="4"/>
        <v>2035</v>
      </c>
      <c r="AM40" s="13">
        <f t="shared" si="4"/>
        <v>2036</v>
      </c>
      <c r="AN40" s="13">
        <f t="shared" si="4"/>
        <v>2037</v>
      </c>
      <c r="AO40" s="13">
        <f t="shared" si="4"/>
        <v>2038</v>
      </c>
      <c r="AP40" s="13">
        <f t="shared" si="4"/>
        <v>2039</v>
      </c>
      <c r="AQ40" s="13">
        <f t="shared" ref="AQ40" si="5">AQ33</f>
        <v>2040</v>
      </c>
      <c r="AS40" s="7">
        <f>ROW()</f>
        <v>40</v>
      </c>
    </row>
    <row r="41" spans="2:45" ht="13.95" customHeight="1">
      <c r="B41" s="1003" t="s">
        <v>1114</v>
      </c>
      <c r="C41" s="1004"/>
      <c r="D41" s="1004"/>
      <c r="E41" s="1004"/>
      <c r="F41" s="1004"/>
      <c r="G41" s="1004"/>
      <c r="H41" s="1004"/>
      <c r="I41" s="1005"/>
      <c r="J41" s="1000">
        <v>3.3399999999999999E-2</v>
      </c>
      <c r="K41" s="997" t="s">
        <v>878</v>
      </c>
      <c r="L41" s="84" t="s">
        <v>1113</v>
      </c>
      <c r="M41" s="13"/>
      <c r="N41" s="13"/>
      <c r="O41" s="13"/>
      <c r="P41" s="13"/>
      <c r="Q41" s="13"/>
      <c r="R41" s="13"/>
      <c r="S41" s="251"/>
      <c r="T41" s="155"/>
      <c r="U41" s="13"/>
      <c r="V41" s="13"/>
      <c r="W41" s="13"/>
      <c r="X41" s="13"/>
      <c r="Y41" s="13"/>
      <c r="Z41" s="13"/>
      <c r="AA41" s="13"/>
      <c r="AB41" s="13"/>
      <c r="AC41" s="13"/>
      <c r="AD41" s="13"/>
      <c r="AE41" s="13"/>
      <c r="AF41" s="13"/>
      <c r="AG41" s="13"/>
      <c r="AH41" s="13"/>
      <c r="AI41" s="13"/>
      <c r="AJ41" s="13"/>
      <c r="AK41" s="13"/>
      <c r="AL41" s="13"/>
      <c r="AM41" s="13"/>
      <c r="AN41" s="13"/>
      <c r="AO41" s="13"/>
      <c r="AP41" s="13"/>
      <c r="AQ41" s="13"/>
      <c r="AS41" s="7">
        <f>ROW()</f>
        <v>41</v>
      </c>
    </row>
    <row r="42" spans="2:45" ht="13.95" customHeight="1">
      <c r="B42" s="1003" t="s">
        <v>1110</v>
      </c>
      <c r="C42" s="1004"/>
      <c r="D42" s="1004"/>
      <c r="E42" s="1004"/>
      <c r="F42" s="1004"/>
      <c r="G42" s="1004"/>
      <c r="H42" s="1004"/>
      <c r="I42" s="1005"/>
      <c r="J42" s="1007">
        <v>0.5</v>
      </c>
      <c r="K42" s="13"/>
      <c r="L42" s="84" t="s">
        <v>1111</v>
      </c>
      <c r="M42" s="13"/>
      <c r="N42" s="13"/>
      <c r="O42" s="13"/>
      <c r="P42" s="13"/>
      <c r="Q42" s="13"/>
      <c r="R42" s="13"/>
      <c r="S42" s="251"/>
      <c r="T42" s="155"/>
      <c r="U42" s="13"/>
      <c r="V42" s="13"/>
      <c r="W42" s="13"/>
      <c r="X42" s="13"/>
      <c r="Y42" s="13"/>
      <c r="Z42" s="13"/>
      <c r="AA42" s="13"/>
      <c r="AB42" s="13"/>
      <c r="AC42" s="13"/>
      <c r="AD42" s="13"/>
      <c r="AE42" s="13"/>
      <c r="AF42" s="13"/>
      <c r="AG42" s="13"/>
      <c r="AH42" s="13"/>
      <c r="AI42" s="13"/>
      <c r="AJ42" s="13"/>
      <c r="AK42" s="13"/>
      <c r="AL42" s="13"/>
      <c r="AM42" s="13"/>
      <c r="AN42" s="13"/>
      <c r="AO42" s="13"/>
      <c r="AP42" s="13"/>
      <c r="AQ42" s="13"/>
      <c r="AS42" s="7">
        <f>ROW()</f>
        <v>42</v>
      </c>
    </row>
    <row r="43" spans="2:45" ht="13.95" customHeight="1">
      <c r="B43" s="1003" t="s">
        <v>1112</v>
      </c>
      <c r="C43" s="1004"/>
      <c r="D43" s="1004"/>
      <c r="E43" s="1004"/>
      <c r="F43" s="1004"/>
      <c r="G43" s="1004"/>
      <c r="H43" s="1004"/>
      <c r="I43" s="1005"/>
      <c r="J43" s="1008">
        <f>J42*J41</f>
        <v>1.67E-2</v>
      </c>
      <c r="K43" s="997" t="s">
        <v>878</v>
      </c>
      <c r="L43" s="84" t="str">
        <f>CONCATENATE("Product of Cells J",AS41, " and J",AS42, ".")</f>
        <v>Product of Cells J41 and J42.</v>
      </c>
      <c r="M43" s="13"/>
      <c r="N43" s="13"/>
      <c r="O43" s="13"/>
      <c r="P43" s="13"/>
      <c r="Q43" s="13"/>
      <c r="R43" s="13"/>
      <c r="S43" s="251"/>
      <c r="T43" s="155"/>
      <c r="U43" s="13"/>
      <c r="V43" s="13"/>
      <c r="W43" s="13"/>
      <c r="X43" s="13"/>
      <c r="Y43" s="13"/>
      <c r="Z43" s="13"/>
      <c r="AA43" s="13"/>
      <c r="AB43" s="13"/>
      <c r="AC43" s="13"/>
      <c r="AD43" s="13"/>
      <c r="AE43" s="13"/>
      <c r="AF43" s="13"/>
      <c r="AG43" s="13"/>
      <c r="AH43" s="13"/>
      <c r="AI43" s="13"/>
      <c r="AJ43" s="13"/>
      <c r="AK43" s="13"/>
      <c r="AL43" s="13"/>
      <c r="AM43" s="13"/>
      <c r="AN43" s="13"/>
      <c r="AO43" s="13"/>
      <c r="AP43" s="13"/>
      <c r="AQ43" s="13"/>
      <c r="AS43" s="7">
        <f>ROW()</f>
        <v>43</v>
      </c>
    </row>
    <row r="44" spans="2:45" ht="13.95" customHeight="1">
      <c r="B44" s="8" t="s">
        <v>1117</v>
      </c>
      <c r="C44" s="986"/>
      <c r="D44" s="986"/>
      <c r="E44" s="986"/>
      <c r="F44" s="986"/>
      <c r="G44" s="986"/>
      <c r="H44" s="986"/>
      <c r="I44" s="159">
        <f t="shared" ref="I44:R44" si="6">I37/(1+$J$43)^MAX(0,(I33-$S$33))</f>
        <v>24298.829507327588</v>
      </c>
      <c r="J44" s="159">
        <f t="shared" si="6"/>
        <v>24037.551770689657</v>
      </c>
      <c r="K44" s="159">
        <f t="shared" si="6"/>
        <v>23891.236238172416</v>
      </c>
      <c r="L44" s="159">
        <f t="shared" si="6"/>
        <v>22323.569818344829</v>
      </c>
      <c r="M44" s="159">
        <f t="shared" si="6"/>
        <v>20201.99459684483</v>
      </c>
      <c r="N44" s="159">
        <f t="shared" si="6"/>
        <v>20985.827806758625</v>
      </c>
      <c r="O44" s="159">
        <f t="shared" si="6"/>
        <v>21079.88779194828</v>
      </c>
      <c r="P44" s="159">
        <f t="shared" si="6"/>
        <v>20640.941194396553</v>
      </c>
      <c r="Q44" s="159">
        <f t="shared" si="6"/>
        <v>21299.361090724142</v>
      </c>
      <c r="R44" s="159">
        <f t="shared" si="6"/>
        <v>21330.714419120693</v>
      </c>
      <c r="S44" s="1009">
        <f t="shared" ref="S44:AQ44" si="7">S37/(1+$J$43)^MAX(0,(S33-$S$33))</f>
        <v>22308.774260995495</v>
      </c>
      <c r="T44" s="159">
        <f t="shared" si="7"/>
        <v>21223.672909298937</v>
      </c>
      <c r="U44" s="159">
        <f t="shared" si="7"/>
        <v>20528.546574341493</v>
      </c>
      <c r="V44" s="159">
        <f t="shared" si="7"/>
        <v>19856.187298771762</v>
      </c>
      <c r="W44" s="159">
        <f t="shared" si="7"/>
        <v>19205.849406635458</v>
      </c>
      <c r="X44" s="159">
        <f t="shared" si="7"/>
        <v>18602.643418950403</v>
      </c>
      <c r="Y44" s="159">
        <f t="shared" si="7"/>
        <v>18376.808896837283</v>
      </c>
      <c r="Z44" s="159">
        <f t="shared" si="7"/>
        <v>18153.715986775176</v>
      </c>
      <c r="AA44" s="159">
        <f t="shared" si="7"/>
        <v>17933.331405825011</v>
      </c>
      <c r="AB44" s="159">
        <f t="shared" si="7"/>
        <v>17715.622275099806</v>
      </c>
      <c r="AC44" s="159">
        <f t="shared" si="7"/>
        <v>17500.556114859475</v>
      </c>
      <c r="AD44" s="159">
        <f t="shared" si="7"/>
        <v>17288.100839665251</v>
      </c>
      <c r="AE44" s="159">
        <f t="shared" si="7"/>
        <v>17078.22475359288</v>
      </c>
      <c r="AF44" s="159">
        <f t="shared" si="7"/>
        <v>16870.896545503965</v>
      </c>
      <c r="AG44" s="159">
        <f t="shared" si="7"/>
        <v>16666.085284374672</v>
      </c>
      <c r="AH44" s="159">
        <f t="shared" si="7"/>
        <v>16477.354814868719</v>
      </c>
      <c r="AI44" s="159">
        <f t="shared" si="7"/>
        <v>16301.777816285135</v>
      </c>
      <c r="AJ44" s="159">
        <f t="shared" si="7"/>
        <v>16128.071705521719</v>
      </c>
      <c r="AK44" s="159">
        <f t="shared" si="7"/>
        <v>15956.216547044398</v>
      </c>
      <c r="AL44" s="159">
        <f t="shared" si="7"/>
        <v>15786.192617745281</v>
      </c>
      <c r="AM44" s="159">
        <f t="shared" si="7"/>
        <v>15617.980404679081</v>
      </c>
      <c r="AN44" s="159">
        <f t="shared" si="7"/>
        <v>15451.560602823734</v>
      </c>
      <c r="AO44" s="159">
        <f t="shared" si="7"/>
        <v>15286.914112864801</v>
      </c>
      <c r="AP44" s="159">
        <f t="shared" si="7"/>
        <v>15124.022039003541</v>
      </c>
      <c r="AQ44" s="159">
        <f t="shared" si="7"/>
        <v>15201.030275870922</v>
      </c>
      <c r="AS44" s="7">
        <f>ROW()</f>
        <v>44</v>
      </c>
    </row>
    <row r="45" spans="2:45" ht="13.95" customHeight="1">
      <c r="B45" s="84" t="str">
        <f>CONCATENATE("Applies accumulated compound mpg change from Cell J",AS43, " to base-case fuel use data in Row ",AS37, ".")</f>
        <v>Applies accumulated compound mpg change from Cell J43 to base-case fuel use data in Row 37.</v>
      </c>
      <c r="C45" s="986"/>
      <c r="D45" s="986"/>
      <c r="E45" s="986"/>
      <c r="F45" s="986"/>
      <c r="G45" s="986"/>
      <c r="H45" s="986"/>
      <c r="I45" s="986"/>
      <c r="J45" s="986"/>
      <c r="K45" s="13"/>
      <c r="L45" s="84"/>
      <c r="M45" s="13"/>
      <c r="N45" s="13"/>
      <c r="O45" s="13"/>
      <c r="P45" s="13"/>
      <c r="Q45" s="13"/>
      <c r="R45" s="13"/>
      <c r="S45" s="251"/>
      <c r="T45" s="155"/>
      <c r="U45" s="159"/>
      <c r="V45" s="159"/>
      <c r="W45" s="159"/>
      <c r="X45" s="159"/>
      <c r="Y45" s="159"/>
      <c r="Z45" s="159"/>
      <c r="AA45" s="159"/>
      <c r="AB45" s="159"/>
      <c r="AC45" s="159"/>
      <c r="AD45" s="159"/>
      <c r="AE45" s="159"/>
      <c r="AF45" s="159"/>
      <c r="AG45" s="159"/>
      <c r="AH45" s="159"/>
      <c r="AI45" s="159"/>
      <c r="AJ45" s="159"/>
      <c r="AK45" s="159"/>
      <c r="AL45" s="159"/>
      <c r="AM45" s="159"/>
      <c r="AN45" s="159"/>
      <c r="AO45" s="159"/>
      <c r="AP45" s="159"/>
      <c r="AQ45" s="159"/>
      <c r="AS45" s="7">
        <f>ROW()</f>
        <v>45</v>
      </c>
    </row>
    <row r="46" spans="2:45" s="14" customFormat="1" ht="13.95" customHeight="1">
      <c r="B46" s="14" t="s">
        <v>883</v>
      </c>
      <c r="I46" s="129">
        <f>I44*$K$31/Parameters!$I$18</f>
        <v>232.5</v>
      </c>
      <c r="J46" s="129">
        <f>J44*$K$31/Parameters!$I$18</f>
        <v>230</v>
      </c>
      <c r="K46" s="129">
        <f>K44*$K$31/Parameters!$I$18</f>
        <v>228.6</v>
      </c>
      <c r="L46" s="129">
        <f>L44*$K$31/Parameters!$I$18</f>
        <v>213.6</v>
      </c>
      <c r="M46" s="129">
        <f>M44*$K$31/Parameters!$I$18</f>
        <v>193.3</v>
      </c>
      <c r="N46" s="129">
        <f>N44*$K$31/Parameters!$I$18</f>
        <v>200.80000000000004</v>
      </c>
      <c r="O46" s="129">
        <f>O44*$K$31/Parameters!$I$18</f>
        <v>201.70000000000002</v>
      </c>
      <c r="P46" s="129">
        <f>P44*$K$31/Parameters!$I$18</f>
        <v>197.5</v>
      </c>
      <c r="Q46" s="129">
        <f>Q44*$K$31/Parameters!$I$18</f>
        <v>203.80000000000004</v>
      </c>
      <c r="R46" s="129">
        <f>R44*$K$31/Parameters!$I$18</f>
        <v>204.10000000000002</v>
      </c>
      <c r="S46" s="25">
        <f>S44*$K$31/Parameters!$I$18</f>
        <v>213.45843074940368</v>
      </c>
      <c r="T46" s="278">
        <f>T44*$K$31/Parameters!$I$18</f>
        <v>203.07578807135329</v>
      </c>
      <c r="U46" s="129">
        <f>U44*$K$31/Parameters!$I$18</f>
        <v>196.42456757413268</v>
      </c>
      <c r="V46" s="129">
        <f>V44*$K$31/Parameters!$I$18</f>
        <v>189.99119054571156</v>
      </c>
      <c r="W46" s="129">
        <f>W44*$K$31/Parameters!$I$18</f>
        <v>183.76852208852955</v>
      </c>
      <c r="X46" s="129">
        <f>X44*$K$31/Parameters!$I$18</f>
        <v>177.99682876089489</v>
      </c>
      <c r="Y46" s="129">
        <f>Y44*$K$31/Parameters!$I$18</f>
        <v>175.83596227243024</v>
      </c>
      <c r="Z46" s="129">
        <f>Z44*$K$31/Parameters!$I$18</f>
        <v>173.70132852088275</v>
      </c>
      <c r="AA46" s="129">
        <f>AA44*$K$31/Parameters!$I$18</f>
        <v>171.59260904303866</v>
      </c>
      <c r="AB46" s="129">
        <f>AB44*$K$31/Parameters!$I$18</f>
        <v>169.50948924180111</v>
      </c>
      <c r="AC46" s="129">
        <f>AC44*$K$31/Parameters!$I$18</f>
        <v>167.45165833925503</v>
      </c>
      <c r="AD46" s="129">
        <f>AD44*$K$31/Parameters!$I$18</f>
        <v>165.41880933030333</v>
      </c>
      <c r="AE46" s="129">
        <f>AE44*$K$31/Parameters!$I$18</f>
        <v>163.41063893686479</v>
      </c>
      <c r="AF46" s="129">
        <f>AF44*$K$31/Parameters!$I$18</f>
        <v>161.42684756262858</v>
      </c>
      <c r="AG46" s="129">
        <f>AG44*$K$31/Parameters!$I$18</f>
        <v>159.46713924835771</v>
      </c>
      <c r="AH46" s="129">
        <f>AH44*$K$31/Parameters!$I$18</f>
        <v>157.66129777163545</v>
      </c>
      <c r="AI46" s="129">
        <f>AI44*$K$31/Parameters!$I$18</f>
        <v>155.98131346793173</v>
      </c>
      <c r="AJ46" s="129">
        <f>AJ44*$K$31/Parameters!$I$18</f>
        <v>154.31923049639127</v>
      </c>
      <c r="AK46" s="129">
        <f>AK44*$K$31/Parameters!$I$18</f>
        <v>152.67485810660483</v>
      </c>
      <c r="AL46" s="129">
        <f>AL44*$K$31/Parameters!$I$18</f>
        <v>151.04800758073389</v>
      </c>
      <c r="AM46" s="129">
        <f>AM44*$K$31/Parameters!$I$18</f>
        <v>149.43849221185172</v>
      </c>
      <c r="AN46" s="129">
        <f>AN44*$K$31/Parameters!$I$18</f>
        <v>147.84612728251633</v>
      </c>
      <c r="AO46" s="129">
        <f>AO44*$K$31/Parameters!$I$18</f>
        <v>146.27073004357081</v>
      </c>
      <c r="AP46" s="129">
        <f>AP44*$K$31/Parameters!$I$18</f>
        <v>144.71211969317008</v>
      </c>
      <c r="AQ46" s="129">
        <f>AQ44*$K$31/Parameters!$I$18</f>
        <v>145.44896239031593</v>
      </c>
      <c r="AS46" s="555">
        <f>ROW()</f>
        <v>46</v>
      </c>
    </row>
    <row r="47" spans="2:45" ht="13.95" customHeight="1">
      <c r="B47" s="291" t="str">
        <f>CONCATENATE("Row ",AS44, " multiplied by lb CO2 per gallon of jet fuel in Cell K",AS31, " and divided by pounds per metric ton in 'Parameters' tab.")</f>
        <v>Row 44 multiplied by lb CO2 per gallon of jet fuel in Cell K31 and divided by pounds per metric ton in 'Parameters' tab.</v>
      </c>
      <c r="C47" s="987"/>
      <c r="D47" s="987"/>
      <c r="E47" s="987"/>
      <c r="F47" s="987"/>
      <c r="G47" s="987"/>
      <c r="H47" s="987"/>
      <c r="I47" s="987"/>
      <c r="J47" s="987"/>
      <c r="K47" s="987"/>
      <c r="L47" s="987"/>
      <c r="M47" s="987"/>
      <c r="N47" s="987"/>
      <c r="O47" s="987"/>
      <c r="P47" s="987"/>
      <c r="Q47" s="987"/>
      <c r="R47" s="987"/>
      <c r="S47" s="987"/>
      <c r="T47" s="240"/>
      <c r="AS47" s="7">
        <f>ROW()</f>
        <v>47</v>
      </c>
    </row>
    <row r="48" spans="2:45" ht="13.95" customHeight="1">
      <c r="B48" s="31" t="s">
        <v>404</v>
      </c>
      <c r="H48" s="29"/>
      <c r="I48" s="269">
        <f>Energy!G112</f>
        <v>1.7350000000000001</v>
      </c>
      <c r="J48" s="269">
        <f>Energy!H112</f>
        <v>1.998</v>
      </c>
      <c r="K48" s="269">
        <f>Energy!I112</f>
        <v>2.165</v>
      </c>
      <c r="L48" s="269">
        <f>Energy!J112</f>
        <v>3.052</v>
      </c>
      <c r="M48" s="269">
        <f>Energy!K112</f>
        <v>1.704</v>
      </c>
      <c r="N48" s="269">
        <f>Energy!L112</f>
        <v>2.2010000000000001</v>
      </c>
      <c r="O48" s="269">
        <f>Energy!M112</f>
        <v>3.0539999999999998</v>
      </c>
      <c r="P48" s="269">
        <f>Energy!N112</f>
        <v>3.1040000000000001</v>
      </c>
      <c r="Q48" s="290">
        <f>Energy!O112</f>
        <v>2.9790000000000001</v>
      </c>
      <c r="R48" s="290">
        <f>Energy!P112</f>
        <v>2.7719999999999998</v>
      </c>
      <c r="S48" s="290">
        <f>Energy!Q112</f>
        <v>1.629</v>
      </c>
      <c r="T48" s="272">
        <f>S48*IF(T$14&gt;=2040,AEO!$R28,IF(T$14&gt;=2031,AEO!$Q28,IF(T$14&gt;=2021,AEO!$P28,AEO!$O28)))*Parameters!S70</f>
        <v>1.7641461600728059</v>
      </c>
      <c r="U48" s="270">
        <f>T48*IF(U$14&gt;=2040,AEO!$R28,IF(U$14&gt;=2031,AEO!$Q28,IF(U$14&gt;=2021,AEO!$P28,AEO!$O28)))*Parameters!T70</f>
        <v>1.9105044039899484</v>
      </c>
      <c r="V48" s="270">
        <f>U48*IF(V$14&gt;=2040,AEO!$R28,IF(V$14&gt;=2031,AEO!$Q28,IF(V$14&gt;=2021,AEO!$P28,AEO!$O28)))*Parameters!U70</f>
        <v>2.0690049159613579</v>
      </c>
      <c r="W48" s="270">
        <f>V48*IF(W$14&gt;=2040,AEO!$R28,IF(W$14&gt;=2031,AEO!$Q28,IF(W$14&gt;=2021,AEO!$P28,AEO!$O28)))*Parameters!V70</f>
        <v>2.2406550507458491</v>
      </c>
      <c r="X48" s="270">
        <f>W48*IF(X$14&gt;=2040,AEO!$R28,IF(X$14&gt;=2031,AEO!$Q28,IF(X$14&gt;=2021,AEO!$P28,AEO!$O28)))*Parameters!W70</f>
        <v>2.4299199415178272</v>
      </c>
      <c r="Y48" s="270">
        <f>X48*IF(Y$14&gt;=2040,AEO!$R28,IF(Y$14&gt;=2031,AEO!$Q28,IF(Y$14&gt;=2021,AEO!$P28,AEO!$O28)))*Parameters!X70</f>
        <v>2.5500680464449403</v>
      </c>
      <c r="Z48" s="270">
        <f>Y48*IF(Z$14&gt;=2040,AEO!$R28,IF(Z$14&gt;=2031,AEO!$Q28,IF(Z$14&gt;=2021,AEO!$P28,AEO!$O28)))*Parameters!Y70</f>
        <v>2.6761569096953748</v>
      </c>
      <c r="AA48" s="270">
        <f>Z48*IF(AA$14&gt;=2040,AEO!$R28,IF(AA$14&gt;=2031,AEO!$Q28,IF(AA$14&gt;=2021,AEO!$P28,AEO!$O28)))*Parameters!Z70</f>
        <v>2.8084802738086196</v>
      </c>
      <c r="AB48" s="270">
        <f>AA48*IF(AB$14&gt;=2040,AEO!$R28,IF(AB$14&gt;=2031,AEO!$Q28,IF(AB$14&gt;=2021,AEO!$P28,AEO!$O28)))*Parameters!AA70</f>
        <v>2.9473464055102712</v>
      </c>
      <c r="AC48" s="270">
        <f>AB48*IF(AC$14&gt;=2040,AEO!$R28,IF(AC$14&gt;=2031,AEO!$Q28,IF(AC$14&gt;=2021,AEO!$P28,AEO!$O28)))*Parameters!AB70</f>
        <v>3.0930788138646799</v>
      </c>
      <c r="AD48" s="270">
        <f>AC48*IF(AD$14&gt;=2040,AEO!$R28,IF(AD$14&gt;=2031,AEO!$Q28,IF(AD$14&gt;=2021,AEO!$P28,AEO!$O28)))*Parameters!AC70</f>
        <v>3.2460170039368634</v>
      </c>
      <c r="AE48" s="270">
        <f>AD48*IF(AE$14&gt;=2040,AEO!$R28,IF(AE$14&gt;=2031,AEO!$Q28,IF(AE$14&gt;=2021,AEO!$P28,AEO!$O28)))*Parameters!AD70</f>
        <v>3.4065172677194582</v>
      </c>
      <c r="AF48" s="270">
        <f>AE48*IF(AF$14&gt;=2040,AEO!$R28,IF(AF$14&gt;=2031,AEO!$Q28,IF(AF$14&gt;=2021,AEO!$P28,AEO!$O28)))*Parameters!AE70</f>
        <v>3.5749535141672824</v>
      </c>
      <c r="AG48" s="270">
        <f>AF48*IF(AG$14&gt;=2040,AEO!$R28,IF(AG$14&gt;=2031,AEO!$Q28,IF(AG$14&gt;=2021,AEO!$P28,AEO!$O28)))*Parameters!AF70</f>
        <v>3.751718140273204</v>
      </c>
      <c r="AH48" s="270">
        <f>AG48*IF(AH$14&gt;=2040,AEO!$R28,IF(AH$14&gt;=2031,AEO!$Q28,IF(AH$14&gt;=2021,AEO!$P28,AEO!$O28)))*Parameters!AG70</f>
        <v>3.9404739755379734</v>
      </c>
      <c r="AI48" s="270">
        <f>AH48*IF(AI$14&gt;=2040,AEO!$R28,IF(AI$14&gt;=2031,AEO!$Q28,IF(AI$14&gt;=2021,AEO!$P28,AEO!$O28)))*Parameters!AH70</f>
        <v>4.1340661383981985</v>
      </c>
      <c r="AJ48" s="270">
        <f>AI48*IF(AJ$14&gt;=2040,AEO!$R28,IF(AJ$14&gt;=2031,AEO!$Q28,IF(AJ$14&gt;=2021,AEO!$P28,AEO!$O28)))*Parameters!AI70</f>
        <v>4.3371693209361473</v>
      </c>
      <c r="AK48" s="270">
        <f>AJ48*IF(AK$14&gt;=2040,AEO!$R28,IF(AK$14&gt;=2031,AEO!$Q28,IF(AK$14&gt;=2021,AEO!$P28,AEO!$O28)))*Parameters!AJ70</f>
        <v>4.5502507915266008</v>
      </c>
      <c r="AL48" s="270">
        <f>AK48*IF(AL$14&gt;=2040,AEO!$R28,IF(AL$14&gt;=2031,AEO!$Q28,IF(AL$14&gt;=2021,AEO!$P28,AEO!$O28)))*Parameters!AK70</f>
        <v>4.7738007750454798</v>
      </c>
      <c r="AM48" s="270">
        <f>AL48*IF(AM$14&gt;=2040,AEO!$R28,IF(AM$14&gt;=2031,AEO!$Q28,IF(AM$14&gt;=2021,AEO!$P28,AEO!$O28)))*Parameters!AL70</f>
        <v>5.0083335807033835</v>
      </c>
      <c r="AN48" s="270">
        <f>AM48*IF(AN$14&gt;=2040,AEO!$R28,IF(AN$14&gt;=2031,AEO!$Q28,IF(AN$14&gt;=2021,AEO!$P28,AEO!$O28)))*Parameters!AM70</f>
        <v>5.2543887852886382</v>
      </c>
      <c r="AO48" s="270">
        <f>AN48*IF(AO$14&gt;=2040,AEO!$R28,IF(AO$14&gt;=2031,AEO!$Q28,IF(AO$14&gt;=2021,AEO!$P28,AEO!$O28)))*Parameters!AN70</f>
        <v>5.5125324745420778</v>
      </c>
      <c r="AP48" s="270">
        <f>AO48*IF(AP$14&gt;=2040,AEO!$R28,IF(AP$14&gt;=2031,AEO!$Q28,IF(AP$14&gt;=2021,AEO!$P28,AEO!$O28)))*Parameters!AO70</f>
        <v>5.7833585455195253</v>
      </c>
      <c r="AQ48" s="270">
        <f>AP48*IF(AQ$14&gt;=2040,AEO!$R28,IF(AQ$14&gt;=2031,AEO!$Q28,IF(AQ$14&gt;=2021,AEO!$P28,AEO!$O28)))*Parameters!AP70</f>
        <v>6.0674900729382379</v>
      </c>
      <c r="AR48" s="270"/>
      <c r="AS48" s="7">
        <f>ROW()</f>
        <v>48</v>
      </c>
    </row>
    <row r="49" spans="2:45" ht="13.95" customHeight="1">
      <c r="B49" s="291" t="str">
        <f>CONCATENATE("Historical values are from 'Energy' tab, Row ",Energy!R112,". Future values escalate and inflate year-",S14," value by AEO inflation rates in 'AEO' tab, Rows ",AEO!V28," and AEO jet fuel price escalation rates in 'Parameters' tab, Row ",Parameters!B70, ".")</f>
        <v>Historical values are from 'Energy' tab, Row 112. Future values escalate and inflate year-2015 value by AEO inflation rates in 'AEO' tab, Rows 28 and AEO jet fuel price escalation rates in 'Parameters' tab, Row 70.</v>
      </c>
      <c r="K49" s="269"/>
      <c r="L49" s="269"/>
      <c r="M49" s="269"/>
      <c r="N49" s="270"/>
      <c r="O49" s="270"/>
      <c r="P49" s="270"/>
      <c r="Q49" s="270"/>
      <c r="R49" s="270"/>
      <c r="S49" s="295"/>
      <c r="T49" s="270"/>
      <c r="U49" s="269"/>
      <c r="V49" s="269"/>
      <c r="W49" s="269"/>
      <c r="X49" s="269"/>
      <c r="Y49" s="269"/>
      <c r="Z49" s="269"/>
      <c r="AA49" s="269"/>
      <c r="AB49" s="269"/>
      <c r="AC49" s="269"/>
      <c r="AD49" s="269"/>
      <c r="AE49" s="269"/>
      <c r="AF49" s="269"/>
      <c r="AG49" s="269"/>
      <c r="AH49" s="269"/>
      <c r="AI49" s="269"/>
      <c r="AJ49" s="269"/>
      <c r="AK49" s="269"/>
      <c r="AL49" s="269"/>
      <c r="AM49" s="269"/>
      <c r="AN49" s="269"/>
      <c r="AO49" s="269"/>
      <c r="AP49" s="269"/>
      <c r="AQ49" s="269"/>
      <c r="AS49" s="7">
        <f>ROW()</f>
        <v>49</v>
      </c>
    </row>
    <row r="50" spans="2:45" ht="13.95" customHeight="1">
      <c r="B50" s="31" t="s">
        <v>368</v>
      </c>
      <c r="K50" s="270">
        <f t="shared" ref="K50:P50" si="8">$Q$50-0.01*($Q$14-K14)</f>
        <v>0.184</v>
      </c>
      <c r="L50" s="270">
        <f t="shared" si="8"/>
        <v>0.19400000000000001</v>
      </c>
      <c r="M50" s="270">
        <f t="shared" si="8"/>
        <v>0.20399999999999999</v>
      </c>
      <c r="N50" s="270">
        <f t="shared" si="8"/>
        <v>0.214</v>
      </c>
      <c r="O50" s="270">
        <f t="shared" si="8"/>
        <v>0.224</v>
      </c>
      <c r="P50" s="270">
        <f t="shared" si="8"/>
        <v>0.23399999999999999</v>
      </c>
      <c r="Q50" s="270">
        <v>0.24399999999999999</v>
      </c>
      <c r="R50" s="270">
        <f>Q50</f>
        <v>0.24399999999999999</v>
      </c>
      <c r="S50" s="295">
        <f>R50</f>
        <v>0.24399999999999999</v>
      </c>
      <c r="T50" s="270">
        <f>S50</f>
        <v>0.24399999999999999</v>
      </c>
      <c r="U50" s="270">
        <f>T$50*AEO!$S$28</f>
        <v>0.24914524437131791</v>
      </c>
      <c r="V50" s="270">
        <f>U$50*AEO!$S$28</f>
        <v>0.25439898685591689</v>
      </c>
      <c r="W50" s="270">
        <f>V$50*AEO!$S$28</f>
        <v>0.2597635153607914</v>
      </c>
      <c r="X50" s="270">
        <f>W$50*AEO!$S$28</f>
        <v>0.26524116603818426</v>
      </c>
      <c r="Y50" s="270">
        <f>X$50*AEO!$S$28</f>
        <v>0.27083432430293741</v>
      </c>
      <c r="Z50" s="270">
        <f>Y$50*AEO!$S$28</f>
        <v>0.27654542587129549</v>
      </c>
      <c r="AA50" s="270">
        <f>Z$50*AEO!$S$28</f>
        <v>0.28237695782161515</v>
      </c>
      <c r="AB50" s="270">
        <f>AA$50*AEO!$S$28</f>
        <v>0.28833145967744112</v>
      </c>
      <c r="AC50" s="270">
        <f>AB$50*AEO!$S$28</f>
        <v>0.29441152451342156</v>
      </c>
      <c r="AD50" s="270">
        <f>AC$50*AEO!$S$28</f>
        <v>0.3006198000845437</v>
      </c>
      <c r="AE50" s="270">
        <f>AD$50*AEO!$S$28</f>
        <v>0.30695898997918186</v>
      </c>
      <c r="AF50" s="270">
        <f>AE$50*AEO!$S$28</f>
        <v>0.3134318547964598</v>
      </c>
      <c r="AG50" s="270">
        <f>AF$50*AEO!$S$28</f>
        <v>0.32004121334844021</v>
      </c>
      <c r="AH50" s="270">
        <f>AG$50*AEO!$S$28</f>
        <v>0.32678994388766486</v>
      </c>
      <c r="AI50" s="270">
        <f>AH$50*AEO!$S$28</f>
        <v>0.33368098536058005</v>
      </c>
      <c r="AJ50" s="270">
        <f>AI$50*AEO!$S$28</f>
        <v>0.3407173386873929</v>
      </c>
      <c r="AK50" s="270">
        <f>AJ$50*AEO!$S$28</f>
        <v>0.34790206806891638</v>
      </c>
      <c r="AL50" s="270">
        <f>AK$50*AEO!$S$28</f>
        <v>0.35523830232097153</v>
      </c>
      <c r="AM50" s="270">
        <f>AL$50*AEO!$S$28</f>
        <v>0.36272923623692854</v>
      </c>
      <c r="AN50" s="270">
        <f>AM$50*AEO!$S$28</f>
        <v>0.37037813197897979</v>
      </c>
      <c r="AO50" s="270">
        <f>AN$50*AEO!$S$28</f>
        <v>0.37818832049875062</v>
      </c>
      <c r="AP50" s="270">
        <f>AO$50*AEO!$S$28</f>
        <v>0.38616320298786688</v>
      </c>
      <c r="AQ50" s="270">
        <f>AP$50*AEO!$S$28</f>
        <v>0.39430625235911038</v>
      </c>
      <c r="AR50" s="270"/>
      <c r="AS50" s="7">
        <f>ROW()</f>
        <v>50</v>
      </c>
    </row>
    <row r="51" spans="2:45" ht="13.95" customHeight="1">
      <c r="B51" s="1319" t="s">
        <v>1038</v>
      </c>
      <c r="C51" s="1320"/>
      <c r="D51" s="1320"/>
      <c r="E51" s="1320"/>
      <c r="F51" s="1320"/>
      <c r="G51" s="1320"/>
      <c r="H51" s="1320"/>
      <c r="I51" s="1320"/>
      <c r="J51" s="1320"/>
      <c r="K51" s="1320"/>
      <c r="L51" s="1320"/>
      <c r="M51" s="1320"/>
      <c r="N51" s="1320"/>
      <c r="O51" s="1320"/>
      <c r="P51" s="1320"/>
      <c r="Q51" s="1320"/>
      <c r="R51" s="1320"/>
      <c r="S51" s="1321"/>
      <c r="AS51" s="7">
        <f>ROW()</f>
        <v>51</v>
      </c>
    </row>
    <row r="52" spans="2:45" ht="13.95" customHeight="1">
      <c r="B52" s="1320"/>
      <c r="C52" s="1320"/>
      <c r="D52" s="1320"/>
      <c r="E52" s="1320"/>
      <c r="F52" s="1320"/>
      <c r="G52" s="1320"/>
      <c r="H52" s="1320"/>
      <c r="I52" s="1320"/>
      <c r="J52" s="1320"/>
      <c r="K52" s="1320"/>
      <c r="L52" s="1320"/>
      <c r="M52" s="1320"/>
      <c r="N52" s="1320"/>
      <c r="O52" s="1320"/>
      <c r="P52" s="1320"/>
      <c r="Q52" s="1320"/>
      <c r="R52" s="1320"/>
      <c r="S52" s="1321"/>
      <c r="AS52" s="7">
        <f>ROW()</f>
        <v>52</v>
      </c>
    </row>
    <row r="53" spans="2:45" ht="13.95" customHeight="1">
      <c r="B53" s="14" t="s">
        <v>668</v>
      </c>
      <c r="C53" s="172"/>
      <c r="D53" s="172"/>
      <c r="E53" s="172"/>
      <c r="F53" s="172"/>
      <c r="G53" s="172"/>
      <c r="H53" s="172"/>
      <c r="I53" s="172"/>
      <c r="J53" s="172"/>
      <c r="K53" s="269">
        <f t="shared" ref="K53:AP53" si="9">K48+K50</f>
        <v>2.3490000000000002</v>
      </c>
      <c r="L53" s="269">
        <f t="shared" si="9"/>
        <v>3.246</v>
      </c>
      <c r="M53" s="269">
        <f t="shared" si="9"/>
        <v>1.9079999999999999</v>
      </c>
      <c r="N53" s="269">
        <f t="shared" si="9"/>
        <v>2.415</v>
      </c>
      <c r="O53" s="269">
        <f t="shared" si="9"/>
        <v>3.278</v>
      </c>
      <c r="P53" s="269">
        <f t="shared" si="9"/>
        <v>3.3380000000000001</v>
      </c>
      <c r="Q53" s="270">
        <f t="shared" si="9"/>
        <v>3.2229999999999999</v>
      </c>
      <c r="R53" s="270">
        <f t="shared" si="9"/>
        <v>3.016</v>
      </c>
      <c r="S53" s="295">
        <f t="shared" si="9"/>
        <v>1.873</v>
      </c>
      <c r="T53" s="270">
        <f t="shared" si="9"/>
        <v>2.0081461600728057</v>
      </c>
      <c r="U53" s="269">
        <f t="shared" si="9"/>
        <v>2.1596496483612664</v>
      </c>
      <c r="V53" s="269">
        <f t="shared" si="9"/>
        <v>2.323403902817275</v>
      </c>
      <c r="W53" s="269">
        <f t="shared" si="9"/>
        <v>2.5004185661066405</v>
      </c>
      <c r="X53" s="269">
        <f t="shared" si="9"/>
        <v>2.6951611075560113</v>
      </c>
      <c r="Y53" s="269">
        <f t="shared" si="9"/>
        <v>2.820902370747878</v>
      </c>
      <c r="Z53" s="269">
        <f t="shared" si="9"/>
        <v>2.9527023355666704</v>
      </c>
      <c r="AA53" s="269">
        <f t="shared" si="9"/>
        <v>3.0908572316302347</v>
      </c>
      <c r="AB53" s="269">
        <f t="shared" si="9"/>
        <v>3.2356778651877125</v>
      </c>
      <c r="AC53" s="269">
        <f t="shared" si="9"/>
        <v>3.3874903383781012</v>
      </c>
      <c r="AD53" s="269">
        <f t="shared" si="9"/>
        <v>3.5466368040214071</v>
      </c>
      <c r="AE53" s="269">
        <f t="shared" si="9"/>
        <v>3.7134762576986402</v>
      </c>
      <c r="AF53" s="269">
        <f t="shared" si="9"/>
        <v>3.8883853689637422</v>
      </c>
      <c r="AG53" s="269">
        <f t="shared" si="9"/>
        <v>4.0717593536216441</v>
      </c>
      <c r="AH53" s="269">
        <f t="shared" si="9"/>
        <v>4.2672639194256385</v>
      </c>
      <c r="AI53" s="269">
        <f t="shared" si="9"/>
        <v>4.4677471237587785</v>
      </c>
      <c r="AJ53" s="269">
        <f t="shared" si="9"/>
        <v>4.6778866596235398</v>
      </c>
      <c r="AK53" s="269">
        <f t="shared" si="9"/>
        <v>4.8981528595955171</v>
      </c>
      <c r="AL53" s="269">
        <f t="shared" si="9"/>
        <v>5.1290390773664516</v>
      </c>
      <c r="AM53" s="269">
        <f t="shared" si="9"/>
        <v>5.3710628169403121</v>
      </c>
      <c r="AN53" s="269">
        <f t="shared" si="9"/>
        <v>5.6247669172676176</v>
      </c>
      <c r="AO53" s="269">
        <f t="shared" si="9"/>
        <v>5.8907207950408287</v>
      </c>
      <c r="AP53" s="269">
        <f t="shared" si="9"/>
        <v>6.1695217485073925</v>
      </c>
      <c r="AQ53" s="269">
        <f t="shared" ref="AQ53" si="10">AQ48+AQ50</f>
        <v>6.4617963252973487</v>
      </c>
      <c r="AS53" s="7">
        <f>ROW()</f>
        <v>53</v>
      </c>
    </row>
    <row r="54" spans="2:45" ht="13.95" customHeight="1">
      <c r="B54" s="291" t="str">
        <f>CONCATENATE("Sum of Rows ",AS48, " and ",AS50, ".")</f>
        <v>Sum of Rows 48 and 50.</v>
      </c>
      <c r="C54" s="172"/>
      <c r="D54" s="172"/>
      <c r="E54" s="172"/>
      <c r="F54" s="172"/>
      <c r="G54" s="172"/>
      <c r="H54" s="172"/>
      <c r="I54" s="172"/>
      <c r="J54" s="172"/>
      <c r="K54" s="172"/>
      <c r="L54" s="172"/>
      <c r="M54" s="172"/>
      <c r="N54" s="172"/>
      <c r="O54" s="172"/>
      <c r="P54" s="518"/>
      <c r="Q54" s="733"/>
      <c r="R54" s="777"/>
      <c r="S54" s="295"/>
      <c r="AS54" s="7">
        <f>ROW()</f>
        <v>54</v>
      </c>
    </row>
    <row r="55" spans="2:45" ht="13.95" customHeight="1">
      <c r="B55" s="14" t="s">
        <v>1105</v>
      </c>
      <c r="K55" s="270">
        <f>K53/(AEO!$S$28)^(K$14-$S$14)</f>
        <v>2.7757811425504477</v>
      </c>
      <c r="L55" s="270">
        <f>L53/(AEO!$S$28)^(L$14-$S$14)</f>
        <v>3.7565393651186993</v>
      </c>
      <c r="M55" s="270">
        <f>M53/(AEO!$S$28)^(M$14-$S$14)</f>
        <v>2.1624945596820977</v>
      </c>
      <c r="N55" s="270">
        <f>N53/(AEO!$S$28)^(N$14-$S$14)</f>
        <v>2.6805938245557126</v>
      </c>
      <c r="O55" s="270">
        <f>O53/(AEO!$S$28)^(O$14-$S$14)</f>
        <v>3.563362878168721</v>
      </c>
      <c r="P55" s="270">
        <f>P53/(AEO!$S$28)^(P$14-$S$14)</f>
        <v>3.5536500585013182</v>
      </c>
      <c r="Q55" s="270">
        <f>Q53/(AEO!$S$28)^(Q$14-$S$14)</f>
        <v>3.3603603878550001</v>
      </c>
      <c r="R55" s="270">
        <f>R53/(AEO!$S$28)^(R$14-$S$14)</f>
        <v>3.0795985943602244</v>
      </c>
      <c r="S55" s="295">
        <f>S53/(AEO!$S$28)^(S$14-$S$14)</f>
        <v>1.873</v>
      </c>
      <c r="T55" s="270">
        <f>T53/(AEO!$S$28)^(T$14-$S$14)</f>
        <v>1.9260598051645439</v>
      </c>
      <c r="U55" s="270">
        <f>U53/(AEO!$S$28)^(U$14-$S$14)</f>
        <v>2.0285932513203404</v>
      </c>
      <c r="V55" s="270">
        <f>V53/(AEO!$S$28)^(V$14-$S$14)</f>
        <v>2.1373399942217204</v>
      </c>
      <c r="W55" s="270">
        <f>W53/(AEO!$S$28)^(W$14-$S$14)</f>
        <v>2.2526765457084394</v>
      </c>
      <c r="X55" s="270">
        <f>X53/(AEO!$S$28)^(X$14-$S$14)</f>
        <v>2.3779793434360523</v>
      </c>
      <c r="Y55" s="270">
        <f>Y53/(AEO!$S$28)^(Y$14-$S$14)</f>
        <v>2.4375224656159777</v>
      </c>
      <c r="Z55" s="270">
        <f>Z53/(AEO!$S$28)^(Z$14-$S$14)</f>
        <v>2.4987192541675878</v>
      </c>
      <c r="AA55" s="270">
        <f>AA53/(AEO!$S$28)^(AA$14-$S$14)</f>
        <v>2.5616156356793578</v>
      </c>
      <c r="AB55" s="270">
        <f>AB53/(AEO!$S$28)^(AB$14-$S$14)</f>
        <v>2.6262588122398065</v>
      </c>
      <c r="AC55" s="270">
        <f>AC53/(AEO!$S$28)^(AC$14-$S$14)</f>
        <v>2.6926972968614269</v>
      </c>
      <c r="AD55" s="270">
        <f>AD53/(AEO!$S$28)^(AD$14-$S$14)</f>
        <v>2.7609809498884346</v>
      </c>
      <c r="AE55" s="270">
        <f>AE53/(AEO!$S$28)^(AE$14-$S$14)</f>
        <v>2.8311610164156513</v>
      </c>
      <c r="AF55" s="270">
        <f>AF53/(AEO!$S$28)^(AF$14-$S$14)</f>
        <v>2.9032901647466076</v>
      </c>
      <c r="AG55" s="270">
        <f>AG53/(AEO!$S$28)^(AG$14-$S$14)</f>
        <v>2.9774225259197262</v>
      </c>
      <c r="AH55" s="270">
        <f>AH53/(AEO!$S$28)^(AH$14-$S$14)</f>
        <v>3.0559419146413478</v>
      </c>
      <c r="AI55" s="270">
        <f>AI53/(AEO!$S$28)^(AI$14-$S$14)</f>
        <v>3.1334401208020326</v>
      </c>
      <c r="AJ55" s="270">
        <f>AJ53/(AEO!$S$28)^(AJ$14-$S$14)</f>
        <v>3.213066658326841</v>
      </c>
      <c r="AK55" s="270">
        <f>AK53/(AEO!$S$28)^(AK$14-$S$14)</f>
        <v>3.2948799775286259</v>
      </c>
      <c r="AL55" s="270">
        <f>AL53/(AEO!$S$28)^(AL$14-$S$14)</f>
        <v>3.3789401339397678</v>
      </c>
      <c r="AM55" s="270">
        <f>AM53/(AEO!$S$28)^(AM$14-$S$14)</f>
        <v>3.4653088323962828</v>
      </c>
      <c r="AN55" s="270">
        <f>AN53/(AEO!$S$28)^(AN$14-$S$14)</f>
        <v>3.5540494723326113</v>
      </c>
      <c r="AO55" s="270">
        <f>AO53/(AEO!$S$28)^(AO$14-$S$14)</f>
        <v>3.6452271943203276</v>
      </c>
      <c r="AP55" s="270">
        <f>AP53/(AEO!$S$28)^(AP$14-$S$14)</f>
        <v>3.7389089278849501</v>
      </c>
      <c r="AQ55" s="270">
        <f>AQ53/(AEO!$S$28)^(AQ$14-$S$14)</f>
        <v>3.8351634406359398</v>
      </c>
      <c r="AS55" s="7">
        <f>ROW()</f>
        <v>55</v>
      </c>
    </row>
    <row r="56" spans="2:45" ht="13.95" customHeight="1">
      <c r="B56" s="291" t="str">
        <f>CONCATENATE("Row ",AS53, ", deflated by economy-wide price index in 'AEO' tab. That single figure is used as a calculational shortcut.")</f>
        <v>Row 53, deflated by economy-wide price index in 'AEO' tab. That single figure is used as a calculational shortcut.</v>
      </c>
      <c r="C56" s="172"/>
      <c r="D56" s="172"/>
      <c r="E56" s="172"/>
      <c r="F56" s="172"/>
      <c r="G56" s="172"/>
      <c r="H56" s="172"/>
      <c r="I56" s="172"/>
      <c r="J56" s="172"/>
      <c r="K56" s="172"/>
      <c r="L56" s="172"/>
      <c r="M56" s="172"/>
      <c r="N56" s="172"/>
      <c r="O56" s="172"/>
      <c r="P56" s="518"/>
      <c r="Q56" s="733"/>
      <c r="R56" s="777"/>
      <c r="S56" s="295"/>
      <c r="AS56" s="7">
        <f>ROW()</f>
        <v>56</v>
      </c>
    </row>
    <row r="57" spans="2:45" ht="13.95" customHeight="1">
      <c r="B57" s="14" t="s">
        <v>861</v>
      </c>
      <c r="K57" s="269">
        <f t="shared" ref="K57:AQ57" si="11">K53+K25</f>
        <v>2.3490000000000002</v>
      </c>
      <c r="L57" s="269">
        <f t="shared" si="11"/>
        <v>3.246</v>
      </c>
      <c r="M57" s="269">
        <f t="shared" si="11"/>
        <v>1.9079999999999999</v>
      </c>
      <c r="N57" s="269">
        <f t="shared" si="11"/>
        <v>2.415</v>
      </c>
      <c r="O57" s="269">
        <f t="shared" si="11"/>
        <v>3.278</v>
      </c>
      <c r="P57" s="269">
        <f t="shared" si="11"/>
        <v>3.3380000000000001</v>
      </c>
      <c r="Q57" s="269">
        <f t="shared" si="11"/>
        <v>3.2229999999999999</v>
      </c>
      <c r="R57" s="269">
        <f t="shared" si="11"/>
        <v>3.016</v>
      </c>
      <c r="S57" s="269">
        <f t="shared" si="11"/>
        <v>1.873</v>
      </c>
      <c r="T57" s="272">
        <f t="shared" si="11"/>
        <v>2.1274905835977558</v>
      </c>
      <c r="U57" s="269">
        <f t="shared" si="11"/>
        <v>2.4028417225290073</v>
      </c>
      <c r="V57" s="269">
        <f t="shared" si="11"/>
        <v>2.6950742950600497</v>
      </c>
      <c r="W57" s="269">
        <f t="shared" si="11"/>
        <v>3.0053285899775197</v>
      </c>
      <c r="X57" s="269">
        <f t="shared" si="11"/>
        <v>3.3382060041383195</v>
      </c>
      <c r="Y57" s="269">
        <f t="shared" si="11"/>
        <v>3.6071146673792591</v>
      </c>
      <c r="Z57" s="269">
        <f t="shared" si="11"/>
        <v>3.8872552836271055</v>
      </c>
      <c r="AA57" s="269">
        <f t="shared" si="11"/>
        <v>4.1790683251818095</v>
      </c>
      <c r="AB57" s="269">
        <f t="shared" si="11"/>
        <v>4.4830124422932576</v>
      </c>
      <c r="AC57" s="269">
        <f t="shared" si="11"/>
        <v>4.7995652669659794</v>
      </c>
      <c r="AD57" s="269">
        <f t="shared" si="11"/>
        <v>5.129224254204761</v>
      </c>
      <c r="AE57" s="269">
        <f t="shared" si="11"/>
        <v>5.472507562499322</v>
      </c>
      <c r="AF57" s="269">
        <f t="shared" si="11"/>
        <v>5.8299549754339592</v>
      </c>
      <c r="AG57" s="269">
        <f t="shared" si="11"/>
        <v>6.2021288664001011</v>
      </c>
      <c r="AH57" s="269">
        <f t="shared" si="11"/>
        <v>6.5928662388096164</v>
      </c>
      <c r="AI57" s="269">
        <f t="shared" si="11"/>
        <v>6.9951906804192436</v>
      </c>
      <c r="AJ57" s="269">
        <f t="shared" si="11"/>
        <v>7.4139597481369943</v>
      </c>
      <c r="AK57" s="269">
        <f t="shared" si="11"/>
        <v>7.8498280730139021</v>
      </c>
      <c r="AL57" s="269">
        <f t="shared" si="11"/>
        <v>8.3034778450950952</v>
      </c>
      <c r="AM57" s="269">
        <f t="shared" si="11"/>
        <v>8.7756200482435744</v>
      </c>
      <c r="AN57" s="269">
        <f t="shared" si="11"/>
        <v>9.266995752772635</v>
      </c>
      <c r="AO57" s="269">
        <f t="shared" si="11"/>
        <v>9.7783774686616489</v>
      </c>
      <c r="AP57" s="269">
        <f t="shared" si="11"/>
        <v>10.310570562264688</v>
      </c>
      <c r="AQ57" s="269">
        <f t="shared" si="11"/>
        <v>10.864414739563049</v>
      </c>
      <c r="AS57" s="7">
        <f>ROW()</f>
        <v>57</v>
      </c>
    </row>
    <row r="58" spans="2:45" ht="13.95" customHeight="1">
      <c r="B58" s="291" t="str">
        <f>CONCATENATE("Sum of Rows ",AS53, " and ",AS25, ".")</f>
        <v>Sum of Rows 53 and 25.</v>
      </c>
      <c r="M58"/>
      <c r="Q58" s="67"/>
      <c r="S58" s="295"/>
      <c r="T58" s="240"/>
      <c r="AS58" s="7">
        <f>ROW()</f>
        <v>58</v>
      </c>
    </row>
    <row r="59" spans="2:45" ht="13.95" customHeight="1">
      <c r="B59" s="14" t="s">
        <v>1106</v>
      </c>
      <c r="J59" s="67"/>
      <c r="K59" s="270">
        <f>K57/(AEO!$S$28)^(K$14-$S$14)</f>
        <v>2.7757811425504477</v>
      </c>
      <c r="L59" s="270">
        <f>L57/(AEO!$S$28)^(L$14-$S$14)</f>
        <v>3.7565393651186993</v>
      </c>
      <c r="M59" s="270">
        <f>M57/(AEO!$S$28)^(M$14-$S$14)</f>
        <v>2.1624945596820977</v>
      </c>
      <c r="N59" s="270">
        <f>N57/(AEO!$S$28)^(N$14-$S$14)</f>
        <v>2.6805938245557126</v>
      </c>
      <c r="O59" s="270">
        <f>O57/(AEO!$S$28)^(O$14-$S$14)</f>
        <v>3.563362878168721</v>
      </c>
      <c r="P59" s="270">
        <f>P57/(AEO!$S$28)^(P$14-$S$14)</f>
        <v>3.5536500585013182</v>
      </c>
      <c r="Q59" s="270">
        <f>Q57/(AEO!$S$28)^(Q$14-$S$14)</f>
        <v>3.3603603878550001</v>
      </c>
      <c r="R59" s="270">
        <f>R57/(AEO!$S$28)^(R$14-$S$14)</f>
        <v>3.0795985943602244</v>
      </c>
      <c r="S59" s="295">
        <f>S57/(AEO!$S$28)^(S$14-$S$14)</f>
        <v>1.873</v>
      </c>
      <c r="T59" s="270">
        <f>T57/(AEO!$S$28)^(T$14-$S$14)</f>
        <v>2.0405258244674447</v>
      </c>
      <c r="U59" s="270">
        <f>U57/(AEO!$S$28)^(U$14-$S$14)</f>
        <v>2.2570274331357187</v>
      </c>
      <c r="V59" s="270">
        <f>V57/(AEO!$S$28)^(V$14-$S$14)</f>
        <v>2.4792461057873045</v>
      </c>
      <c r="W59" s="270">
        <f>W57/(AEO!$S$28)^(W$14-$S$14)</f>
        <v>2.7075599735810947</v>
      </c>
      <c r="X59" s="270">
        <f>X57/(AEO!$S$28)^(X$14-$S$14)</f>
        <v>2.9453470887955651</v>
      </c>
      <c r="Y59" s="270">
        <f>Y57/(AEO!$S$28)^(Y$14-$S$14)</f>
        <v>3.1168831395816086</v>
      </c>
      <c r="Z59" s="270">
        <f>Z57/(AEO!$S$28)^(Z$14-$S$14)</f>
        <v>3.2895830731273583</v>
      </c>
      <c r="AA59" s="270">
        <f>AA57/(AEO!$S$28)^(AA$14-$S$14)</f>
        <v>3.4634944166320363</v>
      </c>
      <c r="AB59" s="270">
        <f>AB57/(AEO!$S$28)^(AB$14-$S$14)</f>
        <v>3.6386659681495646</v>
      </c>
      <c r="AC59" s="270">
        <f>AC57/(AEO!$S$28)^(AC$14-$S$14)</f>
        <v>3.8151478320251293</v>
      </c>
      <c r="AD59" s="270">
        <f>AD57/(AEO!$S$28)^(AD$14-$S$14)</f>
        <v>3.9929914553155297</v>
      </c>
      <c r="AE59" s="270">
        <f>AE57/(AEO!$S$28)^(AE$14-$S$14)</f>
        <v>4.1722496652206331</v>
      </c>
      <c r="AF59" s="270">
        <f>AF57/(AEO!$S$28)^(AF$14-$S$14)</f>
        <v>4.3529767075540073</v>
      </c>
      <c r="AG59" s="270">
        <f>AG57/(AEO!$S$28)^(AG$14-$S$14)</f>
        <v>4.535228286281618</v>
      </c>
      <c r="AH59" s="270">
        <f>AH57/(AEO!$S$28)^(AH$14-$S$14)</f>
        <v>4.7213897844673145</v>
      </c>
      <c r="AI59" s="270">
        <f>AI57/(AEO!$S$28)^(AI$14-$S$14)</f>
        <v>4.906054555801572</v>
      </c>
      <c r="AJ59" s="270">
        <f>AJ57/(AEO!$S$28)^(AJ$14-$S$14)</f>
        <v>5.0923736734641869</v>
      </c>
      <c r="AK59" s="270">
        <f>AK57/(AEO!$S$28)^(AK$14-$S$14)</f>
        <v>5.2804071424899259</v>
      </c>
      <c r="AL59" s="270">
        <f>AL57/(AEO!$S$28)^(AL$14-$S$14)</f>
        <v>5.4702165686126127</v>
      </c>
      <c r="AM59" s="270">
        <f>AM57/(AEO!$S$28)^(AM$14-$S$14)</f>
        <v>5.6618652023615494</v>
      </c>
      <c r="AN59" s="270">
        <f>AN57/(AEO!$S$28)^(AN$14-$S$14)</f>
        <v>5.8554179843685636</v>
      </c>
      <c r="AO59" s="270">
        <f>AO57/(AEO!$S$28)^(AO$14-$S$14)</f>
        <v>6.0509415919189831</v>
      </c>
      <c r="AP59" s="270">
        <f>AP57/(AEO!$S$28)^(AP$14-$S$14)</f>
        <v>6.2485044867806412</v>
      </c>
      <c r="AQ59" s="270">
        <f>AQ57/(AEO!$S$28)^(AQ$14-$S$14)</f>
        <v>6.4481769643460689</v>
      </c>
      <c r="AS59" s="7">
        <f>ROW()</f>
        <v>59</v>
      </c>
    </row>
    <row r="60" spans="2:45" ht="13.95" customHeight="1">
      <c r="B60" s="291" t="str">
        <f>CONCATENATE("Row ",AS57, ", deflated by economy-wide price index in 'AEO' tab.")</f>
        <v>Row 57, deflated by economy-wide price index in 'AEO' tab.</v>
      </c>
      <c r="M60"/>
      <c r="Q60" s="67"/>
      <c r="T60" s="240"/>
      <c r="AS60" s="7">
        <f>ROW()</f>
        <v>60</v>
      </c>
    </row>
    <row r="61" spans="2:45" ht="13.95" customHeight="1">
      <c r="B61" s="14" t="s">
        <v>1062</v>
      </c>
      <c r="K61" s="15"/>
      <c r="M61" s="67"/>
      <c r="Q61" s="67"/>
      <c r="T61" s="281">
        <f t="shared" ref="T61:AP61" si="12">T57/T53-1</f>
        <v>5.9430148013042583E-2</v>
      </c>
      <c r="U61" s="206">
        <f t="shared" si="12"/>
        <v>0.11260718809288073</v>
      </c>
      <c r="V61" s="206">
        <f t="shared" si="12"/>
        <v>0.1599680502353038</v>
      </c>
      <c r="W61" s="206">
        <f t="shared" si="12"/>
        <v>0.20193020109311788</v>
      </c>
      <c r="X61" s="206">
        <f t="shared" si="12"/>
        <v>0.23859237756863649</v>
      </c>
      <c r="Y61" s="206">
        <f t="shared" si="12"/>
        <v>0.27870950259896454</v>
      </c>
      <c r="Z61" s="206">
        <f t="shared" si="12"/>
        <v>0.31650767393763712</v>
      </c>
      <c r="AA61" s="206">
        <f t="shared" si="12"/>
        <v>0.3520742020742289</v>
      </c>
      <c r="AB61" s="206">
        <f t="shared" si="12"/>
        <v>0.38549405381959523</v>
      </c>
      <c r="AC61" s="206">
        <f t="shared" si="12"/>
        <v>0.41684987631993264</v>
      </c>
      <c r="AD61" s="206">
        <f t="shared" si="12"/>
        <v>0.44622202318233239</v>
      </c>
      <c r="AE61" s="206">
        <f t="shared" si="12"/>
        <v>0.47368858253877999</v>
      </c>
      <c r="AF61" s="206">
        <f>AF57/AF53-1</f>
        <v>0.49932540688158356</v>
      </c>
      <c r="AG61" s="206">
        <f>AG57/AG53-1</f>
        <v>0.52320614450939762</v>
      </c>
      <c r="AH61" s="206">
        <f t="shared" si="12"/>
        <v>0.5449867557516801</v>
      </c>
      <c r="AI61" s="206">
        <f t="shared" si="12"/>
        <v>0.56570873119024956</v>
      </c>
      <c r="AJ61" s="206">
        <f t="shared" si="12"/>
        <v>0.58489512200657812</v>
      </c>
      <c r="AK61" s="206">
        <f t="shared" si="12"/>
        <v>0.6026098609062458</v>
      </c>
      <c r="AL61" s="206">
        <f t="shared" si="12"/>
        <v>0.61891491171063295</v>
      </c>
      <c r="AM61" s="206">
        <f t="shared" si="12"/>
        <v>0.63387030599703675</v>
      </c>
      <c r="AN61" s="206">
        <f t="shared" si="12"/>
        <v>0.64753418036286003</v>
      </c>
      <c r="AO61" s="206">
        <f t="shared" si="12"/>
        <v>0.65996281421005198</v>
      </c>
      <c r="AP61" s="206">
        <f t="shared" si="12"/>
        <v>0.67121066795155548</v>
      </c>
      <c r="AQ61" s="206">
        <f t="shared" ref="AQ61" si="13">AQ57/AQ53-1</f>
        <v>0.68133042154700041</v>
      </c>
      <c r="AS61" s="7">
        <f>ROW()</f>
        <v>61</v>
      </c>
    </row>
    <row r="62" spans="2:45" ht="13.95" customHeight="1">
      <c r="B62" s="84" t="str">
        <f>CONCATENATE("Calculated as excess of Row ",AS57, " over Row ",AS53, ".")</f>
        <v>Calculated as excess of Row 57 over Row 53.</v>
      </c>
      <c r="K62" s="15"/>
      <c r="L62" s="84"/>
      <c r="M62" s="67"/>
      <c r="Q62" s="67"/>
      <c r="T62" s="281"/>
      <c r="U62" s="206"/>
      <c r="V62" s="206"/>
      <c r="W62" s="206"/>
      <c r="X62" s="206"/>
      <c r="Y62" s="206"/>
      <c r="Z62" s="206"/>
      <c r="AA62" s="206"/>
      <c r="AB62" s="206"/>
      <c r="AC62" s="206"/>
      <c r="AD62" s="206"/>
      <c r="AE62" s="206"/>
      <c r="AF62" s="206"/>
      <c r="AG62" s="206"/>
      <c r="AH62" s="206"/>
      <c r="AI62" s="206"/>
      <c r="AJ62" s="206"/>
      <c r="AK62" s="206"/>
      <c r="AL62" s="206"/>
      <c r="AM62" s="206"/>
      <c r="AN62" s="206"/>
      <c r="AO62" s="206"/>
      <c r="AP62" s="206"/>
      <c r="AQ62" s="206"/>
      <c r="AS62" s="7">
        <f>ROW()</f>
        <v>62</v>
      </c>
    </row>
    <row r="63" spans="2:45" ht="13.95" customHeight="1">
      <c r="B63" s="54" t="s">
        <v>359</v>
      </c>
      <c r="G63" s="183">
        <v>10</v>
      </c>
      <c r="H63" s="54" t="s">
        <v>860</v>
      </c>
      <c r="J63" s="283">
        <f>'Personal Ground Travel'!J54/5</f>
        <v>2E-3</v>
      </c>
      <c r="K63" s="15"/>
      <c r="L63" s="84"/>
      <c r="M63" s="67"/>
      <c r="Q63" s="67"/>
      <c r="T63" s="281"/>
      <c r="U63" s="206"/>
      <c r="V63" s="206"/>
      <c r="W63" s="206"/>
      <c r="X63" s="206"/>
      <c r="Y63" s="206"/>
      <c r="Z63" s="206"/>
      <c r="AA63" s="206"/>
      <c r="AB63" s="206"/>
      <c r="AC63" s="206"/>
      <c r="AD63" s="206"/>
      <c r="AE63" s="206"/>
      <c r="AF63" s="206"/>
      <c r="AG63" s="206"/>
      <c r="AH63" s="206"/>
      <c r="AI63" s="206"/>
      <c r="AJ63" s="206"/>
      <c r="AK63" s="206"/>
      <c r="AL63" s="206"/>
      <c r="AM63" s="206"/>
      <c r="AN63" s="206"/>
      <c r="AO63" s="206"/>
      <c r="AP63" s="206"/>
      <c r="AQ63" s="206"/>
      <c r="AS63" s="7">
        <f>ROW()</f>
        <v>63</v>
      </c>
    </row>
    <row r="64" spans="2:45" ht="13.95" customHeight="1">
      <c r="B64" s="182" t="str">
        <f>CONCATENATE("CTC estimate, calculated by dividing analogous figure in Cell J",'Personal Ground Travel'!AS54, ", of 'Personal Ground Travel' tab by 5 to reflect both higher fuel purity required for aircraft engines and apparent impossibility of electrification.")</f>
        <v>CTC estimate, calculated by dividing analogous figure in Cell J54, of 'Personal Ground Travel' tab by 5 to reflect both higher fuel purity required for aircraft engines and apparent impossibility of electrification.</v>
      </c>
      <c r="C64" s="412"/>
      <c r="D64" s="412"/>
      <c r="E64" s="412"/>
      <c r="F64" s="412"/>
      <c r="G64" s="412"/>
      <c r="H64" s="412"/>
      <c r="I64" s="412"/>
      <c r="J64" s="412"/>
      <c r="K64" s="15"/>
      <c r="L64" s="84"/>
      <c r="M64" s="67"/>
      <c r="Q64" s="67"/>
      <c r="T64" s="281"/>
      <c r="U64" s="206"/>
      <c r="V64" s="206"/>
      <c r="W64" s="206"/>
      <c r="X64" s="206"/>
      <c r="Y64" s="206"/>
      <c r="Z64" s="206"/>
      <c r="AA64" s="206"/>
      <c r="AB64" s="206"/>
      <c r="AC64" s="206"/>
      <c r="AD64" s="206"/>
      <c r="AE64" s="206"/>
      <c r="AF64" s="206"/>
      <c r="AG64" s="206"/>
      <c r="AH64" s="206"/>
      <c r="AI64" s="206"/>
      <c r="AJ64" s="206"/>
      <c r="AK64" s="206"/>
      <c r="AL64" s="206"/>
      <c r="AM64" s="206"/>
      <c r="AN64" s="206"/>
      <c r="AO64" s="206"/>
      <c r="AP64" s="206"/>
      <c r="AQ64" s="206"/>
      <c r="AS64" s="7">
        <f>ROW()</f>
        <v>64</v>
      </c>
    </row>
    <row r="65" spans="1:45" ht="13.95" customHeight="1">
      <c r="B65" t="s">
        <v>104</v>
      </c>
      <c r="K65" s="19">
        <f>K31</f>
        <v>21.098238491092783</v>
      </c>
      <c r="L65" s="6">
        <f t="shared" ref="L65:S65" si="14">$K$65*(1-$J$63)^(L23/$G$63)</f>
        <v>21.098238491092783</v>
      </c>
      <c r="M65" s="6">
        <f t="shared" si="14"/>
        <v>21.098238491092783</v>
      </c>
      <c r="N65" s="6">
        <f t="shared" si="14"/>
        <v>21.098238491092783</v>
      </c>
      <c r="O65" s="6">
        <f t="shared" si="14"/>
        <v>21.098238491092783</v>
      </c>
      <c r="P65" s="6">
        <f t="shared" si="14"/>
        <v>21.098238491092783</v>
      </c>
      <c r="Q65" s="6">
        <f t="shared" si="14"/>
        <v>21.098238491092783</v>
      </c>
      <c r="R65" s="6">
        <f t="shared" si="14"/>
        <v>21.098238491092783</v>
      </c>
      <c r="S65" s="6">
        <f t="shared" si="14"/>
        <v>21.098238491092783</v>
      </c>
      <c r="T65" s="292">
        <f t="shared" ref="T65:AQ65" si="15">$S$65*(1-$J$63)^(T23/$G$63)</f>
        <v>21.052356309801183</v>
      </c>
      <c r="U65" s="293">
        <f t="shared" si="15"/>
        <v>21.006573908145732</v>
      </c>
      <c r="V65" s="293">
        <f t="shared" si="15"/>
        <v>20.960891069136409</v>
      </c>
      <c r="W65" s="293">
        <f t="shared" si="15"/>
        <v>20.915307576255067</v>
      </c>
      <c r="X65" s="293">
        <f t="shared" si="15"/>
        <v>20.869823213454424</v>
      </c>
      <c r="Y65" s="293">
        <f t="shared" si="15"/>
        <v>20.82443776515704</v>
      </c>
      <c r="Z65" s="293">
        <f t="shared" si="15"/>
        <v>20.779151016254282</v>
      </c>
      <c r="AA65" s="293">
        <f t="shared" si="15"/>
        <v>20.73396275210532</v>
      </c>
      <c r="AB65" s="293">
        <f t="shared" si="15"/>
        <v>20.688872758536096</v>
      </c>
      <c r="AC65" s="293">
        <f t="shared" si="15"/>
        <v>20.643880821838309</v>
      </c>
      <c r="AD65" s="293">
        <f t="shared" si="15"/>
        <v>20.598986728768423</v>
      </c>
      <c r="AE65" s="293">
        <f t="shared" si="15"/>
        <v>20.55419026654663</v>
      </c>
      <c r="AF65" s="293">
        <f t="shared" si="15"/>
        <v>20.509491222855853</v>
      </c>
      <c r="AG65" s="293">
        <f t="shared" si="15"/>
        <v>20.464889385840749</v>
      </c>
      <c r="AH65" s="293">
        <f t="shared" si="15"/>
        <v>20.420384544106682</v>
      </c>
      <c r="AI65" s="293">
        <f t="shared" si="15"/>
        <v>20.375976486718741</v>
      </c>
      <c r="AJ65" s="293">
        <f t="shared" si="15"/>
        <v>20.331665003200737</v>
      </c>
      <c r="AK65" s="293">
        <f t="shared" si="15"/>
        <v>20.287449883534194</v>
      </c>
      <c r="AL65" s="293">
        <f t="shared" si="15"/>
        <v>20.243330918157366</v>
      </c>
      <c r="AM65" s="293">
        <f t="shared" si="15"/>
        <v>20.199307897964243</v>
      </c>
      <c r="AN65" s="293">
        <f t="shared" si="15"/>
        <v>20.155380614303542</v>
      </c>
      <c r="AO65" s="293">
        <f t="shared" si="15"/>
        <v>20.111548858977756</v>
      </c>
      <c r="AP65" s="293">
        <f t="shared" si="15"/>
        <v>20.067812424242124</v>
      </c>
      <c r="AQ65" s="293">
        <f t="shared" si="15"/>
        <v>20.024171102803674</v>
      </c>
      <c r="AS65" s="7">
        <f>ROW()</f>
        <v>65</v>
      </c>
    </row>
    <row r="66" spans="1:45" ht="13.95" customHeight="1">
      <c r="B66" s="84" t="str">
        <f>CONCATENATE("Figures reduce baseline emission factor by percentage calculated from Row ",AS23, " and Cell J",AS63, " normalized by Cell G",AS63, ".")</f>
        <v>Figures reduce baseline emission factor by percentage calculated from Row 23 and Cell J63 normalized by Cell G63.</v>
      </c>
      <c r="C66" s="8"/>
      <c r="D66" s="8"/>
      <c r="E66" s="8"/>
      <c r="F66" s="8"/>
      <c r="G66" s="8"/>
      <c r="H66" s="8"/>
      <c r="K66" s="30"/>
      <c r="L66" s="30"/>
      <c r="M66" s="67"/>
      <c r="Q66" s="67"/>
      <c r="T66" s="240"/>
      <c r="AS66" s="7">
        <f>ROW()</f>
        <v>66</v>
      </c>
    </row>
    <row r="67" spans="1:45" s="8" customFormat="1" ht="13.95" customHeight="1">
      <c r="B67" s="13"/>
      <c r="I67" s="23"/>
      <c r="J67" s="23"/>
      <c r="K67" s="13">
        <f t="shared" ref="K67:AP67" si="16">K14</f>
        <v>2007</v>
      </c>
      <c r="L67" s="13">
        <f t="shared" si="16"/>
        <v>2008</v>
      </c>
      <c r="M67" s="13">
        <f t="shared" si="16"/>
        <v>2009</v>
      </c>
      <c r="N67" s="13">
        <f t="shared" si="16"/>
        <v>2010</v>
      </c>
      <c r="O67" s="13">
        <f t="shared" si="16"/>
        <v>2011</v>
      </c>
      <c r="P67" s="13">
        <f t="shared" si="16"/>
        <v>2012</v>
      </c>
      <c r="Q67" s="155">
        <f t="shared" si="16"/>
        <v>2013</v>
      </c>
      <c r="R67" s="155">
        <f t="shared" si="16"/>
        <v>2014</v>
      </c>
      <c r="S67" s="155">
        <f t="shared" si="16"/>
        <v>2015</v>
      </c>
      <c r="T67" s="279">
        <f t="shared" si="16"/>
        <v>2017</v>
      </c>
      <c r="U67" s="155">
        <f t="shared" si="16"/>
        <v>2018</v>
      </c>
      <c r="V67" s="155">
        <f t="shared" si="16"/>
        <v>2019</v>
      </c>
      <c r="W67" s="155">
        <f t="shared" si="16"/>
        <v>2020</v>
      </c>
      <c r="X67" s="155">
        <f t="shared" si="16"/>
        <v>2021</v>
      </c>
      <c r="Y67" s="155">
        <f t="shared" si="16"/>
        <v>2022</v>
      </c>
      <c r="Z67" s="155">
        <f t="shared" si="16"/>
        <v>2023</v>
      </c>
      <c r="AA67" s="155">
        <f t="shared" si="16"/>
        <v>2024</v>
      </c>
      <c r="AB67" s="155">
        <f t="shared" si="16"/>
        <v>2025</v>
      </c>
      <c r="AC67" s="155">
        <f t="shared" si="16"/>
        <v>2026</v>
      </c>
      <c r="AD67" s="155">
        <f t="shared" si="16"/>
        <v>2027</v>
      </c>
      <c r="AE67" s="155">
        <f t="shared" si="16"/>
        <v>2028</v>
      </c>
      <c r="AF67" s="155">
        <f t="shared" si="16"/>
        <v>2029</v>
      </c>
      <c r="AG67" s="155">
        <f t="shared" si="16"/>
        <v>2030</v>
      </c>
      <c r="AH67" s="155">
        <f t="shared" si="16"/>
        <v>2031</v>
      </c>
      <c r="AI67" s="155">
        <f t="shared" si="16"/>
        <v>2032</v>
      </c>
      <c r="AJ67" s="155">
        <f t="shared" si="16"/>
        <v>2033</v>
      </c>
      <c r="AK67" s="155">
        <f t="shared" si="16"/>
        <v>2034</v>
      </c>
      <c r="AL67" s="155">
        <f t="shared" si="16"/>
        <v>2035</v>
      </c>
      <c r="AM67" s="155">
        <f t="shared" si="16"/>
        <v>2036</v>
      </c>
      <c r="AN67" s="155">
        <f t="shared" si="16"/>
        <v>2037</v>
      </c>
      <c r="AO67" s="155">
        <f t="shared" si="16"/>
        <v>2038</v>
      </c>
      <c r="AP67" s="155">
        <f t="shared" si="16"/>
        <v>2039</v>
      </c>
      <c r="AQ67" s="155">
        <f t="shared" ref="AQ67" si="17">AQ14</f>
        <v>2040</v>
      </c>
      <c r="AS67" s="7">
        <f>ROW()</f>
        <v>67</v>
      </c>
    </row>
    <row r="68" spans="1:45" s="8" customFormat="1" ht="13.95" customHeight="1">
      <c r="B68" s="8" t="s">
        <v>1118</v>
      </c>
      <c r="J68" s="84" t="str">
        <f>CONCATENATE("Row ",AS37, " (sales w/o c-tax), x (one plus Row ",AS61, ") raised to jet fuel price-elasticity.")</f>
        <v>Row 37 (sales w/o c-tax), x (one plus Row 61) raised to jet fuel price-elasticity.</v>
      </c>
      <c r="M68" s="107"/>
      <c r="N68"/>
      <c r="O68"/>
      <c r="P68"/>
      <c r="Q68" s="268"/>
      <c r="R68" s="268"/>
      <c r="S68" s="245"/>
      <c r="T68" s="280">
        <f>T44*(1+T61)^Parameters!$H$12</f>
        <v>20501.099214880567</v>
      </c>
      <c r="U68" s="107">
        <f>U44*(1+U61)^Parameters!$H$12</f>
        <v>19255.42397067873</v>
      </c>
      <c r="V68" s="107">
        <f>V44*(1+V61)^Parameters!$H$12</f>
        <v>18164.700615960184</v>
      </c>
      <c r="W68" s="107">
        <f>W44*(1+W61)^Parameters!$H$12</f>
        <v>17199.109856639388</v>
      </c>
      <c r="X68" s="107">
        <f>X44*(1+X61)^Parameters!$H$12</f>
        <v>16361.292908026277</v>
      </c>
      <c r="Y68" s="107">
        <f>Y44*(1+Y61)^Parameters!$H$12</f>
        <v>15856.486550015701</v>
      </c>
      <c r="Z68" s="107">
        <f>Z44*(1+Z61)^Parameters!$H$12</f>
        <v>15392.582844594819</v>
      </c>
      <c r="AA68" s="107">
        <f>AA44*(1+AA61)^Parameters!$H$12</f>
        <v>14964.446516685635</v>
      </c>
      <c r="AB68" s="107">
        <f>AB44*(1+AB61)^Parameters!$H$12</f>
        <v>14567.787980878824</v>
      </c>
      <c r="AC68" s="107">
        <f>AC44*(1+AC61)^Parameters!$H$12</f>
        <v>14198.993079461818</v>
      </c>
      <c r="AD68" s="107">
        <f>AD44*(1+AD61)^Parameters!$H$12</f>
        <v>13854.992806889724</v>
      </c>
      <c r="AE68" s="107">
        <f>AE44*(1+AE61)^Parameters!$H$12</f>
        <v>13533.162398120343</v>
      </c>
      <c r="AF68" s="107">
        <f>AF44*(1+AF61)^Parameters!$H$12</f>
        <v>13231.242282096542</v>
      </c>
      <c r="AG68" s="107">
        <f>AG44*(1+AG61)^Parameters!$H$12</f>
        <v>12947.275524682336</v>
      </c>
      <c r="AH68" s="107">
        <f>AH44*(1+AH61)^Parameters!$H$12</f>
        <v>12692.075216575944</v>
      </c>
      <c r="AI68" s="107">
        <f>AI44*(1+AI61)^Parameters!$H$12</f>
        <v>12456.854322820334</v>
      </c>
      <c r="AJ68" s="107">
        <f>AJ44*(1+AJ61)^Parameters!$H$12</f>
        <v>12234.384587342844</v>
      </c>
      <c r="AK68" s="107">
        <f>AK44*(1+AK61)^Parameters!$H$12</f>
        <v>12023.564438080166</v>
      </c>
      <c r="AL68" s="107">
        <f>AL44*(1+AL61)^Parameters!$H$12</f>
        <v>11823.416363697901</v>
      </c>
      <c r="AM68" s="107">
        <f>AM44*(1+AM61)^Parameters!$H$12</f>
        <v>11633.069577492064</v>
      </c>
      <c r="AN68" s="107">
        <f>AN44*(1+AN61)^Parameters!$H$12</f>
        <v>11451.745545193737</v>
      </c>
      <c r="AO68" s="107">
        <f>AO44*(1+AO61)^Parameters!$H$12</f>
        <v>11278.745835220892</v>
      </c>
      <c r="AP68" s="107">
        <f>AP44*(1+AP61)^Parameters!$H$12</f>
        <v>11113.441864508262</v>
      </c>
      <c r="AQ68" s="107">
        <f>AQ44*(1+AQ61)^Parameters!$H$12</f>
        <v>11129.641653316874</v>
      </c>
      <c r="AS68" s="7">
        <f>ROW()</f>
        <v>68</v>
      </c>
    </row>
    <row r="69" spans="1:45" s="79" customFormat="1" ht="13.95" customHeight="1">
      <c r="A69" s="8"/>
      <c r="B69" s="8" t="s">
        <v>862</v>
      </c>
      <c r="C69" s="8"/>
      <c r="D69" s="8"/>
      <c r="E69" s="8"/>
      <c r="F69" s="8"/>
      <c r="G69" s="8"/>
      <c r="H69" s="8"/>
      <c r="I69" s="23"/>
      <c r="J69" s="84" t="str">
        <f>CONCATENATE("Product of Rows ",AS68, " and ",AS65, ", with appropriate conversion factor.")</f>
        <v>Product of Rows 68 and 65, with appropriate conversion factor.</v>
      </c>
      <c r="K69" s="8"/>
      <c r="L69" s="8"/>
      <c r="M69" s="129"/>
      <c r="N69"/>
      <c r="O69"/>
      <c r="P69"/>
      <c r="Q69" s="268"/>
      <c r="R69" s="268"/>
      <c r="S69" s="268"/>
      <c r="T69" s="280">
        <f>T68*T65/Parameters!$I$18</f>
        <v>195.73534939421813</v>
      </c>
      <c r="U69" s="107">
        <f>U68*U65/Parameters!$I$18</f>
        <v>183.44239762936223</v>
      </c>
      <c r="V69" s="107">
        <f>V68*V65/Parameters!$I$18</f>
        <v>172.67497093633398</v>
      </c>
      <c r="W69" s="107">
        <f>W68*W65/Parameters!$I$18</f>
        <v>163.14044112898549</v>
      </c>
      <c r="X69" s="107">
        <f>X68*X65/Parameters!$I$18</f>
        <v>154.85591407440091</v>
      </c>
      <c r="Y69" s="107">
        <f>Y68*Y65/Parameters!$I$18</f>
        <v>149.75166319040889</v>
      </c>
      <c r="Z69" s="107">
        <f>Z68*Z65/Parameters!$I$18</f>
        <v>145.05433263403202</v>
      </c>
      <c r="AA69" s="107">
        <f>AA68*AA65/Parameters!$I$18</f>
        <v>140.7130506498105</v>
      </c>
      <c r="AB69" s="107">
        <f>AB68*AB65/Parameters!$I$18</f>
        <v>136.68531152368863</v>
      </c>
      <c r="AC69" s="107">
        <f>AC68*AC65/Parameters!$I$18</f>
        <v>132.93529293538171</v>
      </c>
      <c r="AD69" s="107">
        <f>AD68*AD65/Parameters!$I$18</f>
        <v>129.4325682341512</v>
      </c>
      <c r="AE69" s="107">
        <f>AE68*AE65/Parameters!$I$18</f>
        <v>126.15110877053968</v>
      </c>
      <c r="AF69" s="107">
        <f>AF68*AF65/Parameters!$I$18</f>
        <v>123.06850224586769</v>
      </c>
      <c r="AG69" s="107">
        <f>AG68*AG65/Parameters!$I$18</f>
        <v>120.16533399574932</v>
      </c>
      <c r="AH69" s="107">
        <f>AH68*AH65/Parameters!$I$18</f>
        <v>117.54061523138634</v>
      </c>
      <c r="AI69" s="107">
        <f>AI68*AI65/Parameters!$I$18</f>
        <v>115.11136996837544</v>
      </c>
      <c r="AJ69" s="107">
        <f>AJ68*AJ65/Parameters!$I$18</f>
        <v>112.80970927445668</v>
      </c>
      <c r="AK69" s="107">
        <f>AK68*AK65/Parameters!$I$18</f>
        <v>110.62469884761693</v>
      </c>
      <c r="AL69" s="107">
        <f>AL68*AL65/Parameters!$I$18</f>
        <v>108.5466349358247</v>
      </c>
      <c r="AM69" s="107">
        <f>AM68*AM65/Parameters!$I$18</f>
        <v>106.5668726504322</v>
      </c>
      <c r="AN69" s="107">
        <f>AN68*AN65/Parameters!$I$18</f>
        <v>104.67768261294096</v>
      </c>
      <c r="AO69" s="107">
        <f>AO68*AO65/Parameters!$I$18</f>
        <v>102.87213058187612</v>
      </c>
      <c r="AP69" s="107">
        <f>AP68*AP65/Parameters!$I$18</f>
        <v>101.14397583885327</v>
      </c>
      <c r="AQ69" s="107">
        <f>AQ68*AQ65/Parameters!$I$18</f>
        <v>101.07113323306478</v>
      </c>
      <c r="AS69" s="7">
        <f>ROW()</f>
        <v>69</v>
      </c>
    </row>
    <row r="70" spans="1:45" s="8" customFormat="1" ht="13.95" customHeight="1">
      <c r="B70" s="8" t="s">
        <v>355</v>
      </c>
      <c r="I70" s="23"/>
      <c r="J70" s="84" t="str">
        <f>CONCATENATE("Row ",AS69, " less Row ",AS46, ".")</f>
        <v>Row 69 less Row 46.</v>
      </c>
      <c r="M70" s="129"/>
      <c r="N70"/>
      <c r="O70"/>
      <c r="P70"/>
      <c r="Q70" s="268"/>
      <c r="R70" s="268"/>
      <c r="S70" s="268"/>
      <c r="T70" s="280">
        <f>T69-T46</f>
        <v>-7.340438677135154</v>
      </c>
      <c r="U70" s="107">
        <f>U69-U46</f>
        <v>-12.982169944770448</v>
      </c>
      <c r="V70" s="107">
        <f t="shared" ref="V70:AQ70" si="18">V69-V46</f>
        <v>-17.316219609377583</v>
      </c>
      <c r="W70" s="107">
        <f t="shared" si="18"/>
        <v>-20.628080959544064</v>
      </c>
      <c r="X70" s="107">
        <f t="shared" si="18"/>
        <v>-23.140914686493971</v>
      </c>
      <c r="Y70" s="107">
        <f t="shared" si="18"/>
        <v>-26.084299082021346</v>
      </c>
      <c r="Z70" s="107">
        <f t="shared" si="18"/>
        <v>-28.646995886850732</v>
      </c>
      <c r="AA70" s="107">
        <f t="shared" si="18"/>
        <v>-30.879558393228166</v>
      </c>
      <c r="AB70" s="107">
        <f t="shared" si="18"/>
        <v>-32.82417771811248</v>
      </c>
      <c r="AC70" s="107">
        <f t="shared" si="18"/>
        <v>-34.516365403873323</v>
      </c>
      <c r="AD70" s="107">
        <f t="shared" si="18"/>
        <v>-35.986241096152128</v>
      </c>
      <c r="AE70" s="107">
        <f t="shared" si="18"/>
        <v>-37.259530166325106</v>
      </c>
      <c r="AF70" s="107">
        <f t="shared" si="18"/>
        <v>-38.358345316760889</v>
      </c>
      <c r="AG70" s="107">
        <f t="shared" si="18"/>
        <v>-39.301805252608389</v>
      </c>
      <c r="AH70" s="107">
        <f t="shared" si="18"/>
        <v>-40.120682540249106</v>
      </c>
      <c r="AI70" s="107">
        <f t="shared" si="18"/>
        <v>-40.869943499556285</v>
      </c>
      <c r="AJ70" s="107">
        <f t="shared" si="18"/>
        <v>-41.509521221934591</v>
      </c>
      <c r="AK70" s="107">
        <f t="shared" si="18"/>
        <v>-42.050159258987904</v>
      </c>
      <c r="AL70" s="107">
        <f t="shared" si="18"/>
        <v>-42.501372644909196</v>
      </c>
      <c r="AM70" s="107">
        <f t="shared" si="18"/>
        <v>-42.871619561419521</v>
      </c>
      <c r="AN70" s="107">
        <f t="shared" si="18"/>
        <v>-43.168444669575379</v>
      </c>
      <c r="AO70" s="107">
        <f t="shared" si="18"/>
        <v>-43.398599461694687</v>
      </c>
      <c r="AP70" s="107">
        <f t="shared" si="18"/>
        <v>-43.568143854316816</v>
      </c>
      <c r="AQ70" s="107">
        <f t="shared" si="18"/>
        <v>-44.377829157251142</v>
      </c>
      <c r="AS70" s="7">
        <f>ROW()</f>
        <v>70</v>
      </c>
    </row>
    <row r="71" spans="1:45" s="8" customFormat="1" ht="13.95" customHeight="1">
      <c r="B71" s="8" t="s">
        <v>356</v>
      </c>
      <c r="I71" s="23"/>
      <c r="J71" s="84" t="str">
        <f>CONCATENATE("Row ",AS69, " less Cell I",A436, ".")</f>
        <v>Row 69 less Cell I.</v>
      </c>
      <c r="M71" s="129"/>
      <c r="N71"/>
      <c r="O71"/>
      <c r="P71"/>
      <c r="Q71" s="268"/>
      <c r="R71" s="268"/>
      <c r="S71" s="268"/>
      <c r="T71" s="280">
        <f>T69-$I$46</f>
        <v>-36.764650605781867</v>
      </c>
      <c r="U71" s="107">
        <f>U69-$I$46</f>
        <v>-49.057602370637767</v>
      </c>
      <c r="V71" s="107">
        <f t="shared" ref="V71:AQ71" si="19">V69-$I$46</f>
        <v>-59.825029063666022</v>
      </c>
      <c r="W71" s="107">
        <f t="shared" si="19"/>
        <v>-69.359558871014514</v>
      </c>
      <c r="X71" s="107">
        <f t="shared" si="19"/>
        <v>-77.644085925599086</v>
      </c>
      <c r="Y71" s="107">
        <f t="shared" si="19"/>
        <v>-82.748336809591109</v>
      </c>
      <c r="Z71" s="107">
        <f t="shared" si="19"/>
        <v>-87.445667365967978</v>
      </c>
      <c r="AA71" s="107">
        <f t="shared" si="19"/>
        <v>-91.786949350189502</v>
      </c>
      <c r="AB71" s="107">
        <f t="shared" si="19"/>
        <v>-95.814688476311375</v>
      </c>
      <c r="AC71" s="107">
        <f t="shared" si="19"/>
        <v>-99.56470706461829</v>
      </c>
      <c r="AD71" s="107">
        <f t="shared" si="19"/>
        <v>-103.0674317658488</v>
      </c>
      <c r="AE71" s="107">
        <f t="shared" si="19"/>
        <v>-106.34889122946032</v>
      </c>
      <c r="AF71" s="107">
        <f t="shared" si="19"/>
        <v>-109.43149775413231</v>
      </c>
      <c r="AG71" s="107">
        <f t="shared" si="19"/>
        <v>-112.33466600425068</v>
      </c>
      <c r="AH71" s="107">
        <f t="shared" si="19"/>
        <v>-114.95938476861366</v>
      </c>
      <c r="AI71" s="107">
        <f t="shared" si="19"/>
        <v>-117.38863003162456</v>
      </c>
      <c r="AJ71" s="107">
        <f t="shared" si="19"/>
        <v>-119.69029072554332</v>
      </c>
      <c r="AK71" s="107">
        <f t="shared" si="19"/>
        <v>-121.87530115238307</v>
      </c>
      <c r="AL71" s="107">
        <f t="shared" si="19"/>
        <v>-123.9533650641753</v>
      </c>
      <c r="AM71" s="107">
        <f t="shared" si="19"/>
        <v>-125.9331273495678</v>
      </c>
      <c r="AN71" s="107">
        <f t="shared" si="19"/>
        <v>-127.82231738705904</v>
      </c>
      <c r="AO71" s="107">
        <f t="shared" si="19"/>
        <v>-129.62786941812388</v>
      </c>
      <c r="AP71" s="107">
        <f t="shared" si="19"/>
        <v>-131.35602416114673</v>
      </c>
      <c r="AQ71" s="107">
        <f t="shared" si="19"/>
        <v>-131.42886676693522</v>
      </c>
      <c r="AS71" s="7">
        <f>ROW()</f>
        <v>71</v>
      </c>
    </row>
    <row r="72" spans="1:45" s="8" customFormat="1" ht="13.95" customHeight="1">
      <c r="B72" s="8" t="s">
        <v>863</v>
      </c>
      <c r="I72" s="23"/>
      <c r="J72" s="84" t="str">
        <f>CONCATENATE("Product of Rows ",AS20, " and ",AS69, ", with appropriate conversion factor.")</f>
        <v>Product of Rows 20 and 69, with appropriate conversion factor.</v>
      </c>
      <c r="M72" s="129"/>
      <c r="N72"/>
      <c r="O72"/>
      <c r="P72"/>
      <c r="Q72" s="268"/>
      <c r="R72" s="268"/>
      <c r="S72" s="268"/>
      <c r="T72" s="783">
        <f t="shared" ref="T72:AQ72" si="20">ROUND(T69*T20,-2)/1000</f>
        <v>2.4</v>
      </c>
      <c r="U72" s="785">
        <f t="shared" si="20"/>
        <v>4.7</v>
      </c>
      <c r="V72" s="785">
        <f t="shared" si="20"/>
        <v>6.8</v>
      </c>
      <c r="W72" s="785">
        <f t="shared" si="20"/>
        <v>8.6999999999999993</v>
      </c>
      <c r="X72" s="785">
        <f t="shared" si="20"/>
        <v>10.5</v>
      </c>
      <c r="Y72" s="785">
        <f t="shared" si="20"/>
        <v>12.5</v>
      </c>
      <c r="Z72" s="785">
        <f t="shared" si="20"/>
        <v>14.4</v>
      </c>
      <c r="AA72" s="785">
        <f t="shared" si="20"/>
        <v>16.3</v>
      </c>
      <c r="AB72" s="785">
        <f t="shared" si="20"/>
        <v>18.2</v>
      </c>
      <c r="AC72" s="785">
        <f t="shared" si="20"/>
        <v>20.100000000000001</v>
      </c>
      <c r="AD72" s="785">
        <f t="shared" si="20"/>
        <v>21.9</v>
      </c>
      <c r="AE72" s="785">
        <f t="shared" si="20"/>
        <v>23.8</v>
      </c>
      <c r="AF72" s="785">
        <f t="shared" si="20"/>
        <v>25.7</v>
      </c>
      <c r="AG72" s="785">
        <f t="shared" si="20"/>
        <v>27.6</v>
      </c>
      <c r="AH72" s="785">
        <f t="shared" si="20"/>
        <v>29.5</v>
      </c>
      <c r="AI72" s="785">
        <f t="shared" si="20"/>
        <v>31.5</v>
      </c>
      <c r="AJ72" s="785">
        <f t="shared" si="20"/>
        <v>33.5</v>
      </c>
      <c r="AK72" s="785">
        <f t="shared" si="20"/>
        <v>35.5</v>
      </c>
      <c r="AL72" s="785">
        <f t="shared" si="20"/>
        <v>37.5</v>
      </c>
      <c r="AM72" s="785">
        <f t="shared" si="20"/>
        <v>39.6</v>
      </c>
      <c r="AN72" s="785">
        <f t="shared" si="20"/>
        <v>41.7</v>
      </c>
      <c r="AO72" s="785">
        <f t="shared" si="20"/>
        <v>43.8</v>
      </c>
      <c r="AP72" s="785">
        <f t="shared" si="20"/>
        <v>46</v>
      </c>
      <c r="AQ72" s="785">
        <f t="shared" si="20"/>
        <v>49</v>
      </c>
      <c r="AS72" s="7">
        <f>ROW()</f>
        <v>72</v>
      </c>
    </row>
    <row r="73" spans="1:45" s="8" customFormat="1" ht="13.95" customHeight="1">
      <c r="A73"/>
      <c r="H73" s="23"/>
      <c r="I73" s="23"/>
      <c r="J73" s="23"/>
      <c r="M73" s="129"/>
      <c r="N73" s="129"/>
      <c r="O73" s="129"/>
      <c r="P73" s="129"/>
      <c r="Q73" s="129"/>
      <c r="R73" s="129"/>
      <c r="S73" s="296"/>
      <c r="T73" s="24"/>
      <c r="U73" s="24"/>
      <c r="V73" s="24"/>
      <c r="W73" s="24"/>
      <c r="X73" s="24"/>
      <c r="Y73" s="24"/>
      <c r="Z73" s="24"/>
      <c r="AA73" s="24"/>
      <c r="AB73" s="24"/>
      <c r="AC73" s="24"/>
      <c r="AD73" s="24"/>
      <c r="AE73" s="24"/>
      <c r="AF73" s="24"/>
      <c r="AG73" s="24"/>
      <c r="AH73" s="24"/>
      <c r="AI73" s="24"/>
      <c r="AJ73" s="24"/>
      <c r="AK73" s="24"/>
      <c r="AL73" s="24"/>
      <c r="AM73" s="24"/>
      <c r="AN73" s="24"/>
      <c r="AO73" s="24"/>
      <c r="AP73" s="24"/>
      <c r="AQ73" s="24"/>
      <c r="AS73" s="7">
        <f>ROW()</f>
        <v>73</v>
      </c>
    </row>
    <row r="74" spans="1:45" ht="13.95" customHeight="1">
      <c r="B74" s="54" t="s">
        <v>14</v>
      </c>
      <c r="H74" s="54">
        <f>-Parameters!H12</f>
        <v>0.6</v>
      </c>
      <c r="I74" s="54"/>
      <c r="J74" s="54"/>
      <c r="M74" s="67"/>
      <c r="Q74" s="67"/>
      <c r="S74" s="26"/>
      <c r="AS74" s="7">
        <f>ROW()</f>
        <v>74</v>
      </c>
    </row>
    <row r="75" spans="1:45" ht="13.95" customHeight="1">
      <c r="B75" s="84" t="s">
        <v>1115</v>
      </c>
      <c r="C75" s="84"/>
      <c r="D75" s="84"/>
      <c r="E75" s="84"/>
      <c r="F75" s="84"/>
      <c r="G75" s="84"/>
      <c r="H75" s="84"/>
      <c r="I75" s="84"/>
      <c r="J75" s="84"/>
      <c r="K75" s="84"/>
      <c r="L75" s="84"/>
      <c r="M75" s="84"/>
      <c r="N75" s="84"/>
      <c r="O75" s="84"/>
      <c r="P75" s="84"/>
      <c r="Q75" s="129"/>
      <c r="R75" s="129"/>
      <c r="S75" s="296"/>
      <c r="AS75" s="7">
        <f>ROW()</f>
        <v>75</v>
      </c>
    </row>
    <row r="76" spans="1:45" ht="13.95" customHeight="1">
      <c r="B76" s="84"/>
      <c r="C76" s="84"/>
      <c r="D76" s="84"/>
      <c r="E76" s="84"/>
      <c r="F76" s="84"/>
      <c r="G76" s="84"/>
      <c r="H76" s="84"/>
      <c r="I76" s="84"/>
      <c r="J76" s="84"/>
      <c r="K76" s="84"/>
      <c r="L76" s="84"/>
      <c r="M76" s="84"/>
      <c r="N76" s="84"/>
      <c r="O76" s="84"/>
      <c r="P76" s="84"/>
      <c r="Q76" s="129"/>
      <c r="R76" s="129"/>
      <c r="S76" s="296"/>
      <c r="AS76" s="7">
        <f>ROW()</f>
        <v>76</v>
      </c>
    </row>
    <row r="77" spans="1:45" ht="13.95" customHeight="1">
      <c r="B77" s="8" t="s">
        <v>105</v>
      </c>
      <c r="D77" t="s">
        <v>82</v>
      </c>
      <c r="M77" s="67"/>
      <c r="Q77" s="67"/>
      <c r="S77" s="26"/>
      <c r="AS77" s="7">
        <f>ROW()</f>
        <v>77</v>
      </c>
    </row>
    <row r="78" spans="1:45" ht="13.95" customHeight="1">
      <c r="M78" s="67"/>
      <c r="Q78" s="67"/>
      <c r="S78" s="26"/>
      <c r="AS78" s="7">
        <f>ROW()</f>
        <v>78</v>
      </c>
    </row>
    <row r="79" spans="1:45" ht="13.95" customHeight="1">
      <c r="B79" s="1155" t="s">
        <v>486</v>
      </c>
      <c r="C79" s="1155"/>
      <c r="D79" s="1155"/>
      <c r="E79" s="1155"/>
      <c r="F79" s="1155"/>
      <c r="G79" s="1155"/>
      <c r="H79" s="1155"/>
      <c r="I79" s="56"/>
      <c r="J79" s="56"/>
      <c r="M79" s="67"/>
      <c r="Q79" s="67"/>
      <c r="S79" s="26"/>
      <c r="AS79" s="7">
        <f>ROW()</f>
        <v>79</v>
      </c>
    </row>
    <row r="80" spans="1:45" ht="13.95" customHeight="1">
      <c r="B80" s="1155"/>
      <c r="C80" s="1155"/>
      <c r="D80" s="1155"/>
      <c r="E80" s="1155"/>
      <c r="F80" s="1155"/>
      <c r="G80" s="1155"/>
      <c r="H80" s="1155"/>
      <c r="I80" s="56"/>
      <c r="J80" s="56"/>
      <c r="M80" s="67"/>
      <c r="Q80" s="67"/>
      <c r="S80" s="26"/>
      <c r="AS80" s="7">
        <f>ROW()</f>
        <v>80</v>
      </c>
    </row>
    <row r="81" spans="1:45" ht="13.95" customHeight="1">
      <c r="M81" s="67"/>
      <c r="Q81" s="67"/>
      <c r="S81" s="26"/>
      <c r="AS81" s="7">
        <f>ROW()</f>
        <v>81</v>
      </c>
    </row>
    <row r="82" spans="1:45" ht="13.95" customHeight="1">
      <c r="B82" s="13" t="s">
        <v>410</v>
      </c>
      <c r="F82" s="12"/>
      <c r="G82" s="12">
        <f>HLOOKUP(10,T16:AP33,18)</f>
        <v>2026</v>
      </c>
      <c r="M82" s="67"/>
      <c r="Q82" s="67"/>
      <c r="S82" s="26"/>
      <c r="AS82" s="7">
        <f>ROW()</f>
        <v>82</v>
      </c>
    </row>
    <row r="83" spans="1:45" ht="13.95" customHeight="1">
      <c r="M83" s="67"/>
      <c r="Q83" s="67"/>
      <c r="S83" s="26"/>
      <c r="AS83" s="7">
        <f>ROW()</f>
        <v>83</v>
      </c>
    </row>
    <row r="84" spans="1:45" ht="13.95" customHeight="1">
      <c r="A84" s="13"/>
      <c r="B84" s="31" t="s">
        <v>428</v>
      </c>
      <c r="G84" s="36">
        <f>HLOOKUP(G82,T33:AP50,12)</f>
        <v>17500.556114859475</v>
      </c>
      <c r="M84" s="67"/>
      <c r="Q84" s="67"/>
      <c r="S84" s="26"/>
      <c r="AS84" s="7">
        <f>ROW()</f>
        <v>84</v>
      </c>
    </row>
    <row r="85" spans="1:45" ht="13.95" customHeight="1">
      <c r="B85" s="31" t="s">
        <v>429</v>
      </c>
      <c r="G85" s="36">
        <f>HLOOKUP(G82,T67:AP72,2)</f>
        <v>14198.993079461818</v>
      </c>
      <c r="M85" s="67"/>
      <c r="Q85" s="67"/>
      <c r="S85" s="26"/>
      <c r="AS85" s="7">
        <f>ROW()</f>
        <v>85</v>
      </c>
    </row>
    <row r="86" spans="1:45" s="13" customFormat="1" ht="13.95" customHeight="1">
      <c r="A86"/>
      <c r="B86" s="13" t="s">
        <v>5</v>
      </c>
      <c r="G86" s="37">
        <f>G85/G84</f>
        <v>0.8113452501892584</v>
      </c>
      <c r="M86" s="155"/>
      <c r="N86" s="155"/>
      <c r="O86" s="155"/>
      <c r="P86" s="155"/>
      <c r="Q86" s="155"/>
      <c r="R86" s="155"/>
      <c r="S86" s="251"/>
      <c r="AS86" s="7">
        <f>ROW()</f>
        <v>86</v>
      </c>
    </row>
    <row r="87" spans="1:45" ht="13.95" customHeight="1">
      <c r="M87" s="67"/>
      <c r="Q87" s="67"/>
      <c r="S87" s="26"/>
      <c r="AS87" s="7">
        <f>ROW()</f>
        <v>87</v>
      </c>
    </row>
    <row r="88" spans="1:45" ht="13.95" customHeight="1">
      <c r="A88" s="13"/>
      <c r="B88" t="s">
        <v>0</v>
      </c>
      <c r="G88" s="20">
        <f>K65</f>
        <v>21.098238491092783</v>
      </c>
      <c r="M88" s="67"/>
      <c r="Q88" s="67"/>
      <c r="S88" s="26"/>
      <c r="AS88" s="7">
        <f>ROW()</f>
        <v>88</v>
      </c>
    </row>
    <row r="89" spans="1:45" ht="13.95" customHeight="1">
      <c r="B89" t="s">
        <v>1</v>
      </c>
      <c r="G89" s="20">
        <f>HLOOKUP(G82,T40:AP65,26)</f>
        <v>20.643880821838309</v>
      </c>
      <c r="M89" s="67"/>
      <c r="Q89" s="67"/>
      <c r="S89" s="26"/>
      <c r="AS89" s="7">
        <f>ROW()</f>
        <v>89</v>
      </c>
    </row>
    <row r="90" spans="1:45" s="13" customFormat="1" ht="13.95" customHeight="1">
      <c r="A90"/>
      <c r="B90" s="13" t="s">
        <v>5</v>
      </c>
      <c r="G90" s="37">
        <f>G89/G88</f>
        <v>0.97846466332029125</v>
      </c>
      <c r="M90" s="155"/>
      <c r="N90" s="155"/>
      <c r="O90" s="155"/>
      <c r="P90" s="155"/>
      <c r="Q90" s="155"/>
      <c r="R90" s="155"/>
      <c r="S90" s="251"/>
      <c r="AS90" s="7">
        <f>ROW()</f>
        <v>90</v>
      </c>
    </row>
    <row r="91" spans="1:45" ht="13.95" customHeight="1">
      <c r="G91" s="20"/>
      <c r="M91" s="67"/>
      <c r="Q91" s="67"/>
      <c r="S91" s="26"/>
      <c r="AS91" s="7">
        <f>ROW()</f>
        <v>91</v>
      </c>
    </row>
    <row r="92" spans="1:45" ht="13.95" customHeight="1">
      <c r="B92" s="3" t="s">
        <v>140</v>
      </c>
      <c r="G92" s="20"/>
      <c r="M92" s="67"/>
      <c r="Q92" s="67"/>
      <c r="S92" s="26"/>
      <c r="AS92" s="7">
        <f>ROW()</f>
        <v>92</v>
      </c>
    </row>
    <row r="93" spans="1:45" ht="13.95" customHeight="1">
      <c r="A93" s="13"/>
      <c r="B93" s="31" t="s">
        <v>418</v>
      </c>
      <c r="G93" s="36">
        <f>HLOOKUP(G82,T33:AP48,14)</f>
        <v>167.45165833925503</v>
      </c>
      <c r="M93" s="67"/>
      <c r="Q93" s="67"/>
      <c r="S93" s="26"/>
      <c r="AS93" s="7">
        <f>ROW()</f>
        <v>93</v>
      </c>
    </row>
    <row r="94" spans="1:45" ht="13.95" customHeight="1">
      <c r="A94" s="13"/>
      <c r="B94" s="31" t="s">
        <v>419</v>
      </c>
      <c r="G94" s="36">
        <f>HLOOKUP(G82,T67:AP72,3)</f>
        <v>132.93529293538171</v>
      </c>
      <c r="M94" s="67"/>
      <c r="Q94" s="67"/>
      <c r="S94" s="26"/>
      <c r="AS94" s="7">
        <f>ROW()</f>
        <v>94</v>
      </c>
    </row>
    <row r="95" spans="1:45" ht="13.95" customHeight="1">
      <c r="A95" s="13"/>
      <c r="B95" s="13" t="s">
        <v>5</v>
      </c>
      <c r="C95" s="13"/>
      <c r="D95" s="13"/>
      <c r="E95" s="13"/>
      <c r="F95" s="13"/>
      <c r="G95" s="55">
        <f>G94/G93</f>
        <v>0.79387265706295018</v>
      </c>
      <c r="M95" s="67"/>
      <c r="Q95" s="67"/>
      <c r="S95" s="26"/>
      <c r="AS95" s="7">
        <f>ROW()</f>
        <v>95</v>
      </c>
    </row>
    <row r="96" spans="1:45" ht="13.95" customHeight="1">
      <c r="G96" s="20"/>
      <c r="M96" s="67"/>
      <c r="Q96" s="67"/>
      <c r="S96" s="26"/>
      <c r="AS96" s="7">
        <f>ROW()</f>
        <v>96</v>
      </c>
    </row>
    <row r="97" spans="2:45" ht="13.95" customHeight="1">
      <c r="B97" s="13" t="s">
        <v>4</v>
      </c>
      <c r="C97" s="13"/>
      <c r="D97" s="13"/>
      <c r="E97" s="13"/>
      <c r="F97" s="13"/>
      <c r="G97" s="55">
        <f>G90*G86</f>
        <v>0.79387265706295018</v>
      </c>
      <c r="M97" s="67"/>
      <c r="Q97" s="67"/>
      <c r="S97" s="26"/>
      <c r="AS97" s="7">
        <f>ROW()</f>
        <v>97</v>
      </c>
    </row>
    <row r="98" spans="2:45" ht="13.95" customHeight="1">
      <c r="G98" s="20"/>
      <c r="M98" s="67"/>
      <c r="Q98" s="67"/>
      <c r="S98" s="26"/>
      <c r="AS98" s="7">
        <f>ROW()</f>
        <v>98</v>
      </c>
    </row>
    <row r="99" spans="2:45" ht="13.95" customHeight="1">
      <c r="B99" t="s">
        <v>109</v>
      </c>
      <c r="G99" s="20"/>
      <c r="M99" s="67"/>
      <c r="Q99" s="67"/>
      <c r="S99" s="26"/>
      <c r="AS99" s="7">
        <f>ROW()</f>
        <v>99</v>
      </c>
    </row>
    <row r="100" spans="2:45" ht="13.95" customHeight="1">
      <c r="B100" t="s">
        <v>110</v>
      </c>
      <c r="G100" s="6">
        <f>(1-G86)/(1-G90)</f>
        <v>8.7602414866584297</v>
      </c>
      <c r="M100" s="67"/>
      <c r="Q100" s="67"/>
      <c r="S100" s="26"/>
      <c r="AS100" s="7">
        <f>ROW()</f>
        <v>100</v>
      </c>
    </row>
    <row r="101" spans="2:45" ht="13.95" customHeight="1">
      <c r="M101" s="67"/>
      <c r="Q101" s="67"/>
      <c r="S101" s="26"/>
      <c r="AS101" s="7">
        <f>ROW()</f>
        <v>101</v>
      </c>
    </row>
    <row r="102" spans="2:45" ht="13.95" customHeight="1">
      <c r="B102" s="38" t="s">
        <v>111</v>
      </c>
      <c r="C102" s="39"/>
      <c r="D102" s="39"/>
      <c r="E102" s="39"/>
      <c r="F102" s="39"/>
      <c r="G102" s="40">
        <f>G100/(1+G100)</f>
        <v>0.89754351863456139</v>
      </c>
      <c r="M102" s="67"/>
      <c r="Q102" s="67"/>
      <c r="S102" s="26"/>
      <c r="AS102" s="7">
        <f>ROW()</f>
        <v>102</v>
      </c>
    </row>
    <row r="103" spans="2:45" ht="13.95" customHeight="1">
      <c r="B103" s="41" t="s">
        <v>112</v>
      </c>
      <c r="C103" s="42"/>
      <c r="D103" s="42"/>
      <c r="E103" s="42"/>
      <c r="F103" s="42"/>
      <c r="G103" s="43">
        <f>1-G102</f>
        <v>0.10245648136543861</v>
      </c>
      <c r="M103" s="67"/>
      <c r="Q103" s="67"/>
      <c r="S103" s="26"/>
      <c r="AS103" s="7">
        <f>ROW()</f>
        <v>103</v>
      </c>
    </row>
    <row r="104" spans="2:45" ht="13.95" customHeight="1">
      <c r="M104" s="67"/>
      <c r="Q104" s="67"/>
      <c r="S104" s="26"/>
    </row>
    <row r="105" spans="2:45" ht="13.95" customHeight="1">
      <c r="M105" s="67"/>
      <c r="Q105" s="67"/>
    </row>
    <row r="106" spans="2:45" ht="13.95" customHeight="1">
      <c r="M106" s="67"/>
      <c r="Q106" s="67"/>
    </row>
    <row r="107" spans="2:45" ht="13.95" customHeight="1">
      <c r="M107" s="67"/>
      <c r="Q107" s="67"/>
    </row>
    <row r="108" spans="2:45" ht="13.95" customHeight="1">
      <c r="M108" s="67"/>
      <c r="Q108" s="67"/>
    </row>
    <row r="109" spans="2:45" ht="13.95" customHeight="1">
      <c r="M109" s="67"/>
      <c r="Q109" s="67"/>
    </row>
    <row r="110" spans="2:45" ht="13.95" customHeight="1">
      <c r="M110" s="67"/>
      <c r="Q110" s="67"/>
    </row>
    <row r="111" spans="2:45" ht="13.95" customHeight="1">
      <c r="M111" s="67"/>
      <c r="Q111" s="67"/>
    </row>
    <row r="112" spans="2:45" ht="13.95" customHeight="1">
      <c r="K112" s="13"/>
      <c r="L112" s="13"/>
      <c r="M112" s="13"/>
      <c r="N112" s="13"/>
      <c r="O112" s="13"/>
      <c r="P112" s="13"/>
      <c r="Q112" s="67"/>
    </row>
    <row r="113" spans="2:17" ht="13.95" customHeight="1">
      <c r="K113" s="412"/>
      <c r="L113" s="412"/>
      <c r="M113" s="412"/>
      <c r="N113" s="412"/>
      <c r="O113" s="412"/>
      <c r="P113" s="412"/>
      <c r="Q113" s="67"/>
    </row>
    <row r="114" spans="2:17" ht="13.95" customHeight="1">
      <c r="B114" s="412"/>
      <c r="C114" s="412"/>
      <c r="D114" s="412"/>
      <c r="E114" s="412"/>
      <c r="F114" s="412"/>
      <c r="G114" s="412"/>
      <c r="H114" s="412"/>
      <c r="I114" s="412"/>
      <c r="J114" s="412"/>
      <c r="K114" s="412"/>
      <c r="L114" s="412"/>
      <c r="M114" s="412"/>
      <c r="N114" s="412"/>
      <c r="O114" s="412"/>
      <c r="P114" s="412"/>
      <c r="Q114" s="67"/>
    </row>
    <row r="115" spans="2:17" ht="13.95" customHeight="1">
      <c r="M115" s="67"/>
      <c r="Q115" s="67"/>
    </row>
    <row r="116" spans="2:17" ht="13.95" customHeight="1">
      <c r="M116" s="67"/>
      <c r="Q116" s="67"/>
    </row>
    <row r="117" spans="2:17" ht="13.95" customHeight="1">
      <c r="M117" s="67"/>
      <c r="Q117" s="67"/>
    </row>
    <row r="118" spans="2:17" ht="13.95" customHeight="1">
      <c r="M118" s="67"/>
      <c r="Q118" s="67"/>
    </row>
    <row r="119" spans="2:17" ht="13.95" customHeight="1">
      <c r="M119" s="67"/>
      <c r="Q119" s="67"/>
    </row>
    <row r="120" spans="2:17" ht="13.95" customHeight="1">
      <c r="M120" s="67"/>
      <c r="Q120" s="67"/>
    </row>
    <row r="121" spans="2:17" ht="13.95" customHeight="1">
      <c r="M121" s="67"/>
      <c r="Q121" s="67"/>
    </row>
    <row r="122" spans="2:17" ht="13.95" customHeight="1">
      <c r="M122" s="67"/>
      <c r="Q122" s="67"/>
    </row>
    <row r="123" spans="2:17" ht="13.95" customHeight="1">
      <c r="M123" s="67"/>
      <c r="Q123" s="67"/>
    </row>
    <row r="124" spans="2:17" ht="13.95" customHeight="1">
      <c r="M124" s="67"/>
      <c r="Q124" s="67"/>
    </row>
    <row r="125" spans="2:17" ht="13.95" customHeight="1">
      <c r="M125" s="67"/>
      <c r="Q125" s="67"/>
    </row>
    <row r="126" spans="2:17" ht="13.95" customHeight="1">
      <c r="M126" s="67"/>
      <c r="Q126" s="67"/>
    </row>
    <row r="127" spans="2:17" ht="13.95" customHeight="1">
      <c r="M127" s="67"/>
      <c r="Q127" s="67"/>
    </row>
    <row r="128" spans="2:17" ht="13.95" customHeight="1">
      <c r="M128" s="67"/>
      <c r="Q128" s="67"/>
    </row>
    <row r="129" spans="13:17" ht="13.95" customHeight="1">
      <c r="M129" s="67"/>
      <c r="Q129" s="67"/>
    </row>
    <row r="130" spans="13:17" ht="13.95" customHeight="1">
      <c r="M130" s="67"/>
      <c r="Q130" s="67"/>
    </row>
    <row r="131" spans="13:17" ht="13.95" customHeight="1">
      <c r="M131" s="67"/>
      <c r="Q131" s="67"/>
    </row>
    <row r="132" spans="13:17" ht="13.95" customHeight="1">
      <c r="M132" s="67"/>
      <c r="Q132" s="67"/>
    </row>
    <row r="133" spans="13:17" ht="13.95" customHeight="1">
      <c r="M133" s="67"/>
      <c r="Q133" s="67"/>
    </row>
    <row r="134" spans="13:17" ht="13.95" customHeight="1">
      <c r="M134" s="67"/>
      <c r="Q134" s="67"/>
    </row>
    <row r="135" spans="13:17" ht="13.95" customHeight="1">
      <c r="M135" s="67"/>
      <c r="Q135" s="67"/>
    </row>
    <row r="136" spans="13:17" ht="13.95" customHeight="1">
      <c r="M136" s="67"/>
      <c r="Q136" s="67"/>
    </row>
    <row r="137" spans="13:17" ht="13.95" customHeight="1">
      <c r="M137" s="67"/>
      <c r="Q137" s="67"/>
    </row>
    <row r="138" spans="13:17" ht="13.95" customHeight="1">
      <c r="M138" s="67"/>
      <c r="Q138" s="67"/>
    </row>
    <row r="139" spans="13:17" ht="13.95" customHeight="1">
      <c r="M139" s="67"/>
      <c r="Q139" s="67"/>
    </row>
    <row r="140" spans="13:17" ht="13.95" customHeight="1">
      <c r="M140" s="67"/>
      <c r="Q140" s="67"/>
    </row>
    <row r="141" spans="13:17" ht="13.95" customHeight="1">
      <c r="M141" s="67"/>
      <c r="Q141" s="67"/>
    </row>
    <row r="142" spans="13:17" ht="13.95" customHeight="1">
      <c r="M142" s="67"/>
      <c r="Q142" s="67"/>
    </row>
    <row r="143" spans="13:17" ht="13.95" customHeight="1">
      <c r="M143" s="67"/>
      <c r="Q143" s="67"/>
    </row>
    <row r="144" spans="13:17" ht="13.95" customHeight="1">
      <c r="M144" s="67"/>
      <c r="Q144" s="67"/>
    </row>
    <row r="145" spans="13:17" ht="13.95" customHeight="1">
      <c r="M145" s="67"/>
      <c r="Q145" s="67"/>
    </row>
    <row r="146" spans="13:17" ht="13.95" customHeight="1">
      <c r="M146" s="67"/>
      <c r="Q146" s="67"/>
    </row>
    <row r="147" spans="13:17" ht="13.95" customHeight="1">
      <c r="M147" s="67"/>
      <c r="Q147" s="67"/>
    </row>
    <row r="148" spans="13:17" ht="13.95" customHeight="1">
      <c r="M148" s="67"/>
      <c r="Q148" s="67"/>
    </row>
    <row r="149" spans="13:17" ht="13.95" customHeight="1">
      <c r="M149" s="67"/>
      <c r="Q149" s="67"/>
    </row>
    <row r="150" spans="13:17" ht="13.95" customHeight="1">
      <c r="M150" s="67"/>
      <c r="Q150" s="67"/>
    </row>
    <row r="151" spans="13:17" ht="13.95" customHeight="1">
      <c r="M151" s="67"/>
      <c r="Q151" s="67"/>
    </row>
    <row r="152" spans="13:17" ht="13.95" customHeight="1">
      <c r="M152" s="67"/>
      <c r="Q152" s="67"/>
    </row>
    <row r="153" spans="13:17" ht="13.95" customHeight="1">
      <c r="M153" s="67"/>
      <c r="Q153" s="67"/>
    </row>
    <row r="154" spans="13:17" ht="13.95" customHeight="1">
      <c r="M154" s="67"/>
      <c r="Q154" s="67"/>
    </row>
    <row r="155" spans="13:17" ht="13.95" customHeight="1">
      <c r="M155" s="67"/>
      <c r="Q155" s="67"/>
    </row>
    <row r="156" spans="13:17" ht="13.95" customHeight="1">
      <c r="M156" s="67"/>
      <c r="Q156" s="67"/>
    </row>
    <row r="157" spans="13:17" ht="13.95" customHeight="1">
      <c r="M157" s="67"/>
      <c r="Q157" s="67"/>
    </row>
    <row r="158" spans="13:17" ht="13.95" customHeight="1">
      <c r="M158" s="67"/>
      <c r="Q158" s="67"/>
    </row>
    <row r="159" spans="13:17" ht="13.95" customHeight="1">
      <c r="M159" s="67"/>
      <c r="Q159" s="67"/>
    </row>
    <row r="160" spans="13:17" ht="13.95" customHeight="1">
      <c r="M160" s="67"/>
      <c r="Q160" s="67"/>
    </row>
    <row r="161" spans="13:17" ht="13.95" customHeight="1">
      <c r="M161" s="67"/>
      <c r="Q161" s="67"/>
    </row>
    <row r="162" spans="13:17" ht="13.95" customHeight="1">
      <c r="M162" s="67"/>
      <c r="Q162" s="67"/>
    </row>
    <row r="163" spans="13:17" ht="13.95" customHeight="1">
      <c r="M163" s="67"/>
      <c r="Q163" s="67"/>
    </row>
    <row r="164" spans="13:17" ht="13.95" customHeight="1">
      <c r="M164" s="67"/>
      <c r="Q164" s="67"/>
    </row>
    <row r="165" spans="13:17" ht="13.95" customHeight="1">
      <c r="M165" s="67"/>
      <c r="Q165" s="67"/>
    </row>
    <row r="166" spans="13:17" ht="13.95" customHeight="1">
      <c r="M166" s="67"/>
      <c r="Q166" s="67"/>
    </row>
    <row r="167" spans="13:17" ht="13.95" customHeight="1">
      <c r="M167" s="67"/>
      <c r="Q167" s="67"/>
    </row>
    <row r="168" spans="13:17" ht="13.95" customHeight="1">
      <c r="M168" s="67"/>
      <c r="Q168" s="67"/>
    </row>
    <row r="169" spans="13:17" ht="13.95" customHeight="1">
      <c r="M169" s="67"/>
      <c r="Q169" s="67"/>
    </row>
    <row r="170" spans="13:17" ht="13.95" customHeight="1">
      <c r="M170" s="67"/>
      <c r="Q170" s="67"/>
    </row>
    <row r="171" spans="13:17" ht="13.95" customHeight="1">
      <c r="M171" s="67"/>
      <c r="Q171" s="67"/>
    </row>
    <row r="172" spans="13:17" ht="13.95" customHeight="1">
      <c r="M172" s="67"/>
      <c r="Q172" s="67"/>
    </row>
    <row r="173" spans="13:17" ht="13.95" customHeight="1">
      <c r="M173" s="67"/>
      <c r="Q173" s="67"/>
    </row>
    <row r="174" spans="13:17" ht="13.95" customHeight="1">
      <c r="M174" s="67"/>
      <c r="Q174" s="67"/>
    </row>
    <row r="175" spans="13:17" ht="13.95" customHeight="1">
      <c r="M175" s="67"/>
      <c r="Q175" s="67"/>
    </row>
    <row r="176" spans="13:17" ht="13.95" customHeight="1">
      <c r="M176" s="67"/>
      <c r="Q176" s="67"/>
    </row>
    <row r="177" spans="13:17" ht="13.95" customHeight="1">
      <c r="M177" s="67"/>
      <c r="Q177" s="67"/>
    </row>
    <row r="178" spans="13:17" ht="13.95" customHeight="1">
      <c r="M178" s="67"/>
      <c r="Q178" s="67"/>
    </row>
    <row r="179" spans="13:17" ht="13.95" customHeight="1">
      <c r="M179" s="67"/>
      <c r="Q179" s="67"/>
    </row>
    <row r="180" spans="13:17" ht="13.95" customHeight="1">
      <c r="M180" s="67"/>
      <c r="Q180" s="67"/>
    </row>
    <row r="181" spans="13:17" ht="13.95" customHeight="1">
      <c r="M181" s="67"/>
      <c r="Q181" s="67"/>
    </row>
    <row r="182" spans="13:17" ht="13.95" customHeight="1">
      <c r="M182" s="67"/>
      <c r="Q182" s="67"/>
    </row>
    <row r="183" spans="13:17" ht="13.95" customHeight="1">
      <c r="M183" s="67"/>
      <c r="Q183" s="67"/>
    </row>
    <row r="184" spans="13:17" ht="13.95" customHeight="1">
      <c r="M184" s="67"/>
      <c r="Q184" s="67"/>
    </row>
    <row r="185" spans="13:17" ht="13.95" customHeight="1">
      <c r="M185" s="67"/>
      <c r="Q185" s="67"/>
    </row>
    <row r="186" spans="13:17" ht="13.95" customHeight="1">
      <c r="M186" s="67"/>
      <c r="Q186" s="67"/>
    </row>
    <row r="187" spans="13:17" ht="13.95" customHeight="1">
      <c r="M187" s="67"/>
      <c r="Q187" s="67"/>
    </row>
    <row r="188" spans="13:17" ht="13.95" customHeight="1">
      <c r="M188" s="67"/>
      <c r="Q188" s="67"/>
    </row>
    <row r="189" spans="13:17" ht="13.95" customHeight="1">
      <c r="M189" s="67"/>
      <c r="Q189" s="67"/>
    </row>
    <row r="190" spans="13:17" ht="13.95" customHeight="1">
      <c r="M190" s="67"/>
      <c r="Q190" s="67"/>
    </row>
    <row r="191" spans="13:17" ht="13.95" customHeight="1">
      <c r="M191" s="67"/>
      <c r="Q191" s="67"/>
    </row>
    <row r="192" spans="13:17" ht="13.95" customHeight="1">
      <c r="M192" s="67"/>
      <c r="Q192" s="67"/>
    </row>
    <row r="193" spans="13:17" ht="13.95" customHeight="1">
      <c r="M193" s="67"/>
      <c r="Q193" s="67"/>
    </row>
    <row r="194" spans="13:17" ht="13.95" customHeight="1">
      <c r="M194" s="67"/>
      <c r="Q194" s="67"/>
    </row>
    <row r="195" spans="13:17" ht="13.95" customHeight="1">
      <c r="M195" s="67"/>
      <c r="Q195" s="67"/>
    </row>
    <row r="196" spans="13:17" ht="13.95" customHeight="1">
      <c r="M196" s="67"/>
      <c r="Q196" s="67"/>
    </row>
    <row r="197" spans="13:17" ht="13.95" customHeight="1">
      <c r="M197" s="67"/>
      <c r="Q197" s="67"/>
    </row>
    <row r="198" spans="13:17" ht="13.95" customHeight="1">
      <c r="M198" s="67"/>
      <c r="Q198" s="67"/>
    </row>
    <row r="199" spans="13:17" ht="13.95" customHeight="1">
      <c r="M199" s="67"/>
      <c r="Q199" s="67"/>
    </row>
    <row r="200" spans="13:17" ht="13.95" customHeight="1">
      <c r="M200" s="67"/>
      <c r="Q200" s="67"/>
    </row>
    <row r="201" spans="13:17" ht="13.95" customHeight="1">
      <c r="M201" s="67"/>
      <c r="Q201" s="67"/>
    </row>
    <row r="202" spans="13:17" ht="13.95" customHeight="1">
      <c r="M202" s="67"/>
      <c r="Q202" s="67"/>
    </row>
    <row r="203" spans="13:17" ht="13.95" customHeight="1">
      <c r="M203" s="67"/>
      <c r="Q203" s="67"/>
    </row>
    <row r="204" spans="13:17" ht="13.95" customHeight="1">
      <c r="M204" s="67"/>
      <c r="Q204" s="67"/>
    </row>
    <row r="205" spans="13:17" ht="13.95" customHeight="1">
      <c r="M205" s="67"/>
      <c r="Q205" s="67"/>
    </row>
    <row r="206" spans="13:17" ht="13.95" customHeight="1">
      <c r="M206" s="67"/>
      <c r="Q206" s="67"/>
    </row>
    <row r="207" spans="13:17" ht="13.95" customHeight="1">
      <c r="M207" s="67"/>
      <c r="Q207" s="67"/>
    </row>
    <row r="208" spans="13:17" ht="13.95" customHeight="1">
      <c r="M208" s="67"/>
      <c r="Q208" s="67"/>
    </row>
    <row r="209" spans="13:17" ht="13.95" customHeight="1">
      <c r="M209" s="67"/>
      <c r="Q209" s="67"/>
    </row>
    <row r="210" spans="13:17" ht="13.95" customHeight="1">
      <c r="M210" s="67"/>
      <c r="Q210" s="67"/>
    </row>
    <row r="211" spans="13:17" ht="13.95" customHeight="1">
      <c r="M211" s="67"/>
      <c r="Q211" s="67"/>
    </row>
    <row r="212" spans="13:17" ht="13.95" customHeight="1">
      <c r="M212" s="67"/>
      <c r="Q212" s="67"/>
    </row>
    <row r="213" spans="13:17" ht="13.95" customHeight="1">
      <c r="M213" s="67"/>
      <c r="Q213" s="67"/>
    </row>
    <row r="214" spans="13:17" ht="13.95" customHeight="1">
      <c r="M214" s="67"/>
      <c r="Q214" s="67"/>
    </row>
    <row r="215" spans="13:17" ht="13.95" customHeight="1">
      <c r="M215" s="67"/>
      <c r="Q215" s="67"/>
    </row>
    <row r="216" spans="13:17" ht="13.95" customHeight="1">
      <c r="M216" s="67"/>
      <c r="Q216" s="67"/>
    </row>
    <row r="217" spans="13:17" ht="13.95" customHeight="1">
      <c r="M217" s="67"/>
      <c r="Q217" s="67"/>
    </row>
    <row r="218" spans="13:17" ht="13.95" customHeight="1">
      <c r="M218" s="67"/>
      <c r="Q218" s="67"/>
    </row>
    <row r="219" spans="13:17" ht="13.95" customHeight="1">
      <c r="M219" s="67"/>
      <c r="Q219" s="67"/>
    </row>
    <row r="220" spans="13:17" ht="13.95" customHeight="1">
      <c r="M220" s="67"/>
      <c r="Q220" s="67"/>
    </row>
    <row r="221" spans="13:17" ht="13.95" customHeight="1">
      <c r="M221" s="67"/>
      <c r="Q221" s="67"/>
    </row>
    <row r="222" spans="13:17" ht="13.95" customHeight="1">
      <c r="M222" s="67"/>
      <c r="Q222" s="67"/>
    </row>
    <row r="223" spans="13:17" ht="13.95" customHeight="1">
      <c r="M223" s="67"/>
      <c r="Q223" s="67"/>
    </row>
    <row r="224" spans="13:17" ht="13.95" customHeight="1">
      <c r="M224" s="67"/>
      <c r="Q224" s="67"/>
    </row>
    <row r="225" spans="13:19" ht="13.95" customHeight="1">
      <c r="M225" s="67"/>
      <c r="Q225" s="67"/>
    </row>
    <row r="226" spans="13:19" ht="13.95" customHeight="1">
      <c r="M226"/>
      <c r="N226"/>
      <c r="O226"/>
      <c r="P226"/>
      <c r="Q226"/>
      <c r="R226"/>
      <c r="S226"/>
    </row>
    <row r="227" spans="13:19" ht="13.95" customHeight="1">
      <c r="M227"/>
      <c r="N227"/>
      <c r="O227"/>
      <c r="P227"/>
      <c r="Q227"/>
      <c r="R227"/>
      <c r="S227"/>
    </row>
    <row r="228" spans="13:19" ht="13.95" customHeight="1">
      <c r="M228"/>
      <c r="N228"/>
      <c r="O228"/>
      <c r="P228"/>
      <c r="Q228"/>
      <c r="R228"/>
      <c r="S228"/>
    </row>
    <row r="229" spans="13:19" ht="13.95" customHeight="1">
      <c r="M229"/>
      <c r="N229"/>
      <c r="O229"/>
      <c r="P229"/>
      <c r="Q229"/>
      <c r="R229"/>
      <c r="S229"/>
    </row>
    <row r="230" spans="13:19" ht="13.95" customHeight="1">
      <c r="M230"/>
      <c r="N230"/>
      <c r="O230"/>
      <c r="P230"/>
      <c r="Q230"/>
      <c r="R230"/>
      <c r="S230"/>
    </row>
    <row r="231" spans="13:19" ht="13.95" customHeight="1">
      <c r="M231"/>
      <c r="N231"/>
      <c r="O231"/>
      <c r="P231"/>
      <c r="Q231"/>
      <c r="R231"/>
      <c r="S231"/>
    </row>
    <row r="232" spans="13:19" ht="13.95" customHeight="1">
      <c r="M232"/>
      <c r="N232"/>
      <c r="O232"/>
      <c r="P232"/>
      <c r="Q232"/>
      <c r="R232"/>
      <c r="S232"/>
    </row>
    <row r="233" spans="13:19" ht="13.95" customHeight="1">
      <c r="M233"/>
      <c r="N233"/>
      <c r="O233"/>
      <c r="P233"/>
      <c r="Q233"/>
      <c r="R233"/>
      <c r="S233"/>
    </row>
    <row r="234" spans="13:19" ht="13.95" customHeight="1">
      <c r="M234"/>
      <c r="N234"/>
      <c r="O234"/>
      <c r="P234"/>
      <c r="Q234"/>
      <c r="R234"/>
      <c r="S234"/>
    </row>
    <row r="235" spans="13:19" ht="13.95" customHeight="1">
      <c r="M235"/>
      <c r="N235"/>
      <c r="O235"/>
      <c r="P235"/>
      <c r="Q235"/>
      <c r="R235"/>
      <c r="S235"/>
    </row>
    <row r="236" spans="13:19" ht="13.95" customHeight="1">
      <c r="M236"/>
      <c r="N236"/>
      <c r="O236"/>
      <c r="P236"/>
      <c r="Q236"/>
      <c r="R236"/>
      <c r="S236"/>
    </row>
    <row r="237" spans="13:19" ht="13.95" customHeight="1">
      <c r="M237"/>
      <c r="N237"/>
      <c r="O237"/>
      <c r="P237"/>
      <c r="Q237"/>
      <c r="R237"/>
      <c r="S237"/>
    </row>
    <row r="238" spans="13:19" ht="13.95" customHeight="1">
      <c r="M238"/>
      <c r="N238"/>
      <c r="O238"/>
      <c r="P238"/>
      <c r="Q238"/>
      <c r="R238"/>
      <c r="S238"/>
    </row>
    <row r="239" spans="13:19" ht="13.95" customHeight="1">
      <c r="M239"/>
      <c r="N239"/>
      <c r="O239"/>
      <c r="P239"/>
      <c r="Q239"/>
      <c r="R239"/>
      <c r="S239"/>
    </row>
    <row r="240" spans="13:19" ht="13.95" customHeight="1">
      <c r="M240"/>
      <c r="N240"/>
      <c r="O240"/>
      <c r="P240"/>
      <c r="Q240"/>
      <c r="R240"/>
      <c r="S240"/>
    </row>
    <row r="241" spans="13:19" ht="13.95" customHeight="1">
      <c r="M241"/>
      <c r="N241"/>
      <c r="O241"/>
      <c r="P241"/>
      <c r="Q241"/>
      <c r="R241"/>
      <c r="S241"/>
    </row>
    <row r="242" spans="13:19" ht="13.95" customHeight="1">
      <c r="M242"/>
      <c r="N242"/>
      <c r="O242"/>
      <c r="P242"/>
      <c r="Q242"/>
      <c r="R242"/>
      <c r="S242"/>
    </row>
    <row r="243" spans="13:19" ht="13.95" customHeight="1">
      <c r="M243"/>
      <c r="N243"/>
      <c r="O243"/>
      <c r="P243"/>
      <c r="Q243"/>
      <c r="R243"/>
      <c r="S243"/>
    </row>
    <row r="244" spans="13:19" ht="13.95" customHeight="1">
      <c r="M244"/>
      <c r="N244"/>
      <c r="O244"/>
      <c r="P244"/>
      <c r="Q244"/>
      <c r="R244"/>
      <c r="S244"/>
    </row>
    <row r="245" spans="13:19" ht="13.95" customHeight="1">
      <c r="M245"/>
      <c r="N245"/>
      <c r="O245"/>
      <c r="P245"/>
      <c r="Q245"/>
      <c r="R245"/>
      <c r="S245"/>
    </row>
    <row r="246" spans="13:19" ht="13.95" customHeight="1">
      <c r="M246"/>
      <c r="N246"/>
      <c r="O246"/>
      <c r="P246"/>
      <c r="Q246"/>
      <c r="R246"/>
      <c r="S246"/>
    </row>
    <row r="247" spans="13:19" ht="13.95" customHeight="1">
      <c r="M247"/>
      <c r="N247"/>
      <c r="O247"/>
      <c r="P247"/>
      <c r="Q247"/>
      <c r="R247"/>
      <c r="S247"/>
    </row>
    <row r="248" spans="13:19" ht="13.95" customHeight="1">
      <c r="M248"/>
      <c r="N248"/>
      <c r="O248"/>
      <c r="P248"/>
      <c r="Q248"/>
      <c r="R248"/>
      <c r="S248"/>
    </row>
    <row r="249" spans="13:19" ht="13.95" customHeight="1">
      <c r="M249"/>
      <c r="N249"/>
      <c r="O249"/>
      <c r="P249"/>
      <c r="Q249"/>
      <c r="R249"/>
      <c r="S249"/>
    </row>
    <row r="250" spans="13:19" ht="13.95" customHeight="1">
      <c r="M250"/>
      <c r="N250"/>
      <c r="O250"/>
      <c r="P250"/>
      <c r="Q250"/>
      <c r="R250"/>
      <c r="S250"/>
    </row>
    <row r="251" spans="13:19" ht="13.95" customHeight="1">
      <c r="M251"/>
      <c r="N251"/>
      <c r="O251"/>
      <c r="P251"/>
      <c r="Q251"/>
      <c r="R251"/>
      <c r="S251"/>
    </row>
    <row r="252" spans="13:19" ht="13.95" customHeight="1">
      <c r="M252"/>
      <c r="N252"/>
      <c r="O252"/>
      <c r="P252"/>
      <c r="Q252"/>
      <c r="R252"/>
      <c r="S252"/>
    </row>
    <row r="253" spans="13:19" ht="13.95" customHeight="1">
      <c r="M253"/>
      <c r="N253"/>
      <c r="O253"/>
      <c r="P253"/>
      <c r="Q253"/>
      <c r="R253"/>
      <c r="S253"/>
    </row>
    <row r="254" spans="13:19" ht="13.95" customHeight="1">
      <c r="M254"/>
      <c r="N254"/>
      <c r="O254"/>
      <c r="P254"/>
      <c r="Q254"/>
      <c r="R254"/>
      <c r="S254"/>
    </row>
    <row r="255" spans="13:19" ht="13.95" customHeight="1">
      <c r="M255"/>
      <c r="N255"/>
      <c r="O255"/>
      <c r="P255"/>
      <c r="Q255"/>
      <c r="R255"/>
      <c r="S255"/>
    </row>
    <row r="256" spans="13:19" ht="13.95" customHeight="1">
      <c r="M256"/>
      <c r="N256"/>
      <c r="O256"/>
      <c r="P256"/>
      <c r="Q256"/>
      <c r="R256"/>
      <c r="S256"/>
    </row>
    <row r="257" spans="13:19" ht="13.95" customHeight="1">
      <c r="M257"/>
      <c r="N257"/>
      <c r="O257"/>
      <c r="P257"/>
      <c r="Q257"/>
      <c r="R257"/>
      <c r="S257"/>
    </row>
    <row r="258" spans="13:19" ht="13.95" customHeight="1">
      <c r="M258"/>
      <c r="N258"/>
      <c r="O258"/>
      <c r="P258"/>
      <c r="Q258"/>
      <c r="R258"/>
      <c r="S258"/>
    </row>
    <row r="259" spans="13:19" ht="13.95" customHeight="1">
      <c r="M259"/>
      <c r="N259"/>
      <c r="O259"/>
      <c r="P259"/>
      <c r="Q259"/>
      <c r="R259"/>
      <c r="S259"/>
    </row>
    <row r="260" spans="13:19" ht="13.95" customHeight="1">
      <c r="M260"/>
      <c r="N260"/>
      <c r="O260"/>
      <c r="P260"/>
      <c r="Q260"/>
      <c r="R260"/>
      <c r="S260"/>
    </row>
    <row r="261" spans="13:19" ht="13.95" customHeight="1">
      <c r="M261"/>
      <c r="N261"/>
      <c r="O261"/>
      <c r="P261"/>
      <c r="Q261"/>
      <c r="R261"/>
      <c r="S261"/>
    </row>
    <row r="262" spans="13:19" ht="13.95" customHeight="1">
      <c r="M262"/>
      <c r="N262"/>
      <c r="O262"/>
      <c r="P262"/>
      <c r="Q262"/>
      <c r="R262"/>
      <c r="S262"/>
    </row>
    <row r="263" spans="13:19" ht="13.95" customHeight="1">
      <c r="M263"/>
      <c r="N263"/>
      <c r="O263"/>
      <c r="P263"/>
      <c r="Q263"/>
      <c r="R263"/>
      <c r="S263"/>
    </row>
    <row r="264" spans="13:19" ht="13.95" customHeight="1">
      <c r="M264"/>
      <c r="N264"/>
      <c r="O264"/>
      <c r="P264"/>
      <c r="Q264"/>
      <c r="R264"/>
      <c r="S264"/>
    </row>
    <row r="265" spans="13:19" ht="13.95" customHeight="1">
      <c r="M265"/>
      <c r="N265"/>
      <c r="O265"/>
      <c r="P265"/>
      <c r="Q265"/>
      <c r="R265"/>
      <c r="S265"/>
    </row>
    <row r="266" spans="13:19" ht="13.95" customHeight="1">
      <c r="M266"/>
      <c r="N266"/>
      <c r="O266"/>
      <c r="P266"/>
      <c r="Q266"/>
      <c r="R266"/>
      <c r="S266"/>
    </row>
    <row r="267" spans="13:19" ht="13.95" customHeight="1">
      <c r="M267"/>
      <c r="N267"/>
      <c r="O267"/>
      <c r="P267"/>
      <c r="Q267"/>
      <c r="R267"/>
      <c r="S267"/>
    </row>
    <row r="268" spans="13:19" ht="13.95" customHeight="1">
      <c r="M268"/>
      <c r="N268"/>
      <c r="O268"/>
      <c r="P268"/>
      <c r="Q268"/>
      <c r="R268"/>
      <c r="S268"/>
    </row>
    <row r="269" spans="13:19" ht="13.95" customHeight="1">
      <c r="M269"/>
      <c r="N269"/>
      <c r="O269"/>
      <c r="P269"/>
      <c r="Q269"/>
      <c r="R269"/>
      <c r="S269"/>
    </row>
    <row r="270" spans="13:19" ht="13.95" customHeight="1">
      <c r="M270"/>
      <c r="N270"/>
      <c r="O270"/>
      <c r="P270"/>
      <c r="Q270"/>
      <c r="R270"/>
      <c r="S270"/>
    </row>
    <row r="271" spans="13:19" ht="13.95" customHeight="1">
      <c r="M271"/>
      <c r="N271"/>
      <c r="O271"/>
      <c r="P271"/>
      <c r="Q271"/>
      <c r="R271"/>
      <c r="S271"/>
    </row>
    <row r="272" spans="13:19" ht="13.95" customHeight="1">
      <c r="M272"/>
      <c r="N272"/>
      <c r="O272"/>
      <c r="P272"/>
      <c r="Q272"/>
      <c r="R272"/>
      <c r="S272"/>
    </row>
    <row r="273" spans="13:19" ht="13.95" customHeight="1">
      <c r="M273"/>
      <c r="N273"/>
      <c r="O273"/>
      <c r="P273"/>
      <c r="Q273"/>
      <c r="R273"/>
      <c r="S273"/>
    </row>
    <row r="274" spans="13:19" ht="13.95" customHeight="1">
      <c r="M274"/>
      <c r="N274"/>
      <c r="O274"/>
      <c r="P274"/>
      <c r="Q274"/>
      <c r="R274"/>
      <c r="S274"/>
    </row>
    <row r="275" spans="13:19" ht="13.95" customHeight="1">
      <c r="M275"/>
      <c r="N275"/>
      <c r="O275"/>
      <c r="P275"/>
      <c r="Q275"/>
      <c r="R275"/>
      <c r="S275"/>
    </row>
    <row r="276" spans="13:19" ht="13.95" customHeight="1">
      <c r="M276"/>
      <c r="N276"/>
      <c r="O276"/>
      <c r="P276"/>
      <c r="Q276"/>
      <c r="R276"/>
      <c r="S276"/>
    </row>
    <row r="277" spans="13:19" ht="13.95" customHeight="1">
      <c r="M277"/>
      <c r="N277"/>
      <c r="O277"/>
      <c r="P277"/>
      <c r="Q277"/>
      <c r="R277"/>
      <c r="S277"/>
    </row>
    <row r="278" spans="13:19" ht="13.95" customHeight="1">
      <c r="M278"/>
      <c r="N278"/>
      <c r="O278"/>
      <c r="P278"/>
      <c r="Q278"/>
      <c r="R278"/>
      <c r="S278"/>
    </row>
    <row r="279" spans="13:19" ht="13.95" customHeight="1">
      <c r="M279"/>
      <c r="N279"/>
      <c r="O279"/>
      <c r="P279"/>
      <c r="Q279"/>
      <c r="R279"/>
      <c r="S279"/>
    </row>
    <row r="280" spans="13:19" ht="13.95" customHeight="1">
      <c r="M280"/>
      <c r="N280"/>
      <c r="O280"/>
      <c r="P280"/>
      <c r="Q280"/>
      <c r="R280"/>
      <c r="S280"/>
    </row>
    <row r="281" spans="13:19" ht="13.95" customHeight="1">
      <c r="M281"/>
      <c r="N281"/>
      <c r="O281"/>
      <c r="P281"/>
      <c r="Q281"/>
      <c r="R281"/>
      <c r="S281"/>
    </row>
    <row r="282" spans="13:19" ht="13.95" customHeight="1">
      <c r="M282"/>
      <c r="N282"/>
      <c r="O282"/>
      <c r="P282"/>
      <c r="Q282"/>
      <c r="R282"/>
      <c r="S282"/>
    </row>
    <row r="283" spans="13:19" ht="13.95" customHeight="1">
      <c r="M283"/>
      <c r="N283"/>
      <c r="O283"/>
      <c r="P283"/>
      <c r="Q283"/>
      <c r="R283"/>
      <c r="S283"/>
    </row>
    <row r="284" spans="13:19" ht="13.95" customHeight="1">
      <c r="M284"/>
      <c r="N284"/>
      <c r="O284"/>
      <c r="P284"/>
      <c r="Q284"/>
      <c r="R284"/>
      <c r="S284"/>
    </row>
    <row r="285" spans="13:19" ht="13.95" customHeight="1">
      <c r="M285"/>
      <c r="N285"/>
      <c r="O285"/>
      <c r="P285"/>
      <c r="Q285"/>
      <c r="R285"/>
      <c r="S285"/>
    </row>
    <row r="286" spans="13:19" ht="13.95" customHeight="1">
      <c r="M286"/>
      <c r="N286"/>
      <c r="O286"/>
      <c r="P286"/>
      <c r="Q286"/>
      <c r="R286"/>
      <c r="S286"/>
    </row>
    <row r="287" spans="13:19" ht="13.95" customHeight="1">
      <c r="M287"/>
      <c r="N287"/>
      <c r="O287"/>
      <c r="P287"/>
      <c r="Q287"/>
      <c r="R287"/>
      <c r="S287"/>
    </row>
    <row r="288" spans="13:19" ht="13.95" customHeight="1">
      <c r="M288"/>
      <c r="N288"/>
      <c r="O288"/>
      <c r="P288"/>
      <c r="Q288"/>
      <c r="R288"/>
      <c r="S288"/>
    </row>
    <row r="289" spans="13:19" ht="13.95" customHeight="1">
      <c r="M289"/>
      <c r="N289"/>
      <c r="O289"/>
      <c r="P289"/>
      <c r="Q289"/>
      <c r="R289"/>
      <c r="S289"/>
    </row>
    <row r="290" spans="13:19" ht="13.95" customHeight="1">
      <c r="M290"/>
      <c r="N290"/>
      <c r="O290"/>
      <c r="P290"/>
      <c r="Q290"/>
      <c r="R290"/>
      <c r="S290"/>
    </row>
    <row r="291" spans="13:19" ht="13.95" customHeight="1">
      <c r="M291"/>
      <c r="N291"/>
      <c r="O291"/>
      <c r="P291"/>
      <c r="Q291"/>
      <c r="R291"/>
      <c r="S291"/>
    </row>
    <row r="292" spans="13:19" ht="13.95" customHeight="1">
      <c r="M292"/>
      <c r="N292"/>
      <c r="O292"/>
      <c r="P292"/>
      <c r="Q292"/>
      <c r="R292"/>
      <c r="S292"/>
    </row>
    <row r="293" spans="13:19" ht="13.95" customHeight="1">
      <c r="M293"/>
      <c r="N293"/>
      <c r="O293"/>
      <c r="P293"/>
      <c r="Q293"/>
      <c r="R293"/>
      <c r="S293"/>
    </row>
    <row r="294" spans="13:19" ht="13.95" customHeight="1">
      <c r="M294"/>
      <c r="N294"/>
      <c r="O294"/>
      <c r="P294"/>
      <c r="Q294"/>
      <c r="R294"/>
      <c r="S294"/>
    </row>
    <row r="295" spans="13:19" ht="13.95" customHeight="1">
      <c r="M295"/>
      <c r="N295"/>
      <c r="O295"/>
      <c r="P295"/>
      <c r="Q295"/>
      <c r="R295"/>
      <c r="S295"/>
    </row>
    <row r="296" spans="13:19" ht="13.95" customHeight="1">
      <c r="M296"/>
      <c r="N296"/>
      <c r="O296"/>
      <c r="P296"/>
      <c r="Q296"/>
      <c r="R296"/>
      <c r="S296"/>
    </row>
    <row r="297" spans="13:19" ht="13.95" customHeight="1">
      <c r="M297"/>
      <c r="N297"/>
      <c r="O297"/>
      <c r="P297"/>
      <c r="Q297"/>
      <c r="R297"/>
      <c r="S297"/>
    </row>
    <row r="298" spans="13:19" ht="13.95" customHeight="1">
      <c r="M298"/>
      <c r="N298"/>
      <c r="O298"/>
      <c r="P298"/>
      <c r="Q298"/>
      <c r="R298"/>
      <c r="S298"/>
    </row>
    <row r="299" spans="13:19" ht="13.95" customHeight="1">
      <c r="M299"/>
      <c r="N299"/>
      <c r="O299"/>
      <c r="P299"/>
      <c r="Q299"/>
      <c r="R299"/>
      <c r="S299"/>
    </row>
    <row r="300" spans="13:19" ht="13.95" customHeight="1">
      <c r="M300"/>
      <c r="N300"/>
      <c r="O300"/>
      <c r="P300"/>
      <c r="Q300"/>
      <c r="R300"/>
      <c r="S300"/>
    </row>
    <row r="301" spans="13:19" ht="13.95" customHeight="1">
      <c r="M301"/>
      <c r="N301"/>
      <c r="O301"/>
      <c r="P301"/>
      <c r="Q301"/>
      <c r="R301"/>
      <c r="S301"/>
    </row>
    <row r="302" spans="13:19" ht="13.95" customHeight="1">
      <c r="M302"/>
      <c r="N302"/>
      <c r="O302"/>
      <c r="P302"/>
      <c r="Q302"/>
      <c r="R302"/>
      <c r="S302"/>
    </row>
    <row r="303" spans="13:19" ht="13.95" customHeight="1">
      <c r="M303"/>
      <c r="N303"/>
      <c r="O303"/>
      <c r="P303"/>
      <c r="Q303"/>
      <c r="R303"/>
      <c r="S303"/>
    </row>
    <row r="304" spans="13:19" ht="13.95" customHeight="1">
      <c r="M304"/>
      <c r="N304"/>
      <c r="O304"/>
      <c r="P304"/>
      <c r="Q304"/>
      <c r="R304"/>
      <c r="S304"/>
    </row>
    <row r="305" spans="13:19" ht="13.95" customHeight="1">
      <c r="M305"/>
      <c r="N305"/>
      <c r="O305"/>
      <c r="P305"/>
      <c r="Q305"/>
      <c r="R305"/>
      <c r="S305"/>
    </row>
    <row r="306" spans="13:19" ht="13.95" customHeight="1">
      <c r="M306"/>
      <c r="N306"/>
      <c r="O306"/>
      <c r="P306"/>
      <c r="Q306"/>
      <c r="R306"/>
      <c r="S306"/>
    </row>
    <row r="307" spans="13:19" ht="13.95" customHeight="1">
      <c r="M307"/>
      <c r="N307"/>
      <c r="O307"/>
      <c r="P307"/>
      <c r="Q307"/>
      <c r="R307"/>
      <c r="S307"/>
    </row>
    <row r="308" spans="13:19" ht="13.95" customHeight="1">
      <c r="M308"/>
      <c r="N308"/>
      <c r="O308"/>
      <c r="P308"/>
      <c r="Q308"/>
      <c r="R308"/>
      <c r="S308"/>
    </row>
    <row r="309" spans="13:19" ht="13.95" customHeight="1">
      <c r="M309"/>
      <c r="N309"/>
      <c r="O309"/>
      <c r="P309"/>
      <c r="Q309"/>
      <c r="R309"/>
      <c r="S309"/>
    </row>
    <row r="310" spans="13:19" ht="13.95" customHeight="1">
      <c r="M310"/>
      <c r="N310"/>
      <c r="O310"/>
      <c r="P310"/>
      <c r="Q310"/>
      <c r="R310"/>
      <c r="S310"/>
    </row>
    <row r="311" spans="13:19" ht="13.95" customHeight="1">
      <c r="M311"/>
      <c r="N311"/>
      <c r="O311"/>
      <c r="P311"/>
      <c r="Q311"/>
      <c r="R311"/>
      <c r="S311"/>
    </row>
    <row r="312" spans="13:19" ht="13.95" customHeight="1">
      <c r="M312"/>
      <c r="N312"/>
      <c r="O312"/>
      <c r="P312"/>
      <c r="Q312"/>
      <c r="R312"/>
      <c r="S312"/>
    </row>
    <row r="313" spans="13:19" ht="13.95" customHeight="1">
      <c r="M313"/>
      <c r="N313"/>
      <c r="O313"/>
      <c r="P313"/>
      <c r="Q313"/>
      <c r="R313"/>
      <c r="S313"/>
    </row>
    <row r="314" spans="13:19" ht="13.95" customHeight="1">
      <c r="M314"/>
      <c r="N314"/>
      <c r="O314"/>
      <c r="P314"/>
      <c r="Q314"/>
      <c r="R314"/>
      <c r="S314"/>
    </row>
    <row r="315" spans="13:19" ht="13.95" customHeight="1">
      <c r="M315"/>
      <c r="N315"/>
      <c r="O315"/>
      <c r="P315"/>
      <c r="Q315"/>
      <c r="R315"/>
      <c r="S315"/>
    </row>
    <row r="316" spans="13:19" ht="13.95" customHeight="1">
      <c r="M316"/>
      <c r="N316"/>
      <c r="O316"/>
      <c r="P316"/>
      <c r="Q316"/>
      <c r="R316"/>
      <c r="S316"/>
    </row>
    <row r="317" spans="13:19" ht="13.95" customHeight="1">
      <c r="M317"/>
      <c r="N317"/>
      <c r="O317"/>
      <c r="P317"/>
      <c r="Q317"/>
      <c r="R317"/>
      <c r="S317"/>
    </row>
    <row r="318" spans="13:19" ht="13.95" customHeight="1">
      <c r="M318"/>
      <c r="N318"/>
      <c r="O318"/>
      <c r="P318"/>
      <c r="Q318"/>
      <c r="R318"/>
      <c r="S318"/>
    </row>
    <row r="319" spans="13:19" ht="13.95" customHeight="1">
      <c r="M319"/>
      <c r="N319"/>
      <c r="O319"/>
      <c r="P319"/>
      <c r="Q319"/>
      <c r="R319"/>
      <c r="S319"/>
    </row>
    <row r="320" spans="13:19" ht="13.95" customHeight="1">
      <c r="M320"/>
      <c r="N320"/>
      <c r="O320"/>
      <c r="P320"/>
      <c r="Q320"/>
      <c r="R320"/>
      <c r="S320"/>
    </row>
    <row r="321" spans="13:19" ht="13.95" customHeight="1">
      <c r="M321"/>
      <c r="N321"/>
      <c r="O321"/>
      <c r="P321"/>
      <c r="Q321"/>
      <c r="R321"/>
      <c r="S321"/>
    </row>
    <row r="322" spans="13:19" ht="13.95" customHeight="1">
      <c r="M322"/>
      <c r="N322"/>
      <c r="O322"/>
      <c r="P322"/>
      <c r="Q322"/>
      <c r="R322"/>
      <c r="S322"/>
    </row>
    <row r="323" spans="13:19" ht="13.95" customHeight="1">
      <c r="M323"/>
      <c r="N323"/>
      <c r="O323"/>
      <c r="P323"/>
      <c r="Q323"/>
      <c r="R323"/>
      <c r="S323"/>
    </row>
    <row r="324" spans="13:19" ht="13.95" customHeight="1">
      <c r="M324"/>
      <c r="N324"/>
      <c r="O324"/>
      <c r="P324"/>
      <c r="Q324"/>
      <c r="R324"/>
      <c r="S324"/>
    </row>
    <row r="325" spans="13:19" ht="13.95" customHeight="1">
      <c r="M325"/>
      <c r="N325"/>
      <c r="O325"/>
      <c r="P325"/>
      <c r="Q325"/>
      <c r="R325"/>
      <c r="S325"/>
    </row>
    <row r="326" spans="13:19" ht="13.95" customHeight="1">
      <c r="M326"/>
      <c r="N326"/>
      <c r="O326"/>
      <c r="P326"/>
      <c r="Q326"/>
      <c r="R326"/>
      <c r="S326"/>
    </row>
    <row r="327" spans="13:19" ht="13.95" customHeight="1">
      <c r="M327"/>
      <c r="N327"/>
      <c r="O327"/>
      <c r="P327"/>
      <c r="Q327"/>
      <c r="R327"/>
      <c r="S327"/>
    </row>
    <row r="328" spans="13:19" ht="13.95" customHeight="1">
      <c r="M328"/>
      <c r="N328"/>
      <c r="O328"/>
      <c r="P328"/>
      <c r="Q328"/>
      <c r="R328"/>
      <c r="S328"/>
    </row>
    <row r="329" spans="13:19" ht="13.95" customHeight="1">
      <c r="M329"/>
      <c r="N329"/>
      <c r="O329"/>
      <c r="P329"/>
      <c r="Q329"/>
      <c r="R329"/>
      <c r="S329"/>
    </row>
    <row r="330" spans="13:19" ht="13.95" customHeight="1">
      <c r="M330"/>
      <c r="N330"/>
      <c r="O330"/>
      <c r="P330"/>
      <c r="Q330"/>
      <c r="R330"/>
      <c r="S330"/>
    </row>
    <row r="331" spans="13:19" ht="13.95" customHeight="1">
      <c r="M331"/>
      <c r="N331"/>
      <c r="O331"/>
      <c r="P331"/>
      <c r="Q331"/>
      <c r="R331"/>
      <c r="S331"/>
    </row>
    <row r="332" spans="13:19" ht="13.95" customHeight="1">
      <c r="M332"/>
      <c r="N332"/>
      <c r="O332"/>
      <c r="P332"/>
      <c r="Q332"/>
      <c r="R332"/>
      <c r="S332"/>
    </row>
    <row r="333" spans="13:19" ht="13.95" customHeight="1">
      <c r="M333"/>
      <c r="N333"/>
      <c r="O333"/>
      <c r="P333"/>
      <c r="Q333"/>
      <c r="R333"/>
      <c r="S333"/>
    </row>
    <row r="334" spans="13:19" ht="13.95" customHeight="1">
      <c r="M334"/>
      <c r="N334"/>
      <c r="O334"/>
      <c r="P334"/>
      <c r="Q334"/>
      <c r="R334"/>
      <c r="S334"/>
    </row>
    <row r="335" spans="13:19" ht="13.95" customHeight="1">
      <c r="M335"/>
      <c r="N335"/>
      <c r="O335"/>
      <c r="P335"/>
      <c r="Q335"/>
      <c r="R335"/>
      <c r="S335"/>
    </row>
    <row r="336" spans="13:19" ht="13.95" customHeight="1">
      <c r="M336"/>
      <c r="N336"/>
      <c r="O336"/>
      <c r="P336"/>
      <c r="Q336"/>
      <c r="R336"/>
      <c r="S336"/>
    </row>
    <row r="337" spans="13:19" ht="13.95" customHeight="1">
      <c r="M337"/>
      <c r="N337"/>
      <c r="O337"/>
      <c r="P337"/>
      <c r="Q337"/>
      <c r="R337"/>
      <c r="S337"/>
    </row>
    <row r="338" spans="13:19" ht="13.95" customHeight="1">
      <c r="M338"/>
      <c r="N338"/>
      <c r="O338"/>
      <c r="P338"/>
      <c r="Q338"/>
      <c r="R338"/>
      <c r="S338"/>
    </row>
    <row r="339" spans="13:19" ht="13.95" customHeight="1">
      <c r="M339"/>
      <c r="N339"/>
      <c r="O339"/>
      <c r="P339"/>
      <c r="Q339"/>
      <c r="R339"/>
      <c r="S339"/>
    </row>
    <row r="340" spans="13:19" ht="13.95" customHeight="1">
      <c r="M340"/>
      <c r="N340"/>
      <c r="O340"/>
      <c r="P340"/>
      <c r="Q340"/>
      <c r="R340"/>
      <c r="S340"/>
    </row>
    <row r="341" spans="13:19" ht="13.95" customHeight="1">
      <c r="M341"/>
      <c r="N341"/>
      <c r="O341"/>
      <c r="P341"/>
      <c r="Q341"/>
      <c r="R341"/>
      <c r="S341"/>
    </row>
    <row r="342" spans="13:19" ht="13.95" customHeight="1">
      <c r="M342"/>
      <c r="N342"/>
      <c r="O342"/>
      <c r="P342"/>
      <c r="Q342"/>
      <c r="R342"/>
      <c r="S342"/>
    </row>
    <row r="343" spans="13:19" ht="13.95" customHeight="1">
      <c r="M343"/>
      <c r="N343"/>
      <c r="O343"/>
      <c r="P343"/>
      <c r="Q343"/>
      <c r="R343"/>
      <c r="S343"/>
    </row>
    <row r="344" spans="13:19" ht="13.95" customHeight="1">
      <c r="M344"/>
      <c r="N344"/>
      <c r="O344"/>
      <c r="P344"/>
      <c r="Q344"/>
      <c r="R344"/>
      <c r="S344"/>
    </row>
    <row r="345" spans="13:19" ht="13.95" customHeight="1">
      <c r="M345"/>
      <c r="N345"/>
      <c r="O345"/>
      <c r="P345"/>
      <c r="Q345"/>
      <c r="R345"/>
      <c r="S345"/>
    </row>
    <row r="346" spans="13:19" ht="13.95" customHeight="1">
      <c r="M346"/>
      <c r="N346"/>
      <c r="O346"/>
      <c r="P346"/>
      <c r="Q346"/>
      <c r="R346"/>
      <c r="S346"/>
    </row>
    <row r="347" spans="13:19" ht="13.95" customHeight="1">
      <c r="M347"/>
      <c r="N347"/>
      <c r="O347"/>
      <c r="P347"/>
      <c r="Q347"/>
      <c r="R347"/>
      <c r="S347"/>
    </row>
    <row r="348" spans="13:19" ht="13.95" customHeight="1">
      <c r="M348"/>
      <c r="N348"/>
      <c r="O348"/>
      <c r="P348"/>
      <c r="Q348"/>
      <c r="R348"/>
      <c r="S348"/>
    </row>
    <row r="349" spans="13:19" ht="13.95" customHeight="1">
      <c r="M349"/>
      <c r="N349"/>
      <c r="O349"/>
      <c r="P349"/>
      <c r="Q349"/>
      <c r="R349"/>
      <c r="S349"/>
    </row>
    <row r="350" spans="13:19" ht="13.95" customHeight="1">
      <c r="M350"/>
      <c r="N350"/>
      <c r="O350"/>
      <c r="P350"/>
      <c r="Q350"/>
      <c r="R350"/>
      <c r="S350"/>
    </row>
    <row r="351" spans="13:19" ht="13.95" customHeight="1">
      <c r="M351"/>
      <c r="N351"/>
      <c r="O351"/>
      <c r="P351"/>
      <c r="Q351"/>
      <c r="R351"/>
      <c r="S351"/>
    </row>
    <row r="352" spans="13:19" ht="13.95" customHeight="1">
      <c r="M352"/>
      <c r="N352"/>
      <c r="O352"/>
      <c r="P352"/>
      <c r="Q352"/>
      <c r="R352"/>
      <c r="S352"/>
    </row>
    <row r="353" spans="13:19" ht="13.95" customHeight="1">
      <c r="M353"/>
      <c r="N353"/>
      <c r="O353"/>
      <c r="P353"/>
      <c r="Q353"/>
      <c r="R353"/>
      <c r="S353"/>
    </row>
    <row r="354" spans="13:19" ht="13.95" customHeight="1">
      <c r="M354"/>
      <c r="N354"/>
      <c r="O354"/>
      <c r="P354"/>
      <c r="Q354"/>
      <c r="R354"/>
      <c r="S354"/>
    </row>
    <row r="355" spans="13:19" ht="13.95" customHeight="1">
      <c r="M355"/>
      <c r="N355"/>
      <c r="O355"/>
      <c r="P355"/>
      <c r="Q355"/>
      <c r="R355"/>
      <c r="S355"/>
    </row>
    <row r="356" spans="13:19" ht="13.95" customHeight="1">
      <c r="M356"/>
      <c r="N356"/>
      <c r="O356"/>
      <c r="P356"/>
      <c r="Q356"/>
      <c r="R356"/>
      <c r="S356"/>
    </row>
    <row r="357" spans="13:19" ht="13.95" customHeight="1">
      <c r="M357"/>
      <c r="N357"/>
      <c r="O357"/>
      <c r="P357"/>
      <c r="Q357"/>
      <c r="R357"/>
      <c r="S357"/>
    </row>
    <row r="358" spans="13:19" ht="13.95" customHeight="1">
      <c r="M358"/>
      <c r="N358"/>
      <c r="O358"/>
      <c r="P358"/>
      <c r="Q358"/>
      <c r="R358"/>
      <c r="S358"/>
    </row>
    <row r="359" spans="13:19" ht="13.95" customHeight="1">
      <c r="M359"/>
      <c r="N359"/>
      <c r="O359"/>
      <c r="P359"/>
      <c r="Q359"/>
      <c r="R359"/>
      <c r="S359"/>
    </row>
    <row r="360" spans="13:19" ht="13.95" customHeight="1">
      <c r="M360"/>
      <c r="N360"/>
      <c r="O360"/>
      <c r="P360"/>
      <c r="Q360"/>
      <c r="R360"/>
      <c r="S360"/>
    </row>
    <row r="361" spans="13:19" ht="13.95" customHeight="1">
      <c r="M361"/>
      <c r="N361"/>
      <c r="O361"/>
      <c r="P361"/>
      <c r="Q361"/>
      <c r="R361"/>
      <c r="S361"/>
    </row>
    <row r="362" spans="13:19" ht="13.95" customHeight="1">
      <c r="M362"/>
      <c r="N362"/>
      <c r="O362"/>
      <c r="P362"/>
      <c r="Q362"/>
      <c r="R362"/>
      <c r="S362"/>
    </row>
    <row r="363" spans="13:19" ht="13.95" customHeight="1">
      <c r="M363"/>
      <c r="N363"/>
      <c r="O363"/>
      <c r="P363"/>
      <c r="Q363"/>
      <c r="R363"/>
      <c r="S363"/>
    </row>
    <row r="364" spans="13:19" ht="13.95" customHeight="1">
      <c r="M364"/>
      <c r="N364"/>
      <c r="O364"/>
      <c r="P364"/>
      <c r="Q364"/>
      <c r="R364"/>
      <c r="S364"/>
    </row>
    <row r="365" spans="13:19" ht="13.95" customHeight="1">
      <c r="M365"/>
      <c r="N365"/>
      <c r="O365"/>
      <c r="P365"/>
      <c r="Q365"/>
      <c r="R365"/>
      <c r="S365"/>
    </row>
    <row r="366" spans="13:19" ht="13.95" customHeight="1">
      <c r="M366"/>
      <c r="N366"/>
      <c r="O366"/>
      <c r="P366"/>
      <c r="Q366"/>
      <c r="R366"/>
      <c r="S366"/>
    </row>
    <row r="367" spans="13:19" ht="13.95" customHeight="1">
      <c r="M367"/>
      <c r="N367"/>
      <c r="O367"/>
      <c r="P367"/>
      <c r="Q367"/>
      <c r="R367"/>
      <c r="S367"/>
    </row>
    <row r="368" spans="13:19" ht="13.95" customHeight="1">
      <c r="M368"/>
      <c r="N368"/>
      <c r="O368"/>
      <c r="P368"/>
      <c r="Q368"/>
      <c r="R368"/>
      <c r="S368"/>
    </row>
    <row r="369" spans="13:19" ht="13.95" customHeight="1">
      <c r="M369"/>
      <c r="N369"/>
      <c r="O369"/>
      <c r="P369"/>
      <c r="Q369"/>
      <c r="R369"/>
      <c r="S369"/>
    </row>
    <row r="370" spans="13:19" ht="13.95" customHeight="1">
      <c r="M370"/>
      <c r="N370"/>
      <c r="O370"/>
      <c r="P370"/>
      <c r="Q370"/>
      <c r="R370"/>
      <c r="S370"/>
    </row>
    <row r="371" spans="13:19" ht="13.95" customHeight="1">
      <c r="M371"/>
      <c r="N371"/>
      <c r="O371"/>
      <c r="P371"/>
      <c r="Q371"/>
      <c r="R371"/>
      <c r="S371"/>
    </row>
    <row r="372" spans="13:19" ht="13.95" customHeight="1">
      <c r="M372"/>
      <c r="N372"/>
      <c r="O372"/>
      <c r="P372"/>
      <c r="Q372"/>
      <c r="R372"/>
      <c r="S372"/>
    </row>
    <row r="373" spans="13:19" ht="13.95" customHeight="1">
      <c r="M373"/>
      <c r="N373"/>
      <c r="O373"/>
      <c r="P373"/>
      <c r="Q373"/>
      <c r="R373"/>
      <c r="S373"/>
    </row>
    <row r="374" spans="13:19" ht="13.95" customHeight="1">
      <c r="M374"/>
      <c r="N374"/>
      <c r="O374"/>
      <c r="P374"/>
      <c r="Q374"/>
      <c r="R374"/>
      <c r="S374"/>
    </row>
    <row r="375" spans="13:19" ht="13.95" customHeight="1">
      <c r="M375"/>
      <c r="N375"/>
      <c r="O375"/>
      <c r="P375"/>
      <c r="Q375"/>
      <c r="R375"/>
      <c r="S375"/>
    </row>
    <row r="376" spans="13:19" ht="13.95" customHeight="1">
      <c r="M376"/>
      <c r="N376"/>
      <c r="O376"/>
      <c r="P376"/>
      <c r="Q376"/>
      <c r="R376"/>
      <c r="S376"/>
    </row>
    <row r="377" spans="13:19" ht="13.95" customHeight="1">
      <c r="M377"/>
      <c r="N377"/>
      <c r="O377"/>
      <c r="P377"/>
      <c r="Q377"/>
      <c r="R377"/>
      <c r="S377"/>
    </row>
    <row r="378" spans="13:19" ht="13.95" customHeight="1">
      <c r="M378"/>
      <c r="N378"/>
      <c r="O378"/>
      <c r="P378"/>
      <c r="Q378"/>
      <c r="R378"/>
      <c r="S378"/>
    </row>
    <row r="379" spans="13:19" ht="13.95" customHeight="1">
      <c r="M379"/>
      <c r="N379"/>
      <c r="O379"/>
      <c r="P379"/>
      <c r="Q379"/>
      <c r="R379"/>
      <c r="S379"/>
    </row>
    <row r="380" spans="13:19" ht="13.95" customHeight="1">
      <c r="M380"/>
      <c r="N380"/>
      <c r="O380"/>
      <c r="P380"/>
      <c r="Q380"/>
      <c r="R380"/>
      <c r="S380"/>
    </row>
    <row r="381" spans="13:19" ht="13.95" customHeight="1">
      <c r="M381"/>
      <c r="N381"/>
      <c r="O381"/>
      <c r="P381"/>
      <c r="Q381"/>
      <c r="R381"/>
      <c r="S381"/>
    </row>
    <row r="382" spans="13:19" ht="13.95" customHeight="1">
      <c r="M382"/>
      <c r="N382"/>
      <c r="O382"/>
      <c r="P382"/>
      <c r="Q382"/>
      <c r="R382"/>
      <c r="S382"/>
    </row>
    <row r="383" spans="13:19" ht="13.95" customHeight="1">
      <c r="M383"/>
      <c r="N383"/>
      <c r="O383"/>
      <c r="P383"/>
      <c r="Q383"/>
      <c r="R383"/>
      <c r="S383"/>
    </row>
    <row r="384" spans="13:19" ht="13.95" customHeight="1">
      <c r="M384"/>
      <c r="N384"/>
      <c r="O384"/>
      <c r="P384"/>
      <c r="Q384"/>
      <c r="R384"/>
      <c r="S384"/>
    </row>
    <row r="385" spans="13:19" ht="13.95" customHeight="1">
      <c r="M385"/>
      <c r="N385"/>
      <c r="O385"/>
      <c r="P385"/>
      <c r="Q385"/>
      <c r="R385"/>
      <c r="S385"/>
    </row>
    <row r="386" spans="13:19" ht="13.95" customHeight="1">
      <c r="M386"/>
      <c r="N386"/>
      <c r="O386"/>
      <c r="P386"/>
      <c r="Q386"/>
      <c r="R386"/>
      <c r="S386"/>
    </row>
    <row r="387" spans="13:19" ht="13.95" customHeight="1">
      <c r="M387"/>
      <c r="N387"/>
      <c r="O387"/>
      <c r="P387"/>
      <c r="Q387"/>
      <c r="R387"/>
      <c r="S387"/>
    </row>
    <row r="388" spans="13:19" ht="13.95" customHeight="1">
      <c r="M388"/>
      <c r="N388"/>
      <c r="O388"/>
      <c r="P388"/>
      <c r="Q388"/>
      <c r="R388"/>
      <c r="S388"/>
    </row>
    <row r="389" spans="13:19" ht="13.95" customHeight="1">
      <c r="M389"/>
      <c r="N389"/>
      <c r="O389"/>
      <c r="P389"/>
      <c r="Q389"/>
      <c r="R389"/>
      <c r="S389"/>
    </row>
    <row r="390" spans="13:19" ht="13.95" customHeight="1">
      <c r="M390"/>
      <c r="N390"/>
      <c r="O390"/>
      <c r="P390"/>
      <c r="Q390"/>
      <c r="R390"/>
      <c r="S390"/>
    </row>
    <row r="391" spans="13:19" ht="13.95" customHeight="1">
      <c r="M391"/>
      <c r="N391"/>
      <c r="O391"/>
      <c r="P391"/>
      <c r="Q391"/>
      <c r="R391"/>
      <c r="S391"/>
    </row>
    <row r="392" spans="13:19" ht="13.95" customHeight="1">
      <c r="M392"/>
      <c r="N392"/>
      <c r="O392"/>
      <c r="P392"/>
      <c r="Q392"/>
      <c r="R392"/>
      <c r="S392"/>
    </row>
    <row r="393" spans="13:19" ht="13.95" customHeight="1">
      <c r="M393"/>
      <c r="N393"/>
      <c r="O393"/>
      <c r="P393"/>
      <c r="Q393"/>
      <c r="R393"/>
      <c r="S393"/>
    </row>
    <row r="394" spans="13:19" ht="13.95" customHeight="1">
      <c r="M394"/>
      <c r="N394"/>
      <c r="O394"/>
      <c r="P394"/>
      <c r="Q394"/>
      <c r="R394"/>
      <c r="S394"/>
    </row>
    <row r="395" spans="13:19" ht="13.95" customHeight="1">
      <c r="M395"/>
      <c r="N395"/>
      <c r="O395"/>
      <c r="P395"/>
      <c r="Q395"/>
      <c r="R395"/>
      <c r="S395"/>
    </row>
    <row r="396" spans="13:19" ht="13.95" customHeight="1">
      <c r="M396"/>
      <c r="N396"/>
      <c r="O396"/>
      <c r="P396"/>
      <c r="Q396"/>
      <c r="R396"/>
      <c r="S396"/>
    </row>
    <row r="397" spans="13:19" ht="13.95" customHeight="1">
      <c r="M397"/>
      <c r="N397"/>
      <c r="O397"/>
      <c r="P397"/>
      <c r="Q397"/>
      <c r="R397"/>
      <c r="S397"/>
    </row>
    <row r="398" spans="13:19" ht="13.95" customHeight="1">
      <c r="M398"/>
      <c r="N398"/>
      <c r="O398"/>
      <c r="P398"/>
      <c r="Q398"/>
      <c r="R398"/>
      <c r="S398"/>
    </row>
    <row r="399" spans="13:19" ht="13.95" customHeight="1">
      <c r="M399"/>
      <c r="N399"/>
      <c r="O399"/>
      <c r="P399"/>
      <c r="Q399"/>
      <c r="R399"/>
      <c r="S399"/>
    </row>
    <row r="400" spans="13:19" ht="13.95" customHeight="1">
      <c r="M400"/>
      <c r="N400"/>
      <c r="O400"/>
      <c r="P400"/>
      <c r="Q400"/>
      <c r="R400"/>
      <c r="S400"/>
    </row>
    <row r="401" spans="13:19" ht="13.95" customHeight="1">
      <c r="M401"/>
      <c r="N401"/>
      <c r="O401"/>
      <c r="P401"/>
      <c r="Q401"/>
      <c r="R401"/>
      <c r="S401"/>
    </row>
    <row r="402" spans="13:19" ht="13.95" customHeight="1">
      <c r="M402"/>
      <c r="N402"/>
      <c r="O402"/>
      <c r="P402"/>
      <c r="Q402"/>
      <c r="R402"/>
      <c r="S402"/>
    </row>
    <row r="403" spans="13:19" ht="13.95" customHeight="1">
      <c r="M403"/>
      <c r="N403"/>
      <c r="O403"/>
      <c r="P403"/>
      <c r="Q403"/>
      <c r="R403"/>
      <c r="S403"/>
    </row>
    <row r="404" spans="13:19" ht="13.95" customHeight="1">
      <c r="M404"/>
      <c r="N404"/>
      <c r="O404"/>
      <c r="P404"/>
      <c r="Q404"/>
      <c r="R404"/>
      <c r="S404"/>
    </row>
    <row r="405" spans="13:19" ht="13.95" customHeight="1">
      <c r="M405"/>
      <c r="N405"/>
      <c r="O405"/>
      <c r="P405"/>
      <c r="Q405"/>
      <c r="R405"/>
      <c r="S405"/>
    </row>
    <row r="406" spans="13:19" ht="13.95" customHeight="1">
      <c r="M406"/>
      <c r="N406"/>
      <c r="O406"/>
      <c r="P406"/>
      <c r="Q406"/>
      <c r="R406"/>
      <c r="S406"/>
    </row>
    <row r="407" spans="13:19" ht="13.95" customHeight="1">
      <c r="M407"/>
      <c r="N407"/>
      <c r="O407"/>
      <c r="P407"/>
      <c r="Q407"/>
      <c r="R407"/>
      <c r="S407"/>
    </row>
    <row r="408" spans="13:19" ht="13.95" customHeight="1">
      <c r="M408"/>
      <c r="N408"/>
      <c r="O408"/>
      <c r="P408"/>
      <c r="Q408"/>
      <c r="R408"/>
      <c r="S408"/>
    </row>
    <row r="409" spans="13:19" ht="13.95" customHeight="1">
      <c r="M409"/>
      <c r="N409"/>
      <c r="O409"/>
      <c r="P409"/>
      <c r="Q409"/>
      <c r="R409"/>
      <c r="S409"/>
    </row>
    <row r="410" spans="13:19" ht="13.95" customHeight="1">
      <c r="M410"/>
      <c r="N410"/>
      <c r="O410"/>
      <c r="P410"/>
      <c r="Q410"/>
      <c r="R410"/>
      <c r="S410"/>
    </row>
    <row r="411" spans="13:19" ht="13.95" customHeight="1">
      <c r="M411"/>
      <c r="N411"/>
      <c r="O411"/>
      <c r="P411"/>
      <c r="Q411"/>
      <c r="R411"/>
      <c r="S411"/>
    </row>
    <row r="412" spans="13:19" ht="13.95" customHeight="1">
      <c r="M412"/>
      <c r="N412"/>
      <c r="O412"/>
      <c r="P412"/>
      <c r="Q412"/>
      <c r="R412"/>
      <c r="S412"/>
    </row>
    <row r="413" spans="13:19" ht="13.95" customHeight="1">
      <c r="M413"/>
      <c r="N413"/>
      <c r="O413"/>
      <c r="P413"/>
      <c r="Q413"/>
      <c r="R413"/>
      <c r="S413"/>
    </row>
    <row r="414" spans="13:19" ht="13.95" customHeight="1">
      <c r="M414"/>
      <c r="N414"/>
      <c r="O414"/>
      <c r="P414"/>
      <c r="Q414"/>
      <c r="R414"/>
      <c r="S414"/>
    </row>
    <row r="415" spans="13:19" ht="13.95" customHeight="1">
      <c r="M415"/>
      <c r="N415"/>
      <c r="O415"/>
      <c r="P415"/>
      <c r="Q415"/>
      <c r="R415"/>
      <c r="S415"/>
    </row>
    <row r="416" spans="13:19" ht="13.95" customHeight="1">
      <c r="M416"/>
      <c r="N416"/>
      <c r="O416"/>
      <c r="P416"/>
      <c r="Q416"/>
      <c r="R416"/>
      <c r="S416"/>
    </row>
    <row r="417" spans="13:19" ht="13.95" customHeight="1">
      <c r="M417"/>
      <c r="N417"/>
      <c r="O417"/>
      <c r="P417"/>
      <c r="Q417"/>
      <c r="R417"/>
      <c r="S417"/>
    </row>
    <row r="418" spans="13:19" ht="13.95" customHeight="1">
      <c r="M418"/>
      <c r="N418"/>
      <c r="O418"/>
      <c r="P418"/>
      <c r="Q418"/>
      <c r="R418"/>
      <c r="S418"/>
    </row>
    <row r="419" spans="13:19" ht="13.95" customHeight="1">
      <c r="M419"/>
      <c r="N419"/>
      <c r="O419"/>
      <c r="P419"/>
      <c r="Q419"/>
      <c r="R419"/>
      <c r="S419"/>
    </row>
    <row r="420" spans="13:19" ht="13.95" customHeight="1">
      <c r="M420"/>
      <c r="N420"/>
      <c r="O420"/>
      <c r="P420"/>
      <c r="Q420"/>
      <c r="R420"/>
      <c r="S420"/>
    </row>
    <row r="421" spans="13:19" ht="13.95" customHeight="1">
      <c r="M421"/>
      <c r="N421"/>
      <c r="O421"/>
      <c r="P421"/>
      <c r="Q421"/>
      <c r="R421"/>
      <c r="S421"/>
    </row>
    <row r="422" spans="13:19" ht="13.95" customHeight="1">
      <c r="M422"/>
      <c r="N422"/>
      <c r="O422"/>
      <c r="P422"/>
      <c r="Q422"/>
      <c r="R422"/>
      <c r="S422"/>
    </row>
    <row r="423" spans="13:19" ht="13.95" customHeight="1">
      <c r="M423"/>
      <c r="N423"/>
      <c r="O423"/>
      <c r="P423"/>
      <c r="Q423"/>
      <c r="R423"/>
      <c r="S423"/>
    </row>
    <row r="424" spans="13:19" ht="13.95" customHeight="1">
      <c r="M424"/>
      <c r="N424"/>
      <c r="O424"/>
      <c r="P424"/>
      <c r="Q424"/>
      <c r="R424"/>
      <c r="S424"/>
    </row>
    <row r="425" spans="13:19" ht="13.95" customHeight="1">
      <c r="M425"/>
      <c r="N425"/>
      <c r="O425"/>
      <c r="P425"/>
      <c r="Q425"/>
      <c r="R425"/>
      <c r="S425"/>
    </row>
    <row r="426" spans="13:19" ht="13.95" customHeight="1">
      <c r="M426"/>
      <c r="N426"/>
      <c r="O426"/>
      <c r="P426"/>
      <c r="Q426"/>
      <c r="R426"/>
      <c r="S426"/>
    </row>
    <row r="427" spans="13:19" ht="13.95" customHeight="1">
      <c r="M427"/>
      <c r="N427"/>
      <c r="O427"/>
      <c r="P427"/>
      <c r="Q427"/>
      <c r="R427"/>
      <c r="S427"/>
    </row>
    <row r="428" spans="13:19" ht="13.95" customHeight="1">
      <c r="M428"/>
      <c r="N428"/>
      <c r="O428"/>
      <c r="P428"/>
      <c r="Q428"/>
      <c r="R428"/>
      <c r="S428"/>
    </row>
    <row r="429" spans="13:19" ht="13.95" customHeight="1">
      <c r="M429"/>
      <c r="N429"/>
      <c r="O429"/>
      <c r="P429"/>
      <c r="Q429"/>
      <c r="R429"/>
      <c r="S429"/>
    </row>
    <row r="430" spans="13:19" ht="13.95" customHeight="1">
      <c r="M430"/>
      <c r="N430"/>
      <c r="O430"/>
      <c r="P430"/>
      <c r="Q430"/>
      <c r="R430"/>
      <c r="S430"/>
    </row>
    <row r="431" spans="13:19" ht="13.95" customHeight="1">
      <c r="M431"/>
      <c r="N431"/>
      <c r="O431"/>
      <c r="P431"/>
      <c r="Q431"/>
      <c r="R431"/>
      <c r="S431"/>
    </row>
    <row r="432" spans="13:19" ht="13.95" customHeight="1">
      <c r="M432"/>
      <c r="N432"/>
      <c r="O432"/>
      <c r="P432"/>
      <c r="Q432"/>
      <c r="R432"/>
      <c r="S432"/>
    </row>
    <row r="433" spans="13:19" ht="13.95" customHeight="1">
      <c r="M433"/>
      <c r="N433"/>
      <c r="O433"/>
      <c r="P433"/>
      <c r="Q433"/>
      <c r="R433"/>
      <c r="S433"/>
    </row>
    <row r="434" spans="13:19" ht="13.95" customHeight="1">
      <c r="M434"/>
      <c r="N434"/>
      <c r="O434"/>
      <c r="P434"/>
      <c r="Q434"/>
      <c r="R434"/>
      <c r="S434"/>
    </row>
    <row r="435" spans="13:19" ht="13.95" customHeight="1">
      <c r="M435"/>
      <c r="N435"/>
      <c r="O435"/>
      <c r="P435"/>
      <c r="Q435"/>
      <c r="R435"/>
      <c r="S435"/>
    </row>
    <row r="436" spans="13:19" ht="13.95" customHeight="1">
      <c r="M436"/>
      <c r="N436"/>
      <c r="O436"/>
      <c r="P436"/>
      <c r="Q436"/>
      <c r="R436"/>
      <c r="S436"/>
    </row>
    <row r="437" spans="13:19" ht="13.95" customHeight="1">
      <c r="M437"/>
      <c r="N437"/>
      <c r="O437"/>
      <c r="P437"/>
      <c r="Q437"/>
      <c r="R437"/>
      <c r="S437"/>
    </row>
    <row r="438" spans="13:19" ht="13.95" customHeight="1">
      <c r="M438"/>
      <c r="N438"/>
      <c r="O438"/>
      <c r="P438"/>
      <c r="Q438"/>
      <c r="R438"/>
      <c r="S438"/>
    </row>
    <row r="439" spans="13:19" ht="13.95" customHeight="1">
      <c r="M439"/>
      <c r="N439"/>
      <c r="O439"/>
      <c r="P439"/>
      <c r="Q439"/>
      <c r="R439"/>
      <c r="S439"/>
    </row>
    <row r="440" spans="13:19" ht="13.95" customHeight="1">
      <c r="M440"/>
      <c r="N440"/>
      <c r="O440"/>
      <c r="P440"/>
      <c r="Q440"/>
      <c r="R440"/>
      <c r="S440"/>
    </row>
    <row r="441" spans="13:19" ht="13.95" customHeight="1">
      <c r="M441"/>
      <c r="N441"/>
      <c r="O441"/>
      <c r="P441"/>
      <c r="Q441"/>
      <c r="R441"/>
      <c r="S441"/>
    </row>
    <row r="442" spans="13:19" ht="13.95" customHeight="1">
      <c r="M442"/>
      <c r="N442"/>
      <c r="O442"/>
      <c r="P442"/>
      <c r="Q442"/>
      <c r="R442"/>
      <c r="S442"/>
    </row>
    <row r="443" spans="13:19" ht="13.95" customHeight="1">
      <c r="M443"/>
      <c r="N443"/>
      <c r="O443"/>
      <c r="P443"/>
      <c r="Q443"/>
      <c r="R443"/>
      <c r="S443"/>
    </row>
    <row r="444" spans="13:19" ht="13.95" customHeight="1">
      <c r="M444"/>
      <c r="N444"/>
      <c r="O444"/>
      <c r="P444"/>
      <c r="Q444"/>
      <c r="R444"/>
      <c r="S444"/>
    </row>
    <row r="445" spans="13:19" ht="13.95" customHeight="1">
      <c r="M445"/>
      <c r="N445"/>
      <c r="O445"/>
      <c r="P445"/>
      <c r="Q445"/>
      <c r="R445"/>
      <c r="S445"/>
    </row>
    <row r="446" spans="13:19" ht="13.95" customHeight="1">
      <c r="M446"/>
      <c r="N446"/>
      <c r="O446"/>
      <c r="P446"/>
      <c r="Q446"/>
      <c r="R446"/>
      <c r="S446"/>
    </row>
    <row r="447" spans="13:19" ht="13.95" customHeight="1">
      <c r="M447"/>
      <c r="N447"/>
      <c r="O447"/>
      <c r="P447"/>
      <c r="Q447"/>
      <c r="R447"/>
      <c r="S447"/>
    </row>
    <row r="448" spans="13:19" ht="13.95" customHeight="1">
      <c r="M448"/>
      <c r="N448"/>
      <c r="O448"/>
      <c r="P448"/>
      <c r="Q448"/>
      <c r="R448"/>
      <c r="S448"/>
    </row>
    <row r="449" spans="13:19" ht="13.95" customHeight="1">
      <c r="M449"/>
      <c r="N449"/>
      <c r="O449"/>
      <c r="P449"/>
      <c r="Q449"/>
      <c r="R449"/>
      <c r="S449"/>
    </row>
    <row r="450" spans="13:19" ht="13.95" customHeight="1">
      <c r="M450"/>
      <c r="N450"/>
      <c r="O450"/>
      <c r="P450"/>
      <c r="Q450"/>
      <c r="R450"/>
      <c r="S450"/>
    </row>
    <row r="451" spans="13:19" ht="13.95" customHeight="1">
      <c r="M451"/>
      <c r="N451"/>
      <c r="O451"/>
      <c r="P451"/>
      <c r="Q451"/>
      <c r="R451"/>
      <c r="S451"/>
    </row>
    <row r="452" spans="13:19" ht="13.95" customHeight="1">
      <c r="M452"/>
      <c r="N452"/>
      <c r="O452"/>
      <c r="P452"/>
      <c r="Q452"/>
      <c r="R452"/>
      <c r="S452"/>
    </row>
    <row r="453" spans="13:19" ht="13.95" customHeight="1">
      <c r="M453"/>
      <c r="N453"/>
      <c r="O453"/>
      <c r="P453"/>
      <c r="Q453"/>
      <c r="R453"/>
      <c r="S453"/>
    </row>
    <row r="454" spans="13:19" ht="13.95" customHeight="1">
      <c r="M454"/>
      <c r="N454"/>
      <c r="O454"/>
      <c r="P454"/>
      <c r="Q454"/>
      <c r="R454"/>
      <c r="S454"/>
    </row>
    <row r="455" spans="13:19" ht="13.95" customHeight="1">
      <c r="M455"/>
      <c r="N455"/>
      <c r="O455"/>
      <c r="P455"/>
      <c r="Q455"/>
      <c r="R455"/>
      <c r="S455"/>
    </row>
    <row r="456" spans="13:19" ht="13.95" customHeight="1">
      <c r="M456"/>
      <c r="N456"/>
      <c r="O456"/>
      <c r="P456"/>
      <c r="Q456"/>
      <c r="R456"/>
      <c r="S456"/>
    </row>
    <row r="457" spans="13:19" ht="13.95" customHeight="1">
      <c r="M457"/>
      <c r="N457"/>
      <c r="O457"/>
      <c r="P457"/>
      <c r="Q457"/>
      <c r="R457"/>
      <c r="S457"/>
    </row>
    <row r="458" spans="13:19" ht="13.95" customHeight="1">
      <c r="M458"/>
      <c r="N458"/>
      <c r="O458"/>
      <c r="P458"/>
      <c r="Q458"/>
      <c r="R458"/>
      <c r="S458"/>
    </row>
    <row r="459" spans="13:19" ht="13.95" customHeight="1">
      <c r="M459"/>
      <c r="N459"/>
      <c r="O459"/>
      <c r="P459"/>
      <c r="Q459"/>
      <c r="R459"/>
      <c r="S459"/>
    </row>
    <row r="460" spans="13:19" ht="13.95" customHeight="1">
      <c r="M460"/>
      <c r="N460"/>
      <c r="O460"/>
      <c r="P460"/>
      <c r="Q460"/>
      <c r="R460"/>
      <c r="S460"/>
    </row>
    <row r="461" spans="13:19" ht="13.95" customHeight="1">
      <c r="M461"/>
      <c r="N461"/>
      <c r="O461"/>
      <c r="P461"/>
      <c r="Q461"/>
      <c r="R461"/>
      <c r="S461"/>
    </row>
    <row r="462" spans="13:19" ht="13.95" customHeight="1">
      <c r="M462"/>
      <c r="N462"/>
      <c r="O462"/>
      <c r="P462"/>
      <c r="Q462"/>
      <c r="R462"/>
      <c r="S462"/>
    </row>
    <row r="463" spans="13:19" ht="13.95" customHeight="1">
      <c r="M463"/>
      <c r="N463"/>
      <c r="O463"/>
      <c r="P463"/>
      <c r="Q463"/>
      <c r="R463"/>
      <c r="S463"/>
    </row>
    <row r="464" spans="13:19" ht="13.95" customHeight="1">
      <c r="M464"/>
      <c r="N464"/>
      <c r="O464"/>
      <c r="P464"/>
      <c r="Q464"/>
      <c r="R464"/>
      <c r="S464"/>
    </row>
    <row r="465" spans="13:19" ht="13.95" customHeight="1">
      <c r="M465"/>
      <c r="N465"/>
      <c r="O465"/>
      <c r="P465"/>
      <c r="Q465"/>
      <c r="R465"/>
      <c r="S465"/>
    </row>
    <row r="466" spans="13:19" ht="13.95" customHeight="1">
      <c r="M466"/>
      <c r="N466"/>
      <c r="O466"/>
      <c r="P466"/>
      <c r="Q466"/>
      <c r="R466"/>
      <c r="S466"/>
    </row>
    <row r="467" spans="13:19" ht="13.95" customHeight="1">
      <c r="M467"/>
      <c r="N467"/>
      <c r="O467"/>
      <c r="P467"/>
      <c r="Q467"/>
      <c r="R467"/>
      <c r="S467"/>
    </row>
    <row r="468" spans="13:19" ht="13.95" customHeight="1">
      <c r="M468"/>
      <c r="N468"/>
      <c r="O468"/>
      <c r="P468"/>
      <c r="Q468"/>
      <c r="R468"/>
      <c r="S468"/>
    </row>
    <row r="469" spans="13:19" ht="13.95" customHeight="1">
      <c r="M469"/>
      <c r="N469"/>
      <c r="O469"/>
      <c r="P469"/>
      <c r="Q469"/>
      <c r="R469"/>
      <c r="S469"/>
    </row>
    <row r="470" spans="13:19" ht="13.95" customHeight="1">
      <c r="M470"/>
      <c r="N470"/>
      <c r="O470"/>
      <c r="P470"/>
      <c r="Q470"/>
      <c r="R470"/>
      <c r="S470"/>
    </row>
    <row r="471" spans="13:19" ht="13.95" customHeight="1">
      <c r="M471"/>
      <c r="N471"/>
      <c r="O471"/>
      <c r="P471"/>
      <c r="Q471"/>
      <c r="R471"/>
      <c r="S471"/>
    </row>
    <row r="472" spans="13:19" ht="13.95" customHeight="1">
      <c r="M472"/>
      <c r="N472"/>
      <c r="O472"/>
      <c r="P472"/>
      <c r="Q472"/>
      <c r="R472"/>
      <c r="S472"/>
    </row>
    <row r="473" spans="13:19" ht="13.95" customHeight="1">
      <c r="M473"/>
      <c r="N473"/>
      <c r="O473"/>
      <c r="P473"/>
      <c r="Q473"/>
      <c r="R473"/>
      <c r="S473"/>
    </row>
    <row r="474" spans="13:19" ht="13.95" customHeight="1">
      <c r="M474"/>
      <c r="N474"/>
      <c r="O474"/>
      <c r="P474"/>
      <c r="Q474"/>
      <c r="R474"/>
      <c r="S474"/>
    </row>
    <row r="475" spans="13:19" ht="13.95" customHeight="1">
      <c r="M475"/>
      <c r="N475"/>
      <c r="O475"/>
      <c r="P475"/>
      <c r="Q475"/>
      <c r="R475"/>
      <c r="S475"/>
    </row>
    <row r="476" spans="13:19" ht="13.95" customHeight="1">
      <c r="M476"/>
      <c r="N476"/>
      <c r="O476"/>
      <c r="P476"/>
      <c r="Q476"/>
      <c r="R476"/>
      <c r="S476"/>
    </row>
    <row r="477" spans="13:19" ht="13.95" customHeight="1">
      <c r="M477"/>
      <c r="N477"/>
      <c r="O477"/>
      <c r="P477"/>
      <c r="Q477"/>
      <c r="R477"/>
      <c r="S477"/>
    </row>
    <row r="478" spans="13:19" ht="13.95" customHeight="1">
      <c r="M478"/>
      <c r="N478"/>
      <c r="O478"/>
      <c r="P478"/>
      <c r="Q478"/>
      <c r="R478"/>
      <c r="S478"/>
    </row>
    <row r="479" spans="13:19" ht="13.95" customHeight="1">
      <c r="M479"/>
      <c r="N479"/>
      <c r="O479"/>
      <c r="P479"/>
      <c r="Q479"/>
      <c r="R479"/>
      <c r="S479"/>
    </row>
    <row r="480" spans="13:19" ht="13.95" customHeight="1">
      <c r="M480"/>
      <c r="N480"/>
      <c r="O480"/>
      <c r="P480"/>
      <c r="Q480"/>
      <c r="R480"/>
      <c r="S480"/>
    </row>
    <row r="481" spans="13:19" ht="13.95" customHeight="1">
      <c r="M481"/>
      <c r="N481"/>
      <c r="O481"/>
      <c r="P481"/>
      <c r="Q481"/>
      <c r="R481"/>
      <c r="S481"/>
    </row>
    <row r="482" spans="13:19" ht="13.95" customHeight="1">
      <c r="M482"/>
      <c r="N482"/>
      <c r="O482"/>
      <c r="P482"/>
      <c r="Q482"/>
      <c r="R482"/>
      <c r="S482"/>
    </row>
    <row r="483" spans="13:19" ht="13.95" customHeight="1">
      <c r="M483"/>
      <c r="N483"/>
      <c r="O483"/>
      <c r="P483"/>
      <c r="Q483"/>
      <c r="R483"/>
      <c r="S483"/>
    </row>
    <row r="484" spans="13:19" ht="13.95" customHeight="1">
      <c r="M484"/>
      <c r="N484"/>
      <c r="O484"/>
      <c r="P484"/>
      <c r="Q484"/>
      <c r="R484"/>
      <c r="S484"/>
    </row>
    <row r="485" spans="13:19" ht="13.95" customHeight="1">
      <c r="M485"/>
      <c r="N485"/>
      <c r="O485"/>
      <c r="P485"/>
      <c r="Q485"/>
      <c r="R485"/>
      <c r="S485"/>
    </row>
    <row r="486" spans="13:19" ht="13.95" customHeight="1">
      <c r="M486"/>
      <c r="N486"/>
      <c r="O486"/>
      <c r="P486"/>
      <c r="Q486"/>
      <c r="R486"/>
      <c r="S486"/>
    </row>
    <row r="487" spans="13:19" ht="13.95" customHeight="1">
      <c r="M487"/>
      <c r="N487"/>
      <c r="O487"/>
      <c r="P487"/>
      <c r="Q487"/>
      <c r="R487"/>
      <c r="S487"/>
    </row>
    <row r="488" spans="13:19" ht="13.95" customHeight="1">
      <c r="M488"/>
      <c r="N488"/>
      <c r="O488"/>
      <c r="P488"/>
      <c r="Q488"/>
      <c r="R488"/>
      <c r="S488"/>
    </row>
    <row r="489" spans="13:19" ht="13.95" customHeight="1">
      <c r="M489"/>
      <c r="N489"/>
      <c r="O489"/>
      <c r="P489"/>
      <c r="Q489"/>
      <c r="R489"/>
      <c r="S489"/>
    </row>
    <row r="490" spans="13:19" ht="13.95" customHeight="1">
      <c r="M490"/>
      <c r="N490"/>
      <c r="O490"/>
      <c r="P490"/>
      <c r="Q490"/>
      <c r="R490"/>
      <c r="S490"/>
    </row>
    <row r="491" spans="13:19" ht="13.95" customHeight="1">
      <c r="M491"/>
      <c r="N491"/>
      <c r="O491"/>
      <c r="P491"/>
      <c r="Q491"/>
      <c r="R491"/>
      <c r="S491"/>
    </row>
    <row r="492" spans="13:19" ht="13.95" customHeight="1">
      <c r="M492"/>
      <c r="N492"/>
      <c r="O492"/>
      <c r="P492"/>
      <c r="Q492"/>
      <c r="R492"/>
      <c r="S492"/>
    </row>
    <row r="493" spans="13:19" ht="13.95" customHeight="1">
      <c r="M493"/>
      <c r="N493"/>
      <c r="O493"/>
      <c r="P493"/>
      <c r="Q493"/>
      <c r="R493"/>
      <c r="S493"/>
    </row>
    <row r="494" spans="13:19" ht="13.95" customHeight="1">
      <c r="M494"/>
      <c r="N494"/>
      <c r="O494"/>
      <c r="P494"/>
      <c r="Q494"/>
      <c r="R494"/>
      <c r="S494"/>
    </row>
    <row r="495" spans="13:19" ht="13.95" customHeight="1">
      <c r="M495"/>
      <c r="N495"/>
      <c r="O495"/>
      <c r="P495"/>
      <c r="Q495"/>
      <c r="R495"/>
      <c r="S495"/>
    </row>
    <row r="496" spans="13:19" ht="13.95" customHeight="1">
      <c r="M496"/>
      <c r="N496"/>
      <c r="O496"/>
      <c r="P496"/>
      <c r="Q496"/>
      <c r="R496"/>
      <c r="S496"/>
    </row>
    <row r="497" spans="13:19" ht="13.95" customHeight="1">
      <c r="M497"/>
      <c r="N497"/>
      <c r="O497"/>
      <c r="P497"/>
      <c r="Q497"/>
      <c r="R497"/>
      <c r="S497"/>
    </row>
    <row r="498" spans="13:19" ht="13.95" customHeight="1">
      <c r="M498"/>
      <c r="N498"/>
      <c r="O498"/>
      <c r="P498"/>
      <c r="Q498"/>
      <c r="R498"/>
      <c r="S498"/>
    </row>
    <row r="499" spans="13:19" ht="13.95" customHeight="1">
      <c r="M499"/>
      <c r="N499"/>
      <c r="O499"/>
      <c r="P499"/>
      <c r="Q499"/>
      <c r="R499"/>
      <c r="S499"/>
    </row>
    <row r="500" spans="13:19" ht="13.95" customHeight="1">
      <c r="M500"/>
      <c r="N500"/>
      <c r="O500"/>
      <c r="P500"/>
      <c r="Q500"/>
      <c r="R500"/>
      <c r="S500"/>
    </row>
    <row r="501" spans="13:19" ht="13.95" customHeight="1">
      <c r="M501"/>
      <c r="N501"/>
      <c r="O501"/>
      <c r="P501"/>
      <c r="Q501"/>
      <c r="R501"/>
      <c r="S501"/>
    </row>
    <row r="502" spans="13:19" ht="13.95" customHeight="1">
      <c r="M502"/>
      <c r="N502"/>
      <c r="O502"/>
      <c r="P502"/>
      <c r="Q502"/>
      <c r="R502"/>
      <c r="S502"/>
    </row>
    <row r="503" spans="13:19" ht="13.95" customHeight="1">
      <c r="M503"/>
      <c r="N503"/>
      <c r="O503"/>
      <c r="P503"/>
      <c r="Q503"/>
      <c r="R503"/>
      <c r="S503"/>
    </row>
    <row r="504" spans="13:19" ht="13.95" customHeight="1">
      <c r="M504"/>
      <c r="N504"/>
      <c r="O504"/>
      <c r="P504"/>
      <c r="Q504"/>
      <c r="R504"/>
      <c r="S504"/>
    </row>
    <row r="505" spans="13:19" ht="13.95" customHeight="1">
      <c r="M505"/>
      <c r="N505"/>
      <c r="O505"/>
      <c r="P505"/>
      <c r="Q505"/>
      <c r="R505"/>
      <c r="S505"/>
    </row>
    <row r="506" spans="13:19" ht="13.95" customHeight="1">
      <c r="M506"/>
      <c r="N506"/>
      <c r="O506"/>
      <c r="P506"/>
      <c r="Q506"/>
      <c r="R506"/>
      <c r="S506"/>
    </row>
    <row r="507" spans="13:19" ht="13.95" customHeight="1">
      <c r="M507"/>
      <c r="N507"/>
      <c r="O507"/>
      <c r="P507"/>
      <c r="Q507"/>
      <c r="R507"/>
      <c r="S507"/>
    </row>
    <row r="508" spans="13:19" ht="13.95" customHeight="1">
      <c r="M508"/>
      <c r="N508"/>
      <c r="O508"/>
      <c r="P508"/>
      <c r="Q508"/>
      <c r="R508"/>
      <c r="S508"/>
    </row>
    <row r="509" spans="13:19" ht="13.95" customHeight="1">
      <c r="M509"/>
      <c r="N509"/>
      <c r="O509"/>
      <c r="P509"/>
      <c r="Q509"/>
      <c r="R509"/>
      <c r="S509"/>
    </row>
    <row r="510" spans="13:19" ht="13.95" customHeight="1">
      <c r="M510"/>
      <c r="N510"/>
      <c r="O510"/>
      <c r="P510"/>
      <c r="Q510"/>
      <c r="R510"/>
      <c r="S510"/>
    </row>
    <row r="511" spans="13:19" ht="13.95" customHeight="1">
      <c r="M511"/>
      <c r="N511"/>
      <c r="O511"/>
      <c r="P511"/>
      <c r="Q511"/>
      <c r="R511"/>
      <c r="S511"/>
    </row>
    <row r="512" spans="13:19" ht="13.95" customHeight="1">
      <c r="M512"/>
      <c r="N512"/>
      <c r="O512"/>
      <c r="P512"/>
      <c r="Q512"/>
      <c r="R512"/>
      <c r="S512"/>
    </row>
    <row r="513" spans="13:19" ht="13.95" customHeight="1">
      <c r="M513"/>
      <c r="N513"/>
      <c r="O513"/>
      <c r="P513"/>
      <c r="Q513"/>
      <c r="R513"/>
      <c r="S513"/>
    </row>
    <row r="514" spans="13:19" ht="13.95" customHeight="1">
      <c r="M514"/>
      <c r="N514"/>
      <c r="O514"/>
      <c r="P514"/>
      <c r="Q514"/>
      <c r="R514"/>
      <c r="S514"/>
    </row>
    <row r="515" spans="13:19" ht="13.95" customHeight="1">
      <c r="M515"/>
      <c r="N515"/>
      <c r="O515"/>
      <c r="P515"/>
      <c r="Q515"/>
      <c r="R515"/>
      <c r="S515"/>
    </row>
    <row r="516" spans="13:19" ht="13.95" customHeight="1">
      <c r="M516"/>
      <c r="N516"/>
      <c r="O516"/>
      <c r="P516"/>
      <c r="Q516"/>
      <c r="R516"/>
      <c r="S516"/>
    </row>
    <row r="517" spans="13:19" ht="13.95" customHeight="1">
      <c r="M517"/>
      <c r="N517"/>
      <c r="O517"/>
      <c r="P517"/>
      <c r="Q517"/>
      <c r="R517"/>
      <c r="S517"/>
    </row>
    <row r="518" spans="13:19" ht="13.95" customHeight="1">
      <c r="M518"/>
      <c r="N518"/>
      <c r="O518"/>
      <c r="P518"/>
      <c r="Q518"/>
      <c r="R518"/>
      <c r="S518"/>
    </row>
    <row r="519" spans="13:19" ht="13.95" customHeight="1">
      <c r="M519"/>
      <c r="N519"/>
      <c r="O519"/>
      <c r="P519"/>
      <c r="Q519"/>
      <c r="R519"/>
      <c r="S519"/>
    </row>
    <row r="520" spans="13:19" ht="13.95" customHeight="1">
      <c r="M520"/>
      <c r="N520"/>
      <c r="O520"/>
      <c r="P520"/>
      <c r="Q520"/>
      <c r="R520"/>
      <c r="S520"/>
    </row>
    <row r="521" spans="13:19" ht="13.95" customHeight="1">
      <c r="M521"/>
      <c r="N521"/>
      <c r="O521"/>
      <c r="P521"/>
      <c r="Q521"/>
      <c r="R521"/>
      <c r="S521"/>
    </row>
    <row r="522" spans="13:19" ht="13.95" customHeight="1">
      <c r="M522"/>
      <c r="N522"/>
      <c r="O522"/>
      <c r="P522"/>
      <c r="Q522"/>
      <c r="R522"/>
      <c r="S522"/>
    </row>
    <row r="523" spans="13:19" ht="13.95" customHeight="1">
      <c r="M523"/>
      <c r="N523"/>
      <c r="O523"/>
      <c r="P523"/>
      <c r="Q523"/>
      <c r="R523"/>
      <c r="S523"/>
    </row>
    <row r="524" spans="13:19" ht="13.95" customHeight="1">
      <c r="M524"/>
      <c r="N524"/>
      <c r="O524"/>
      <c r="P524"/>
      <c r="Q524"/>
      <c r="R524"/>
      <c r="S524"/>
    </row>
    <row r="525" spans="13:19" ht="13.95" customHeight="1">
      <c r="M525"/>
      <c r="N525"/>
      <c r="O525"/>
      <c r="P525"/>
      <c r="Q525"/>
      <c r="R525"/>
      <c r="S525"/>
    </row>
    <row r="526" spans="13:19" ht="13.95" customHeight="1">
      <c r="M526"/>
      <c r="N526"/>
      <c r="O526"/>
      <c r="P526"/>
      <c r="Q526"/>
      <c r="R526"/>
      <c r="S526"/>
    </row>
    <row r="527" spans="13:19" ht="13.95" customHeight="1">
      <c r="M527"/>
      <c r="N527"/>
      <c r="O527"/>
      <c r="P527"/>
      <c r="Q527"/>
      <c r="R527"/>
      <c r="S527"/>
    </row>
    <row r="528" spans="13:19" ht="13.95" customHeight="1">
      <c r="M528"/>
      <c r="N528"/>
      <c r="O528"/>
      <c r="P528"/>
      <c r="Q528"/>
      <c r="R528"/>
      <c r="S528"/>
    </row>
    <row r="529" spans="13:19" ht="13.95" customHeight="1">
      <c r="M529"/>
      <c r="N529"/>
      <c r="O529"/>
      <c r="P529"/>
      <c r="Q529"/>
      <c r="R529"/>
      <c r="S529"/>
    </row>
    <row r="530" spans="13:19" ht="13.95" customHeight="1">
      <c r="M530"/>
      <c r="N530"/>
      <c r="O530"/>
      <c r="P530"/>
      <c r="Q530"/>
      <c r="R530"/>
      <c r="S530"/>
    </row>
    <row r="531" spans="13:19" ht="13.95" customHeight="1">
      <c r="M531"/>
      <c r="N531"/>
      <c r="O531"/>
      <c r="P531"/>
      <c r="Q531"/>
      <c r="R531"/>
      <c r="S531"/>
    </row>
    <row r="532" spans="13:19" ht="13.95" customHeight="1">
      <c r="M532"/>
      <c r="N532"/>
      <c r="O532"/>
      <c r="P532"/>
      <c r="Q532"/>
      <c r="R532"/>
      <c r="S532"/>
    </row>
    <row r="533" spans="13:19" ht="13.95" customHeight="1">
      <c r="M533"/>
      <c r="N533"/>
      <c r="O533"/>
      <c r="P533"/>
      <c r="Q533"/>
      <c r="R533"/>
      <c r="S533"/>
    </row>
    <row r="534" spans="13:19" ht="13.95" customHeight="1">
      <c r="M534"/>
      <c r="N534"/>
      <c r="O534"/>
      <c r="P534"/>
      <c r="Q534"/>
      <c r="R534"/>
      <c r="S534"/>
    </row>
    <row r="535" spans="13:19" ht="13.95" customHeight="1">
      <c r="M535"/>
      <c r="N535"/>
      <c r="O535"/>
      <c r="P535"/>
      <c r="Q535"/>
      <c r="R535"/>
      <c r="S535"/>
    </row>
    <row r="536" spans="13:19" ht="13.95" customHeight="1">
      <c r="M536"/>
      <c r="N536"/>
      <c r="O536"/>
      <c r="P536"/>
      <c r="Q536"/>
      <c r="R536"/>
      <c r="S536"/>
    </row>
    <row r="537" spans="13:19" ht="13.95" customHeight="1">
      <c r="M537"/>
      <c r="N537"/>
      <c r="O537"/>
      <c r="P537"/>
      <c r="Q537"/>
      <c r="R537"/>
      <c r="S537"/>
    </row>
    <row r="538" spans="13:19" ht="13.95" customHeight="1">
      <c r="M538"/>
      <c r="N538"/>
      <c r="O538"/>
      <c r="P538"/>
      <c r="Q538"/>
      <c r="R538"/>
      <c r="S538"/>
    </row>
    <row r="539" spans="13:19" ht="13.95" customHeight="1">
      <c r="M539"/>
      <c r="N539"/>
      <c r="O539"/>
      <c r="P539"/>
      <c r="Q539"/>
      <c r="R539"/>
      <c r="S539"/>
    </row>
    <row r="540" spans="13:19" ht="13.95" customHeight="1">
      <c r="M540"/>
      <c r="N540"/>
      <c r="O540"/>
      <c r="P540"/>
      <c r="Q540"/>
      <c r="R540"/>
      <c r="S540"/>
    </row>
    <row r="541" spans="13:19" ht="13.95" customHeight="1">
      <c r="M541"/>
      <c r="N541"/>
      <c r="O541"/>
      <c r="P541"/>
      <c r="Q541"/>
      <c r="R541"/>
      <c r="S541"/>
    </row>
    <row r="542" spans="13:19" ht="13.95" customHeight="1">
      <c r="M542"/>
      <c r="N542"/>
      <c r="O542"/>
      <c r="P542"/>
      <c r="Q542"/>
      <c r="R542"/>
      <c r="S542"/>
    </row>
    <row r="543" spans="13:19" ht="13.95" customHeight="1">
      <c r="M543"/>
      <c r="N543"/>
      <c r="O543"/>
      <c r="P543"/>
      <c r="Q543"/>
      <c r="R543"/>
      <c r="S543"/>
    </row>
    <row r="544" spans="13:19" ht="13.95" customHeight="1">
      <c r="M544"/>
      <c r="N544"/>
      <c r="O544"/>
      <c r="P544"/>
      <c r="Q544"/>
      <c r="R544"/>
      <c r="S544"/>
    </row>
    <row r="545" spans="13:19" ht="13.95" customHeight="1">
      <c r="M545"/>
      <c r="N545"/>
      <c r="O545"/>
      <c r="P545"/>
      <c r="Q545"/>
      <c r="R545"/>
      <c r="S545"/>
    </row>
    <row r="546" spans="13:19" ht="13.95" customHeight="1">
      <c r="M546"/>
      <c r="N546"/>
      <c r="O546"/>
      <c r="P546"/>
      <c r="Q546"/>
      <c r="R546"/>
      <c r="S546"/>
    </row>
    <row r="547" spans="13:19" ht="13.95" customHeight="1">
      <c r="M547"/>
      <c r="N547"/>
      <c r="O547"/>
      <c r="P547"/>
      <c r="Q547"/>
      <c r="R547"/>
      <c r="S547"/>
    </row>
    <row r="548" spans="13:19" ht="13.95" customHeight="1">
      <c r="M548"/>
      <c r="N548"/>
      <c r="O548"/>
      <c r="P548"/>
      <c r="Q548"/>
      <c r="R548"/>
      <c r="S548"/>
    </row>
    <row r="549" spans="13:19" ht="13.95" customHeight="1">
      <c r="M549"/>
      <c r="N549"/>
      <c r="O549"/>
      <c r="P549"/>
      <c r="Q549"/>
      <c r="R549"/>
      <c r="S549"/>
    </row>
    <row r="550" spans="13:19" ht="13.95" customHeight="1">
      <c r="M550"/>
      <c r="N550"/>
      <c r="O550"/>
      <c r="P550"/>
      <c r="Q550"/>
      <c r="R550"/>
      <c r="S550"/>
    </row>
    <row r="551" spans="13:19" ht="13.95" customHeight="1">
      <c r="M551"/>
      <c r="N551"/>
      <c r="O551"/>
      <c r="P551"/>
      <c r="Q551"/>
      <c r="R551"/>
      <c r="S551"/>
    </row>
    <row r="552" spans="13:19" ht="13.95" customHeight="1">
      <c r="M552"/>
      <c r="N552"/>
      <c r="O552"/>
      <c r="P552"/>
      <c r="Q552"/>
      <c r="R552"/>
      <c r="S552"/>
    </row>
    <row r="553" spans="13:19" ht="13.95" customHeight="1">
      <c r="M553"/>
      <c r="N553"/>
      <c r="O553"/>
      <c r="P553"/>
      <c r="Q553"/>
      <c r="R553"/>
      <c r="S553"/>
    </row>
    <row r="554" spans="13:19" ht="13.95" customHeight="1">
      <c r="M554"/>
      <c r="N554"/>
      <c r="O554"/>
      <c r="P554"/>
      <c r="Q554"/>
      <c r="R554"/>
      <c r="S554"/>
    </row>
    <row r="555" spans="13:19" ht="13.95" customHeight="1">
      <c r="M555"/>
      <c r="N555"/>
      <c r="O555"/>
      <c r="P555"/>
      <c r="Q555"/>
      <c r="R555"/>
      <c r="S555"/>
    </row>
    <row r="556" spans="13:19" ht="13.95" customHeight="1">
      <c r="M556"/>
      <c r="N556"/>
      <c r="O556"/>
      <c r="P556"/>
      <c r="Q556"/>
      <c r="R556"/>
      <c r="S556"/>
    </row>
    <row r="557" spans="13:19" ht="13.95" customHeight="1">
      <c r="M557"/>
      <c r="N557"/>
      <c r="O557"/>
      <c r="P557"/>
      <c r="Q557"/>
      <c r="R557"/>
      <c r="S557"/>
    </row>
    <row r="558" spans="13:19" ht="13.95" customHeight="1">
      <c r="M558"/>
      <c r="N558"/>
      <c r="O558"/>
      <c r="P558"/>
      <c r="Q558"/>
      <c r="R558"/>
      <c r="S558"/>
    </row>
    <row r="559" spans="13:19" ht="13.95" customHeight="1">
      <c r="M559"/>
      <c r="N559"/>
      <c r="O559"/>
      <c r="P559"/>
      <c r="Q559"/>
      <c r="R559"/>
      <c r="S559"/>
    </row>
    <row r="560" spans="13:19" ht="13.95" customHeight="1">
      <c r="M560"/>
      <c r="N560"/>
      <c r="O560"/>
      <c r="P560"/>
      <c r="Q560"/>
      <c r="R560"/>
      <c r="S560"/>
    </row>
    <row r="561" spans="13:19" ht="13.95" customHeight="1">
      <c r="M561"/>
      <c r="N561"/>
      <c r="O561"/>
      <c r="P561"/>
      <c r="Q561"/>
      <c r="R561"/>
      <c r="S561"/>
    </row>
    <row r="562" spans="13:19" ht="13.95" customHeight="1">
      <c r="M562"/>
      <c r="N562"/>
      <c r="O562"/>
      <c r="P562"/>
      <c r="Q562"/>
      <c r="R562"/>
      <c r="S562"/>
    </row>
    <row r="563" spans="13:19" ht="13.95" customHeight="1">
      <c r="M563"/>
      <c r="N563"/>
      <c r="O563"/>
      <c r="P563"/>
      <c r="Q563"/>
      <c r="R563"/>
      <c r="S563"/>
    </row>
    <row r="564" spans="13:19" ht="13.95" customHeight="1">
      <c r="M564"/>
      <c r="N564"/>
      <c r="O564"/>
      <c r="P564"/>
      <c r="Q564"/>
      <c r="R564"/>
      <c r="S564"/>
    </row>
    <row r="565" spans="13:19" ht="13.95" customHeight="1">
      <c r="M565"/>
      <c r="N565"/>
      <c r="O565"/>
      <c r="P565"/>
      <c r="Q565"/>
      <c r="R565"/>
      <c r="S565"/>
    </row>
    <row r="566" spans="13:19" ht="13.95" customHeight="1">
      <c r="M566"/>
      <c r="N566"/>
      <c r="O566"/>
      <c r="P566"/>
      <c r="Q566"/>
      <c r="R566"/>
      <c r="S566"/>
    </row>
    <row r="567" spans="13:19" ht="13.95" customHeight="1">
      <c r="M567"/>
      <c r="N567"/>
      <c r="O567"/>
      <c r="P567"/>
      <c r="Q567"/>
      <c r="R567"/>
      <c r="S567"/>
    </row>
    <row r="568" spans="13:19" ht="13.95" customHeight="1">
      <c r="M568"/>
      <c r="N568"/>
      <c r="O568"/>
      <c r="P568"/>
      <c r="Q568"/>
      <c r="R568"/>
      <c r="S568"/>
    </row>
    <row r="569" spans="13:19" ht="13.95" customHeight="1">
      <c r="M569"/>
      <c r="N569"/>
      <c r="O569"/>
      <c r="P569"/>
      <c r="Q569"/>
      <c r="R569"/>
      <c r="S569"/>
    </row>
    <row r="570" spans="13:19" ht="13.95" customHeight="1">
      <c r="M570"/>
      <c r="N570"/>
      <c r="O570"/>
      <c r="P570"/>
      <c r="Q570"/>
      <c r="R570"/>
      <c r="S570"/>
    </row>
    <row r="571" spans="13:19" ht="13.95" customHeight="1">
      <c r="M571"/>
      <c r="N571"/>
      <c r="O571"/>
      <c r="P571"/>
      <c r="Q571"/>
      <c r="R571"/>
      <c r="S571"/>
    </row>
    <row r="572" spans="13:19" ht="13.95" customHeight="1">
      <c r="M572"/>
      <c r="N572"/>
      <c r="O572"/>
      <c r="P572"/>
      <c r="Q572"/>
      <c r="R572"/>
      <c r="S572"/>
    </row>
    <row r="573" spans="13:19" ht="13.95" customHeight="1">
      <c r="M573"/>
      <c r="N573"/>
      <c r="O573"/>
      <c r="P573"/>
      <c r="Q573"/>
      <c r="R573"/>
      <c r="S573"/>
    </row>
    <row r="574" spans="13:19" ht="13.95" customHeight="1">
      <c r="M574"/>
      <c r="N574"/>
      <c r="O574"/>
      <c r="P574"/>
      <c r="Q574"/>
      <c r="R574"/>
      <c r="S574"/>
    </row>
    <row r="575" spans="13:19" ht="13.95" customHeight="1">
      <c r="M575"/>
      <c r="N575"/>
      <c r="O575"/>
      <c r="P575"/>
      <c r="Q575"/>
      <c r="R575"/>
      <c r="S575"/>
    </row>
    <row r="576" spans="13:19" ht="13.95" customHeight="1">
      <c r="M576"/>
      <c r="N576"/>
      <c r="O576"/>
      <c r="P576"/>
      <c r="Q576"/>
      <c r="R576"/>
      <c r="S576"/>
    </row>
    <row r="577" spans="13:19" ht="13.95" customHeight="1">
      <c r="M577"/>
      <c r="N577"/>
      <c r="O577"/>
      <c r="P577"/>
      <c r="Q577"/>
      <c r="R577"/>
      <c r="S577"/>
    </row>
    <row r="578" spans="13:19" ht="13.95" customHeight="1">
      <c r="M578"/>
      <c r="N578"/>
      <c r="O578"/>
      <c r="P578"/>
      <c r="Q578"/>
      <c r="R578"/>
      <c r="S578"/>
    </row>
    <row r="579" spans="13:19" ht="13.95" customHeight="1">
      <c r="M579"/>
      <c r="N579"/>
      <c r="O579"/>
      <c r="P579"/>
      <c r="Q579"/>
      <c r="R579"/>
      <c r="S579"/>
    </row>
    <row r="580" spans="13:19" ht="13.95" customHeight="1">
      <c r="M580"/>
      <c r="N580"/>
      <c r="O580"/>
      <c r="P580"/>
      <c r="Q580"/>
      <c r="R580"/>
      <c r="S580"/>
    </row>
    <row r="581" spans="13:19" ht="13.95" customHeight="1">
      <c r="M581"/>
      <c r="N581"/>
      <c r="O581"/>
      <c r="P581"/>
      <c r="Q581"/>
      <c r="R581"/>
      <c r="S581"/>
    </row>
    <row r="582" spans="13:19" ht="13.95" customHeight="1">
      <c r="M582"/>
      <c r="N582"/>
      <c r="O582"/>
      <c r="P582"/>
      <c r="Q582"/>
      <c r="R582"/>
      <c r="S582"/>
    </row>
    <row r="583" spans="13:19" ht="13.95" customHeight="1">
      <c r="M583"/>
      <c r="N583"/>
      <c r="O583"/>
      <c r="P583"/>
      <c r="Q583"/>
      <c r="R583"/>
      <c r="S583"/>
    </row>
    <row r="584" spans="13:19" ht="13.95" customHeight="1">
      <c r="M584"/>
      <c r="N584"/>
      <c r="O584"/>
      <c r="P584"/>
      <c r="Q584"/>
      <c r="R584"/>
      <c r="S584"/>
    </row>
    <row r="585" spans="13:19" ht="13.95" customHeight="1">
      <c r="M585"/>
      <c r="N585"/>
      <c r="O585"/>
      <c r="P585"/>
      <c r="Q585"/>
      <c r="R585"/>
      <c r="S585"/>
    </row>
    <row r="586" spans="13:19" ht="13.95" customHeight="1">
      <c r="M586"/>
      <c r="N586"/>
      <c r="O586"/>
      <c r="P586"/>
      <c r="Q586"/>
      <c r="R586"/>
      <c r="S586"/>
    </row>
    <row r="587" spans="13:19" ht="13.95" customHeight="1">
      <c r="M587"/>
      <c r="N587"/>
      <c r="O587"/>
      <c r="P587"/>
      <c r="Q587"/>
      <c r="R587"/>
      <c r="S587"/>
    </row>
    <row r="588" spans="13:19" ht="13.95" customHeight="1">
      <c r="M588"/>
      <c r="N588"/>
      <c r="O588"/>
      <c r="P588"/>
      <c r="Q588"/>
      <c r="R588"/>
      <c r="S588"/>
    </row>
    <row r="589" spans="13:19" ht="13.95" customHeight="1">
      <c r="M589"/>
      <c r="N589"/>
      <c r="O589"/>
      <c r="P589"/>
      <c r="Q589"/>
      <c r="R589"/>
      <c r="S589"/>
    </row>
    <row r="590" spans="13:19" ht="13.95" customHeight="1">
      <c r="M590"/>
      <c r="N590"/>
      <c r="O590"/>
      <c r="P590"/>
      <c r="Q590"/>
      <c r="R590"/>
      <c r="S590"/>
    </row>
    <row r="591" spans="13:19" ht="13.95" customHeight="1">
      <c r="M591"/>
      <c r="N591"/>
      <c r="O591"/>
      <c r="P591"/>
      <c r="Q591"/>
      <c r="R591"/>
      <c r="S591"/>
    </row>
    <row r="592" spans="13:19" ht="13.95" customHeight="1">
      <c r="M592"/>
      <c r="N592"/>
      <c r="O592"/>
      <c r="P592"/>
      <c r="Q592"/>
      <c r="R592"/>
      <c r="S592"/>
    </row>
    <row r="593" spans="13:19" ht="13.95" customHeight="1">
      <c r="M593"/>
      <c r="N593"/>
      <c r="O593"/>
      <c r="P593"/>
      <c r="Q593"/>
      <c r="R593"/>
      <c r="S593"/>
    </row>
    <row r="594" spans="13:19" ht="13.95" customHeight="1">
      <c r="M594"/>
      <c r="N594"/>
      <c r="O594"/>
      <c r="P594"/>
      <c r="Q594"/>
      <c r="R594"/>
      <c r="S594"/>
    </row>
    <row r="595" spans="13:19" ht="13.95" customHeight="1">
      <c r="M595"/>
      <c r="N595"/>
      <c r="O595"/>
      <c r="P595"/>
      <c r="Q595"/>
      <c r="R595"/>
      <c r="S595"/>
    </row>
    <row r="596" spans="13:19" ht="13.95" customHeight="1">
      <c r="M596"/>
      <c r="N596"/>
      <c r="O596"/>
      <c r="P596"/>
      <c r="Q596"/>
      <c r="R596"/>
      <c r="S596"/>
    </row>
    <row r="597" spans="13:19" ht="13.95" customHeight="1">
      <c r="M597"/>
      <c r="N597"/>
      <c r="O597"/>
      <c r="P597"/>
      <c r="Q597"/>
      <c r="R597"/>
      <c r="S597"/>
    </row>
    <row r="598" spans="13:19" ht="13.95" customHeight="1">
      <c r="M598"/>
      <c r="N598"/>
      <c r="O598"/>
      <c r="P598"/>
      <c r="Q598"/>
      <c r="R598"/>
      <c r="S598"/>
    </row>
    <row r="599" spans="13:19" ht="13.95" customHeight="1">
      <c r="M599"/>
      <c r="N599"/>
      <c r="O599"/>
      <c r="P599"/>
      <c r="Q599"/>
      <c r="R599"/>
      <c r="S599"/>
    </row>
    <row r="600" spans="13:19" ht="13.95" customHeight="1">
      <c r="M600"/>
      <c r="N600"/>
      <c r="O600"/>
      <c r="P600"/>
      <c r="Q600"/>
      <c r="R600"/>
      <c r="S600"/>
    </row>
    <row r="601" spans="13:19" ht="13.95" customHeight="1">
      <c r="M601"/>
      <c r="N601"/>
      <c r="O601"/>
      <c r="P601"/>
      <c r="Q601"/>
      <c r="R601"/>
      <c r="S601"/>
    </row>
    <row r="602" spans="13:19" ht="13.95" customHeight="1">
      <c r="M602"/>
      <c r="N602"/>
      <c r="O602"/>
      <c r="P602"/>
      <c r="Q602"/>
      <c r="R602"/>
      <c r="S602"/>
    </row>
    <row r="603" spans="13:19" ht="13.95" customHeight="1">
      <c r="M603"/>
      <c r="N603"/>
      <c r="O603"/>
      <c r="P603"/>
      <c r="Q603"/>
      <c r="R603"/>
      <c r="S603"/>
    </row>
    <row r="604" spans="13:19" ht="13.95" customHeight="1">
      <c r="M604"/>
      <c r="N604"/>
      <c r="O604"/>
      <c r="P604"/>
      <c r="Q604"/>
      <c r="R604"/>
      <c r="S604"/>
    </row>
    <row r="605" spans="13:19" ht="13.95" customHeight="1">
      <c r="M605"/>
      <c r="N605"/>
      <c r="O605"/>
      <c r="P605"/>
      <c r="Q605"/>
      <c r="R605"/>
      <c r="S605"/>
    </row>
    <row r="606" spans="13:19" ht="13.95" customHeight="1">
      <c r="M606"/>
      <c r="N606"/>
      <c r="O606"/>
      <c r="P606"/>
      <c r="Q606"/>
      <c r="R606"/>
      <c r="S606"/>
    </row>
    <row r="607" spans="13:19" ht="13.95" customHeight="1">
      <c r="M607"/>
      <c r="N607"/>
      <c r="O607"/>
      <c r="P607"/>
      <c r="Q607"/>
      <c r="R607"/>
      <c r="S607"/>
    </row>
    <row r="608" spans="13:19" ht="13.95" customHeight="1">
      <c r="M608"/>
      <c r="N608"/>
      <c r="O608"/>
      <c r="P608"/>
      <c r="Q608"/>
      <c r="R608"/>
      <c r="S608"/>
    </row>
    <row r="609" spans="13:19" ht="13.95" customHeight="1">
      <c r="M609"/>
      <c r="N609"/>
      <c r="O609"/>
      <c r="P609"/>
      <c r="Q609"/>
      <c r="R609"/>
      <c r="S609"/>
    </row>
    <row r="610" spans="13:19" ht="13.95" customHeight="1">
      <c r="M610"/>
      <c r="N610"/>
      <c r="O610"/>
      <c r="P610"/>
      <c r="Q610"/>
      <c r="R610"/>
      <c r="S610"/>
    </row>
    <row r="611" spans="13:19" ht="13.95" customHeight="1">
      <c r="M611"/>
      <c r="N611"/>
      <c r="O611"/>
      <c r="P611"/>
      <c r="Q611"/>
      <c r="R611"/>
      <c r="S611"/>
    </row>
    <row r="612" spans="13:19" ht="13.95" customHeight="1">
      <c r="M612"/>
      <c r="N612"/>
      <c r="O612"/>
      <c r="P612"/>
      <c r="Q612"/>
      <c r="R612"/>
      <c r="S612"/>
    </row>
    <row r="613" spans="13:19" ht="13.95" customHeight="1">
      <c r="M613"/>
      <c r="N613"/>
      <c r="O613"/>
      <c r="P613"/>
      <c r="Q613"/>
      <c r="R613"/>
      <c r="S613"/>
    </row>
    <row r="614" spans="13:19" ht="13.95" customHeight="1">
      <c r="M614"/>
      <c r="N614"/>
      <c r="O614"/>
      <c r="P614"/>
      <c r="Q614"/>
      <c r="R614"/>
      <c r="S614"/>
    </row>
    <row r="615" spans="13:19" ht="13.95" customHeight="1">
      <c r="M615"/>
      <c r="N615"/>
      <c r="O615"/>
      <c r="P615"/>
      <c r="Q615"/>
      <c r="R615"/>
      <c r="S615"/>
    </row>
    <row r="616" spans="13:19" ht="13.95" customHeight="1">
      <c r="M616"/>
      <c r="N616"/>
      <c r="O616"/>
      <c r="P616"/>
      <c r="Q616"/>
      <c r="R616"/>
      <c r="S616"/>
    </row>
    <row r="617" spans="13:19" ht="13.95" customHeight="1">
      <c r="M617"/>
      <c r="N617"/>
      <c r="O617"/>
      <c r="P617"/>
      <c r="Q617"/>
      <c r="R617"/>
      <c r="S617"/>
    </row>
    <row r="618" spans="13:19" ht="13.95" customHeight="1">
      <c r="M618"/>
      <c r="N618"/>
      <c r="O618"/>
      <c r="P618"/>
      <c r="Q618"/>
      <c r="R618"/>
      <c r="S618"/>
    </row>
    <row r="619" spans="13:19" ht="13.95" customHeight="1">
      <c r="M619"/>
      <c r="N619"/>
      <c r="O619"/>
      <c r="P619"/>
      <c r="Q619"/>
      <c r="R619"/>
      <c r="S619"/>
    </row>
    <row r="620" spans="13:19" ht="13.95" customHeight="1">
      <c r="M620"/>
      <c r="N620"/>
      <c r="O620"/>
      <c r="P620"/>
      <c r="Q620"/>
      <c r="R620"/>
      <c r="S620"/>
    </row>
    <row r="621" spans="13:19" ht="13.95" customHeight="1">
      <c r="M621"/>
      <c r="N621"/>
      <c r="O621"/>
      <c r="P621"/>
      <c r="Q621"/>
      <c r="R621"/>
      <c r="S621"/>
    </row>
    <row r="622" spans="13:19" ht="13.95" customHeight="1">
      <c r="M622"/>
      <c r="N622"/>
      <c r="O622"/>
      <c r="P622"/>
      <c r="Q622"/>
      <c r="R622"/>
      <c r="S622"/>
    </row>
    <row r="623" spans="13:19" ht="13.95" customHeight="1">
      <c r="M623"/>
      <c r="N623"/>
      <c r="O623"/>
      <c r="P623"/>
      <c r="Q623"/>
      <c r="R623"/>
      <c r="S623"/>
    </row>
    <row r="624" spans="13:19" ht="13.95" customHeight="1">
      <c r="M624"/>
      <c r="N624"/>
      <c r="O624"/>
      <c r="P624"/>
      <c r="Q624"/>
      <c r="R624"/>
      <c r="S624"/>
    </row>
    <row r="625" spans="13:19" ht="13.95" customHeight="1">
      <c r="M625"/>
      <c r="N625"/>
      <c r="O625"/>
      <c r="P625"/>
      <c r="Q625"/>
      <c r="R625"/>
      <c r="S625"/>
    </row>
    <row r="626" spans="13:19" ht="13.95" customHeight="1">
      <c r="M626"/>
      <c r="N626"/>
      <c r="O626"/>
      <c r="P626"/>
      <c r="Q626"/>
      <c r="R626"/>
      <c r="S626"/>
    </row>
    <row r="627" spans="13:19" ht="13.95" customHeight="1">
      <c r="M627"/>
      <c r="N627"/>
      <c r="O627"/>
      <c r="P627"/>
      <c r="Q627"/>
      <c r="R627"/>
      <c r="S627"/>
    </row>
    <row r="628" spans="13:19" ht="13.95" customHeight="1">
      <c r="M628"/>
      <c r="N628"/>
      <c r="O628"/>
      <c r="P628"/>
      <c r="Q628"/>
      <c r="R628"/>
      <c r="S628"/>
    </row>
    <row r="629" spans="13:19" ht="13.95" customHeight="1">
      <c r="M629"/>
      <c r="N629"/>
      <c r="O629"/>
      <c r="P629"/>
      <c r="Q629"/>
      <c r="R629"/>
      <c r="S629"/>
    </row>
    <row r="630" spans="13:19" ht="13.95" customHeight="1">
      <c r="M630"/>
      <c r="N630"/>
      <c r="O630"/>
      <c r="P630"/>
      <c r="Q630"/>
      <c r="R630"/>
      <c r="S630"/>
    </row>
    <row r="631" spans="13:19" ht="13.95" customHeight="1">
      <c r="M631"/>
      <c r="N631"/>
      <c r="O631"/>
      <c r="P631"/>
      <c r="Q631"/>
      <c r="R631"/>
      <c r="S631"/>
    </row>
    <row r="632" spans="13:19" ht="13.95" customHeight="1">
      <c r="M632"/>
      <c r="N632"/>
      <c r="O632"/>
      <c r="P632"/>
      <c r="Q632"/>
      <c r="R632"/>
      <c r="S632"/>
    </row>
    <row r="633" spans="13:19" ht="13.95" customHeight="1">
      <c r="M633"/>
      <c r="N633"/>
      <c r="O633"/>
      <c r="P633"/>
      <c r="Q633"/>
      <c r="R633"/>
      <c r="S633"/>
    </row>
    <row r="634" spans="13:19" ht="13.95" customHeight="1">
      <c r="M634"/>
      <c r="N634"/>
      <c r="O634"/>
      <c r="P634"/>
      <c r="Q634"/>
      <c r="R634"/>
      <c r="S634"/>
    </row>
    <row r="635" spans="13:19" ht="13.95" customHeight="1">
      <c r="M635"/>
      <c r="N635"/>
      <c r="O635"/>
      <c r="P635"/>
      <c r="Q635"/>
      <c r="R635"/>
      <c r="S635"/>
    </row>
    <row r="636" spans="13:19" ht="13.95" customHeight="1">
      <c r="M636"/>
      <c r="N636"/>
      <c r="O636"/>
      <c r="P636"/>
      <c r="Q636"/>
      <c r="R636"/>
      <c r="S636"/>
    </row>
    <row r="637" spans="13:19" ht="13.95" customHeight="1">
      <c r="M637"/>
      <c r="N637"/>
      <c r="O637"/>
      <c r="P637"/>
      <c r="Q637"/>
      <c r="R637"/>
      <c r="S637"/>
    </row>
    <row r="638" spans="13:19" ht="13.95" customHeight="1">
      <c r="M638"/>
      <c r="N638"/>
      <c r="O638"/>
      <c r="P638"/>
      <c r="Q638"/>
      <c r="R638"/>
      <c r="S638"/>
    </row>
    <row r="639" spans="13:19" ht="13.95" customHeight="1">
      <c r="M639"/>
      <c r="N639"/>
      <c r="O639"/>
      <c r="P639"/>
      <c r="Q639"/>
      <c r="R639"/>
      <c r="S639"/>
    </row>
    <row r="640" spans="13:19" ht="13.95" customHeight="1">
      <c r="M640"/>
      <c r="N640"/>
      <c r="O640"/>
      <c r="P640"/>
      <c r="Q640"/>
      <c r="R640"/>
      <c r="S640"/>
    </row>
    <row r="641" spans="13:19" ht="13.95" customHeight="1">
      <c r="M641"/>
      <c r="N641"/>
      <c r="O641"/>
      <c r="P641"/>
      <c r="Q641"/>
      <c r="R641"/>
      <c r="S641"/>
    </row>
    <row r="642" spans="13:19" ht="13.95" customHeight="1">
      <c r="M642"/>
      <c r="N642"/>
      <c r="O642"/>
      <c r="P642"/>
      <c r="Q642"/>
      <c r="R642"/>
      <c r="S642"/>
    </row>
    <row r="643" spans="13:19" ht="13.95" customHeight="1">
      <c r="M643"/>
      <c r="N643"/>
      <c r="O643"/>
      <c r="P643"/>
      <c r="Q643"/>
      <c r="R643"/>
      <c r="S643"/>
    </row>
    <row r="644" spans="13:19" ht="13.95" customHeight="1">
      <c r="M644"/>
      <c r="N644"/>
      <c r="O644"/>
      <c r="P644"/>
      <c r="Q644"/>
      <c r="R644"/>
      <c r="S644"/>
    </row>
    <row r="645" spans="13:19" ht="13.95" customHeight="1">
      <c r="M645"/>
      <c r="N645"/>
      <c r="O645"/>
      <c r="P645"/>
      <c r="Q645"/>
      <c r="R645"/>
      <c r="S645"/>
    </row>
    <row r="646" spans="13:19" ht="13.95" customHeight="1">
      <c r="M646"/>
      <c r="N646"/>
      <c r="O646"/>
      <c r="P646"/>
      <c r="Q646"/>
      <c r="R646"/>
      <c r="S646"/>
    </row>
    <row r="647" spans="13:19" ht="13.95" customHeight="1">
      <c r="M647"/>
      <c r="N647"/>
      <c r="O647"/>
      <c r="P647"/>
      <c r="Q647"/>
      <c r="R647"/>
      <c r="S647"/>
    </row>
    <row r="648" spans="13:19" ht="13.95" customHeight="1">
      <c r="M648"/>
      <c r="N648"/>
      <c r="O648"/>
      <c r="P648"/>
      <c r="Q648"/>
      <c r="R648"/>
      <c r="S648"/>
    </row>
    <row r="649" spans="13:19" ht="13.95" customHeight="1">
      <c r="M649"/>
      <c r="N649"/>
      <c r="O649"/>
      <c r="P649"/>
      <c r="Q649"/>
      <c r="R649"/>
      <c r="S649"/>
    </row>
    <row r="650" spans="13:19" ht="13.95" customHeight="1">
      <c r="M650"/>
      <c r="N650"/>
      <c r="O650"/>
      <c r="P650"/>
      <c r="Q650"/>
      <c r="R650"/>
      <c r="S650"/>
    </row>
    <row r="651" spans="13:19" ht="13.95" customHeight="1">
      <c r="M651"/>
      <c r="N651"/>
      <c r="O651"/>
      <c r="P651"/>
      <c r="Q651"/>
      <c r="R651"/>
      <c r="S651"/>
    </row>
    <row r="652" spans="13:19" ht="13.95" customHeight="1">
      <c r="M652"/>
      <c r="N652"/>
      <c r="O652"/>
      <c r="P652"/>
      <c r="Q652"/>
      <c r="R652"/>
      <c r="S652"/>
    </row>
    <row r="653" spans="13:19" ht="13.95" customHeight="1">
      <c r="M653"/>
      <c r="N653"/>
      <c r="O653"/>
      <c r="P653"/>
      <c r="Q653"/>
      <c r="R653"/>
      <c r="S653"/>
    </row>
    <row r="654" spans="13:19" ht="13.95" customHeight="1">
      <c r="M654"/>
      <c r="N654"/>
      <c r="O654"/>
      <c r="P654"/>
      <c r="Q654"/>
      <c r="R654"/>
      <c r="S654"/>
    </row>
    <row r="655" spans="13:19" ht="13.95" customHeight="1">
      <c r="M655"/>
      <c r="N655"/>
      <c r="O655"/>
      <c r="P655"/>
      <c r="Q655"/>
      <c r="R655"/>
      <c r="S655"/>
    </row>
    <row r="656" spans="13:19" ht="13.95" customHeight="1">
      <c r="M656"/>
      <c r="N656"/>
      <c r="O656"/>
      <c r="P656"/>
      <c r="Q656"/>
      <c r="R656"/>
      <c r="S656"/>
    </row>
    <row r="657" spans="13:19" ht="13.95" customHeight="1">
      <c r="M657"/>
      <c r="N657"/>
      <c r="O657"/>
      <c r="P657"/>
      <c r="Q657"/>
      <c r="R657"/>
      <c r="S657"/>
    </row>
    <row r="658" spans="13:19" ht="13.95" customHeight="1">
      <c r="M658"/>
      <c r="N658"/>
      <c r="O658"/>
      <c r="P658"/>
      <c r="Q658"/>
      <c r="R658"/>
      <c r="S658"/>
    </row>
    <row r="659" spans="13:19" ht="13.95" customHeight="1">
      <c r="M659"/>
      <c r="N659"/>
      <c r="O659"/>
      <c r="P659"/>
      <c r="Q659"/>
      <c r="R659"/>
      <c r="S659"/>
    </row>
    <row r="660" spans="13:19" ht="13.95" customHeight="1">
      <c r="M660"/>
      <c r="N660"/>
      <c r="O660"/>
      <c r="P660"/>
      <c r="Q660"/>
      <c r="R660"/>
      <c r="S660"/>
    </row>
    <row r="661" spans="13:19" ht="13.95" customHeight="1">
      <c r="M661"/>
      <c r="N661"/>
      <c r="O661"/>
      <c r="P661"/>
      <c r="Q661"/>
      <c r="R661"/>
      <c r="S661"/>
    </row>
    <row r="662" spans="13:19" ht="13.95" customHeight="1">
      <c r="M662"/>
      <c r="N662"/>
      <c r="O662"/>
      <c r="P662"/>
      <c r="Q662"/>
      <c r="R662"/>
      <c r="S662"/>
    </row>
    <row r="663" spans="13:19" ht="13.95" customHeight="1">
      <c r="M663"/>
      <c r="N663"/>
      <c r="O663"/>
      <c r="P663"/>
      <c r="Q663"/>
      <c r="R663"/>
      <c r="S663"/>
    </row>
    <row r="664" spans="13:19" ht="13.95" customHeight="1">
      <c r="M664"/>
      <c r="N664"/>
      <c r="O664"/>
      <c r="P664"/>
      <c r="Q664"/>
      <c r="R664"/>
      <c r="S664"/>
    </row>
    <row r="665" spans="13:19" ht="13.95" customHeight="1">
      <c r="M665"/>
      <c r="N665"/>
      <c r="O665"/>
      <c r="P665"/>
      <c r="Q665"/>
      <c r="R665"/>
      <c r="S665"/>
    </row>
    <row r="666" spans="13:19" ht="13.95" customHeight="1">
      <c r="M666"/>
      <c r="N666"/>
      <c r="O666"/>
      <c r="P666"/>
      <c r="Q666"/>
      <c r="R666"/>
      <c r="S666"/>
    </row>
    <row r="667" spans="13:19" ht="13.95" customHeight="1">
      <c r="M667"/>
      <c r="N667"/>
      <c r="O667"/>
      <c r="P667"/>
      <c r="Q667"/>
      <c r="R667"/>
      <c r="S667"/>
    </row>
    <row r="668" spans="13:19" ht="13.95" customHeight="1">
      <c r="M668"/>
      <c r="N668"/>
      <c r="O668"/>
      <c r="P668"/>
      <c r="Q668"/>
      <c r="R668"/>
      <c r="S668"/>
    </row>
    <row r="669" spans="13:19" ht="13.95" customHeight="1">
      <c r="M669"/>
      <c r="N669"/>
      <c r="O669"/>
      <c r="P669"/>
      <c r="Q669"/>
      <c r="R669"/>
      <c r="S669"/>
    </row>
    <row r="670" spans="13:19" ht="13.95" customHeight="1">
      <c r="M670"/>
      <c r="N670"/>
      <c r="O670"/>
      <c r="P670"/>
      <c r="Q670"/>
      <c r="R670"/>
      <c r="S670"/>
    </row>
    <row r="671" spans="13:19" ht="13.95" customHeight="1">
      <c r="M671"/>
      <c r="N671"/>
      <c r="O671"/>
      <c r="P671"/>
      <c r="Q671"/>
      <c r="R671"/>
      <c r="S671"/>
    </row>
    <row r="672" spans="13:19" ht="13.95" customHeight="1">
      <c r="M672"/>
      <c r="N672"/>
      <c r="O672"/>
      <c r="P672"/>
      <c r="Q672"/>
      <c r="R672"/>
      <c r="S672"/>
    </row>
    <row r="673" spans="13:19" ht="13.95" customHeight="1">
      <c r="M673"/>
      <c r="N673"/>
      <c r="O673"/>
      <c r="P673"/>
      <c r="Q673"/>
      <c r="R673"/>
      <c r="S673"/>
    </row>
    <row r="674" spans="13:19" ht="13.95" customHeight="1">
      <c r="M674"/>
      <c r="N674"/>
      <c r="O674"/>
      <c r="P674"/>
      <c r="Q674"/>
      <c r="R674"/>
      <c r="S674"/>
    </row>
    <row r="675" spans="13:19" ht="13.95" customHeight="1">
      <c r="M675"/>
      <c r="N675"/>
      <c r="O675"/>
      <c r="P675"/>
      <c r="Q675"/>
      <c r="R675"/>
      <c r="S675"/>
    </row>
    <row r="676" spans="13:19" ht="13.95" customHeight="1">
      <c r="M676"/>
      <c r="N676"/>
      <c r="O676"/>
      <c r="P676"/>
      <c r="Q676"/>
      <c r="R676"/>
      <c r="S676"/>
    </row>
    <row r="677" spans="13:19" ht="13.95" customHeight="1">
      <c r="M677"/>
      <c r="N677"/>
      <c r="O677"/>
      <c r="P677"/>
      <c r="Q677"/>
      <c r="R677"/>
      <c r="S677"/>
    </row>
    <row r="678" spans="13:19" ht="13.95" customHeight="1">
      <c r="M678"/>
      <c r="N678"/>
      <c r="O678"/>
      <c r="P678"/>
      <c r="Q678"/>
      <c r="R678"/>
      <c r="S678"/>
    </row>
    <row r="679" spans="13:19" ht="13.95" customHeight="1">
      <c r="M679"/>
      <c r="N679"/>
      <c r="O679"/>
      <c r="P679"/>
      <c r="Q679"/>
      <c r="R679"/>
      <c r="S679"/>
    </row>
    <row r="680" spans="13:19" ht="13.95" customHeight="1">
      <c r="M680"/>
      <c r="N680"/>
      <c r="O680"/>
      <c r="P680"/>
      <c r="Q680"/>
      <c r="R680"/>
      <c r="S680"/>
    </row>
    <row r="681" spans="13:19" ht="13.95" customHeight="1">
      <c r="M681"/>
      <c r="N681"/>
      <c r="O681"/>
      <c r="P681"/>
      <c r="Q681"/>
      <c r="R681"/>
      <c r="S681"/>
    </row>
    <row r="682" spans="13:19" ht="13.95" customHeight="1">
      <c r="M682"/>
      <c r="N682"/>
      <c r="O682"/>
      <c r="P682"/>
      <c r="Q682"/>
      <c r="R682"/>
      <c r="S682"/>
    </row>
    <row r="683" spans="13:19" ht="13.95" customHeight="1">
      <c r="M683"/>
      <c r="N683"/>
      <c r="O683"/>
      <c r="P683"/>
      <c r="Q683"/>
      <c r="R683"/>
      <c r="S683"/>
    </row>
    <row r="684" spans="13:19" ht="13.95" customHeight="1">
      <c r="M684"/>
      <c r="N684"/>
      <c r="O684"/>
      <c r="P684"/>
      <c r="Q684"/>
      <c r="R684"/>
      <c r="S684"/>
    </row>
    <row r="685" spans="13:19" ht="13.95" customHeight="1">
      <c r="M685"/>
      <c r="N685"/>
      <c r="O685"/>
      <c r="P685"/>
      <c r="Q685"/>
      <c r="R685"/>
      <c r="S685"/>
    </row>
    <row r="686" spans="13:19" ht="13.95" customHeight="1">
      <c r="M686"/>
      <c r="N686"/>
      <c r="O686"/>
      <c r="P686"/>
      <c r="Q686"/>
      <c r="R686"/>
      <c r="S686"/>
    </row>
    <row r="687" spans="13:19" ht="13.95" customHeight="1">
      <c r="M687"/>
      <c r="N687"/>
      <c r="O687"/>
      <c r="P687"/>
      <c r="Q687"/>
      <c r="R687"/>
      <c r="S687"/>
    </row>
    <row r="688" spans="13:19" ht="13.95" customHeight="1">
      <c r="M688"/>
      <c r="N688"/>
      <c r="O688"/>
      <c r="P688"/>
      <c r="Q688"/>
      <c r="R688"/>
      <c r="S688"/>
    </row>
    <row r="689" spans="13:19" ht="13.95" customHeight="1">
      <c r="M689"/>
      <c r="N689"/>
      <c r="O689"/>
      <c r="P689"/>
      <c r="Q689"/>
      <c r="R689"/>
      <c r="S689"/>
    </row>
    <row r="690" spans="13:19" ht="13.95" customHeight="1">
      <c r="M690"/>
      <c r="N690"/>
      <c r="O690"/>
      <c r="P690"/>
      <c r="Q690"/>
      <c r="R690"/>
      <c r="S690"/>
    </row>
    <row r="691" spans="13:19" ht="13.95" customHeight="1">
      <c r="M691"/>
      <c r="N691"/>
      <c r="O691"/>
      <c r="P691"/>
      <c r="Q691"/>
      <c r="R691"/>
      <c r="S691"/>
    </row>
    <row r="692" spans="13:19" ht="13.95" customHeight="1">
      <c r="M692"/>
      <c r="N692"/>
      <c r="O692"/>
      <c r="P692"/>
      <c r="Q692"/>
      <c r="R692"/>
      <c r="S692"/>
    </row>
    <row r="693" spans="13:19" ht="13.95" customHeight="1">
      <c r="M693"/>
      <c r="N693"/>
      <c r="O693"/>
      <c r="P693"/>
      <c r="Q693"/>
      <c r="R693"/>
      <c r="S693"/>
    </row>
    <row r="694" spans="13:19" ht="13.95" customHeight="1">
      <c r="M694"/>
      <c r="N694"/>
      <c r="O694"/>
      <c r="P694"/>
      <c r="Q694"/>
      <c r="R694"/>
      <c r="S694"/>
    </row>
    <row r="695" spans="13:19" ht="13.95" customHeight="1">
      <c r="M695"/>
      <c r="N695"/>
      <c r="O695"/>
      <c r="P695"/>
      <c r="Q695"/>
      <c r="R695"/>
      <c r="S695"/>
    </row>
    <row r="696" spans="13:19" ht="13.95" customHeight="1">
      <c r="M696"/>
      <c r="N696"/>
      <c r="O696"/>
      <c r="P696"/>
      <c r="Q696"/>
      <c r="R696"/>
      <c r="S696"/>
    </row>
    <row r="697" spans="13:19" ht="13.95" customHeight="1">
      <c r="M697"/>
      <c r="N697"/>
      <c r="O697"/>
      <c r="P697"/>
      <c r="Q697"/>
      <c r="R697"/>
      <c r="S697"/>
    </row>
    <row r="698" spans="13:19" ht="13.95" customHeight="1">
      <c r="M698"/>
      <c r="N698"/>
      <c r="O698"/>
      <c r="P698"/>
      <c r="Q698"/>
      <c r="R698"/>
      <c r="S698"/>
    </row>
    <row r="699" spans="13:19" ht="13.95" customHeight="1">
      <c r="M699"/>
      <c r="N699"/>
      <c r="O699"/>
      <c r="P699"/>
      <c r="Q699"/>
      <c r="R699"/>
      <c r="S699"/>
    </row>
    <row r="700" spans="13:19" ht="13.95" customHeight="1">
      <c r="M700"/>
      <c r="N700"/>
      <c r="O700"/>
      <c r="P700"/>
      <c r="Q700"/>
      <c r="R700"/>
      <c r="S700"/>
    </row>
    <row r="701" spans="13:19" ht="13.95" customHeight="1">
      <c r="M701"/>
      <c r="N701"/>
      <c r="O701"/>
      <c r="P701"/>
      <c r="Q701"/>
      <c r="R701"/>
      <c r="S701"/>
    </row>
    <row r="702" spans="13:19" ht="13.95" customHeight="1">
      <c r="M702"/>
      <c r="N702"/>
      <c r="O702"/>
      <c r="P702"/>
      <c r="Q702"/>
      <c r="R702"/>
      <c r="S702"/>
    </row>
    <row r="703" spans="13:19" ht="13.95" customHeight="1">
      <c r="M703"/>
      <c r="N703"/>
      <c r="O703"/>
      <c r="P703"/>
      <c r="Q703"/>
      <c r="R703"/>
      <c r="S703"/>
    </row>
    <row r="704" spans="13:19" ht="13.95" customHeight="1">
      <c r="M704"/>
      <c r="N704"/>
      <c r="O704"/>
      <c r="P704"/>
      <c r="Q704"/>
      <c r="R704"/>
      <c r="S704"/>
    </row>
    <row r="705" spans="13:19" ht="13.95" customHeight="1">
      <c r="M705"/>
      <c r="N705"/>
      <c r="O705"/>
      <c r="P705"/>
      <c r="Q705"/>
      <c r="R705"/>
      <c r="S705"/>
    </row>
    <row r="706" spans="13:19" ht="13.95" customHeight="1">
      <c r="M706"/>
      <c r="N706"/>
      <c r="O706"/>
      <c r="P706"/>
      <c r="Q706"/>
      <c r="R706"/>
      <c r="S706"/>
    </row>
    <row r="707" spans="13:19" ht="13.95" customHeight="1">
      <c r="M707"/>
      <c r="N707"/>
      <c r="O707"/>
      <c r="P707"/>
      <c r="Q707"/>
      <c r="R707"/>
      <c r="S707"/>
    </row>
    <row r="708" spans="13:19" ht="13.95" customHeight="1">
      <c r="M708"/>
      <c r="N708"/>
      <c r="O708"/>
      <c r="P708"/>
      <c r="Q708"/>
      <c r="R708"/>
      <c r="S708"/>
    </row>
    <row r="709" spans="13:19" ht="13.95" customHeight="1">
      <c r="M709"/>
      <c r="N709"/>
      <c r="O709"/>
      <c r="P709"/>
      <c r="Q709"/>
      <c r="R709"/>
      <c r="S709"/>
    </row>
    <row r="710" spans="13:19" ht="13.95" customHeight="1">
      <c r="M710"/>
      <c r="N710"/>
      <c r="O710"/>
      <c r="P710"/>
      <c r="Q710"/>
      <c r="R710"/>
      <c r="S710"/>
    </row>
    <row r="711" spans="13:19" ht="13.95" customHeight="1">
      <c r="M711"/>
      <c r="N711"/>
      <c r="O711"/>
      <c r="P711"/>
      <c r="Q711"/>
      <c r="R711"/>
      <c r="S711"/>
    </row>
    <row r="712" spans="13:19" ht="13.95" customHeight="1">
      <c r="M712"/>
      <c r="N712"/>
      <c r="O712"/>
      <c r="P712"/>
      <c r="Q712"/>
      <c r="R712"/>
      <c r="S712"/>
    </row>
    <row r="713" spans="13:19" ht="13.95" customHeight="1">
      <c r="M713"/>
      <c r="N713"/>
      <c r="O713"/>
      <c r="P713"/>
      <c r="Q713"/>
      <c r="R713"/>
      <c r="S713"/>
    </row>
    <row r="714" spans="13:19" ht="13.95" customHeight="1">
      <c r="M714"/>
      <c r="N714"/>
      <c r="O714"/>
      <c r="P714"/>
      <c r="Q714"/>
      <c r="R714"/>
      <c r="S714"/>
    </row>
    <row r="715" spans="13:19" ht="13.95" customHeight="1">
      <c r="M715"/>
      <c r="N715"/>
      <c r="O715"/>
      <c r="P715"/>
      <c r="Q715"/>
      <c r="R715"/>
      <c r="S715"/>
    </row>
    <row r="716" spans="13:19" ht="13.95" customHeight="1">
      <c r="M716"/>
      <c r="N716"/>
      <c r="O716"/>
      <c r="P716"/>
      <c r="Q716"/>
      <c r="R716"/>
      <c r="S716"/>
    </row>
    <row r="717" spans="13:19" ht="13.95" customHeight="1">
      <c r="M717"/>
      <c r="N717"/>
      <c r="O717"/>
      <c r="P717"/>
      <c r="Q717"/>
      <c r="R717"/>
      <c r="S717"/>
    </row>
    <row r="718" spans="13:19" ht="13.95" customHeight="1">
      <c r="M718"/>
      <c r="N718"/>
      <c r="O718"/>
      <c r="P718"/>
      <c r="Q718"/>
      <c r="R718"/>
      <c r="S718"/>
    </row>
    <row r="719" spans="13:19" ht="13.95" customHeight="1">
      <c r="M719"/>
      <c r="N719"/>
      <c r="O719"/>
      <c r="P719"/>
      <c r="Q719"/>
      <c r="R719"/>
      <c r="S719"/>
    </row>
    <row r="720" spans="13:19" ht="13.95" customHeight="1">
      <c r="M720"/>
      <c r="N720"/>
      <c r="O720"/>
      <c r="P720"/>
      <c r="Q720"/>
      <c r="R720"/>
      <c r="S720"/>
    </row>
    <row r="721" spans="13:19" ht="13.95" customHeight="1">
      <c r="M721"/>
      <c r="N721"/>
      <c r="O721"/>
      <c r="P721"/>
      <c r="Q721"/>
      <c r="R721"/>
      <c r="S721"/>
    </row>
    <row r="722" spans="13:19" ht="13.95" customHeight="1">
      <c r="M722"/>
      <c r="N722"/>
      <c r="O722"/>
      <c r="P722"/>
      <c r="Q722"/>
      <c r="R722"/>
      <c r="S722"/>
    </row>
    <row r="723" spans="13:19" ht="13.95" customHeight="1">
      <c r="M723"/>
      <c r="N723"/>
      <c r="O723"/>
      <c r="P723"/>
      <c r="Q723"/>
      <c r="R723"/>
      <c r="S723"/>
    </row>
    <row r="724" spans="13:19" ht="13.95" customHeight="1">
      <c r="M724"/>
      <c r="N724"/>
      <c r="O724"/>
      <c r="P724"/>
      <c r="Q724"/>
      <c r="R724"/>
      <c r="S724"/>
    </row>
    <row r="725" spans="13:19" ht="13.95" customHeight="1">
      <c r="M725"/>
      <c r="N725"/>
      <c r="O725"/>
      <c r="P725"/>
      <c r="Q725"/>
      <c r="R725"/>
      <c r="S725"/>
    </row>
    <row r="726" spans="13:19" ht="13.95" customHeight="1">
      <c r="M726"/>
      <c r="N726"/>
      <c r="O726"/>
      <c r="P726"/>
      <c r="Q726"/>
      <c r="R726"/>
      <c r="S726"/>
    </row>
    <row r="727" spans="13:19" ht="13.95" customHeight="1">
      <c r="M727"/>
      <c r="N727"/>
      <c r="O727"/>
      <c r="P727"/>
      <c r="Q727"/>
      <c r="R727"/>
      <c r="S727"/>
    </row>
    <row r="728" spans="13:19" ht="13.95" customHeight="1">
      <c r="M728"/>
      <c r="N728"/>
      <c r="O728"/>
      <c r="P728"/>
      <c r="Q728"/>
      <c r="R728"/>
      <c r="S728"/>
    </row>
    <row r="729" spans="13:19" ht="13.95" customHeight="1">
      <c r="M729"/>
      <c r="N729"/>
      <c r="O729"/>
      <c r="P729"/>
      <c r="Q729"/>
      <c r="R729"/>
      <c r="S729"/>
    </row>
    <row r="730" spans="13:19" ht="13.95" customHeight="1">
      <c r="M730"/>
      <c r="N730"/>
      <c r="O730"/>
      <c r="P730"/>
      <c r="Q730"/>
      <c r="R730"/>
      <c r="S730"/>
    </row>
    <row r="731" spans="13:19" ht="13.95" customHeight="1">
      <c r="M731"/>
      <c r="N731"/>
      <c r="O731"/>
      <c r="P731"/>
      <c r="Q731"/>
      <c r="R731"/>
      <c r="S731"/>
    </row>
    <row r="732" spans="13:19" ht="13.95" customHeight="1">
      <c r="M732"/>
      <c r="N732"/>
      <c r="O732"/>
      <c r="P732"/>
      <c r="Q732"/>
      <c r="R732"/>
      <c r="S732"/>
    </row>
    <row r="733" spans="13:19" ht="13.95" customHeight="1">
      <c r="M733"/>
      <c r="N733"/>
      <c r="O733"/>
      <c r="P733"/>
      <c r="Q733"/>
      <c r="R733"/>
      <c r="S733"/>
    </row>
    <row r="734" spans="13:19" ht="13.95" customHeight="1">
      <c r="M734"/>
      <c r="N734"/>
      <c r="O734"/>
      <c r="P734"/>
      <c r="Q734"/>
      <c r="R734"/>
      <c r="S734"/>
    </row>
    <row r="735" spans="13:19" ht="13.95" customHeight="1">
      <c r="M735"/>
      <c r="N735"/>
      <c r="O735"/>
      <c r="P735"/>
      <c r="Q735"/>
      <c r="R735"/>
      <c r="S735"/>
    </row>
    <row r="736" spans="13:19" ht="13.95" customHeight="1">
      <c r="M736"/>
      <c r="N736"/>
      <c r="O736"/>
      <c r="P736"/>
      <c r="Q736"/>
      <c r="R736"/>
      <c r="S736"/>
    </row>
    <row r="737" spans="13:19" ht="13.95" customHeight="1">
      <c r="M737"/>
      <c r="N737"/>
      <c r="O737"/>
      <c r="P737"/>
      <c r="Q737"/>
      <c r="R737"/>
      <c r="S737"/>
    </row>
    <row r="738" spans="13:19" ht="13.95" customHeight="1">
      <c r="M738"/>
      <c r="N738"/>
      <c r="O738"/>
      <c r="P738"/>
      <c r="Q738"/>
      <c r="R738"/>
      <c r="S738"/>
    </row>
    <row r="739" spans="13:19" ht="13.95" customHeight="1">
      <c r="M739"/>
      <c r="N739"/>
      <c r="O739"/>
      <c r="P739"/>
      <c r="Q739"/>
      <c r="R739"/>
      <c r="S739"/>
    </row>
    <row r="740" spans="13:19" ht="13.95" customHeight="1">
      <c r="M740"/>
      <c r="N740"/>
      <c r="O740"/>
      <c r="P740"/>
      <c r="Q740"/>
      <c r="R740"/>
      <c r="S740"/>
    </row>
    <row r="741" spans="13:19" ht="13.95" customHeight="1">
      <c r="M741"/>
      <c r="N741"/>
      <c r="O741"/>
      <c r="P741"/>
      <c r="Q741"/>
      <c r="R741"/>
      <c r="S741"/>
    </row>
    <row r="742" spans="13:19" ht="13.95" customHeight="1">
      <c r="M742"/>
      <c r="N742"/>
      <c r="O742"/>
      <c r="P742"/>
      <c r="Q742"/>
      <c r="R742"/>
      <c r="S742"/>
    </row>
    <row r="743" spans="13:19" ht="13.95" customHeight="1">
      <c r="M743"/>
      <c r="N743"/>
      <c r="O743"/>
      <c r="P743"/>
      <c r="Q743"/>
      <c r="R743"/>
      <c r="S743"/>
    </row>
    <row r="744" spans="13:19" ht="13.95" customHeight="1">
      <c r="M744"/>
      <c r="N744"/>
      <c r="O744"/>
      <c r="P744"/>
      <c r="Q744"/>
      <c r="R744"/>
      <c r="S744"/>
    </row>
    <row r="745" spans="13:19" ht="13.95" customHeight="1">
      <c r="M745"/>
      <c r="N745"/>
      <c r="O745"/>
      <c r="P745"/>
      <c r="Q745"/>
      <c r="R745"/>
      <c r="S745"/>
    </row>
    <row r="746" spans="13:19" ht="13.95" customHeight="1">
      <c r="M746"/>
      <c r="N746"/>
      <c r="O746"/>
      <c r="P746"/>
      <c r="Q746"/>
      <c r="R746"/>
      <c r="S746"/>
    </row>
    <row r="747" spans="13:19" ht="13.95" customHeight="1">
      <c r="M747"/>
      <c r="N747"/>
      <c r="O747"/>
      <c r="P747"/>
      <c r="Q747"/>
      <c r="R747"/>
      <c r="S747"/>
    </row>
    <row r="748" spans="13:19" ht="13.95" customHeight="1">
      <c r="M748"/>
      <c r="N748"/>
      <c r="O748"/>
      <c r="P748"/>
      <c r="Q748"/>
      <c r="R748"/>
      <c r="S748"/>
    </row>
    <row r="749" spans="13:19" ht="13.95" customHeight="1">
      <c r="M749"/>
      <c r="N749"/>
      <c r="O749"/>
      <c r="P749"/>
      <c r="Q749"/>
      <c r="R749"/>
      <c r="S749"/>
    </row>
    <row r="750" spans="13:19" ht="13.95" customHeight="1">
      <c r="M750"/>
      <c r="N750"/>
      <c r="O750"/>
      <c r="P750"/>
      <c r="Q750"/>
      <c r="R750"/>
      <c r="S750"/>
    </row>
    <row r="751" spans="13:19" ht="13.95" customHeight="1">
      <c r="M751"/>
      <c r="N751"/>
      <c r="O751"/>
      <c r="P751"/>
      <c r="Q751"/>
      <c r="R751"/>
      <c r="S751"/>
    </row>
    <row r="752" spans="13:19" ht="13.95" customHeight="1">
      <c r="M752"/>
      <c r="N752"/>
      <c r="O752"/>
      <c r="P752"/>
      <c r="Q752"/>
      <c r="R752"/>
      <c r="S752"/>
    </row>
    <row r="753" spans="13:19" ht="13.95" customHeight="1">
      <c r="M753"/>
      <c r="N753"/>
      <c r="O753"/>
      <c r="P753"/>
      <c r="Q753"/>
      <c r="R753"/>
      <c r="S753"/>
    </row>
    <row r="754" spans="13:19" ht="13.95" customHeight="1">
      <c r="M754"/>
      <c r="N754"/>
      <c r="O754"/>
      <c r="P754"/>
      <c r="Q754"/>
      <c r="R754"/>
      <c r="S754"/>
    </row>
    <row r="755" spans="13:19" ht="13.95" customHeight="1">
      <c r="M755"/>
      <c r="N755"/>
      <c r="O755"/>
      <c r="P755"/>
      <c r="Q755"/>
      <c r="R755"/>
      <c r="S755"/>
    </row>
    <row r="756" spans="13:19" ht="13.95" customHeight="1">
      <c r="M756"/>
      <c r="N756"/>
      <c r="O756"/>
      <c r="P756"/>
      <c r="Q756"/>
      <c r="R756"/>
      <c r="S756"/>
    </row>
    <row r="757" spans="13:19" ht="13.95" customHeight="1">
      <c r="M757"/>
      <c r="N757"/>
      <c r="O757"/>
      <c r="P757"/>
      <c r="Q757"/>
      <c r="R757"/>
      <c r="S757"/>
    </row>
    <row r="758" spans="13:19" ht="13.95" customHeight="1">
      <c r="M758"/>
      <c r="N758"/>
      <c r="O758"/>
      <c r="P758"/>
      <c r="Q758"/>
      <c r="R758"/>
      <c r="S758"/>
    </row>
    <row r="759" spans="13:19" ht="13.95" customHeight="1">
      <c r="M759"/>
      <c r="N759"/>
      <c r="O759"/>
      <c r="P759"/>
      <c r="Q759"/>
      <c r="R759"/>
      <c r="S759"/>
    </row>
    <row r="760" spans="13:19" ht="13.95" customHeight="1">
      <c r="M760"/>
      <c r="N760"/>
      <c r="O760"/>
      <c r="P760"/>
      <c r="Q760"/>
      <c r="R760"/>
      <c r="S760"/>
    </row>
    <row r="761" spans="13:19" ht="13.95" customHeight="1">
      <c r="M761"/>
      <c r="N761"/>
      <c r="O761"/>
      <c r="P761"/>
      <c r="Q761"/>
      <c r="R761"/>
      <c r="S761"/>
    </row>
    <row r="762" spans="13:19" ht="13.95" customHeight="1">
      <c r="M762"/>
      <c r="N762"/>
      <c r="O762"/>
      <c r="P762"/>
      <c r="Q762"/>
      <c r="R762"/>
      <c r="S762"/>
    </row>
    <row r="763" spans="13:19" ht="13.95" customHeight="1">
      <c r="M763"/>
      <c r="N763"/>
      <c r="O763"/>
      <c r="P763"/>
      <c r="Q763"/>
      <c r="R763"/>
      <c r="S763"/>
    </row>
    <row r="764" spans="13:19" ht="13.95" customHeight="1">
      <c r="M764"/>
      <c r="N764"/>
      <c r="O764"/>
      <c r="P764"/>
      <c r="Q764"/>
      <c r="R764"/>
      <c r="S764"/>
    </row>
    <row r="765" spans="13:19" ht="13.95" customHeight="1">
      <c r="M765"/>
      <c r="N765"/>
      <c r="O765"/>
      <c r="P765"/>
      <c r="Q765"/>
      <c r="R765"/>
      <c r="S765"/>
    </row>
    <row r="766" spans="13:19" ht="13.95" customHeight="1">
      <c r="M766"/>
      <c r="N766"/>
      <c r="O766"/>
      <c r="P766"/>
      <c r="Q766"/>
      <c r="R766"/>
      <c r="S766"/>
    </row>
    <row r="767" spans="13:19" ht="13.95" customHeight="1">
      <c r="M767"/>
      <c r="N767"/>
      <c r="O767"/>
      <c r="P767"/>
      <c r="Q767"/>
      <c r="R767"/>
      <c r="S767"/>
    </row>
    <row r="768" spans="13:19" ht="13.95" customHeight="1">
      <c r="M768"/>
      <c r="N768"/>
      <c r="O768"/>
      <c r="P768"/>
      <c r="Q768"/>
      <c r="R768"/>
      <c r="S768"/>
    </row>
    <row r="769" spans="13:19" ht="13.95" customHeight="1">
      <c r="M769"/>
      <c r="N769"/>
      <c r="O769"/>
      <c r="P769"/>
      <c r="Q769"/>
      <c r="R769"/>
      <c r="S769"/>
    </row>
    <row r="770" spans="13:19" ht="13.95" customHeight="1">
      <c r="M770"/>
      <c r="N770"/>
      <c r="O770"/>
      <c r="P770"/>
      <c r="Q770"/>
      <c r="R770"/>
      <c r="S770"/>
    </row>
    <row r="771" spans="13:19" ht="13.95" customHeight="1">
      <c r="M771"/>
      <c r="N771"/>
      <c r="O771"/>
      <c r="P771"/>
      <c r="Q771"/>
      <c r="R771"/>
      <c r="S771"/>
    </row>
    <row r="772" spans="13:19" ht="13.95" customHeight="1">
      <c r="M772"/>
      <c r="N772"/>
      <c r="O772"/>
      <c r="P772"/>
      <c r="Q772"/>
      <c r="R772"/>
      <c r="S772"/>
    </row>
    <row r="773" spans="13:19" ht="13.95" customHeight="1">
      <c r="M773"/>
      <c r="N773"/>
      <c r="O773"/>
      <c r="P773"/>
      <c r="Q773"/>
      <c r="R773"/>
      <c r="S773"/>
    </row>
    <row r="774" spans="13:19" ht="13.95" customHeight="1">
      <c r="M774"/>
      <c r="N774"/>
      <c r="O774"/>
      <c r="P774"/>
      <c r="Q774"/>
      <c r="R774"/>
      <c r="S774"/>
    </row>
    <row r="775" spans="13:19" ht="13.95" customHeight="1">
      <c r="M775"/>
      <c r="N775"/>
      <c r="O775"/>
      <c r="P775"/>
      <c r="Q775"/>
      <c r="R775"/>
      <c r="S775"/>
    </row>
    <row r="776" spans="13:19" ht="13.95" customHeight="1">
      <c r="M776"/>
      <c r="N776"/>
      <c r="O776"/>
      <c r="P776"/>
      <c r="Q776"/>
      <c r="R776"/>
      <c r="S776"/>
    </row>
    <row r="777" spans="13:19" ht="13.95" customHeight="1">
      <c r="M777"/>
      <c r="N777"/>
      <c r="O777"/>
      <c r="P777"/>
      <c r="Q777"/>
      <c r="R777"/>
      <c r="S777"/>
    </row>
    <row r="778" spans="13:19" ht="13.95" customHeight="1">
      <c r="M778"/>
      <c r="N778"/>
      <c r="O778"/>
      <c r="P778"/>
      <c r="Q778"/>
      <c r="R778"/>
      <c r="S778"/>
    </row>
    <row r="779" spans="13:19" ht="13.95" customHeight="1">
      <c r="M779"/>
      <c r="N779"/>
      <c r="O779"/>
      <c r="P779"/>
      <c r="Q779"/>
      <c r="R779"/>
      <c r="S779"/>
    </row>
    <row r="780" spans="13:19" ht="13.95" customHeight="1">
      <c r="M780"/>
      <c r="N780"/>
      <c r="O780"/>
      <c r="P780"/>
      <c r="Q780"/>
      <c r="R780"/>
      <c r="S780"/>
    </row>
    <row r="781" spans="13:19" ht="13.95" customHeight="1">
      <c r="M781"/>
      <c r="N781"/>
      <c r="O781"/>
      <c r="P781"/>
      <c r="Q781"/>
      <c r="R781"/>
      <c r="S781"/>
    </row>
    <row r="782" spans="13:19" ht="13.95" customHeight="1">
      <c r="M782"/>
      <c r="N782"/>
      <c r="O782"/>
      <c r="P782"/>
      <c r="Q782"/>
      <c r="R782"/>
      <c r="S782"/>
    </row>
    <row r="783" spans="13:19" ht="13.95" customHeight="1">
      <c r="M783"/>
      <c r="N783"/>
      <c r="O783"/>
      <c r="P783"/>
      <c r="Q783"/>
      <c r="R783"/>
      <c r="S783"/>
    </row>
    <row r="784" spans="13:19" ht="13.95" customHeight="1">
      <c r="M784"/>
      <c r="N784"/>
      <c r="O784"/>
      <c r="P784"/>
      <c r="Q784"/>
      <c r="R784"/>
      <c r="S784"/>
    </row>
    <row r="785" spans="13:19" ht="13.95" customHeight="1">
      <c r="M785"/>
      <c r="N785"/>
      <c r="O785"/>
      <c r="P785"/>
      <c r="Q785"/>
      <c r="R785"/>
      <c r="S785"/>
    </row>
    <row r="786" spans="13:19" ht="13.95" customHeight="1">
      <c r="M786"/>
      <c r="N786"/>
      <c r="O786"/>
      <c r="P786"/>
      <c r="Q786"/>
      <c r="R786"/>
      <c r="S786"/>
    </row>
    <row r="787" spans="13:19" ht="13.95" customHeight="1">
      <c r="M787"/>
      <c r="N787"/>
      <c r="O787"/>
      <c r="P787"/>
      <c r="Q787"/>
      <c r="R787"/>
      <c r="S787"/>
    </row>
    <row r="788" spans="13:19" ht="13.95" customHeight="1">
      <c r="M788"/>
      <c r="N788"/>
      <c r="O788"/>
      <c r="P788"/>
      <c r="Q788"/>
      <c r="R788"/>
      <c r="S788"/>
    </row>
    <row r="789" spans="13:19" ht="13.95" customHeight="1">
      <c r="M789"/>
      <c r="N789"/>
      <c r="O789"/>
      <c r="P789"/>
      <c r="Q789"/>
      <c r="R789"/>
      <c r="S789"/>
    </row>
    <row r="790" spans="13:19" ht="13.95" customHeight="1">
      <c r="M790"/>
      <c r="N790"/>
      <c r="O790"/>
      <c r="P790"/>
      <c r="Q790"/>
      <c r="R790"/>
      <c r="S790"/>
    </row>
    <row r="791" spans="13:19" ht="13.95" customHeight="1">
      <c r="M791"/>
      <c r="N791"/>
      <c r="O791"/>
      <c r="P791"/>
      <c r="Q791"/>
      <c r="R791"/>
      <c r="S791"/>
    </row>
    <row r="792" spans="13:19" ht="13.95" customHeight="1">
      <c r="M792"/>
      <c r="N792"/>
      <c r="O792"/>
      <c r="P792"/>
      <c r="Q792"/>
      <c r="R792"/>
      <c r="S792"/>
    </row>
    <row r="793" spans="13:19" ht="13.95" customHeight="1">
      <c r="M793"/>
      <c r="N793"/>
      <c r="O793"/>
      <c r="P793"/>
      <c r="Q793"/>
      <c r="R793"/>
      <c r="S793"/>
    </row>
    <row r="794" spans="13:19" ht="13.95" customHeight="1">
      <c r="M794"/>
      <c r="N794"/>
      <c r="O794"/>
      <c r="P794"/>
      <c r="Q794"/>
      <c r="R794"/>
      <c r="S794"/>
    </row>
    <row r="795" spans="13:19" ht="13.95" customHeight="1">
      <c r="M795"/>
      <c r="N795"/>
      <c r="O795"/>
      <c r="P795"/>
      <c r="Q795"/>
      <c r="R795"/>
      <c r="S795"/>
    </row>
    <row r="796" spans="13:19" ht="13.95" customHeight="1">
      <c r="M796"/>
      <c r="N796"/>
      <c r="O796"/>
      <c r="P796"/>
      <c r="Q796"/>
      <c r="R796"/>
      <c r="S796"/>
    </row>
    <row r="797" spans="13:19" ht="13.95" customHeight="1">
      <c r="M797"/>
      <c r="N797"/>
      <c r="O797"/>
      <c r="P797"/>
      <c r="Q797"/>
      <c r="R797"/>
      <c r="S797"/>
    </row>
    <row r="798" spans="13:19" ht="13.95" customHeight="1">
      <c r="M798"/>
      <c r="N798"/>
      <c r="O798"/>
      <c r="P798"/>
      <c r="Q798"/>
      <c r="R798"/>
      <c r="S798"/>
    </row>
    <row r="799" spans="13:19" ht="13.95" customHeight="1">
      <c r="M799"/>
      <c r="N799"/>
      <c r="O799"/>
      <c r="P799"/>
      <c r="Q799"/>
      <c r="R799"/>
      <c r="S799"/>
    </row>
    <row r="800" spans="13:19" ht="13.95" customHeight="1">
      <c r="M800"/>
      <c r="N800"/>
      <c r="O800"/>
      <c r="P800"/>
      <c r="Q800"/>
      <c r="R800"/>
      <c r="S800"/>
    </row>
    <row r="801" spans="13:19" ht="13.95" customHeight="1">
      <c r="M801"/>
      <c r="N801"/>
      <c r="O801"/>
      <c r="P801"/>
      <c r="Q801"/>
      <c r="R801"/>
      <c r="S801"/>
    </row>
    <row r="802" spans="13:19" ht="13.95" customHeight="1">
      <c r="M802"/>
      <c r="N802"/>
      <c r="O802"/>
      <c r="P802"/>
      <c r="Q802"/>
      <c r="R802"/>
      <c r="S802"/>
    </row>
    <row r="803" spans="13:19" ht="13.95" customHeight="1">
      <c r="M803"/>
      <c r="N803"/>
      <c r="O803"/>
      <c r="P803"/>
      <c r="Q803"/>
      <c r="R803"/>
      <c r="S803"/>
    </row>
    <row r="804" spans="13:19" ht="13.95" customHeight="1">
      <c r="M804"/>
      <c r="N804"/>
      <c r="O804"/>
      <c r="P804"/>
      <c r="Q804"/>
      <c r="R804"/>
      <c r="S804"/>
    </row>
    <row r="805" spans="13:19" ht="13.95" customHeight="1">
      <c r="M805"/>
      <c r="N805"/>
      <c r="O805"/>
      <c r="P805"/>
      <c r="Q805"/>
      <c r="R805"/>
      <c r="S805"/>
    </row>
    <row r="806" spans="13:19" ht="13.95" customHeight="1">
      <c r="M806"/>
      <c r="N806"/>
      <c r="O806"/>
      <c r="P806"/>
      <c r="Q806"/>
      <c r="R806"/>
      <c r="S806"/>
    </row>
    <row r="807" spans="13:19" ht="13.95" customHeight="1">
      <c r="M807"/>
      <c r="N807"/>
      <c r="O807"/>
      <c r="P807"/>
      <c r="Q807"/>
      <c r="R807"/>
      <c r="S807"/>
    </row>
    <row r="808" spans="13:19" ht="13.95" customHeight="1">
      <c r="M808"/>
      <c r="N808"/>
      <c r="O808"/>
      <c r="P808"/>
      <c r="Q808"/>
      <c r="R808"/>
      <c r="S808"/>
    </row>
    <row r="809" spans="13:19" ht="13.95" customHeight="1">
      <c r="M809"/>
      <c r="N809"/>
      <c r="O809"/>
      <c r="P809"/>
      <c r="Q809"/>
      <c r="R809"/>
      <c r="S809"/>
    </row>
    <row r="810" spans="13:19" ht="13.95" customHeight="1">
      <c r="M810"/>
      <c r="N810"/>
      <c r="O810"/>
      <c r="P810"/>
      <c r="Q810"/>
      <c r="R810"/>
      <c r="S810"/>
    </row>
    <row r="811" spans="13:19" ht="13.95" customHeight="1">
      <c r="M811"/>
      <c r="N811"/>
      <c r="O811"/>
      <c r="P811"/>
      <c r="Q811"/>
      <c r="R811"/>
      <c r="S811"/>
    </row>
    <row r="812" spans="13:19" ht="13.95" customHeight="1">
      <c r="M812"/>
      <c r="N812"/>
      <c r="O812"/>
      <c r="P812"/>
      <c r="Q812"/>
      <c r="R812"/>
      <c r="S812"/>
    </row>
    <row r="813" spans="13:19" ht="13.95" customHeight="1">
      <c r="M813"/>
      <c r="N813"/>
      <c r="O813"/>
      <c r="P813"/>
      <c r="Q813"/>
      <c r="R813"/>
      <c r="S813"/>
    </row>
    <row r="814" spans="13:19" ht="13.95" customHeight="1">
      <c r="M814"/>
      <c r="N814"/>
      <c r="O814"/>
      <c r="P814"/>
      <c r="Q814"/>
      <c r="R814"/>
      <c r="S814"/>
    </row>
    <row r="815" spans="13:19" ht="13.95" customHeight="1">
      <c r="M815"/>
      <c r="N815"/>
      <c r="O815"/>
      <c r="P815"/>
      <c r="Q815"/>
      <c r="R815"/>
      <c r="S815"/>
    </row>
    <row r="816" spans="13:19" ht="13.95" customHeight="1">
      <c r="M816"/>
      <c r="N816"/>
      <c r="O816"/>
      <c r="P816"/>
      <c r="Q816"/>
      <c r="R816"/>
      <c r="S816"/>
    </row>
    <row r="817" spans="13:19" ht="13.95" customHeight="1">
      <c r="M817"/>
      <c r="N817"/>
      <c r="O817"/>
      <c r="P817"/>
      <c r="Q817"/>
      <c r="R817"/>
      <c r="S817"/>
    </row>
    <row r="818" spans="13:19" ht="13.95" customHeight="1">
      <c r="M818"/>
      <c r="N818"/>
      <c r="O818"/>
      <c r="P818"/>
      <c r="Q818"/>
      <c r="R818"/>
      <c r="S818"/>
    </row>
    <row r="819" spans="13:19" ht="13.95" customHeight="1">
      <c r="M819"/>
      <c r="N819"/>
      <c r="O819"/>
      <c r="P819"/>
      <c r="Q819"/>
      <c r="R819"/>
      <c r="S819"/>
    </row>
    <row r="820" spans="13:19" ht="13.95" customHeight="1">
      <c r="M820"/>
      <c r="N820"/>
      <c r="O820"/>
      <c r="P820"/>
      <c r="Q820"/>
      <c r="R820"/>
      <c r="S820"/>
    </row>
    <row r="821" spans="13:19" ht="13.95" customHeight="1">
      <c r="M821"/>
      <c r="N821"/>
      <c r="O821"/>
      <c r="P821"/>
      <c r="Q821"/>
      <c r="R821"/>
      <c r="S821"/>
    </row>
    <row r="822" spans="13:19" ht="13.95" customHeight="1">
      <c r="M822"/>
      <c r="N822"/>
      <c r="O822"/>
      <c r="P822"/>
      <c r="Q822"/>
      <c r="R822"/>
      <c r="S822"/>
    </row>
    <row r="823" spans="13:19" ht="13.95" customHeight="1">
      <c r="M823"/>
      <c r="N823"/>
      <c r="O823"/>
      <c r="P823"/>
      <c r="Q823"/>
      <c r="R823"/>
      <c r="S823"/>
    </row>
    <row r="824" spans="13:19" ht="13.95" customHeight="1">
      <c r="M824"/>
      <c r="N824"/>
      <c r="O824"/>
      <c r="P824"/>
      <c r="Q824"/>
      <c r="R824"/>
      <c r="S824"/>
    </row>
    <row r="825" spans="13:19" ht="13.95" customHeight="1">
      <c r="M825"/>
      <c r="N825"/>
      <c r="O825"/>
      <c r="P825"/>
      <c r="Q825"/>
      <c r="R825"/>
      <c r="S825"/>
    </row>
    <row r="826" spans="13:19" ht="13.95" customHeight="1">
      <c r="M826"/>
      <c r="N826"/>
      <c r="O826"/>
      <c r="P826"/>
      <c r="Q826"/>
      <c r="R826"/>
      <c r="S826"/>
    </row>
    <row r="827" spans="13:19" ht="13.95" customHeight="1">
      <c r="M827"/>
      <c r="N827"/>
      <c r="O827"/>
      <c r="P827"/>
      <c r="Q827"/>
      <c r="R827"/>
      <c r="S827"/>
    </row>
    <row r="828" spans="13:19" ht="13.95" customHeight="1">
      <c r="M828"/>
      <c r="N828"/>
      <c r="O828"/>
      <c r="P828"/>
      <c r="Q828"/>
      <c r="R828"/>
      <c r="S828"/>
    </row>
    <row r="829" spans="13:19" ht="13.95" customHeight="1">
      <c r="M829"/>
      <c r="N829"/>
      <c r="O829"/>
      <c r="P829"/>
      <c r="Q829"/>
      <c r="R829"/>
      <c r="S829"/>
    </row>
    <row r="830" spans="13:19" ht="13.95" customHeight="1">
      <c r="M830"/>
      <c r="N830"/>
      <c r="O830"/>
      <c r="P830"/>
      <c r="Q830"/>
      <c r="R830"/>
      <c r="S830"/>
    </row>
    <row r="831" spans="13:19" ht="13.95" customHeight="1">
      <c r="M831"/>
      <c r="N831"/>
      <c r="O831"/>
      <c r="P831"/>
      <c r="Q831"/>
      <c r="R831"/>
      <c r="S831"/>
    </row>
    <row r="832" spans="13:19" ht="13.95" customHeight="1">
      <c r="M832"/>
      <c r="N832"/>
      <c r="O832"/>
      <c r="P832"/>
      <c r="Q832"/>
      <c r="R832"/>
      <c r="S832"/>
    </row>
    <row r="833" spans="13:19" ht="13.95" customHeight="1">
      <c r="M833"/>
      <c r="N833"/>
      <c r="O833"/>
      <c r="P833"/>
      <c r="Q833"/>
      <c r="R833"/>
      <c r="S833"/>
    </row>
    <row r="834" spans="13:19" ht="13.95" customHeight="1">
      <c r="M834"/>
      <c r="N834"/>
      <c r="O834"/>
      <c r="P834"/>
      <c r="Q834"/>
      <c r="R834"/>
      <c r="S834"/>
    </row>
    <row r="835" spans="13:19" ht="13.95" customHeight="1">
      <c r="M835"/>
      <c r="N835"/>
      <c r="O835"/>
      <c r="P835"/>
      <c r="Q835"/>
      <c r="R835"/>
      <c r="S835"/>
    </row>
    <row r="836" spans="13:19" ht="13.95" customHeight="1">
      <c r="M836"/>
      <c r="N836"/>
      <c r="O836"/>
      <c r="P836"/>
      <c r="Q836"/>
      <c r="R836"/>
      <c r="S836"/>
    </row>
    <row r="837" spans="13:19" ht="13.95" customHeight="1">
      <c r="M837"/>
      <c r="N837"/>
      <c r="O837"/>
      <c r="P837"/>
      <c r="Q837"/>
      <c r="R837"/>
      <c r="S837"/>
    </row>
    <row r="838" spans="13:19" ht="13.95" customHeight="1">
      <c r="M838"/>
      <c r="N838"/>
      <c r="O838"/>
      <c r="P838"/>
      <c r="Q838"/>
      <c r="R838"/>
      <c r="S838"/>
    </row>
    <row r="839" spans="13:19" ht="13.95" customHeight="1">
      <c r="M839"/>
      <c r="N839"/>
      <c r="O839"/>
      <c r="P839"/>
      <c r="Q839"/>
      <c r="R839"/>
      <c r="S839"/>
    </row>
    <row r="840" spans="13:19" ht="13.95" customHeight="1">
      <c r="M840"/>
      <c r="N840"/>
      <c r="O840"/>
      <c r="P840"/>
      <c r="Q840"/>
      <c r="R840"/>
      <c r="S840"/>
    </row>
    <row r="841" spans="13:19" ht="13.95" customHeight="1">
      <c r="M841"/>
      <c r="N841"/>
      <c r="O841"/>
      <c r="P841"/>
      <c r="Q841"/>
      <c r="R841"/>
      <c r="S841"/>
    </row>
    <row r="842" spans="13:19" ht="13.95" customHeight="1">
      <c r="M842"/>
      <c r="N842"/>
      <c r="O842"/>
      <c r="P842"/>
      <c r="Q842"/>
      <c r="R842"/>
      <c r="S842"/>
    </row>
    <row r="843" spans="13:19" ht="13.95" customHeight="1">
      <c r="M843"/>
      <c r="N843"/>
      <c r="O843"/>
      <c r="P843"/>
      <c r="Q843"/>
      <c r="R843"/>
      <c r="S843"/>
    </row>
    <row r="844" spans="13:19" ht="13.95" customHeight="1">
      <c r="M844"/>
      <c r="N844"/>
      <c r="O844"/>
      <c r="P844"/>
      <c r="Q844"/>
      <c r="R844"/>
      <c r="S844"/>
    </row>
    <row r="845" spans="13:19" ht="13.95" customHeight="1">
      <c r="M845"/>
      <c r="N845"/>
      <c r="O845"/>
      <c r="P845"/>
      <c r="Q845"/>
      <c r="R845"/>
      <c r="S845"/>
    </row>
    <row r="846" spans="13:19" ht="13.95" customHeight="1">
      <c r="M846"/>
      <c r="N846"/>
      <c r="O846"/>
      <c r="P846"/>
      <c r="Q846"/>
      <c r="R846"/>
      <c r="S846"/>
    </row>
    <row r="847" spans="13:19" ht="13.95" customHeight="1">
      <c r="M847"/>
      <c r="N847"/>
      <c r="O847"/>
      <c r="P847"/>
      <c r="Q847"/>
      <c r="R847"/>
      <c r="S847"/>
    </row>
    <row r="848" spans="13:19" ht="13.95" customHeight="1">
      <c r="M848"/>
      <c r="N848"/>
      <c r="O848"/>
      <c r="P848"/>
      <c r="Q848"/>
      <c r="R848"/>
      <c r="S848"/>
    </row>
    <row r="849" spans="13:19" ht="13.95" customHeight="1">
      <c r="M849"/>
      <c r="N849"/>
      <c r="O849"/>
      <c r="P849"/>
      <c r="Q849"/>
      <c r="R849"/>
      <c r="S849"/>
    </row>
    <row r="850" spans="13:19" ht="13.95" customHeight="1">
      <c r="M850"/>
      <c r="N850"/>
      <c r="O850"/>
      <c r="P850"/>
      <c r="Q850"/>
      <c r="R850"/>
      <c r="S850"/>
    </row>
    <row r="851" spans="13:19" ht="13.95" customHeight="1">
      <c r="M851"/>
      <c r="N851"/>
      <c r="O851"/>
      <c r="P851"/>
      <c r="Q851"/>
      <c r="R851"/>
      <c r="S851"/>
    </row>
    <row r="852" spans="13:19" ht="13.95" customHeight="1">
      <c r="M852"/>
      <c r="N852"/>
      <c r="O852"/>
      <c r="P852"/>
      <c r="Q852"/>
      <c r="R852"/>
      <c r="S852"/>
    </row>
    <row r="853" spans="13:19" ht="13.95" customHeight="1">
      <c r="M853"/>
      <c r="N853"/>
      <c r="O853"/>
      <c r="P853"/>
      <c r="Q853"/>
      <c r="R853"/>
      <c r="S853"/>
    </row>
    <row r="854" spans="13:19" ht="13.95" customHeight="1">
      <c r="M854"/>
      <c r="N854"/>
      <c r="O854"/>
      <c r="P854"/>
      <c r="Q854"/>
      <c r="R854"/>
      <c r="S854"/>
    </row>
    <row r="855" spans="13:19" ht="13.95" customHeight="1">
      <c r="M855"/>
      <c r="N855"/>
      <c r="O855"/>
      <c r="P855"/>
      <c r="Q855"/>
      <c r="R855"/>
      <c r="S855"/>
    </row>
    <row r="856" spans="13:19" ht="13.95" customHeight="1">
      <c r="M856"/>
      <c r="N856"/>
      <c r="O856"/>
      <c r="P856"/>
      <c r="Q856"/>
      <c r="R856"/>
      <c r="S856"/>
    </row>
    <row r="857" spans="13:19" ht="13.95" customHeight="1">
      <c r="M857"/>
      <c r="N857"/>
      <c r="O857"/>
      <c r="P857"/>
      <c r="Q857"/>
      <c r="R857"/>
      <c r="S857"/>
    </row>
    <row r="858" spans="13:19" ht="13.95" customHeight="1">
      <c r="M858"/>
      <c r="N858"/>
      <c r="O858"/>
      <c r="P858"/>
      <c r="Q858"/>
      <c r="R858"/>
      <c r="S858"/>
    </row>
    <row r="859" spans="13:19" ht="13.95" customHeight="1">
      <c r="M859"/>
      <c r="N859"/>
      <c r="O859"/>
      <c r="P859"/>
      <c r="Q859"/>
      <c r="R859"/>
      <c r="S859"/>
    </row>
    <row r="860" spans="13:19" ht="13.95" customHeight="1">
      <c r="M860"/>
      <c r="N860"/>
      <c r="O860"/>
      <c r="P860"/>
      <c r="Q860"/>
      <c r="R860"/>
      <c r="S860"/>
    </row>
    <row r="861" spans="13:19" ht="13.95" customHeight="1">
      <c r="M861"/>
      <c r="N861"/>
      <c r="O861"/>
      <c r="P861"/>
      <c r="Q861"/>
      <c r="R861"/>
      <c r="S861"/>
    </row>
    <row r="862" spans="13:19" ht="13.95" customHeight="1">
      <c r="M862"/>
      <c r="N862"/>
      <c r="O862"/>
      <c r="P862"/>
      <c r="Q862"/>
      <c r="R862"/>
      <c r="S862"/>
    </row>
    <row r="863" spans="13:19" ht="13.95" customHeight="1">
      <c r="M863"/>
      <c r="N863"/>
      <c r="O863"/>
      <c r="P863"/>
      <c r="Q863"/>
      <c r="R863"/>
      <c r="S863"/>
    </row>
    <row r="864" spans="13:19" ht="13.95" customHeight="1">
      <c r="M864"/>
      <c r="N864"/>
      <c r="O864"/>
      <c r="P864"/>
      <c r="Q864"/>
      <c r="R864"/>
      <c r="S864"/>
    </row>
    <row r="865" spans="13:19" ht="13.95" customHeight="1">
      <c r="M865"/>
      <c r="N865"/>
      <c r="O865"/>
      <c r="P865"/>
      <c r="Q865"/>
      <c r="R865"/>
      <c r="S865"/>
    </row>
    <row r="866" spans="13:19" ht="13.95" customHeight="1">
      <c r="M866"/>
      <c r="N866"/>
      <c r="O866"/>
      <c r="P866"/>
      <c r="Q866"/>
      <c r="R866"/>
      <c r="S866"/>
    </row>
    <row r="867" spans="13:19" ht="13.95" customHeight="1">
      <c r="M867"/>
      <c r="N867"/>
      <c r="O867"/>
      <c r="P867"/>
      <c r="Q867"/>
      <c r="R867"/>
      <c r="S867"/>
    </row>
    <row r="868" spans="13:19" ht="13.95" customHeight="1">
      <c r="M868"/>
      <c r="N868"/>
      <c r="O868"/>
      <c r="P868"/>
      <c r="Q868"/>
      <c r="R868"/>
      <c r="S868"/>
    </row>
    <row r="869" spans="13:19" ht="13.95" customHeight="1">
      <c r="M869"/>
      <c r="N869"/>
      <c r="O869"/>
      <c r="P869"/>
      <c r="Q869"/>
      <c r="R869"/>
      <c r="S869"/>
    </row>
    <row r="870" spans="13:19" ht="13.95" customHeight="1">
      <c r="M870"/>
      <c r="N870"/>
      <c r="O870"/>
      <c r="P870"/>
      <c r="Q870"/>
      <c r="R870"/>
      <c r="S870"/>
    </row>
    <row r="871" spans="13:19" ht="13.95" customHeight="1">
      <c r="M871"/>
      <c r="N871"/>
      <c r="O871"/>
      <c r="P871"/>
      <c r="Q871"/>
      <c r="R871"/>
      <c r="S871"/>
    </row>
    <row r="872" spans="13:19" ht="13.95" customHeight="1">
      <c r="M872"/>
      <c r="N872"/>
      <c r="O872"/>
      <c r="P872"/>
      <c r="Q872"/>
      <c r="R872"/>
      <c r="S872"/>
    </row>
    <row r="873" spans="13:19" ht="13.95" customHeight="1">
      <c r="M873"/>
      <c r="N873"/>
      <c r="O873"/>
      <c r="P873"/>
      <c r="Q873"/>
      <c r="R873"/>
      <c r="S873"/>
    </row>
    <row r="874" spans="13:19" ht="13.95" customHeight="1">
      <c r="M874"/>
      <c r="N874"/>
      <c r="O874"/>
      <c r="P874"/>
      <c r="Q874"/>
      <c r="R874"/>
      <c r="S874"/>
    </row>
    <row r="875" spans="13:19" ht="13.95" customHeight="1">
      <c r="M875"/>
      <c r="N875"/>
      <c r="O875"/>
      <c r="P875"/>
      <c r="Q875"/>
      <c r="R875"/>
      <c r="S875"/>
    </row>
    <row r="876" spans="13:19" ht="13.95" customHeight="1">
      <c r="M876"/>
      <c r="N876"/>
      <c r="O876"/>
      <c r="P876"/>
      <c r="Q876"/>
      <c r="R876"/>
      <c r="S876"/>
    </row>
    <row r="877" spans="13:19" ht="13.95" customHeight="1">
      <c r="M877"/>
      <c r="N877"/>
      <c r="O877"/>
      <c r="P877"/>
      <c r="Q877"/>
      <c r="R877"/>
      <c r="S877"/>
    </row>
    <row r="878" spans="13:19" ht="13.95" customHeight="1">
      <c r="M878"/>
      <c r="N878"/>
      <c r="O878"/>
      <c r="P878"/>
      <c r="Q878"/>
      <c r="R878"/>
      <c r="S878"/>
    </row>
    <row r="879" spans="13:19" ht="13.95" customHeight="1">
      <c r="M879"/>
      <c r="N879"/>
      <c r="O879"/>
      <c r="P879"/>
      <c r="Q879"/>
      <c r="R879"/>
      <c r="S879"/>
    </row>
    <row r="880" spans="13:19" ht="13.95" customHeight="1">
      <c r="M880"/>
      <c r="N880"/>
      <c r="O880"/>
      <c r="P880"/>
      <c r="Q880"/>
      <c r="R880"/>
      <c r="S880"/>
    </row>
    <row r="881" spans="13:19" ht="13.95" customHeight="1">
      <c r="M881"/>
      <c r="N881"/>
      <c r="O881"/>
      <c r="P881"/>
      <c r="Q881"/>
      <c r="R881"/>
      <c r="S881"/>
    </row>
    <row r="882" spans="13:19" ht="13.95" customHeight="1">
      <c r="M882"/>
      <c r="N882"/>
      <c r="O882"/>
      <c r="P882"/>
      <c r="Q882"/>
      <c r="R882"/>
      <c r="S882"/>
    </row>
    <row r="883" spans="13:19" ht="13.95" customHeight="1">
      <c r="M883"/>
      <c r="N883"/>
      <c r="O883"/>
      <c r="P883"/>
      <c r="Q883"/>
      <c r="R883"/>
      <c r="S883"/>
    </row>
    <row r="884" spans="13:19" ht="13.95" customHeight="1">
      <c r="M884"/>
      <c r="N884"/>
      <c r="O884"/>
      <c r="P884"/>
      <c r="Q884"/>
      <c r="R884"/>
      <c r="S884"/>
    </row>
    <row r="885" spans="13:19" ht="13.95" customHeight="1">
      <c r="M885"/>
      <c r="N885"/>
      <c r="O885"/>
      <c r="P885"/>
      <c r="Q885"/>
      <c r="R885"/>
      <c r="S885"/>
    </row>
    <row r="886" spans="13:19" ht="13.95" customHeight="1">
      <c r="M886"/>
      <c r="N886"/>
      <c r="O886"/>
      <c r="P886"/>
      <c r="Q886"/>
      <c r="R886"/>
      <c r="S886"/>
    </row>
    <row r="887" spans="13:19" ht="13.95" customHeight="1">
      <c r="M887"/>
      <c r="N887"/>
      <c r="O887"/>
      <c r="P887"/>
      <c r="Q887"/>
      <c r="R887"/>
      <c r="S887"/>
    </row>
    <row r="888" spans="13:19" ht="13.95" customHeight="1">
      <c r="M888"/>
      <c r="N888"/>
      <c r="O888"/>
      <c r="P888"/>
      <c r="Q888"/>
      <c r="R888"/>
      <c r="S888"/>
    </row>
    <row r="889" spans="13:19" ht="13.95" customHeight="1">
      <c r="M889"/>
      <c r="N889"/>
      <c r="O889"/>
      <c r="P889"/>
      <c r="Q889"/>
      <c r="R889"/>
      <c r="S889"/>
    </row>
    <row r="890" spans="13:19" ht="13.95" customHeight="1">
      <c r="M890"/>
      <c r="N890"/>
      <c r="O890"/>
      <c r="P890"/>
      <c r="Q890"/>
      <c r="R890"/>
      <c r="S890"/>
    </row>
    <row r="891" spans="13:19" ht="13.95" customHeight="1">
      <c r="M891"/>
      <c r="N891"/>
      <c r="O891"/>
      <c r="P891"/>
      <c r="Q891"/>
      <c r="R891"/>
      <c r="S891"/>
    </row>
    <row r="892" spans="13:19" ht="13.95" customHeight="1">
      <c r="M892"/>
      <c r="N892"/>
      <c r="O892"/>
      <c r="P892"/>
      <c r="Q892"/>
      <c r="R892"/>
      <c r="S892"/>
    </row>
    <row r="893" spans="13:19" ht="13.95" customHeight="1">
      <c r="M893"/>
      <c r="N893"/>
      <c r="O893"/>
      <c r="P893"/>
      <c r="Q893"/>
      <c r="R893"/>
      <c r="S893"/>
    </row>
    <row r="894" spans="13:19" ht="13.95" customHeight="1">
      <c r="M894"/>
      <c r="N894"/>
      <c r="O894"/>
      <c r="P894"/>
      <c r="Q894"/>
      <c r="R894"/>
      <c r="S894"/>
    </row>
    <row r="895" spans="13:19" ht="13.95" customHeight="1">
      <c r="M895"/>
      <c r="N895"/>
      <c r="O895"/>
      <c r="P895"/>
      <c r="Q895"/>
      <c r="R895"/>
      <c r="S895"/>
    </row>
    <row r="896" spans="13:19" ht="13.95" customHeight="1">
      <c r="M896"/>
      <c r="N896"/>
      <c r="O896"/>
      <c r="P896"/>
      <c r="Q896"/>
      <c r="R896"/>
      <c r="S896"/>
    </row>
    <row r="897" spans="13:19" ht="13.95" customHeight="1">
      <c r="M897"/>
      <c r="N897"/>
      <c r="O897"/>
      <c r="P897"/>
      <c r="Q897"/>
      <c r="R897"/>
      <c r="S897"/>
    </row>
    <row r="898" spans="13:19" ht="13.95" customHeight="1">
      <c r="M898"/>
      <c r="N898"/>
      <c r="O898"/>
      <c r="P898"/>
      <c r="Q898"/>
      <c r="R898"/>
      <c r="S898"/>
    </row>
    <row r="899" spans="13:19" ht="13.95" customHeight="1">
      <c r="M899"/>
      <c r="N899"/>
      <c r="O899"/>
      <c r="P899"/>
      <c r="Q899"/>
      <c r="R899"/>
      <c r="S899"/>
    </row>
    <row r="900" spans="13:19" ht="13.95" customHeight="1">
      <c r="M900"/>
      <c r="N900"/>
      <c r="O900"/>
      <c r="P900"/>
      <c r="Q900"/>
      <c r="R900"/>
      <c r="S900"/>
    </row>
    <row r="901" spans="13:19" ht="13.95" customHeight="1">
      <c r="M901"/>
      <c r="N901"/>
      <c r="O901"/>
      <c r="P901"/>
      <c r="Q901"/>
      <c r="R901"/>
      <c r="S901"/>
    </row>
    <row r="902" spans="13:19" ht="13.95" customHeight="1">
      <c r="M902"/>
      <c r="N902"/>
      <c r="O902"/>
      <c r="P902"/>
      <c r="Q902"/>
      <c r="R902"/>
      <c r="S902"/>
    </row>
    <row r="903" spans="13:19" ht="13.95" customHeight="1">
      <c r="M903"/>
      <c r="N903"/>
      <c r="O903"/>
      <c r="P903"/>
      <c r="Q903"/>
      <c r="R903"/>
      <c r="S903"/>
    </row>
    <row r="904" spans="13:19" ht="13.95" customHeight="1">
      <c r="M904"/>
      <c r="N904"/>
      <c r="O904"/>
      <c r="P904"/>
      <c r="Q904"/>
      <c r="R904"/>
      <c r="S904"/>
    </row>
    <row r="905" spans="13:19" ht="13.95" customHeight="1">
      <c r="M905"/>
      <c r="N905"/>
      <c r="O905"/>
      <c r="P905"/>
      <c r="Q905"/>
      <c r="R905"/>
      <c r="S905"/>
    </row>
    <row r="906" spans="13:19" ht="13.95" customHeight="1">
      <c r="M906"/>
      <c r="N906"/>
      <c r="O906"/>
      <c r="P906"/>
      <c r="Q906"/>
      <c r="R906"/>
      <c r="S906"/>
    </row>
    <row r="907" spans="13:19" ht="13.95" customHeight="1">
      <c r="M907"/>
      <c r="N907"/>
      <c r="O907"/>
      <c r="P907"/>
      <c r="Q907"/>
      <c r="R907"/>
      <c r="S907"/>
    </row>
    <row r="908" spans="13:19" ht="13.95" customHeight="1">
      <c r="M908"/>
      <c r="N908"/>
      <c r="O908"/>
      <c r="P908"/>
      <c r="Q908"/>
      <c r="R908"/>
      <c r="S908"/>
    </row>
    <row r="909" spans="13:19" ht="13.95" customHeight="1">
      <c r="M909"/>
      <c r="N909"/>
      <c r="O909"/>
      <c r="P909"/>
      <c r="Q909"/>
      <c r="R909"/>
      <c r="S909"/>
    </row>
    <row r="910" spans="13:19" ht="13.95" customHeight="1">
      <c r="M910"/>
      <c r="N910"/>
      <c r="O910"/>
      <c r="P910"/>
      <c r="Q910"/>
      <c r="R910"/>
      <c r="S910"/>
    </row>
    <row r="911" spans="13:19" ht="13.95" customHeight="1">
      <c r="M911"/>
      <c r="N911"/>
      <c r="O911"/>
      <c r="P911"/>
      <c r="Q911"/>
      <c r="R911"/>
      <c r="S911"/>
    </row>
    <row r="912" spans="13:19" ht="13.95" customHeight="1">
      <c r="M912"/>
      <c r="N912"/>
      <c r="O912"/>
      <c r="P912"/>
      <c r="Q912"/>
      <c r="R912"/>
      <c r="S912"/>
    </row>
    <row r="913" spans="13:19" ht="13.95" customHeight="1">
      <c r="M913"/>
      <c r="N913"/>
      <c r="O913"/>
      <c r="P913"/>
      <c r="Q913"/>
      <c r="R913"/>
      <c r="S913"/>
    </row>
    <row r="914" spans="13:19" ht="13.95" customHeight="1">
      <c r="M914"/>
      <c r="N914"/>
      <c r="O914"/>
      <c r="P914"/>
      <c r="Q914"/>
      <c r="R914"/>
      <c r="S914"/>
    </row>
    <row r="915" spans="13:19" ht="13.95" customHeight="1">
      <c r="M915"/>
      <c r="N915"/>
      <c r="O915"/>
      <c r="P915"/>
      <c r="Q915"/>
      <c r="R915"/>
      <c r="S915"/>
    </row>
    <row r="916" spans="13:19" ht="13.95" customHeight="1">
      <c r="M916"/>
      <c r="N916"/>
      <c r="O916"/>
      <c r="P916"/>
      <c r="Q916"/>
      <c r="R916"/>
      <c r="S916"/>
    </row>
    <row r="917" spans="13:19" ht="13.95" customHeight="1">
      <c r="M917"/>
      <c r="N917"/>
      <c r="O917"/>
      <c r="P917"/>
      <c r="Q917"/>
      <c r="R917"/>
      <c r="S917"/>
    </row>
    <row r="918" spans="13:19" ht="13.95" customHeight="1">
      <c r="M918"/>
      <c r="N918"/>
      <c r="O918"/>
      <c r="P918"/>
      <c r="Q918"/>
      <c r="R918"/>
      <c r="S918"/>
    </row>
    <row r="919" spans="13:19" ht="13.95" customHeight="1">
      <c r="M919"/>
      <c r="N919"/>
      <c r="O919"/>
      <c r="P919"/>
      <c r="Q919"/>
      <c r="R919"/>
      <c r="S919"/>
    </row>
    <row r="920" spans="13:19" ht="13.95" customHeight="1">
      <c r="M920"/>
      <c r="N920"/>
      <c r="O920"/>
      <c r="P920"/>
      <c r="Q920"/>
      <c r="R920"/>
      <c r="S920"/>
    </row>
    <row r="921" spans="13:19" ht="13.95" customHeight="1">
      <c r="M921"/>
      <c r="N921"/>
      <c r="O921"/>
      <c r="P921"/>
      <c r="Q921"/>
      <c r="R921"/>
      <c r="S921"/>
    </row>
    <row r="922" spans="13:19" ht="13.95" customHeight="1">
      <c r="M922"/>
      <c r="N922"/>
      <c r="O922"/>
      <c r="P922"/>
      <c r="Q922"/>
      <c r="R922"/>
      <c r="S922"/>
    </row>
    <row r="923" spans="13:19" ht="13.95" customHeight="1">
      <c r="M923"/>
      <c r="N923"/>
      <c r="O923"/>
      <c r="P923"/>
      <c r="Q923"/>
      <c r="R923"/>
      <c r="S923"/>
    </row>
    <row r="924" spans="13:19" ht="13.95" customHeight="1">
      <c r="M924"/>
      <c r="N924"/>
      <c r="O924"/>
      <c r="P924"/>
      <c r="Q924"/>
      <c r="R924"/>
      <c r="S924"/>
    </row>
    <row r="925" spans="13:19" ht="13.95" customHeight="1">
      <c r="M925"/>
      <c r="N925"/>
      <c r="O925"/>
      <c r="P925"/>
      <c r="Q925"/>
      <c r="R925"/>
      <c r="S925"/>
    </row>
    <row r="926" spans="13:19" ht="13.95" customHeight="1">
      <c r="M926"/>
      <c r="N926"/>
      <c r="O926"/>
      <c r="P926"/>
      <c r="Q926"/>
      <c r="R926"/>
      <c r="S926"/>
    </row>
    <row r="927" spans="13:19" ht="13.95" customHeight="1">
      <c r="M927"/>
      <c r="N927"/>
      <c r="O927"/>
      <c r="P927"/>
      <c r="Q927"/>
      <c r="R927"/>
      <c r="S927"/>
    </row>
    <row r="928" spans="13:19" ht="13.95" customHeight="1">
      <c r="M928"/>
      <c r="N928"/>
      <c r="O928"/>
      <c r="P928"/>
      <c r="Q928"/>
      <c r="R928"/>
      <c r="S928"/>
    </row>
    <row r="929" spans="13:19" ht="13.95" customHeight="1">
      <c r="M929"/>
      <c r="N929"/>
      <c r="O929"/>
      <c r="P929"/>
      <c r="Q929"/>
      <c r="R929"/>
      <c r="S929"/>
    </row>
    <row r="930" spans="13:19" ht="13.95" customHeight="1">
      <c r="M930"/>
      <c r="N930"/>
      <c r="O930"/>
      <c r="P930"/>
      <c r="Q930"/>
      <c r="R930"/>
      <c r="S930"/>
    </row>
    <row r="931" spans="13:19" ht="13.95" customHeight="1">
      <c r="M931"/>
      <c r="N931"/>
      <c r="O931"/>
      <c r="P931"/>
      <c r="Q931"/>
      <c r="R931"/>
      <c r="S931"/>
    </row>
    <row r="932" spans="13:19" ht="13.95" customHeight="1">
      <c r="M932"/>
      <c r="N932"/>
      <c r="O932"/>
      <c r="P932"/>
      <c r="Q932"/>
      <c r="R932"/>
      <c r="S932"/>
    </row>
    <row r="933" spans="13:19" ht="13.95" customHeight="1">
      <c r="M933"/>
      <c r="N933"/>
      <c r="O933"/>
      <c r="P933"/>
      <c r="Q933"/>
      <c r="R933"/>
      <c r="S933"/>
    </row>
    <row r="934" spans="13:19" ht="13.95" customHeight="1">
      <c r="M934"/>
      <c r="N934"/>
      <c r="O934"/>
      <c r="P934"/>
      <c r="Q934"/>
      <c r="R934"/>
      <c r="S934"/>
    </row>
    <row r="935" spans="13:19" ht="13.95" customHeight="1">
      <c r="M935"/>
      <c r="N935"/>
      <c r="O935"/>
      <c r="P935"/>
      <c r="Q935"/>
      <c r="R935"/>
      <c r="S935"/>
    </row>
    <row r="936" spans="13:19" ht="13.95" customHeight="1">
      <c r="M936"/>
      <c r="N936"/>
      <c r="O936"/>
      <c r="P936"/>
      <c r="Q936"/>
      <c r="R936"/>
      <c r="S936"/>
    </row>
    <row r="937" spans="13:19" ht="13.95" customHeight="1">
      <c r="M937"/>
      <c r="N937"/>
      <c r="O937"/>
      <c r="P937"/>
      <c r="Q937"/>
      <c r="R937"/>
      <c r="S937"/>
    </row>
    <row r="938" spans="13:19" ht="13.95" customHeight="1">
      <c r="M938"/>
      <c r="N938"/>
      <c r="O938"/>
      <c r="P938"/>
      <c r="Q938"/>
      <c r="R938"/>
      <c r="S938"/>
    </row>
    <row r="939" spans="13:19" ht="13.95" customHeight="1">
      <c r="M939"/>
      <c r="N939"/>
      <c r="O939"/>
      <c r="P939"/>
      <c r="Q939"/>
      <c r="R939"/>
      <c r="S939"/>
    </row>
    <row r="940" spans="13:19" ht="13.95" customHeight="1">
      <c r="M940"/>
      <c r="N940"/>
      <c r="O940"/>
      <c r="P940"/>
      <c r="Q940"/>
      <c r="R940"/>
      <c r="S940"/>
    </row>
    <row r="941" spans="13:19" ht="13.95" customHeight="1">
      <c r="M941"/>
      <c r="N941"/>
      <c r="O941"/>
      <c r="P941"/>
      <c r="Q941"/>
      <c r="R941"/>
      <c r="S941"/>
    </row>
    <row r="942" spans="13:19" ht="13.95" customHeight="1">
      <c r="M942"/>
      <c r="N942"/>
      <c r="O942"/>
      <c r="P942"/>
      <c r="Q942"/>
      <c r="R942"/>
      <c r="S942"/>
    </row>
    <row r="943" spans="13:19" ht="13.95" customHeight="1">
      <c r="M943"/>
      <c r="N943"/>
      <c r="O943"/>
      <c r="P943"/>
      <c r="Q943"/>
      <c r="R943"/>
      <c r="S943"/>
    </row>
    <row r="944" spans="13:19" ht="13.95" customHeight="1">
      <c r="M944"/>
      <c r="N944"/>
      <c r="O944"/>
      <c r="P944"/>
      <c r="Q944"/>
      <c r="R944"/>
      <c r="S944"/>
    </row>
    <row r="945" spans="13:19" ht="13.95" customHeight="1">
      <c r="M945"/>
      <c r="N945"/>
      <c r="O945"/>
      <c r="P945"/>
      <c r="Q945"/>
      <c r="R945"/>
      <c r="S945"/>
    </row>
    <row r="946" spans="13:19" ht="13.95" customHeight="1">
      <c r="M946"/>
      <c r="N946"/>
      <c r="O946"/>
      <c r="P946"/>
      <c r="Q946"/>
      <c r="R946"/>
      <c r="S946"/>
    </row>
    <row r="947" spans="13:19" ht="13.95" customHeight="1">
      <c r="M947"/>
      <c r="N947"/>
      <c r="O947"/>
      <c r="P947"/>
      <c r="Q947"/>
      <c r="R947"/>
      <c r="S947"/>
    </row>
    <row r="948" spans="13:19" ht="13.95" customHeight="1">
      <c r="M948"/>
      <c r="N948"/>
      <c r="O948"/>
      <c r="P948"/>
      <c r="Q948"/>
      <c r="R948"/>
      <c r="S948"/>
    </row>
    <row r="949" spans="13:19" ht="13.95" customHeight="1">
      <c r="M949"/>
      <c r="N949"/>
      <c r="O949"/>
      <c r="P949"/>
      <c r="Q949"/>
      <c r="R949"/>
      <c r="S949"/>
    </row>
    <row r="950" spans="13:19" ht="13.95" customHeight="1">
      <c r="M950"/>
      <c r="N950"/>
      <c r="O950"/>
      <c r="P950"/>
      <c r="Q950"/>
      <c r="R950"/>
      <c r="S950"/>
    </row>
    <row r="951" spans="13:19" ht="13.95" customHeight="1">
      <c r="M951"/>
      <c r="N951"/>
      <c r="O951"/>
      <c r="P951"/>
      <c r="Q951"/>
      <c r="R951"/>
      <c r="S951"/>
    </row>
    <row r="952" spans="13:19" ht="13.95" customHeight="1">
      <c r="M952"/>
      <c r="N952"/>
      <c r="O952"/>
      <c r="P952"/>
      <c r="Q952"/>
      <c r="R952"/>
      <c r="S952"/>
    </row>
    <row r="953" spans="13:19" ht="13.95" customHeight="1">
      <c r="M953"/>
      <c r="N953"/>
      <c r="O953"/>
      <c r="P953"/>
      <c r="Q953"/>
      <c r="R953"/>
      <c r="S953"/>
    </row>
    <row r="954" spans="13:19" ht="13.95" customHeight="1">
      <c r="M954"/>
      <c r="N954"/>
      <c r="O954"/>
      <c r="P954"/>
      <c r="Q954"/>
      <c r="R954"/>
      <c r="S954"/>
    </row>
    <row r="955" spans="13:19" ht="13.95" customHeight="1">
      <c r="M955"/>
      <c r="N955"/>
      <c r="O955"/>
      <c r="P955"/>
      <c r="Q955"/>
      <c r="R955"/>
      <c r="S955"/>
    </row>
    <row r="956" spans="13:19" ht="13.95" customHeight="1">
      <c r="M956"/>
      <c r="N956"/>
      <c r="O956"/>
      <c r="P956"/>
      <c r="Q956"/>
      <c r="R956"/>
      <c r="S956"/>
    </row>
    <row r="957" spans="13:19" ht="13.95" customHeight="1">
      <c r="M957"/>
      <c r="N957"/>
      <c r="O957"/>
      <c r="P957"/>
      <c r="Q957"/>
      <c r="R957"/>
      <c r="S957"/>
    </row>
    <row r="958" spans="13:19" ht="13.95" customHeight="1">
      <c r="M958"/>
      <c r="N958"/>
      <c r="O958"/>
      <c r="P958"/>
      <c r="Q958"/>
      <c r="R958"/>
      <c r="S958"/>
    </row>
    <row r="959" spans="13:19" ht="13.95" customHeight="1">
      <c r="M959"/>
      <c r="N959"/>
      <c r="O959"/>
      <c r="P959"/>
      <c r="Q959"/>
      <c r="R959"/>
      <c r="S959"/>
    </row>
    <row r="960" spans="13:19" ht="13.95" customHeight="1">
      <c r="M960"/>
      <c r="N960"/>
      <c r="O960"/>
      <c r="P960"/>
      <c r="Q960"/>
      <c r="R960"/>
      <c r="S960"/>
    </row>
    <row r="961" spans="13:19" ht="13.95" customHeight="1">
      <c r="M961"/>
      <c r="N961"/>
      <c r="O961"/>
      <c r="P961"/>
      <c r="Q961"/>
      <c r="R961"/>
      <c r="S961"/>
    </row>
    <row r="962" spans="13:19" ht="13.95" customHeight="1">
      <c r="M962"/>
      <c r="N962"/>
      <c r="O962"/>
      <c r="P962"/>
      <c r="Q962"/>
      <c r="R962"/>
      <c r="S962"/>
    </row>
    <row r="963" spans="13:19" ht="13.95" customHeight="1">
      <c r="M963"/>
      <c r="N963"/>
      <c r="O963"/>
      <c r="P963"/>
      <c r="Q963"/>
      <c r="R963"/>
      <c r="S963"/>
    </row>
    <row r="964" spans="13:19" ht="13.95" customHeight="1">
      <c r="M964"/>
      <c r="N964"/>
      <c r="O964"/>
      <c r="P964"/>
      <c r="Q964"/>
      <c r="R964"/>
      <c r="S964"/>
    </row>
    <row r="965" spans="13:19" ht="13.95" customHeight="1">
      <c r="M965"/>
      <c r="N965"/>
      <c r="O965"/>
      <c r="P965"/>
      <c r="Q965"/>
      <c r="R965"/>
      <c r="S965"/>
    </row>
    <row r="966" spans="13:19" ht="13.95" customHeight="1">
      <c r="M966"/>
      <c r="N966"/>
      <c r="O966"/>
      <c r="P966"/>
      <c r="Q966"/>
      <c r="R966"/>
      <c r="S966"/>
    </row>
    <row r="967" spans="13:19" ht="13.95" customHeight="1">
      <c r="M967"/>
      <c r="N967"/>
      <c r="O967"/>
      <c r="P967"/>
      <c r="Q967"/>
      <c r="R967"/>
      <c r="S967"/>
    </row>
    <row r="968" spans="13:19" ht="13.95" customHeight="1">
      <c r="M968"/>
      <c r="N968"/>
      <c r="O968"/>
      <c r="P968"/>
      <c r="Q968"/>
      <c r="R968"/>
      <c r="S968"/>
    </row>
    <row r="969" spans="13:19" ht="13.95" customHeight="1">
      <c r="M969"/>
      <c r="N969"/>
      <c r="O969"/>
      <c r="P969"/>
      <c r="Q969"/>
      <c r="R969"/>
      <c r="S969"/>
    </row>
    <row r="970" spans="13:19" ht="13.95" customHeight="1">
      <c r="M970"/>
      <c r="N970"/>
      <c r="O970"/>
      <c r="P970"/>
      <c r="Q970"/>
      <c r="R970"/>
      <c r="S970"/>
    </row>
    <row r="971" spans="13:19" ht="13.95" customHeight="1">
      <c r="M971"/>
      <c r="N971"/>
      <c r="O971"/>
      <c r="P971"/>
      <c r="Q971"/>
      <c r="R971"/>
      <c r="S971"/>
    </row>
    <row r="972" spans="13:19" ht="13.95" customHeight="1">
      <c r="M972"/>
      <c r="N972"/>
      <c r="O972"/>
      <c r="P972"/>
      <c r="Q972"/>
      <c r="R972"/>
      <c r="S972"/>
    </row>
    <row r="973" spans="13:19" ht="13.95" customHeight="1">
      <c r="M973"/>
      <c r="N973"/>
      <c r="O973"/>
      <c r="P973"/>
      <c r="Q973"/>
      <c r="R973"/>
      <c r="S973"/>
    </row>
    <row r="974" spans="13:19" ht="13.95" customHeight="1">
      <c r="M974"/>
      <c r="N974"/>
      <c r="O974"/>
      <c r="P974"/>
      <c r="Q974"/>
      <c r="R974"/>
      <c r="S974"/>
    </row>
    <row r="975" spans="13:19" ht="13.95" customHeight="1">
      <c r="M975"/>
      <c r="N975"/>
      <c r="O975"/>
      <c r="P975"/>
      <c r="Q975"/>
      <c r="R975"/>
      <c r="S975"/>
    </row>
    <row r="976" spans="13:19" ht="13.95" customHeight="1">
      <c r="M976"/>
      <c r="N976"/>
      <c r="O976"/>
      <c r="P976"/>
      <c r="Q976"/>
      <c r="R976"/>
      <c r="S976"/>
    </row>
    <row r="977" spans="13:19" ht="13.95" customHeight="1">
      <c r="M977"/>
      <c r="N977"/>
      <c r="O977"/>
      <c r="P977"/>
      <c r="Q977"/>
      <c r="R977"/>
      <c r="S977"/>
    </row>
    <row r="978" spans="13:19" ht="13.95" customHeight="1">
      <c r="M978"/>
      <c r="N978"/>
      <c r="O978"/>
      <c r="P978"/>
      <c r="Q978"/>
      <c r="R978"/>
      <c r="S978"/>
    </row>
    <row r="979" spans="13:19" ht="13.95" customHeight="1">
      <c r="M979"/>
      <c r="N979"/>
      <c r="O979"/>
      <c r="P979"/>
      <c r="Q979"/>
      <c r="R979"/>
      <c r="S979"/>
    </row>
    <row r="980" spans="13:19" ht="13.95" customHeight="1">
      <c r="M980"/>
      <c r="N980"/>
      <c r="O980"/>
      <c r="P980"/>
      <c r="Q980"/>
      <c r="R980"/>
      <c r="S980"/>
    </row>
    <row r="981" spans="13:19" ht="13.95" customHeight="1">
      <c r="M981"/>
      <c r="N981"/>
      <c r="O981"/>
      <c r="P981"/>
      <c r="Q981"/>
      <c r="R981"/>
      <c r="S981"/>
    </row>
    <row r="982" spans="13:19" ht="13.95" customHeight="1">
      <c r="M982"/>
      <c r="N982"/>
      <c r="O982"/>
      <c r="P982"/>
      <c r="Q982"/>
      <c r="R982"/>
      <c r="S982"/>
    </row>
    <row r="983" spans="13:19" ht="13.95" customHeight="1">
      <c r="M983"/>
      <c r="N983"/>
      <c r="O983"/>
      <c r="P983"/>
      <c r="Q983"/>
      <c r="R983"/>
      <c r="S983"/>
    </row>
    <row r="984" spans="13:19" ht="13.95" customHeight="1">
      <c r="M984"/>
      <c r="N984"/>
      <c r="O984"/>
      <c r="P984"/>
      <c r="Q984"/>
      <c r="R984"/>
      <c r="S984"/>
    </row>
    <row r="985" spans="13:19" ht="13.95" customHeight="1">
      <c r="M985"/>
      <c r="N985"/>
      <c r="O985"/>
      <c r="P985"/>
      <c r="Q985"/>
      <c r="R985"/>
      <c r="S985"/>
    </row>
    <row r="986" spans="13:19" ht="13.95" customHeight="1">
      <c r="M986"/>
      <c r="N986"/>
      <c r="O986"/>
      <c r="P986"/>
      <c r="Q986"/>
      <c r="R986"/>
      <c r="S986"/>
    </row>
    <row r="987" spans="13:19" ht="13.95" customHeight="1">
      <c r="M987"/>
      <c r="N987"/>
      <c r="O987"/>
      <c r="P987"/>
      <c r="Q987"/>
      <c r="R987"/>
      <c r="S987"/>
    </row>
    <row r="988" spans="13:19" ht="13.95" customHeight="1">
      <c r="M988"/>
      <c r="N988"/>
      <c r="O988"/>
      <c r="P988"/>
      <c r="Q988"/>
      <c r="R988"/>
      <c r="S988"/>
    </row>
    <row r="989" spans="13:19" ht="13.95" customHeight="1">
      <c r="M989"/>
      <c r="N989"/>
      <c r="O989"/>
      <c r="P989"/>
      <c r="Q989"/>
      <c r="R989"/>
      <c r="S989"/>
    </row>
    <row r="990" spans="13:19" ht="13.95" customHeight="1">
      <c r="M990"/>
      <c r="N990"/>
      <c r="O990"/>
      <c r="P990"/>
      <c r="Q990"/>
      <c r="R990"/>
      <c r="S990"/>
    </row>
    <row r="991" spans="13:19" ht="13.95" customHeight="1">
      <c r="M991"/>
      <c r="N991"/>
      <c r="O991"/>
      <c r="P991"/>
      <c r="Q991"/>
      <c r="R991"/>
      <c r="S991"/>
    </row>
    <row r="992" spans="13:19" ht="13.95" customHeight="1">
      <c r="M992"/>
      <c r="N992"/>
      <c r="O992"/>
      <c r="P992"/>
      <c r="Q992"/>
      <c r="R992"/>
      <c r="S992"/>
    </row>
    <row r="993" spans="13:19" ht="13.95" customHeight="1">
      <c r="M993"/>
      <c r="N993"/>
      <c r="O993"/>
      <c r="P993"/>
      <c r="Q993"/>
      <c r="R993"/>
      <c r="S993"/>
    </row>
    <row r="994" spans="13:19" ht="13.95" customHeight="1">
      <c r="M994"/>
      <c r="N994"/>
      <c r="O994"/>
      <c r="P994"/>
      <c r="Q994"/>
      <c r="R994"/>
      <c r="S994"/>
    </row>
    <row r="995" spans="13:19" ht="13.95" customHeight="1">
      <c r="M995"/>
      <c r="N995"/>
      <c r="O995"/>
      <c r="P995"/>
      <c r="Q995"/>
      <c r="R995"/>
      <c r="S995"/>
    </row>
    <row r="996" spans="13:19" ht="13.95" customHeight="1">
      <c r="M996"/>
      <c r="N996"/>
      <c r="O996"/>
      <c r="P996"/>
      <c r="Q996"/>
      <c r="R996"/>
      <c r="S996"/>
    </row>
    <row r="997" spans="13:19" ht="13.95" customHeight="1">
      <c r="M997"/>
      <c r="N997"/>
      <c r="O997"/>
      <c r="P997"/>
      <c r="Q997"/>
      <c r="R997"/>
      <c r="S997"/>
    </row>
    <row r="998" spans="13:19" ht="13.95" customHeight="1">
      <c r="M998"/>
      <c r="N998"/>
      <c r="O998"/>
      <c r="P998"/>
      <c r="Q998"/>
      <c r="R998"/>
      <c r="S998"/>
    </row>
    <row r="999" spans="13:19" ht="13.95" customHeight="1">
      <c r="M999"/>
      <c r="N999"/>
      <c r="O999"/>
      <c r="P999"/>
      <c r="Q999"/>
      <c r="R999"/>
      <c r="S999"/>
    </row>
    <row r="1000" spans="13:19" ht="13.95" customHeight="1">
      <c r="M1000"/>
      <c r="N1000"/>
      <c r="O1000"/>
      <c r="P1000"/>
      <c r="Q1000"/>
      <c r="R1000"/>
      <c r="S1000"/>
    </row>
    <row r="1001" spans="13:19" ht="13.95" customHeight="1">
      <c r="M1001"/>
      <c r="N1001"/>
      <c r="O1001"/>
      <c r="P1001"/>
      <c r="Q1001"/>
      <c r="R1001"/>
      <c r="S1001"/>
    </row>
    <row r="1002" spans="13:19" ht="13.95" customHeight="1">
      <c r="M1002"/>
      <c r="N1002"/>
      <c r="O1002"/>
      <c r="P1002"/>
      <c r="Q1002"/>
      <c r="R1002"/>
      <c r="S1002"/>
    </row>
    <row r="1003" spans="13:19" ht="13.95" customHeight="1">
      <c r="M1003"/>
      <c r="N1003"/>
      <c r="O1003"/>
      <c r="P1003"/>
      <c r="Q1003"/>
      <c r="R1003"/>
      <c r="S1003"/>
    </row>
    <row r="1004" spans="13:19" ht="13.95" customHeight="1">
      <c r="M1004"/>
      <c r="N1004"/>
      <c r="O1004"/>
      <c r="P1004"/>
      <c r="Q1004"/>
      <c r="R1004"/>
      <c r="S1004"/>
    </row>
    <row r="1005" spans="13:19" ht="13.95" customHeight="1">
      <c r="M1005"/>
      <c r="N1005"/>
      <c r="O1005"/>
      <c r="P1005"/>
      <c r="Q1005"/>
      <c r="R1005"/>
      <c r="S1005"/>
    </row>
    <row r="1006" spans="13:19" ht="13.95" customHeight="1">
      <c r="M1006"/>
      <c r="N1006"/>
      <c r="O1006"/>
      <c r="P1006"/>
      <c r="Q1006"/>
      <c r="R1006"/>
      <c r="S1006"/>
    </row>
    <row r="1007" spans="13:19" ht="13.95" customHeight="1">
      <c r="M1007"/>
      <c r="N1007"/>
      <c r="O1007"/>
      <c r="P1007"/>
      <c r="Q1007"/>
      <c r="R1007"/>
      <c r="S1007"/>
    </row>
    <row r="1008" spans="13:19" ht="13.95" customHeight="1">
      <c r="M1008"/>
      <c r="N1008"/>
      <c r="O1008"/>
      <c r="P1008"/>
      <c r="Q1008"/>
      <c r="R1008"/>
      <c r="S1008"/>
    </row>
    <row r="1009" spans="13:19" ht="13.95" customHeight="1">
      <c r="M1009"/>
      <c r="N1009"/>
      <c r="O1009"/>
      <c r="P1009"/>
      <c r="Q1009"/>
      <c r="R1009"/>
      <c r="S1009"/>
    </row>
    <row r="1010" spans="13:19" ht="13.95" customHeight="1">
      <c r="M1010"/>
      <c r="N1010"/>
      <c r="O1010"/>
      <c r="P1010"/>
      <c r="Q1010"/>
      <c r="R1010"/>
      <c r="S1010"/>
    </row>
    <row r="1011" spans="13:19" ht="13.95" customHeight="1">
      <c r="M1011"/>
      <c r="N1011"/>
      <c r="O1011"/>
      <c r="P1011"/>
      <c r="Q1011"/>
      <c r="R1011"/>
      <c r="S1011"/>
    </row>
    <row r="1012" spans="13:19" ht="13.95" customHeight="1">
      <c r="M1012"/>
      <c r="N1012"/>
      <c r="O1012"/>
      <c r="P1012"/>
      <c r="Q1012"/>
      <c r="R1012"/>
      <c r="S1012"/>
    </row>
    <row r="1013" spans="13:19" ht="13.95" customHeight="1">
      <c r="M1013"/>
      <c r="N1013"/>
      <c r="O1013"/>
      <c r="P1013"/>
      <c r="Q1013"/>
      <c r="R1013"/>
      <c r="S1013"/>
    </row>
    <row r="1014" spans="13:19" ht="13.95" customHeight="1">
      <c r="M1014"/>
      <c r="N1014"/>
      <c r="O1014"/>
      <c r="P1014"/>
      <c r="Q1014"/>
      <c r="R1014"/>
      <c r="S1014"/>
    </row>
    <row r="1015" spans="13:19" ht="13.95" customHeight="1">
      <c r="M1015"/>
      <c r="N1015"/>
      <c r="O1015"/>
      <c r="P1015"/>
      <c r="Q1015"/>
      <c r="R1015"/>
      <c r="S1015"/>
    </row>
    <row r="1016" spans="13:19" ht="13.95" customHeight="1">
      <c r="M1016"/>
      <c r="N1016"/>
      <c r="O1016"/>
      <c r="P1016"/>
      <c r="Q1016"/>
      <c r="R1016"/>
      <c r="S1016"/>
    </row>
    <row r="1017" spans="13:19" ht="13.95" customHeight="1">
      <c r="M1017"/>
      <c r="N1017"/>
      <c r="O1017"/>
      <c r="P1017"/>
      <c r="Q1017"/>
      <c r="R1017"/>
      <c r="S1017"/>
    </row>
    <row r="1018" spans="13:19" ht="13.95" customHeight="1">
      <c r="M1018"/>
      <c r="N1018"/>
      <c r="O1018"/>
      <c r="P1018"/>
      <c r="Q1018"/>
      <c r="R1018"/>
      <c r="S1018"/>
    </row>
    <row r="1019" spans="13:19" ht="13.95" customHeight="1">
      <c r="M1019"/>
      <c r="N1019"/>
      <c r="O1019"/>
      <c r="P1019"/>
      <c r="Q1019"/>
      <c r="R1019"/>
      <c r="S1019"/>
    </row>
    <row r="1020" spans="13:19" ht="13.95" customHeight="1">
      <c r="M1020"/>
      <c r="N1020"/>
      <c r="O1020"/>
      <c r="P1020"/>
      <c r="Q1020"/>
      <c r="R1020"/>
      <c r="S1020"/>
    </row>
    <row r="1021" spans="13:19" ht="13.95" customHeight="1">
      <c r="M1021"/>
      <c r="N1021"/>
      <c r="O1021"/>
      <c r="P1021"/>
      <c r="Q1021"/>
      <c r="R1021"/>
      <c r="S1021"/>
    </row>
    <row r="1022" spans="13:19" ht="13.95" customHeight="1">
      <c r="M1022"/>
      <c r="N1022"/>
      <c r="O1022"/>
      <c r="P1022"/>
      <c r="Q1022"/>
      <c r="R1022"/>
      <c r="S1022"/>
    </row>
    <row r="1023" spans="13:19" ht="13.95" customHeight="1">
      <c r="M1023"/>
      <c r="N1023"/>
      <c r="O1023"/>
      <c r="P1023"/>
      <c r="Q1023"/>
      <c r="R1023"/>
      <c r="S1023"/>
    </row>
    <row r="1024" spans="13:19" ht="13.95" customHeight="1">
      <c r="M1024"/>
      <c r="N1024"/>
      <c r="O1024"/>
      <c r="P1024"/>
      <c r="Q1024"/>
      <c r="R1024"/>
      <c r="S1024"/>
    </row>
    <row r="1025" spans="13:19" ht="13.95" customHeight="1">
      <c r="M1025"/>
      <c r="N1025"/>
      <c r="O1025"/>
      <c r="P1025"/>
      <c r="Q1025"/>
      <c r="R1025"/>
      <c r="S1025"/>
    </row>
    <row r="1026" spans="13:19" ht="13.95" customHeight="1">
      <c r="M1026"/>
      <c r="N1026"/>
      <c r="O1026"/>
      <c r="P1026"/>
      <c r="Q1026"/>
      <c r="R1026"/>
      <c r="S1026"/>
    </row>
    <row r="1027" spans="13:19" ht="13.95" customHeight="1">
      <c r="M1027"/>
      <c r="N1027"/>
      <c r="O1027"/>
      <c r="P1027"/>
      <c r="Q1027"/>
      <c r="R1027"/>
      <c r="S1027"/>
    </row>
    <row r="1028" spans="13:19" ht="13.95" customHeight="1">
      <c r="M1028"/>
      <c r="N1028"/>
      <c r="O1028"/>
      <c r="P1028"/>
      <c r="Q1028"/>
      <c r="R1028"/>
      <c r="S1028"/>
    </row>
    <row r="1029" spans="13:19" ht="13.95" customHeight="1">
      <c r="M1029"/>
      <c r="N1029"/>
      <c r="O1029"/>
      <c r="P1029"/>
      <c r="Q1029"/>
      <c r="R1029"/>
      <c r="S1029"/>
    </row>
    <row r="1030" spans="13:19" ht="13.95" customHeight="1">
      <c r="M1030"/>
      <c r="N1030"/>
      <c r="O1030"/>
      <c r="P1030"/>
      <c r="Q1030"/>
      <c r="R1030"/>
      <c r="S1030"/>
    </row>
    <row r="1031" spans="13:19" ht="13.95" customHeight="1">
      <c r="M1031"/>
      <c r="N1031"/>
      <c r="O1031"/>
      <c r="P1031"/>
      <c r="Q1031"/>
      <c r="R1031"/>
      <c r="S1031"/>
    </row>
    <row r="1032" spans="13:19" ht="13.95" customHeight="1">
      <c r="M1032"/>
      <c r="N1032"/>
      <c r="O1032"/>
      <c r="P1032"/>
      <c r="Q1032"/>
      <c r="R1032"/>
      <c r="S1032"/>
    </row>
    <row r="1033" spans="13:19" ht="13.95" customHeight="1">
      <c r="M1033"/>
      <c r="N1033"/>
      <c r="O1033"/>
      <c r="P1033"/>
      <c r="Q1033"/>
      <c r="R1033"/>
      <c r="S1033"/>
    </row>
    <row r="1034" spans="13:19" ht="13.95" customHeight="1">
      <c r="M1034"/>
      <c r="N1034"/>
      <c r="O1034"/>
      <c r="P1034"/>
      <c r="Q1034"/>
      <c r="R1034"/>
      <c r="S1034"/>
    </row>
    <row r="1035" spans="13:19" ht="13.95" customHeight="1">
      <c r="M1035"/>
      <c r="N1035"/>
      <c r="O1035"/>
      <c r="P1035"/>
      <c r="Q1035"/>
      <c r="R1035"/>
      <c r="S1035"/>
    </row>
    <row r="1036" spans="13:19" ht="13.95" customHeight="1">
      <c r="M1036"/>
      <c r="N1036"/>
      <c r="O1036"/>
      <c r="P1036"/>
      <c r="Q1036"/>
      <c r="R1036"/>
      <c r="S1036"/>
    </row>
    <row r="1037" spans="13:19" ht="13.95" customHeight="1">
      <c r="M1037"/>
      <c r="N1037"/>
      <c r="O1037"/>
      <c r="P1037"/>
      <c r="Q1037"/>
      <c r="R1037"/>
      <c r="S1037"/>
    </row>
    <row r="1038" spans="13:19" ht="13.95" customHeight="1">
      <c r="M1038"/>
      <c r="N1038"/>
      <c r="O1038"/>
      <c r="P1038"/>
      <c r="Q1038"/>
      <c r="R1038"/>
      <c r="S1038"/>
    </row>
    <row r="1039" spans="13:19" ht="13.95" customHeight="1">
      <c r="M1039"/>
      <c r="N1039"/>
      <c r="O1039"/>
      <c r="P1039"/>
      <c r="Q1039"/>
      <c r="R1039"/>
      <c r="S1039"/>
    </row>
    <row r="1040" spans="13:19" ht="13.95" customHeight="1">
      <c r="M1040"/>
      <c r="N1040"/>
      <c r="O1040"/>
      <c r="P1040"/>
      <c r="Q1040"/>
      <c r="R1040"/>
      <c r="S1040"/>
    </row>
    <row r="1041" spans="13:19" ht="13.95" customHeight="1">
      <c r="M1041"/>
      <c r="N1041"/>
      <c r="O1041"/>
      <c r="P1041"/>
      <c r="Q1041"/>
      <c r="R1041"/>
      <c r="S1041"/>
    </row>
    <row r="1042" spans="13:19" ht="13.95" customHeight="1">
      <c r="M1042"/>
      <c r="N1042"/>
      <c r="O1042"/>
      <c r="P1042"/>
      <c r="Q1042"/>
      <c r="R1042"/>
      <c r="S1042"/>
    </row>
    <row r="1043" spans="13:19" ht="13.95" customHeight="1">
      <c r="M1043"/>
      <c r="N1043"/>
      <c r="O1043"/>
      <c r="P1043"/>
      <c r="Q1043"/>
      <c r="R1043"/>
      <c r="S1043"/>
    </row>
    <row r="1044" spans="13:19" ht="13.95" customHeight="1">
      <c r="M1044"/>
      <c r="N1044"/>
      <c r="O1044"/>
      <c r="P1044"/>
      <c r="Q1044"/>
      <c r="R1044"/>
      <c r="S1044"/>
    </row>
    <row r="1045" spans="13:19" ht="13.95" customHeight="1">
      <c r="M1045"/>
      <c r="N1045"/>
      <c r="O1045"/>
      <c r="P1045"/>
      <c r="Q1045"/>
      <c r="R1045"/>
      <c r="S1045"/>
    </row>
    <row r="1046" spans="13:19" ht="13.95" customHeight="1">
      <c r="M1046"/>
      <c r="N1046"/>
      <c r="O1046"/>
      <c r="P1046"/>
      <c r="Q1046"/>
      <c r="R1046"/>
      <c r="S1046"/>
    </row>
    <row r="1047" spans="13:19" ht="13.95" customHeight="1">
      <c r="M1047"/>
      <c r="N1047"/>
      <c r="O1047"/>
      <c r="P1047"/>
      <c r="Q1047"/>
      <c r="R1047"/>
      <c r="S1047"/>
    </row>
    <row r="1048" spans="13:19" ht="13.95" customHeight="1">
      <c r="M1048"/>
      <c r="N1048"/>
      <c r="O1048"/>
      <c r="P1048"/>
      <c r="Q1048"/>
      <c r="R1048"/>
      <c r="S1048"/>
    </row>
    <row r="1049" spans="13:19" ht="13.95" customHeight="1">
      <c r="M1049"/>
      <c r="N1049"/>
      <c r="O1049"/>
      <c r="P1049"/>
      <c r="Q1049"/>
      <c r="R1049"/>
      <c r="S1049"/>
    </row>
    <row r="1050" spans="13:19" ht="13.95" customHeight="1">
      <c r="M1050"/>
      <c r="N1050"/>
      <c r="O1050"/>
      <c r="P1050"/>
      <c r="Q1050"/>
      <c r="R1050"/>
      <c r="S1050"/>
    </row>
    <row r="1051" spans="13:19" ht="13.95" customHeight="1">
      <c r="M1051"/>
      <c r="N1051"/>
      <c r="O1051"/>
      <c r="P1051"/>
      <c r="Q1051"/>
      <c r="R1051"/>
      <c r="S1051"/>
    </row>
    <row r="1052" spans="13:19" ht="13.95" customHeight="1">
      <c r="M1052"/>
      <c r="N1052"/>
      <c r="O1052"/>
      <c r="P1052"/>
      <c r="Q1052"/>
      <c r="R1052"/>
      <c r="S1052"/>
    </row>
    <row r="1053" spans="13:19" ht="13.95" customHeight="1">
      <c r="M1053"/>
      <c r="N1053"/>
      <c r="O1053"/>
      <c r="P1053"/>
      <c r="Q1053"/>
      <c r="R1053"/>
      <c r="S1053"/>
    </row>
    <row r="1054" spans="13:19" ht="13.95" customHeight="1">
      <c r="M1054"/>
      <c r="N1054"/>
      <c r="O1054"/>
      <c r="P1054"/>
      <c r="Q1054"/>
      <c r="R1054"/>
      <c r="S1054"/>
    </row>
    <row r="1055" spans="13:19" ht="13.95" customHeight="1">
      <c r="M1055"/>
      <c r="N1055"/>
      <c r="O1055"/>
      <c r="P1055"/>
      <c r="Q1055"/>
      <c r="R1055"/>
      <c r="S1055"/>
    </row>
    <row r="1056" spans="13:19" ht="13.95" customHeight="1">
      <c r="M1056"/>
      <c r="N1056"/>
      <c r="O1056"/>
      <c r="P1056"/>
      <c r="Q1056"/>
      <c r="R1056"/>
      <c r="S1056"/>
    </row>
    <row r="1057" spans="13:19" ht="13.95" customHeight="1">
      <c r="M1057"/>
      <c r="N1057"/>
      <c r="O1057"/>
      <c r="P1057"/>
      <c r="Q1057"/>
      <c r="R1057"/>
      <c r="S1057"/>
    </row>
    <row r="1058" spans="13:19" ht="13.95" customHeight="1">
      <c r="M1058"/>
      <c r="N1058"/>
      <c r="O1058"/>
      <c r="P1058"/>
      <c r="Q1058"/>
      <c r="R1058"/>
      <c r="S1058"/>
    </row>
    <row r="1059" spans="13:19" ht="13.95" customHeight="1">
      <c r="M1059"/>
      <c r="N1059"/>
      <c r="O1059"/>
      <c r="P1059"/>
      <c r="Q1059"/>
      <c r="R1059"/>
      <c r="S1059"/>
    </row>
    <row r="1060" spans="13:19" ht="13.95" customHeight="1">
      <c r="M1060"/>
      <c r="N1060"/>
      <c r="O1060"/>
      <c r="P1060"/>
      <c r="Q1060"/>
      <c r="R1060"/>
      <c r="S1060"/>
    </row>
    <row r="1061" spans="13:19" ht="13.95" customHeight="1">
      <c r="M1061"/>
      <c r="N1061"/>
      <c r="O1061"/>
      <c r="P1061"/>
      <c r="Q1061"/>
      <c r="R1061"/>
      <c r="S1061"/>
    </row>
    <row r="1062" spans="13:19" ht="13.95" customHeight="1">
      <c r="M1062"/>
      <c r="N1062"/>
      <c r="O1062"/>
      <c r="P1062"/>
      <c r="Q1062"/>
      <c r="R1062"/>
      <c r="S1062"/>
    </row>
    <row r="1063" spans="13:19" ht="13.95" customHeight="1">
      <c r="M1063"/>
      <c r="N1063"/>
      <c r="O1063"/>
      <c r="P1063"/>
      <c r="Q1063"/>
      <c r="R1063"/>
      <c r="S1063"/>
    </row>
    <row r="1064" spans="13:19" ht="13.95" customHeight="1">
      <c r="M1064"/>
      <c r="N1064"/>
      <c r="O1064"/>
      <c r="P1064"/>
      <c r="Q1064"/>
      <c r="R1064"/>
      <c r="S1064"/>
    </row>
    <row r="1065" spans="13:19" ht="13.95" customHeight="1">
      <c r="M1065"/>
      <c r="N1065"/>
      <c r="O1065"/>
      <c r="P1065"/>
      <c r="Q1065"/>
      <c r="R1065"/>
      <c r="S1065"/>
    </row>
    <row r="1066" spans="13:19" ht="13.95" customHeight="1">
      <c r="M1066"/>
      <c r="N1066"/>
      <c r="O1066"/>
      <c r="P1066"/>
      <c r="Q1066"/>
      <c r="R1066"/>
      <c r="S1066"/>
    </row>
    <row r="1067" spans="13:19" ht="13.95" customHeight="1">
      <c r="M1067"/>
      <c r="N1067"/>
      <c r="O1067"/>
      <c r="P1067"/>
      <c r="Q1067"/>
      <c r="R1067"/>
      <c r="S1067"/>
    </row>
    <row r="1068" spans="13:19" ht="13.95" customHeight="1">
      <c r="M1068"/>
      <c r="N1068"/>
      <c r="O1068"/>
      <c r="P1068"/>
      <c r="Q1068"/>
      <c r="R1068"/>
      <c r="S1068"/>
    </row>
    <row r="1069" spans="13:19" ht="13.95" customHeight="1">
      <c r="M1069"/>
      <c r="N1069"/>
      <c r="O1069"/>
      <c r="P1069"/>
      <c r="Q1069"/>
      <c r="R1069"/>
      <c r="S1069"/>
    </row>
    <row r="1070" spans="13:19" ht="13.95" customHeight="1">
      <c r="M1070"/>
      <c r="N1070"/>
      <c r="O1070"/>
      <c r="P1070"/>
      <c r="Q1070"/>
      <c r="R1070"/>
      <c r="S1070"/>
    </row>
    <row r="1071" spans="13:19" ht="13.95" customHeight="1">
      <c r="M1071"/>
      <c r="N1071"/>
      <c r="O1071"/>
      <c r="P1071"/>
      <c r="Q1071"/>
      <c r="R1071"/>
      <c r="S1071"/>
    </row>
    <row r="1072" spans="13:19" ht="13.95" customHeight="1">
      <c r="M1072"/>
      <c r="N1072"/>
      <c r="O1072"/>
      <c r="P1072"/>
      <c r="Q1072"/>
      <c r="R1072"/>
      <c r="S1072"/>
    </row>
    <row r="1073" spans="13:19" ht="13.95" customHeight="1">
      <c r="M1073"/>
      <c r="N1073"/>
      <c r="O1073"/>
      <c r="P1073"/>
      <c r="Q1073"/>
      <c r="R1073"/>
      <c r="S1073"/>
    </row>
    <row r="1074" spans="13:19" ht="13.95" customHeight="1">
      <c r="M1074"/>
      <c r="N1074"/>
      <c r="O1074"/>
      <c r="P1074"/>
      <c r="Q1074"/>
      <c r="R1074"/>
      <c r="S1074"/>
    </row>
    <row r="1075" spans="13:19" ht="13.95" customHeight="1">
      <c r="M1075"/>
      <c r="N1075"/>
      <c r="O1075"/>
      <c r="P1075"/>
      <c r="Q1075"/>
      <c r="R1075"/>
      <c r="S1075"/>
    </row>
    <row r="1076" spans="13:19" ht="13.95" customHeight="1">
      <c r="M1076"/>
      <c r="N1076"/>
      <c r="O1076"/>
      <c r="P1076"/>
      <c r="Q1076"/>
      <c r="R1076"/>
      <c r="S1076"/>
    </row>
    <row r="1077" spans="13:19" ht="13.95" customHeight="1">
      <c r="M1077"/>
      <c r="N1077"/>
      <c r="O1077"/>
      <c r="P1077"/>
      <c r="Q1077"/>
      <c r="R1077"/>
      <c r="S1077"/>
    </row>
    <row r="1078" spans="13:19" ht="13.95" customHeight="1">
      <c r="M1078"/>
      <c r="N1078"/>
      <c r="O1078"/>
      <c r="P1078"/>
      <c r="Q1078"/>
      <c r="R1078"/>
      <c r="S1078"/>
    </row>
    <row r="1079" spans="13:19" ht="13.95" customHeight="1">
      <c r="M1079"/>
      <c r="N1079"/>
      <c r="O1079"/>
      <c r="P1079"/>
      <c r="Q1079"/>
      <c r="R1079"/>
      <c r="S1079"/>
    </row>
    <row r="1080" spans="13:19" ht="13.95" customHeight="1">
      <c r="M1080"/>
      <c r="N1080"/>
      <c r="O1080"/>
      <c r="P1080"/>
      <c r="Q1080"/>
      <c r="R1080"/>
      <c r="S1080"/>
    </row>
    <row r="1081" spans="13:19" ht="13.95" customHeight="1">
      <c r="M1081"/>
      <c r="N1081"/>
      <c r="O1081"/>
      <c r="P1081"/>
      <c r="Q1081"/>
      <c r="R1081"/>
      <c r="S1081"/>
    </row>
    <row r="1082" spans="13:19" ht="13.95" customHeight="1">
      <c r="M1082"/>
      <c r="N1082"/>
      <c r="O1082"/>
      <c r="P1082"/>
      <c r="Q1082"/>
      <c r="R1082"/>
      <c r="S1082"/>
    </row>
    <row r="1083" spans="13:19" ht="13.95" customHeight="1">
      <c r="M1083"/>
      <c r="N1083"/>
      <c r="O1083"/>
      <c r="P1083"/>
      <c r="Q1083"/>
      <c r="R1083"/>
      <c r="S1083"/>
    </row>
    <row r="1084" spans="13:19" ht="13.95" customHeight="1">
      <c r="M1084"/>
      <c r="N1084"/>
      <c r="O1084"/>
      <c r="P1084"/>
      <c r="Q1084"/>
      <c r="R1084"/>
      <c r="S1084"/>
    </row>
    <row r="1085" spans="13:19" ht="13.95" customHeight="1">
      <c r="M1085"/>
      <c r="N1085"/>
      <c r="O1085"/>
      <c r="P1085"/>
      <c r="Q1085"/>
      <c r="R1085"/>
      <c r="S1085"/>
    </row>
    <row r="1086" spans="13:19" ht="13.95" customHeight="1">
      <c r="M1086"/>
      <c r="N1086"/>
      <c r="O1086"/>
      <c r="P1086"/>
      <c r="Q1086"/>
      <c r="R1086"/>
      <c r="S1086"/>
    </row>
    <row r="1087" spans="13:19" ht="13.95" customHeight="1">
      <c r="M1087"/>
      <c r="N1087"/>
      <c r="O1087"/>
      <c r="P1087"/>
      <c r="Q1087"/>
      <c r="R1087"/>
      <c r="S1087"/>
    </row>
    <row r="1088" spans="13:19" ht="13.95" customHeight="1">
      <c r="M1088"/>
      <c r="N1088"/>
      <c r="O1088"/>
      <c r="P1088"/>
      <c r="Q1088"/>
      <c r="R1088"/>
      <c r="S1088"/>
    </row>
    <row r="1089" spans="13:19" ht="13.95" customHeight="1">
      <c r="M1089"/>
      <c r="N1089"/>
      <c r="O1089"/>
      <c r="P1089"/>
      <c r="Q1089"/>
      <c r="R1089"/>
      <c r="S1089"/>
    </row>
    <row r="1090" spans="13:19" ht="13.95" customHeight="1">
      <c r="M1090"/>
      <c r="N1090"/>
      <c r="O1090"/>
      <c r="P1090"/>
      <c r="Q1090"/>
      <c r="R1090"/>
      <c r="S1090"/>
    </row>
    <row r="1091" spans="13:19" ht="13.95" customHeight="1">
      <c r="M1091"/>
      <c r="N1091"/>
      <c r="O1091"/>
      <c r="P1091"/>
      <c r="Q1091"/>
      <c r="R1091"/>
      <c r="S1091"/>
    </row>
    <row r="1092" spans="13:19" ht="13.95" customHeight="1">
      <c r="M1092"/>
      <c r="N1092"/>
      <c r="O1092"/>
      <c r="P1092"/>
      <c r="Q1092"/>
      <c r="R1092"/>
      <c r="S1092"/>
    </row>
    <row r="1093" spans="13:19" ht="13.95" customHeight="1">
      <c r="M1093"/>
      <c r="N1093"/>
      <c r="O1093"/>
      <c r="P1093"/>
      <c r="Q1093"/>
      <c r="R1093"/>
      <c r="S1093"/>
    </row>
    <row r="1094" spans="13:19" ht="13.95" customHeight="1">
      <c r="M1094"/>
      <c r="N1094"/>
      <c r="O1094"/>
      <c r="P1094"/>
      <c r="Q1094"/>
      <c r="R1094"/>
      <c r="S1094"/>
    </row>
    <row r="1095" spans="13:19" ht="13.95" customHeight="1">
      <c r="M1095"/>
      <c r="N1095"/>
      <c r="O1095"/>
      <c r="P1095"/>
      <c r="Q1095"/>
      <c r="R1095"/>
      <c r="S1095"/>
    </row>
    <row r="1096" spans="13:19" ht="13.95" customHeight="1">
      <c r="M1096"/>
      <c r="N1096"/>
      <c r="O1096"/>
      <c r="P1096"/>
      <c r="Q1096"/>
      <c r="R1096"/>
      <c r="S1096"/>
    </row>
    <row r="1097" spans="13:19" ht="13.95" customHeight="1">
      <c r="M1097"/>
      <c r="N1097"/>
      <c r="O1097"/>
      <c r="P1097"/>
      <c r="Q1097"/>
      <c r="R1097"/>
      <c r="S1097"/>
    </row>
    <row r="1098" spans="13:19" ht="13.95" customHeight="1">
      <c r="M1098"/>
      <c r="N1098"/>
      <c r="O1098"/>
      <c r="P1098"/>
      <c r="Q1098"/>
      <c r="R1098"/>
      <c r="S1098"/>
    </row>
    <row r="1099" spans="13:19" ht="13.95" customHeight="1">
      <c r="M1099"/>
      <c r="N1099"/>
      <c r="O1099"/>
      <c r="P1099"/>
      <c r="Q1099"/>
      <c r="R1099"/>
      <c r="S1099"/>
    </row>
    <row r="1100" spans="13:19" ht="13.95" customHeight="1">
      <c r="M1100"/>
      <c r="N1100"/>
      <c r="O1100"/>
      <c r="P1100"/>
      <c r="Q1100"/>
      <c r="R1100"/>
      <c r="S1100"/>
    </row>
    <row r="1101" spans="13:19" ht="13.95" customHeight="1">
      <c r="M1101"/>
      <c r="N1101"/>
      <c r="O1101"/>
      <c r="P1101"/>
      <c r="Q1101"/>
      <c r="R1101"/>
      <c r="S1101"/>
    </row>
    <row r="1102" spans="13:19" ht="13.95" customHeight="1">
      <c r="M1102"/>
      <c r="N1102"/>
      <c r="O1102"/>
      <c r="P1102"/>
      <c r="Q1102"/>
      <c r="R1102"/>
      <c r="S1102"/>
    </row>
    <row r="1103" spans="13:19" ht="13.95" customHeight="1">
      <c r="M1103"/>
      <c r="N1103"/>
      <c r="O1103"/>
      <c r="P1103"/>
      <c r="Q1103"/>
      <c r="R1103"/>
      <c r="S1103"/>
    </row>
    <row r="1104" spans="13:19" ht="13.95" customHeight="1">
      <c r="M1104"/>
      <c r="N1104"/>
      <c r="O1104"/>
      <c r="P1104"/>
      <c r="Q1104"/>
      <c r="R1104"/>
      <c r="S1104"/>
    </row>
    <row r="1105" spans="13:19" ht="13.95" customHeight="1">
      <c r="M1105"/>
      <c r="N1105"/>
      <c r="O1105"/>
      <c r="P1105"/>
      <c r="Q1105"/>
      <c r="R1105"/>
      <c r="S1105"/>
    </row>
    <row r="1106" spans="13:19" ht="13.95" customHeight="1">
      <c r="M1106"/>
      <c r="N1106"/>
      <c r="O1106"/>
      <c r="P1106"/>
      <c r="Q1106"/>
      <c r="R1106"/>
      <c r="S1106"/>
    </row>
    <row r="1107" spans="13:19" ht="13.95" customHeight="1">
      <c r="M1107"/>
      <c r="N1107"/>
      <c r="O1107"/>
      <c r="P1107"/>
      <c r="Q1107"/>
      <c r="R1107"/>
      <c r="S1107"/>
    </row>
    <row r="1108" spans="13:19" ht="13.95" customHeight="1">
      <c r="M1108"/>
      <c r="N1108"/>
      <c r="O1108"/>
      <c r="P1108"/>
      <c r="Q1108"/>
      <c r="R1108"/>
      <c r="S1108"/>
    </row>
    <row r="1109" spans="13:19" ht="13.95" customHeight="1">
      <c r="M1109"/>
      <c r="N1109"/>
      <c r="O1109"/>
      <c r="P1109"/>
      <c r="Q1109"/>
      <c r="R1109"/>
      <c r="S1109"/>
    </row>
    <row r="1110" spans="13:19" ht="13.95" customHeight="1">
      <c r="M1110"/>
      <c r="N1110"/>
      <c r="O1110"/>
      <c r="P1110"/>
      <c r="Q1110"/>
      <c r="R1110"/>
      <c r="S1110"/>
    </row>
    <row r="1111" spans="13:19" ht="13.95" customHeight="1">
      <c r="M1111"/>
      <c r="N1111"/>
      <c r="O1111"/>
      <c r="P1111"/>
      <c r="Q1111"/>
      <c r="R1111"/>
      <c r="S1111"/>
    </row>
    <row r="1112" spans="13:19" ht="13.95" customHeight="1">
      <c r="M1112"/>
      <c r="N1112"/>
      <c r="O1112"/>
      <c r="P1112"/>
      <c r="Q1112"/>
      <c r="R1112"/>
      <c r="S1112"/>
    </row>
    <row r="1113" spans="13:19" ht="13.95" customHeight="1">
      <c r="M1113"/>
      <c r="N1113"/>
      <c r="O1113"/>
      <c r="P1113"/>
      <c r="Q1113"/>
      <c r="R1113"/>
      <c r="S1113"/>
    </row>
    <row r="1114" spans="13:19" ht="13.95" customHeight="1">
      <c r="M1114"/>
      <c r="N1114"/>
      <c r="O1114"/>
      <c r="P1114"/>
      <c r="Q1114"/>
      <c r="R1114"/>
      <c r="S1114"/>
    </row>
    <row r="1115" spans="13:19" ht="13.95" customHeight="1">
      <c r="M1115"/>
      <c r="N1115"/>
      <c r="O1115"/>
      <c r="P1115"/>
      <c r="Q1115"/>
      <c r="R1115"/>
      <c r="S1115"/>
    </row>
    <row r="1116" spans="13:19" ht="13.95" customHeight="1">
      <c r="M1116"/>
      <c r="N1116"/>
      <c r="O1116"/>
      <c r="P1116"/>
      <c r="Q1116"/>
      <c r="R1116"/>
      <c r="S1116"/>
    </row>
    <row r="1117" spans="13:19" ht="13.95" customHeight="1">
      <c r="M1117"/>
      <c r="N1117"/>
      <c r="O1117"/>
      <c r="P1117"/>
      <c r="Q1117"/>
      <c r="R1117"/>
      <c r="S1117"/>
    </row>
    <row r="1118" spans="13:19" ht="13.95" customHeight="1">
      <c r="M1118"/>
      <c r="N1118"/>
      <c r="O1118"/>
      <c r="P1118"/>
      <c r="Q1118"/>
      <c r="R1118"/>
      <c r="S1118"/>
    </row>
    <row r="1119" spans="13:19" ht="13.95" customHeight="1">
      <c r="M1119"/>
      <c r="N1119"/>
      <c r="O1119"/>
      <c r="P1119"/>
      <c r="Q1119"/>
      <c r="R1119"/>
      <c r="S1119"/>
    </row>
    <row r="1120" spans="13:19" ht="13.95" customHeight="1">
      <c r="M1120"/>
      <c r="N1120"/>
      <c r="O1120"/>
      <c r="P1120"/>
      <c r="Q1120"/>
      <c r="R1120"/>
      <c r="S1120"/>
    </row>
    <row r="1121" spans="13:19" ht="13.95" customHeight="1">
      <c r="M1121"/>
      <c r="N1121"/>
      <c r="O1121"/>
      <c r="P1121"/>
      <c r="Q1121"/>
      <c r="R1121"/>
      <c r="S1121"/>
    </row>
    <row r="1122" spans="13:19" ht="13.95" customHeight="1">
      <c r="M1122"/>
      <c r="N1122"/>
      <c r="O1122"/>
      <c r="P1122"/>
      <c r="Q1122"/>
      <c r="R1122"/>
      <c r="S1122"/>
    </row>
    <row r="1123" spans="13:19" ht="13.95" customHeight="1">
      <c r="M1123"/>
      <c r="N1123"/>
      <c r="O1123"/>
      <c r="P1123"/>
      <c r="Q1123"/>
      <c r="R1123"/>
      <c r="S1123"/>
    </row>
    <row r="1124" spans="13:19" ht="13.95" customHeight="1">
      <c r="M1124"/>
      <c r="N1124"/>
      <c r="O1124"/>
      <c r="P1124"/>
      <c r="Q1124"/>
      <c r="R1124"/>
      <c r="S1124"/>
    </row>
    <row r="1125" spans="13:19" ht="13.95" customHeight="1">
      <c r="M1125"/>
      <c r="N1125"/>
      <c r="O1125"/>
      <c r="P1125"/>
      <c r="Q1125"/>
      <c r="R1125"/>
      <c r="S1125"/>
    </row>
    <row r="1126" spans="13:19" ht="13.95" customHeight="1">
      <c r="M1126"/>
      <c r="N1126"/>
      <c r="O1126"/>
      <c r="P1126"/>
      <c r="Q1126"/>
      <c r="R1126"/>
      <c r="S1126"/>
    </row>
    <row r="1127" spans="13:19" ht="13.95" customHeight="1">
      <c r="M1127"/>
      <c r="N1127"/>
      <c r="O1127"/>
      <c r="P1127"/>
      <c r="Q1127"/>
      <c r="R1127"/>
      <c r="S1127"/>
    </row>
    <row r="1128" spans="13:19" ht="13.95" customHeight="1">
      <c r="M1128"/>
      <c r="N1128"/>
      <c r="O1128"/>
      <c r="P1128"/>
      <c r="Q1128"/>
      <c r="R1128"/>
      <c r="S1128"/>
    </row>
    <row r="1129" spans="13:19" ht="13.95" customHeight="1">
      <c r="M1129"/>
      <c r="N1129"/>
      <c r="O1129"/>
      <c r="P1129"/>
      <c r="Q1129"/>
      <c r="R1129"/>
      <c r="S1129"/>
    </row>
    <row r="1130" spans="13:19" ht="13.95" customHeight="1">
      <c r="M1130"/>
      <c r="N1130"/>
      <c r="O1130"/>
      <c r="P1130"/>
      <c r="Q1130"/>
      <c r="R1130"/>
      <c r="S1130"/>
    </row>
    <row r="1131" spans="13:19" ht="13.95" customHeight="1">
      <c r="M1131"/>
      <c r="N1131"/>
      <c r="O1131"/>
      <c r="P1131"/>
      <c r="Q1131"/>
      <c r="R1131"/>
      <c r="S1131"/>
    </row>
    <row r="1132" spans="13:19" ht="13.95" customHeight="1">
      <c r="M1132"/>
      <c r="N1132"/>
      <c r="O1132"/>
      <c r="P1132"/>
      <c r="Q1132"/>
      <c r="R1132"/>
      <c r="S1132"/>
    </row>
    <row r="1133" spans="13:19" ht="13.95" customHeight="1">
      <c r="M1133"/>
      <c r="N1133"/>
      <c r="O1133"/>
      <c r="P1133"/>
      <c r="Q1133"/>
      <c r="R1133"/>
      <c r="S1133"/>
    </row>
    <row r="1134" spans="13:19" ht="13.95" customHeight="1">
      <c r="M1134"/>
      <c r="N1134"/>
      <c r="O1134"/>
      <c r="P1134"/>
      <c r="Q1134"/>
      <c r="R1134"/>
      <c r="S1134"/>
    </row>
    <row r="1135" spans="13:19" ht="13.95" customHeight="1">
      <c r="M1135"/>
      <c r="N1135"/>
      <c r="O1135"/>
      <c r="P1135"/>
      <c r="Q1135"/>
      <c r="R1135"/>
      <c r="S1135"/>
    </row>
    <row r="1136" spans="13:19" ht="13.95" customHeight="1">
      <c r="M1136"/>
      <c r="N1136"/>
      <c r="O1136"/>
      <c r="P1136"/>
      <c r="Q1136"/>
      <c r="R1136"/>
      <c r="S1136"/>
    </row>
    <row r="1137" spans="13:19" ht="13.95" customHeight="1">
      <c r="M1137"/>
      <c r="N1137"/>
      <c r="O1137"/>
      <c r="P1137"/>
      <c r="Q1137"/>
      <c r="R1137"/>
      <c r="S1137"/>
    </row>
    <row r="1138" spans="13:19" ht="13.95" customHeight="1">
      <c r="M1138"/>
      <c r="N1138"/>
      <c r="O1138"/>
      <c r="P1138"/>
      <c r="Q1138"/>
      <c r="R1138"/>
      <c r="S1138"/>
    </row>
    <row r="1139" spans="13:19" ht="13.95" customHeight="1">
      <c r="M1139"/>
      <c r="N1139"/>
      <c r="O1139"/>
      <c r="P1139"/>
      <c r="Q1139"/>
      <c r="R1139"/>
      <c r="S1139"/>
    </row>
    <row r="1140" spans="13:19" ht="13.95" customHeight="1">
      <c r="M1140"/>
      <c r="N1140"/>
      <c r="O1140"/>
      <c r="P1140"/>
      <c r="Q1140"/>
      <c r="R1140"/>
      <c r="S1140"/>
    </row>
    <row r="1141" spans="13:19" ht="13.95" customHeight="1">
      <c r="M1141"/>
      <c r="N1141"/>
      <c r="O1141"/>
      <c r="P1141"/>
      <c r="Q1141"/>
      <c r="R1141"/>
      <c r="S1141"/>
    </row>
    <row r="1142" spans="13:19" ht="13.95" customHeight="1">
      <c r="M1142"/>
      <c r="N1142"/>
      <c r="O1142"/>
      <c r="P1142"/>
      <c r="Q1142"/>
      <c r="R1142"/>
      <c r="S1142"/>
    </row>
    <row r="1143" spans="13:19" ht="13.95" customHeight="1">
      <c r="M1143"/>
      <c r="N1143"/>
      <c r="O1143"/>
      <c r="P1143"/>
      <c r="Q1143"/>
      <c r="R1143"/>
      <c r="S1143"/>
    </row>
    <row r="1144" spans="13:19" ht="13.95" customHeight="1">
      <c r="M1144"/>
      <c r="N1144"/>
      <c r="O1144"/>
      <c r="P1144"/>
      <c r="Q1144"/>
      <c r="R1144"/>
      <c r="S1144"/>
    </row>
    <row r="1145" spans="13:19" ht="13.95" customHeight="1">
      <c r="M1145"/>
      <c r="N1145"/>
      <c r="O1145"/>
      <c r="P1145"/>
      <c r="Q1145"/>
      <c r="R1145"/>
      <c r="S1145"/>
    </row>
    <row r="1146" spans="13:19" ht="13.95" customHeight="1">
      <c r="M1146"/>
      <c r="N1146"/>
      <c r="O1146"/>
      <c r="P1146"/>
      <c r="Q1146"/>
      <c r="R1146"/>
      <c r="S1146"/>
    </row>
    <row r="1147" spans="13:19" ht="13.95" customHeight="1">
      <c r="M1147"/>
      <c r="N1147"/>
      <c r="O1147"/>
      <c r="P1147"/>
      <c r="Q1147"/>
      <c r="R1147"/>
      <c r="S1147"/>
    </row>
    <row r="1148" spans="13:19" ht="13.95" customHeight="1">
      <c r="M1148"/>
      <c r="N1148"/>
      <c r="O1148"/>
      <c r="P1148"/>
      <c r="Q1148"/>
      <c r="R1148"/>
      <c r="S1148"/>
    </row>
    <row r="1149" spans="13:19" ht="13.95" customHeight="1">
      <c r="M1149"/>
      <c r="N1149"/>
      <c r="O1149"/>
      <c r="P1149"/>
      <c r="Q1149"/>
      <c r="R1149"/>
      <c r="S1149"/>
    </row>
    <row r="1150" spans="13:19" ht="13.95" customHeight="1">
      <c r="M1150"/>
      <c r="N1150"/>
      <c r="O1150"/>
      <c r="P1150"/>
      <c r="Q1150"/>
      <c r="R1150"/>
      <c r="S1150"/>
    </row>
    <row r="1151" spans="13:19" ht="13.95" customHeight="1">
      <c r="M1151"/>
      <c r="N1151"/>
      <c r="O1151"/>
      <c r="P1151"/>
      <c r="Q1151"/>
      <c r="R1151"/>
      <c r="S1151"/>
    </row>
    <row r="1152" spans="13:19" ht="13.95" customHeight="1">
      <c r="M1152"/>
      <c r="N1152"/>
      <c r="O1152"/>
      <c r="P1152"/>
      <c r="Q1152"/>
      <c r="R1152"/>
      <c r="S1152"/>
    </row>
    <row r="1153" spans="13:19" ht="13.95" customHeight="1">
      <c r="M1153"/>
      <c r="N1153"/>
      <c r="O1153"/>
      <c r="P1153"/>
      <c r="Q1153"/>
      <c r="R1153"/>
      <c r="S1153"/>
    </row>
    <row r="1154" spans="13:19" ht="13.95" customHeight="1">
      <c r="M1154"/>
      <c r="N1154"/>
      <c r="O1154"/>
      <c r="P1154"/>
      <c r="Q1154"/>
      <c r="R1154"/>
      <c r="S1154"/>
    </row>
    <row r="1155" spans="13:19" ht="13.95" customHeight="1">
      <c r="M1155"/>
      <c r="N1155"/>
      <c r="O1155"/>
      <c r="P1155"/>
      <c r="Q1155"/>
      <c r="R1155"/>
      <c r="S1155"/>
    </row>
    <row r="1156" spans="13:19" ht="13.95" customHeight="1">
      <c r="M1156"/>
      <c r="N1156"/>
      <c r="O1156"/>
      <c r="P1156"/>
      <c r="Q1156"/>
      <c r="R1156"/>
      <c r="S1156"/>
    </row>
    <row r="1157" spans="13:19" ht="13.95" customHeight="1">
      <c r="M1157"/>
      <c r="N1157"/>
      <c r="O1157"/>
      <c r="P1157"/>
      <c r="Q1157"/>
      <c r="R1157"/>
      <c r="S1157"/>
    </row>
    <row r="1158" spans="13:19" ht="13.95" customHeight="1">
      <c r="M1158"/>
      <c r="N1158"/>
      <c r="O1158"/>
      <c r="P1158"/>
      <c r="Q1158"/>
      <c r="R1158"/>
      <c r="S1158"/>
    </row>
    <row r="1159" spans="13:19" ht="13.95" customHeight="1">
      <c r="M1159"/>
      <c r="N1159"/>
      <c r="O1159"/>
      <c r="P1159"/>
      <c r="Q1159"/>
      <c r="R1159"/>
      <c r="S1159"/>
    </row>
    <row r="1160" spans="13:19" ht="13.95" customHeight="1">
      <c r="M1160"/>
      <c r="N1160"/>
      <c r="O1160"/>
      <c r="P1160"/>
      <c r="Q1160"/>
      <c r="R1160"/>
      <c r="S1160"/>
    </row>
    <row r="1161" spans="13:19" ht="13.95" customHeight="1">
      <c r="M1161"/>
      <c r="N1161"/>
      <c r="O1161"/>
      <c r="P1161"/>
      <c r="Q1161"/>
      <c r="R1161"/>
      <c r="S1161"/>
    </row>
    <row r="1162" spans="13:19" ht="13.95" customHeight="1">
      <c r="M1162"/>
      <c r="N1162"/>
      <c r="O1162"/>
      <c r="P1162"/>
      <c r="Q1162"/>
      <c r="R1162"/>
      <c r="S1162"/>
    </row>
    <row r="1163" spans="13:19" ht="13.95" customHeight="1">
      <c r="M1163"/>
      <c r="N1163"/>
      <c r="O1163"/>
      <c r="P1163"/>
      <c r="Q1163"/>
      <c r="R1163"/>
      <c r="S1163"/>
    </row>
    <row r="1164" spans="13:19" ht="13.95" customHeight="1">
      <c r="M1164"/>
      <c r="N1164"/>
      <c r="O1164"/>
      <c r="P1164"/>
      <c r="Q1164"/>
      <c r="R1164"/>
      <c r="S1164"/>
    </row>
    <row r="1165" spans="13:19" ht="13.95" customHeight="1">
      <c r="M1165"/>
      <c r="N1165"/>
      <c r="O1165"/>
      <c r="P1165"/>
      <c r="Q1165"/>
      <c r="R1165"/>
      <c r="S1165"/>
    </row>
    <row r="1166" spans="13:19" ht="13.95" customHeight="1">
      <c r="M1166"/>
      <c r="N1166"/>
      <c r="O1166"/>
      <c r="P1166"/>
      <c r="Q1166"/>
      <c r="R1166"/>
      <c r="S1166"/>
    </row>
    <row r="1167" spans="13:19" ht="13.95" customHeight="1">
      <c r="M1167"/>
      <c r="N1167"/>
      <c r="O1167"/>
      <c r="P1167"/>
      <c r="Q1167"/>
      <c r="R1167"/>
      <c r="S1167"/>
    </row>
    <row r="1168" spans="13:19" ht="13.95" customHeight="1">
      <c r="M1168"/>
      <c r="N1168"/>
      <c r="O1168"/>
      <c r="P1168"/>
      <c r="Q1168"/>
      <c r="R1168"/>
      <c r="S1168"/>
    </row>
    <row r="1169" spans="13:19" ht="13.95" customHeight="1">
      <c r="M1169"/>
      <c r="N1169"/>
      <c r="O1169"/>
      <c r="P1169"/>
      <c r="Q1169"/>
      <c r="R1169"/>
      <c r="S1169"/>
    </row>
    <row r="1170" spans="13:19" ht="13.95" customHeight="1">
      <c r="M1170"/>
      <c r="N1170"/>
      <c r="O1170"/>
      <c r="P1170"/>
      <c r="Q1170"/>
      <c r="R1170"/>
      <c r="S1170"/>
    </row>
    <row r="1171" spans="13:19" ht="13.95" customHeight="1">
      <c r="M1171"/>
      <c r="N1171"/>
      <c r="O1171"/>
      <c r="P1171"/>
      <c r="Q1171"/>
      <c r="R1171"/>
      <c r="S1171"/>
    </row>
    <row r="1172" spans="13:19" ht="13.95" customHeight="1">
      <c r="M1172"/>
      <c r="N1172"/>
      <c r="O1172"/>
      <c r="P1172"/>
      <c r="Q1172"/>
      <c r="R1172"/>
      <c r="S1172"/>
    </row>
    <row r="1173" spans="13:19" ht="13.95" customHeight="1">
      <c r="M1173"/>
      <c r="N1173"/>
      <c r="O1173"/>
      <c r="P1173"/>
      <c r="Q1173"/>
      <c r="R1173"/>
      <c r="S1173"/>
    </row>
    <row r="1174" spans="13:19" ht="13.95" customHeight="1">
      <c r="M1174"/>
      <c r="N1174"/>
      <c r="O1174"/>
      <c r="P1174"/>
      <c r="Q1174"/>
      <c r="R1174"/>
      <c r="S1174"/>
    </row>
    <row r="1175" spans="13:19" ht="13.95" customHeight="1">
      <c r="M1175"/>
      <c r="N1175"/>
      <c r="O1175"/>
      <c r="P1175"/>
      <c r="Q1175"/>
      <c r="R1175"/>
      <c r="S1175"/>
    </row>
    <row r="1176" spans="13:19" ht="13.95" customHeight="1">
      <c r="M1176"/>
      <c r="N1176"/>
      <c r="O1176"/>
      <c r="P1176"/>
      <c r="Q1176"/>
      <c r="R1176"/>
      <c r="S1176"/>
    </row>
    <row r="1177" spans="13:19" ht="13.95" customHeight="1">
      <c r="M1177"/>
      <c r="N1177"/>
      <c r="O1177"/>
      <c r="P1177"/>
      <c r="Q1177"/>
      <c r="R1177"/>
      <c r="S1177"/>
    </row>
    <row r="1178" spans="13:19" ht="13.95" customHeight="1">
      <c r="M1178"/>
      <c r="N1178"/>
      <c r="O1178"/>
      <c r="P1178"/>
      <c r="Q1178"/>
      <c r="R1178"/>
      <c r="S1178"/>
    </row>
    <row r="1179" spans="13:19" ht="13.95" customHeight="1">
      <c r="M1179"/>
      <c r="N1179"/>
      <c r="O1179"/>
      <c r="P1179"/>
      <c r="Q1179"/>
      <c r="R1179"/>
      <c r="S1179"/>
    </row>
    <row r="1180" spans="13:19" ht="13.95" customHeight="1">
      <c r="M1180"/>
      <c r="N1180"/>
      <c r="O1180"/>
      <c r="P1180"/>
      <c r="Q1180"/>
      <c r="R1180"/>
      <c r="S1180"/>
    </row>
    <row r="1181" spans="13:19" ht="13.95" customHeight="1">
      <c r="M1181"/>
      <c r="N1181"/>
      <c r="O1181"/>
      <c r="P1181"/>
      <c r="Q1181"/>
      <c r="R1181"/>
      <c r="S1181"/>
    </row>
    <row r="1182" spans="13:19" ht="13.95" customHeight="1">
      <c r="M1182"/>
      <c r="N1182"/>
      <c r="O1182"/>
      <c r="P1182"/>
      <c r="Q1182"/>
      <c r="R1182"/>
      <c r="S1182"/>
    </row>
    <row r="1183" spans="13:19" ht="13.95" customHeight="1">
      <c r="M1183"/>
      <c r="N1183"/>
      <c r="O1183"/>
      <c r="P1183"/>
      <c r="Q1183"/>
      <c r="R1183"/>
      <c r="S1183"/>
    </row>
    <row r="1184" spans="13:19" ht="13.95" customHeight="1">
      <c r="M1184"/>
      <c r="N1184"/>
      <c r="O1184"/>
      <c r="P1184"/>
      <c r="Q1184"/>
      <c r="R1184"/>
      <c r="S1184"/>
    </row>
    <row r="1185" spans="13:19" ht="13.95" customHeight="1">
      <c r="M1185"/>
      <c r="N1185"/>
      <c r="O1185"/>
      <c r="P1185"/>
      <c r="Q1185"/>
      <c r="R1185"/>
      <c r="S1185"/>
    </row>
    <row r="1186" spans="13:19" ht="13.95" customHeight="1">
      <c r="M1186"/>
      <c r="N1186"/>
      <c r="O1186"/>
      <c r="P1186"/>
      <c r="Q1186"/>
      <c r="R1186"/>
      <c r="S1186"/>
    </row>
    <row r="1187" spans="13:19" ht="13.95" customHeight="1">
      <c r="M1187"/>
      <c r="N1187"/>
      <c r="O1187"/>
      <c r="P1187"/>
      <c r="Q1187"/>
      <c r="R1187"/>
      <c r="S1187"/>
    </row>
    <row r="1188" spans="13:19" ht="13.95" customHeight="1">
      <c r="M1188"/>
      <c r="N1188"/>
      <c r="O1188"/>
      <c r="P1188"/>
      <c r="Q1188"/>
      <c r="R1188"/>
      <c r="S1188"/>
    </row>
    <row r="1189" spans="13:19" ht="13.95" customHeight="1">
      <c r="M1189"/>
      <c r="N1189"/>
      <c r="O1189"/>
      <c r="P1189"/>
      <c r="Q1189"/>
      <c r="R1189"/>
      <c r="S1189"/>
    </row>
    <row r="1190" spans="13:19" ht="13.95" customHeight="1">
      <c r="M1190"/>
      <c r="N1190"/>
      <c r="O1190"/>
      <c r="P1190"/>
      <c r="Q1190"/>
      <c r="R1190"/>
      <c r="S1190"/>
    </row>
    <row r="1191" spans="13:19" ht="13.95" customHeight="1">
      <c r="M1191"/>
      <c r="N1191"/>
      <c r="O1191"/>
      <c r="P1191"/>
      <c r="Q1191"/>
      <c r="R1191"/>
      <c r="S1191"/>
    </row>
    <row r="1192" spans="13:19" ht="13.95" customHeight="1">
      <c r="M1192"/>
      <c r="N1192"/>
      <c r="O1192"/>
      <c r="P1192"/>
      <c r="Q1192"/>
      <c r="R1192"/>
      <c r="S1192"/>
    </row>
    <row r="1193" spans="13:19" ht="13.95" customHeight="1">
      <c r="M1193"/>
      <c r="N1193"/>
      <c r="O1193"/>
      <c r="P1193"/>
      <c r="Q1193"/>
      <c r="R1193"/>
      <c r="S1193"/>
    </row>
    <row r="1194" spans="13:19" ht="13.95" customHeight="1">
      <c r="M1194"/>
      <c r="N1194"/>
      <c r="O1194"/>
      <c r="P1194"/>
      <c r="Q1194"/>
      <c r="R1194"/>
      <c r="S1194"/>
    </row>
    <row r="1195" spans="13:19" ht="13.95" customHeight="1">
      <c r="M1195"/>
      <c r="N1195"/>
      <c r="O1195"/>
      <c r="P1195"/>
      <c r="Q1195"/>
      <c r="R1195"/>
      <c r="S1195"/>
    </row>
    <row r="1196" spans="13:19" ht="13.95" customHeight="1">
      <c r="M1196"/>
      <c r="N1196"/>
      <c r="O1196"/>
      <c r="P1196"/>
      <c r="Q1196"/>
      <c r="R1196"/>
      <c r="S1196"/>
    </row>
    <row r="1197" spans="13:19" ht="13.95" customHeight="1">
      <c r="M1197"/>
      <c r="N1197"/>
      <c r="O1197"/>
      <c r="P1197"/>
      <c r="Q1197"/>
      <c r="R1197"/>
      <c r="S1197"/>
    </row>
    <row r="1198" spans="13:19" ht="13.95" customHeight="1">
      <c r="M1198"/>
      <c r="N1198"/>
      <c r="O1198"/>
      <c r="P1198"/>
      <c r="Q1198"/>
      <c r="R1198"/>
      <c r="S1198"/>
    </row>
    <row r="1199" spans="13:19" ht="13.95" customHeight="1">
      <c r="M1199"/>
      <c r="N1199"/>
      <c r="O1199"/>
      <c r="P1199"/>
      <c r="Q1199"/>
      <c r="R1199"/>
      <c r="S1199"/>
    </row>
    <row r="1200" spans="13:19" ht="13.95" customHeight="1">
      <c r="M1200"/>
      <c r="N1200"/>
      <c r="O1200"/>
      <c r="P1200"/>
      <c r="Q1200"/>
      <c r="R1200"/>
      <c r="S1200"/>
    </row>
    <row r="1201" spans="13:19" ht="13.95" customHeight="1">
      <c r="M1201"/>
      <c r="N1201"/>
      <c r="O1201"/>
      <c r="P1201"/>
      <c r="Q1201"/>
      <c r="R1201"/>
      <c r="S1201"/>
    </row>
    <row r="1202" spans="13:19" ht="13.95" customHeight="1">
      <c r="M1202"/>
      <c r="N1202"/>
      <c r="O1202"/>
      <c r="P1202"/>
      <c r="Q1202"/>
      <c r="R1202"/>
      <c r="S1202"/>
    </row>
    <row r="1203" spans="13:19" ht="13.95" customHeight="1">
      <c r="M1203"/>
      <c r="N1203"/>
      <c r="O1203"/>
      <c r="P1203"/>
      <c r="Q1203"/>
      <c r="R1203"/>
      <c r="S1203"/>
    </row>
    <row r="1204" spans="13:19" ht="13.95" customHeight="1">
      <c r="M1204"/>
      <c r="N1204"/>
      <c r="O1204"/>
      <c r="P1204"/>
      <c r="Q1204"/>
      <c r="R1204"/>
      <c r="S1204"/>
    </row>
    <row r="1205" spans="13:19" ht="13.95" customHeight="1">
      <c r="M1205"/>
      <c r="N1205"/>
      <c r="O1205"/>
      <c r="P1205"/>
      <c r="Q1205"/>
      <c r="R1205"/>
      <c r="S1205"/>
    </row>
    <row r="1206" spans="13:19" ht="13.95" customHeight="1">
      <c r="M1206"/>
      <c r="N1206"/>
      <c r="O1206"/>
      <c r="P1206"/>
      <c r="Q1206"/>
      <c r="R1206"/>
      <c r="S1206"/>
    </row>
    <row r="1207" spans="13:19" ht="13.95" customHeight="1">
      <c r="M1207"/>
      <c r="N1207"/>
      <c r="O1207"/>
      <c r="P1207"/>
      <c r="Q1207"/>
      <c r="R1207"/>
      <c r="S1207"/>
    </row>
    <row r="1208" spans="13:19" ht="13.95" customHeight="1">
      <c r="M1208"/>
      <c r="N1208"/>
      <c r="O1208"/>
      <c r="P1208"/>
      <c r="Q1208"/>
      <c r="R1208"/>
      <c r="S1208"/>
    </row>
    <row r="1209" spans="13:19" ht="13.95" customHeight="1">
      <c r="M1209"/>
      <c r="N1209"/>
      <c r="O1209"/>
      <c r="P1209"/>
      <c r="Q1209"/>
      <c r="R1209"/>
      <c r="S1209"/>
    </row>
    <row r="1210" spans="13:19" ht="13.95" customHeight="1">
      <c r="M1210"/>
      <c r="N1210"/>
      <c r="O1210"/>
      <c r="P1210"/>
      <c r="Q1210"/>
      <c r="R1210"/>
      <c r="S1210"/>
    </row>
    <row r="1211" spans="13:19" ht="13.95" customHeight="1">
      <c r="M1211"/>
      <c r="N1211"/>
      <c r="O1211"/>
      <c r="P1211"/>
      <c r="Q1211"/>
      <c r="R1211"/>
      <c r="S1211"/>
    </row>
    <row r="1212" spans="13:19" ht="13.95" customHeight="1">
      <c r="M1212"/>
      <c r="N1212"/>
      <c r="O1212"/>
      <c r="P1212"/>
      <c r="Q1212"/>
      <c r="R1212"/>
      <c r="S1212"/>
    </row>
    <row r="1213" spans="13:19" ht="13.95" customHeight="1">
      <c r="M1213"/>
      <c r="N1213"/>
      <c r="O1213"/>
      <c r="P1213"/>
      <c r="Q1213"/>
      <c r="R1213"/>
      <c r="S1213"/>
    </row>
    <row r="1214" spans="13:19" ht="13.95" customHeight="1">
      <c r="M1214"/>
      <c r="N1214"/>
      <c r="O1214"/>
      <c r="P1214"/>
      <c r="Q1214"/>
      <c r="R1214"/>
      <c r="S1214"/>
    </row>
    <row r="1215" spans="13:19" ht="13.95" customHeight="1">
      <c r="M1215"/>
      <c r="N1215"/>
      <c r="O1215"/>
      <c r="P1215"/>
      <c r="Q1215"/>
      <c r="R1215"/>
      <c r="S1215"/>
    </row>
    <row r="1216" spans="13:19" ht="13.95" customHeight="1">
      <c r="M1216"/>
      <c r="N1216"/>
      <c r="O1216"/>
      <c r="P1216"/>
      <c r="Q1216"/>
      <c r="R1216"/>
      <c r="S1216"/>
    </row>
    <row r="1217" spans="13:19" ht="13.95" customHeight="1">
      <c r="M1217"/>
      <c r="N1217"/>
      <c r="O1217"/>
      <c r="P1217"/>
      <c r="Q1217"/>
      <c r="R1217"/>
      <c r="S1217"/>
    </row>
    <row r="1218" spans="13:19" ht="13.95" customHeight="1">
      <c r="M1218"/>
      <c r="N1218"/>
      <c r="O1218"/>
      <c r="P1218"/>
      <c r="Q1218"/>
      <c r="R1218"/>
      <c r="S1218"/>
    </row>
    <row r="1219" spans="13:19" ht="13.95" customHeight="1">
      <c r="M1219"/>
      <c r="N1219"/>
      <c r="O1219"/>
      <c r="P1219"/>
      <c r="Q1219"/>
      <c r="R1219"/>
      <c r="S1219"/>
    </row>
    <row r="1220" spans="13:19" ht="13.95" customHeight="1">
      <c r="M1220"/>
      <c r="N1220"/>
      <c r="O1220"/>
      <c r="P1220"/>
      <c r="Q1220"/>
      <c r="R1220"/>
      <c r="S1220"/>
    </row>
    <row r="1221" spans="13:19" ht="13.95" customHeight="1">
      <c r="M1221"/>
      <c r="N1221"/>
      <c r="O1221"/>
      <c r="P1221"/>
      <c r="Q1221"/>
      <c r="R1221"/>
      <c r="S1221"/>
    </row>
    <row r="1222" spans="13:19" ht="13.95" customHeight="1">
      <c r="M1222"/>
      <c r="N1222"/>
      <c r="O1222"/>
      <c r="P1222"/>
      <c r="Q1222"/>
      <c r="R1222"/>
      <c r="S1222"/>
    </row>
    <row r="1223" spans="13:19" ht="13.95" customHeight="1">
      <c r="M1223"/>
      <c r="N1223"/>
      <c r="O1223"/>
      <c r="P1223"/>
      <c r="Q1223"/>
      <c r="R1223"/>
      <c r="S1223"/>
    </row>
    <row r="1224" spans="13:19" ht="13.95" customHeight="1">
      <c r="M1224"/>
      <c r="N1224"/>
      <c r="O1224"/>
      <c r="P1224"/>
      <c r="Q1224"/>
      <c r="R1224"/>
      <c r="S1224"/>
    </row>
    <row r="1225" spans="13:19" ht="13.95" customHeight="1">
      <c r="M1225"/>
      <c r="N1225"/>
      <c r="O1225"/>
      <c r="P1225"/>
      <c r="Q1225"/>
      <c r="R1225"/>
      <c r="S1225"/>
    </row>
    <row r="1226" spans="13:19" ht="13.95" customHeight="1">
      <c r="M1226"/>
      <c r="N1226"/>
      <c r="O1226"/>
      <c r="P1226"/>
      <c r="Q1226"/>
      <c r="R1226"/>
      <c r="S1226"/>
    </row>
    <row r="1227" spans="13:19" ht="13.95" customHeight="1">
      <c r="M1227"/>
      <c r="N1227"/>
      <c r="O1227"/>
      <c r="P1227"/>
      <c r="Q1227"/>
      <c r="R1227"/>
      <c r="S1227"/>
    </row>
    <row r="1228" spans="13:19" ht="13.95" customHeight="1">
      <c r="M1228"/>
      <c r="N1228"/>
      <c r="O1228"/>
      <c r="P1228"/>
      <c r="Q1228"/>
      <c r="R1228"/>
      <c r="S1228"/>
    </row>
    <row r="1229" spans="13:19" ht="13.95" customHeight="1">
      <c r="M1229"/>
      <c r="N1229"/>
      <c r="O1229"/>
      <c r="P1229"/>
      <c r="Q1229"/>
      <c r="R1229"/>
      <c r="S1229"/>
    </row>
    <row r="1230" spans="13:19" ht="13.95" customHeight="1">
      <c r="M1230"/>
      <c r="N1230"/>
      <c r="O1230"/>
      <c r="P1230"/>
      <c r="Q1230"/>
      <c r="R1230"/>
      <c r="S1230"/>
    </row>
    <row r="1231" spans="13:19" ht="13.95" customHeight="1">
      <c r="M1231"/>
      <c r="N1231"/>
      <c r="O1231"/>
      <c r="P1231"/>
      <c r="Q1231"/>
      <c r="R1231"/>
      <c r="S1231"/>
    </row>
    <row r="1232" spans="13:19" ht="13.95" customHeight="1">
      <c r="M1232"/>
      <c r="N1232"/>
      <c r="O1232"/>
      <c r="P1232"/>
      <c r="Q1232"/>
      <c r="R1232"/>
      <c r="S1232"/>
    </row>
    <row r="1233" spans="13:19" ht="13.95" customHeight="1">
      <c r="M1233"/>
      <c r="N1233"/>
      <c r="O1233"/>
      <c r="P1233"/>
      <c r="Q1233"/>
      <c r="R1233"/>
      <c r="S1233"/>
    </row>
    <row r="1234" spans="13:19" ht="13.95" customHeight="1">
      <c r="M1234"/>
      <c r="N1234"/>
      <c r="O1234"/>
      <c r="P1234"/>
      <c r="Q1234"/>
      <c r="R1234"/>
      <c r="S1234"/>
    </row>
    <row r="1235" spans="13:19" ht="13.95" customHeight="1">
      <c r="M1235"/>
      <c r="N1235"/>
      <c r="O1235"/>
      <c r="P1235"/>
      <c r="Q1235"/>
      <c r="R1235"/>
      <c r="S1235"/>
    </row>
    <row r="1236" spans="13:19" ht="13.95" customHeight="1">
      <c r="M1236"/>
      <c r="N1236"/>
      <c r="O1236"/>
      <c r="P1236"/>
      <c r="Q1236"/>
      <c r="R1236"/>
      <c r="S1236"/>
    </row>
    <row r="1237" spans="13:19" ht="13.95" customHeight="1">
      <c r="M1237"/>
      <c r="N1237"/>
      <c r="O1237"/>
      <c r="P1237"/>
      <c r="Q1237"/>
      <c r="R1237"/>
      <c r="S1237"/>
    </row>
    <row r="1238" spans="13:19" ht="13.95" customHeight="1">
      <c r="M1238"/>
      <c r="N1238"/>
      <c r="O1238"/>
      <c r="P1238"/>
      <c r="Q1238"/>
      <c r="R1238"/>
      <c r="S1238"/>
    </row>
    <row r="1239" spans="13:19" ht="13.95" customHeight="1">
      <c r="M1239"/>
      <c r="N1239"/>
      <c r="O1239"/>
      <c r="P1239"/>
      <c r="Q1239"/>
      <c r="R1239"/>
      <c r="S1239"/>
    </row>
    <row r="1240" spans="13:19" ht="13.95" customHeight="1">
      <c r="M1240"/>
      <c r="N1240"/>
      <c r="O1240"/>
      <c r="P1240"/>
      <c r="Q1240"/>
      <c r="R1240"/>
      <c r="S1240"/>
    </row>
    <row r="1241" spans="13:19" ht="13.95" customHeight="1">
      <c r="M1241"/>
      <c r="N1241"/>
      <c r="O1241"/>
      <c r="P1241"/>
      <c r="Q1241"/>
      <c r="R1241"/>
      <c r="S1241"/>
    </row>
    <row r="1242" spans="13:19" ht="13.95" customHeight="1">
      <c r="M1242"/>
      <c r="N1242"/>
      <c r="O1242"/>
      <c r="P1242"/>
      <c r="Q1242"/>
      <c r="R1242"/>
      <c r="S1242"/>
    </row>
    <row r="1243" spans="13:19" ht="13.95" customHeight="1">
      <c r="M1243"/>
      <c r="N1243"/>
      <c r="O1243"/>
      <c r="P1243"/>
      <c r="Q1243"/>
      <c r="R1243"/>
      <c r="S1243"/>
    </row>
    <row r="1244" spans="13:19" ht="13.95" customHeight="1">
      <c r="M1244"/>
      <c r="N1244"/>
      <c r="O1244"/>
      <c r="P1244"/>
      <c r="Q1244"/>
      <c r="R1244"/>
      <c r="S1244"/>
    </row>
    <row r="1245" spans="13:19" ht="13.95" customHeight="1">
      <c r="M1245"/>
      <c r="N1245"/>
      <c r="O1245"/>
      <c r="P1245"/>
      <c r="Q1245"/>
      <c r="R1245"/>
      <c r="S1245"/>
    </row>
    <row r="1246" spans="13:19" ht="13.95" customHeight="1">
      <c r="M1246"/>
      <c r="N1246"/>
      <c r="O1246"/>
      <c r="P1246"/>
      <c r="Q1246"/>
      <c r="R1246"/>
      <c r="S1246"/>
    </row>
    <row r="1247" spans="13:19" ht="13.95" customHeight="1">
      <c r="M1247"/>
      <c r="N1247"/>
      <c r="O1247"/>
      <c r="P1247"/>
      <c r="Q1247"/>
      <c r="R1247"/>
      <c r="S1247"/>
    </row>
    <row r="1248" spans="13:19" ht="13.95" customHeight="1">
      <c r="M1248"/>
      <c r="N1248"/>
      <c r="O1248"/>
      <c r="P1248"/>
      <c r="Q1248"/>
      <c r="R1248"/>
      <c r="S1248"/>
    </row>
    <row r="1249" spans="13:19" ht="13.95" customHeight="1">
      <c r="M1249"/>
      <c r="N1249"/>
      <c r="O1249"/>
      <c r="P1249"/>
      <c r="Q1249"/>
      <c r="R1249"/>
      <c r="S1249"/>
    </row>
    <row r="1250" spans="13:19" ht="13.95" customHeight="1">
      <c r="M1250"/>
      <c r="N1250"/>
      <c r="O1250"/>
      <c r="P1250"/>
      <c r="Q1250"/>
      <c r="R1250"/>
      <c r="S1250"/>
    </row>
    <row r="1251" spans="13:19" ht="13.95" customHeight="1">
      <c r="M1251"/>
      <c r="N1251"/>
      <c r="O1251"/>
      <c r="P1251"/>
      <c r="Q1251"/>
      <c r="R1251"/>
      <c r="S1251"/>
    </row>
    <row r="1252" spans="13:19" ht="13.95" customHeight="1">
      <c r="M1252"/>
      <c r="N1252"/>
      <c r="O1252"/>
      <c r="P1252"/>
      <c r="Q1252"/>
      <c r="R1252"/>
      <c r="S1252"/>
    </row>
    <row r="1253" spans="13:19" ht="13.95" customHeight="1">
      <c r="M1253"/>
      <c r="N1253"/>
      <c r="O1253"/>
      <c r="P1253"/>
      <c r="Q1253"/>
      <c r="R1253"/>
      <c r="S1253"/>
    </row>
    <row r="1254" spans="13:19" ht="13.95" customHeight="1">
      <c r="M1254"/>
      <c r="N1254"/>
      <c r="O1254"/>
      <c r="P1254"/>
      <c r="Q1254"/>
      <c r="R1254"/>
      <c r="S1254"/>
    </row>
    <row r="1255" spans="13:19" ht="13.95" customHeight="1">
      <c r="M1255"/>
      <c r="N1255"/>
      <c r="O1255"/>
      <c r="P1255"/>
      <c r="Q1255"/>
      <c r="R1255"/>
      <c r="S1255"/>
    </row>
    <row r="1256" spans="13:19" ht="13.95" customHeight="1">
      <c r="M1256"/>
      <c r="N1256"/>
      <c r="O1256"/>
      <c r="P1256"/>
      <c r="Q1256"/>
      <c r="R1256"/>
      <c r="S1256"/>
    </row>
    <row r="1257" spans="13:19" ht="13.95" customHeight="1">
      <c r="M1257"/>
      <c r="N1257"/>
      <c r="O1257"/>
      <c r="P1257"/>
      <c r="Q1257"/>
      <c r="R1257"/>
      <c r="S1257"/>
    </row>
    <row r="1258" spans="13:19" ht="13.95" customHeight="1">
      <c r="M1258"/>
      <c r="N1258"/>
      <c r="O1258"/>
      <c r="P1258"/>
      <c r="Q1258"/>
      <c r="R1258"/>
      <c r="S1258"/>
    </row>
    <row r="1259" spans="13:19" ht="13.95" customHeight="1">
      <c r="M1259"/>
      <c r="N1259"/>
      <c r="O1259"/>
      <c r="P1259"/>
      <c r="Q1259"/>
      <c r="R1259"/>
      <c r="S1259"/>
    </row>
    <row r="1260" spans="13:19" ht="13.95" customHeight="1">
      <c r="M1260"/>
      <c r="N1260"/>
      <c r="O1260"/>
      <c r="P1260"/>
      <c r="Q1260"/>
      <c r="R1260"/>
      <c r="S1260"/>
    </row>
    <row r="1261" spans="13:19" ht="13.95" customHeight="1">
      <c r="M1261"/>
      <c r="N1261"/>
      <c r="O1261"/>
      <c r="P1261"/>
      <c r="Q1261"/>
      <c r="R1261"/>
      <c r="S1261"/>
    </row>
    <row r="1262" spans="13:19" ht="13.95" customHeight="1">
      <c r="M1262"/>
      <c r="N1262"/>
      <c r="O1262"/>
      <c r="P1262"/>
      <c r="Q1262"/>
      <c r="R1262"/>
      <c r="S1262"/>
    </row>
    <row r="1263" spans="13:19" ht="13.95" customHeight="1">
      <c r="M1263"/>
      <c r="N1263"/>
      <c r="O1263"/>
      <c r="P1263"/>
      <c r="Q1263"/>
      <c r="R1263"/>
      <c r="S1263"/>
    </row>
    <row r="1264" spans="13:19" ht="13.95" customHeight="1">
      <c r="M1264"/>
      <c r="N1264"/>
      <c r="O1264"/>
      <c r="P1264"/>
      <c r="Q1264"/>
      <c r="R1264"/>
      <c r="S1264"/>
    </row>
    <row r="1265" spans="13:19" ht="13.95" customHeight="1">
      <c r="M1265"/>
      <c r="N1265"/>
      <c r="O1265"/>
      <c r="P1265"/>
      <c r="Q1265"/>
      <c r="R1265"/>
      <c r="S1265"/>
    </row>
    <row r="1266" spans="13:19" ht="13.95" customHeight="1">
      <c r="M1266"/>
      <c r="N1266"/>
      <c r="O1266"/>
      <c r="P1266"/>
      <c r="Q1266"/>
      <c r="R1266"/>
      <c r="S1266"/>
    </row>
    <row r="1267" spans="13:19" ht="13.95" customHeight="1">
      <c r="M1267"/>
      <c r="N1267"/>
      <c r="O1267"/>
      <c r="P1267"/>
      <c r="Q1267"/>
      <c r="R1267"/>
      <c r="S1267"/>
    </row>
    <row r="1268" spans="13:19" ht="13.95" customHeight="1">
      <c r="M1268"/>
      <c r="N1268"/>
      <c r="O1268"/>
      <c r="P1268"/>
      <c r="Q1268"/>
      <c r="R1268"/>
      <c r="S1268"/>
    </row>
    <row r="1269" spans="13:19" ht="13.95" customHeight="1">
      <c r="M1269"/>
      <c r="N1269"/>
      <c r="O1269"/>
      <c r="P1269"/>
      <c r="Q1269"/>
      <c r="R1269"/>
      <c r="S1269"/>
    </row>
    <row r="1270" spans="13:19" ht="13.95" customHeight="1">
      <c r="M1270"/>
      <c r="N1270"/>
      <c r="O1270"/>
      <c r="P1270"/>
      <c r="Q1270"/>
      <c r="R1270"/>
      <c r="S1270"/>
    </row>
    <row r="1271" spans="13:19" ht="13.95" customHeight="1">
      <c r="M1271"/>
      <c r="N1271"/>
      <c r="O1271"/>
      <c r="P1271"/>
      <c r="Q1271"/>
      <c r="R1271"/>
      <c r="S1271"/>
    </row>
    <row r="1272" spans="13:19" ht="13.95" customHeight="1">
      <c r="M1272"/>
      <c r="N1272"/>
      <c r="O1272"/>
      <c r="P1272"/>
      <c r="Q1272"/>
      <c r="R1272"/>
      <c r="S1272"/>
    </row>
    <row r="1273" spans="13:19" ht="13.95" customHeight="1">
      <c r="M1273"/>
      <c r="N1273"/>
      <c r="O1273"/>
      <c r="P1273"/>
      <c r="Q1273"/>
      <c r="R1273"/>
      <c r="S1273"/>
    </row>
    <row r="1274" spans="13:19" ht="13.95" customHeight="1">
      <c r="M1274"/>
      <c r="N1274"/>
      <c r="O1274"/>
      <c r="P1274"/>
      <c r="Q1274"/>
      <c r="R1274"/>
      <c r="S1274"/>
    </row>
    <row r="1275" spans="13:19" ht="13.95" customHeight="1">
      <c r="M1275"/>
      <c r="N1275"/>
      <c r="O1275"/>
      <c r="P1275"/>
      <c r="Q1275"/>
      <c r="R1275"/>
      <c r="S1275"/>
    </row>
    <row r="1276" spans="13:19" ht="13.95" customHeight="1">
      <c r="M1276"/>
      <c r="N1276"/>
      <c r="O1276"/>
      <c r="P1276"/>
      <c r="Q1276"/>
      <c r="R1276"/>
      <c r="S1276"/>
    </row>
    <row r="1277" spans="13:19" ht="13.95" customHeight="1">
      <c r="M1277"/>
      <c r="N1277"/>
      <c r="O1277"/>
      <c r="P1277"/>
      <c r="Q1277"/>
      <c r="R1277"/>
      <c r="S1277"/>
    </row>
    <row r="1278" spans="13:19" ht="13.95" customHeight="1">
      <c r="M1278"/>
      <c r="N1278"/>
      <c r="O1278"/>
      <c r="P1278"/>
      <c r="Q1278"/>
      <c r="R1278"/>
      <c r="S1278"/>
    </row>
    <row r="1279" spans="13:19" ht="13.95" customHeight="1">
      <c r="M1279"/>
      <c r="N1279"/>
      <c r="O1279"/>
      <c r="P1279"/>
      <c r="Q1279"/>
      <c r="R1279"/>
      <c r="S1279"/>
    </row>
    <row r="1280" spans="13:19" ht="13.95" customHeight="1">
      <c r="M1280"/>
      <c r="N1280"/>
      <c r="O1280"/>
      <c r="P1280"/>
      <c r="Q1280"/>
      <c r="R1280"/>
      <c r="S1280"/>
    </row>
    <row r="1281" spans="13:19" ht="13.95" customHeight="1">
      <c r="M1281"/>
      <c r="N1281"/>
      <c r="O1281"/>
      <c r="P1281"/>
      <c r="Q1281"/>
      <c r="R1281"/>
      <c r="S1281"/>
    </row>
    <row r="1282" spans="13:19" ht="13.95" customHeight="1">
      <c r="M1282"/>
      <c r="N1282"/>
      <c r="O1282"/>
      <c r="P1282"/>
      <c r="Q1282"/>
      <c r="R1282"/>
      <c r="S1282"/>
    </row>
    <row r="1283" spans="13:19" ht="13.95" customHeight="1">
      <c r="M1283"/>
      <c r="N1283"/>
      <c r="O1283"/>
      <c r="P1283"/>
      <c r="Q1283"/>
      <c r="R1283"/>
      <c r="S1283"/>
    </row>
    <row r="1284" spans="13:19" ht="13.95" customHeight="1">
      <c r="M1284"/>
      <c r="N1284"/>
      <c r="O1284"/>
      <c r="P1284"/>
      <c r="Q1284"/>
      <c r="R1284"/>
      <c r="S1284"/>
    </row>
    <row r="1285" spans="13:19" ht="13.95" customHeight="1">
      <c r="M1285"/>
      <c r="N1285"/>
      <c r="O1285"/>
      <c r="P1285"/>
      <c r="Q1285"/>
      <c r="R1285"/>
      <c r="S1285"/>
    </row>
    <row r="1286" spans="13:19" ht="13.95" customHeight="1">
      <c r="M1286"/>
      <c r="N1286"/>
      <c r="O1286"/>
      <c r="P1286"/>
      <c r="Q1286"/>
      <c r="R1286"/>
      <c r="S1286"/>
    </row>
    <row r="1287" spans="13:19" ht="13.95" customHeight="1">
      <c r="M1287"/>
      <c r="N1287"/>
      <c r="O1287"/>
      <c r="P1287"/>
      <c r="Q1287"/>
      <c r="R1287"/>
      <c r="S1287"/>
    </row>
    <row r="1288" spans="13:19" ht="13.95" customHeight="1">
      <c r="M1288"/>
      <c r="N1288"/>
      <c r="O1288"/>
      <c r="P1288"/>
      <c r="Q1288"/>
      <c r="R1288"/>
      <c r="S1288"/>
    </row>
    <row r="1289" spans="13:19" ht="13.95" customHeight="1">
      <c r="M1289"/>
      <c r="N1289"/>
      <c r="O1289"/>
      <c r="P1289"/>
      <c r="Q1289"/>
      <c r="R1289"/>
      <c r="S1289"/>
    </row>
    <row r="1290" spans="13:19" ht="13.95" customHeight="1">
      <c r="M1290"/>
      <c r="N1290"/>
      <c r="O1290"/>
      <c r="P1290"/>
      <c r="Q1290"/>
      <c r="R1290"/>
      <c r="S1290"/>
    </row>
    <row r="1291" spans="13:19" ht="13.95" customHeight="1">
      <c r="M1291"/>
      <c r="N1291"/>
      <c r="O1291"/>
      <c r="P1291"/>
      <c r="Q1291"/>
      <c r="R1291"/>
      <c r="S1291"/>
    </row>
    <row r="1292" spans="13:19" ht="13.95" customHeight="1">
      <c r="M1292"/>
      <c r="N1292"/>
      <c r="O1292"/>
      <c r="P1292"/>
      <c r="Q1292"/>
      <c r="R1292"/>
      <c r="S1292"/>
    </row>
    <row r="1293" spans="13:19" ht="13.95" customHeight="1">
      <c r="M1293"/>
      <c r="N1293"/>
      <c r="O1293"/>
      <c r="P1293"/>
      <c r="Q1293"/>
      <c r="R1293"/>
      <c r="S1293"/>
    </row>
    <row r="1294" spans="13:19" ht="13.95" customHeight="1">
      <c r="M1294"/>
      <c r="N1294"/>
      <c r="O1294"/>
      <c r="P1294"/>
      <c r="Q1294"/>
      <c r="R1294"/>
      <c r="S1294"/>
    </row>
    <row r="1295" spans="13:19" ht="13.95" customHeight="1">
      <c r="M1295"/>
      <c r="N1295"/>
      <c r="O1295"/>
      <c r="P1295"/>
      <c r="Q1295"/>
      <c r="R1295"/>
      <c r="S1295"/>
    </row>
    <row r="1296" spans="13:19" ht="13.95" customHeight="1">
      <c r="M1296"/>
      <c r="N1296"/>
      <c r="O1296"/>
      <c r="P1296"/>
      <c r="Q1296"/>
      <c r="R1296"/>
      <c r="S1296"/>
    </row>
    <row r="1297" spans="13:19" ht="13.95" customHeight="1">
      <c r="M1297"/>
      <c r="N1297"/>
      <c r="O1297"/>
      <c r="P1297"/>
      <c r="Q1297"/>
      <c r="R1297"/>
      <c r="S1297"/>
    </row>
    <row r="1298" spans="13:19" ht="13.95" customHeight="1">
      <c r="M1298"/>
      <c r="N1298"/>
      <c r="O1298"/>
      <c r="P1298"/>
      <c r="Q1298"/>
      <c r="R1298"/>
      <c r="S1298"/>
    </row>
    <row r="1299" spans="13:19" ht="13.95" customHeight="1">
      <c r="M1299"/>
      <c r="N1299"/>
      <c r="O1299"/>
      <c r="P1299"/>
      <c r="Q1299"/>
      <c r="R1299"/>
      <c r="S1299"/>
    </row>
    <row r="1300" spans="13:19" ht="13.95" customHeight="1">
      <c r="M1300"/>
      <c r="N1300"/>
      <c r="O1300"/>
      <c r="P1300"/>
      <c r="Q1300"/>
      <c r="R1300"/>
      <c r="S1300"/>
    </row>
    <row r="1301" spans="13:19" ht="13.95" customHeight="1">
      <c r="M1301"/>
      <c r="N1301"/>
      <c r="O1301"/>
      <c r="P1301"/>
      <c r="Q1301"/>
      <c r="R1301"/>
      <c r="S1301"/>
    </row>
    <row r="1302" spans="13:19" ht="13.95" customHeight="1">
      <c r="M1302"/>
      <c r="N1302"/>
      <c r="O1302"/>
      <c r="P1302"/>
      <c r="Q1302"/>
      <c r="R1302"/>
      <c r="S1302"/>
    </row>
    <row r="1303" spans="13:19" ht="13.95" customHeight="1">
      <c r="M1303"/>
      <c r="N1303"/>
      <c r="O1303"/>
      <c r="P1303"/>
      <c r="Q1303"/>
      <c r="R1303"/>
      <c r="S1303"/>
    </row>
    <row r="1304" spans="13:19" ht="13.95" customHeight="1">
      <c r="M1304"/>
      <c r="N1304"/>
      <c r="O1304"/>
      <c r="P1304"/>
      <c r="Q1304"/>
      <c r="R1304"/>
      <c r="S1304"/>
    </row>
    <row r="1305" spans="13:19" ht="13.95" customHeight="1">
      <c r="M1305"/>
      <c r="N1305"/>
      <c r="O1305"/>
      <c r="P1305"/>
      <c r="Q1305"/>
      <c r="R1305"/>
      <c r="S1305"/>
    </row>
    <row r="1306" spans="13:19" ht="13.95" customHeight="1">
      <c r="M1306"/>
      <c r="N1306"/>
      <c r="O1306"/>
      <c r="P1306"/>
      <c r="Q1306"/>
      <c r="R1306"/>
      <c r="S1306"/>
    </row>
    <row r="1307" spans="13:19" ht="13.95" customHeight="1">
      <c r="M1307"/>
      <c r="N1307"/>
      <c r="O1307"/>
      <c r="P1307"/>
      <c r="Q1307"/>
      <c r="R1307"/>
      <c r="S1307"/>
    </row>
    <row r="1308" spans="13:19" ht="13.95" customHeight="1">
      <c r="M1308"/>
      <c r="N1308"/>
      <c r="O1308"/>
      <c r="P1308"/>
      <c r="Q1308"/>
      <c r="R1308"/>
      <c r="S1308"/>
    </row>
    <row r="1309" spans="13:19" ht="13.95" customHeight="1">
      <c r="M1309"/>
      <c r="N1309"/>
      <c r="O1309"/>
      <c r="P1309"/>
      <c r="Q1309"/>
      <c r="R1309"/>
      <c r="S1309"/>
    </row>
    <row r="1310" spans="13:19" ht="13.95" customHeight="1">
      <c r="M1310"/>
      <c r="N1310"/>
      <c r="O1310"/>
      <c r="P1310"/>
      <c r="Q1310"/>
      <c r="R1310"/>
      <c r="S1310"/>
    </row>
    <row r="1311" spans="13:19" ht="13.95" customHeight="1">
      <c r="M1311"/>
      <c r="N1311"/>
      <c r="O1311"/>
      <c r="P1311"/>
      <c r="Q1311"/>
      <c r="R1311"/>
      <c r="S1311"/>
    </row>
    <row r="1312" spans="13:19" ht="13.95" customHeight="1">
      <c r="M1312"/>
      <c r="N1312"/>
      <c r="O1312"/>
      <c r="P1312"/>
      <c r="Q1312"/>
      <c r="R1312"/>
      <c r="S1312"/>
    </row>
    <row r="1313" spans="13:19" ht="13.95" customHeight="1">
      <c r="M1313"/>
      <c r="N1313"/>
      <c r="O1313"/>
      <c r="P1313"/>
      <c r="Q1313"/>
      <c r="R1313"/>
      <c r="S1313"/>
    </row>
    <row r="1314" spans="13:19" ht="13.95" customHeight="1">
      <c r="M1314"/>
      <c r="N1314"/>
      <c r="O1314"/>
      <c r="P1314"/>
      <c r="Q1314"/>
      <c r="R1314"/>
      <c r="S1314"/>
    </row>
    <row r="1315" spans="13:19" ht="13.95" customHeight="1">
      <c r="M1315"/>
      <c r="N1315"/>
      <c r="O1315"/>
      <c r="P1315"/>
      <c r="Q1315"/>
      <c r="R1315"/>
      <c r="S1315"/>
    </row>
    <row r="1316" spans="13:19" ht="13.95" customHeight="1">
      <c r="M1316"/>
      <c r="N1316"/>
      <c r="O1316"/>
      <c r="P1316"/>
      <c r="Q1316"/>
      <c r="R1316"/>
      <c r="S1316"/>
    </row>
    <row r="1317" spans="13:19" ht="13.95" customHeight="1">
      <c r="M1317"/>
      <c r="N1317"/>
      <c r="O1317"/>
      <c r="P1317"/>
      <c r="Q1317"/>
      <c r="R1317"/>
      <c r="S1317"/>
    </row>
    <row r="1318" spans="13:19" ht="13.95" customHeight="1">
      <c r="M1318"/>
      <c r="N1318"/>
      <c r="O1318"/>
      <c r="P1318"/>
      <c r="Q1318"/>
      <c r="R1318"/>
      <c r="S1318"/>
    </row>
    <row r="1319" spans="13:19" ht="13.95" customHeight="1">
      <c r="M1319"/>
      <c r="N1319"/>
      <c r="O1319"/>
      <c r="P1319"/>
      <c r="Q1319"/>
      <c r="R1319"/>
      <c r="S1319"/>
    </row>
    <row r="1320" spans="13:19" ht="13.95" customHeight="1">
      <c r="M1320"/>
      <c r="N1320"/>
      <c r="O1320"/>
      <c r="P1320"/>
      <c r="Q1320"/>
      <c r="R1320"/>
      <c r="S1320"/>
    </row>
    <row r="1321" spans="13:19" ht="13.95" customHeight="1">
      <c r="M1321"/>
      <c r="N1321"/>
      <c r="O1321"/>
      <c r="P1321"/>
      <c r="Q1321"/>
      <c r="R1321"/>
      <c r="S1321"/>
    </row>
    <row r="1322" spans="13:19" ht="13.95" customHeight="1">
      <c r="M1322"/>
      <c r="N1322"/>
      <c r="O1322"/>
      <c r="P1322"/>
      <c r="Q1322"/>
      <c r="R1322"/>
      <c r="S1322"/>
    </row>
    <row r="1323" spans="13:19" ht="13.95" customHeight="1">
      <c r="M1323"/>
      <c r="N1323"/>
      <c r="O1323"/>
      <c r="P1323"/>
      <c r="Q1323"/>
      <c r="R1323"/>
      <c r="S1323"/>
    </row>
    <row r="1324" spans="13:19" ht="13.95" customHeight="1">
      <c r="M1324"/>
      <c r="N1324"/>
      <c r="O1324"/>
      <c r="P1324"/>
      <c r="Q1324"/>
      <c r="R1324"/>
      <c r="S1324"/>
    </row>
    <row r="1325" spans="13:19" ht="13.95" customHeight="1">
      <c r="M1325"/>
      <c r="N1325"/>
      <c r="O1325"/>
      <c r="P1325"/>
      <c r="Q1325"/>
      <c r="R1325"/>
      <c r="S1325"/>
    </row>
    <row r="1326" spans="13:19" ht="13.95" customHeight="1">
      <c r="M1326"/>
      <c r="N1326"/>
      <c r="O1326"/>
      <c r="P1326"/>
      <c r="Q1326"/>
      <c r="R1326"/>
      <c r="S1326"/>
    </row>
    <row r="1327" spans="13:19" ht="13.95" customHeight="1">
      <c r="M1327"/>
      <c r="N1327"/>
      <c r="O1327"/>
      <c r="P1327"/>
      <c r="Q1327"/>
      <c r="R1327"/>
      <c r="S1327"/>
    </row>
    <row r="1328" spans="13:19" ht="13.95" customHeight="1">
      <c r="M1328"/>
      <c r="N1328"/>
      <c r="O1328"/>
      <c r="P1328"/>
      <c r="Q1328"/>
      <c r="R1328"/>
      <c r="S1328"/>
    </row>
    <row r="1329" spans="13:19" ht="13.95" customHeight="1">
      <c r="M1329"/>
      <c r="N1329"/>
      <c r="O1329"/>
      <c r="P1329"/>
      <c r="Q1329"/>
      <c r="R1329"/>
      <c r="S1329"/>
    </row>
    <row r="1330" spans="13:19" ht="13.95" customHeight="1">
      <c r="M1330"/>
      <c r="N1330"/>
      <c r="O1330"/>
      <c r="P1330"/>
      <c r="Q1330"/>
      <c r="R1330"/>
      <c r="S1330"/>
    </row>
    <row r="1331" spans="13:19" ht="13.95" customHeight="1">
      <c r="M1331"/>
      <c r="N1331"/>
      <c r="O1331"/>
      <c r="P1331"/>
      <c r="Q1331"/>
      <c r="R1331"/>
      <c r="S1331"/>
    </row>
    <row r="1332" spans="13:19" ht="13.95" customHeight="1">
      <c r="M1332"/>
      <c r="N1332"/>
      <c r="O1332"/>
      <c r="P1332"/>
      <c r="Q1332"/>
      <c r="R1332"/>
      <c r="S1332"/>
    </row>
    <row r="1333" spans="13:19" ht="13.95" customHeight="1">
      <c r="M1333"/>
      <c r="N1333"/>
      <c r="O1333"/>
      <c r="P1333"/>
      <c r="Q1333"/>
      <c r="R1333"/>
      <c r="S1333"/>
    </row>
    <row r="1334" spans="13:19" ht="13.95" customHeight="1">
      <c r="M1334"/>
      <c r="N1334"/>
      <c r="O1334"/>
      <c r="P1334"/>
      <c r="Q1334"/>
      <c r="R1334"/>
      <c r="S1334"/>
    </row>
    <row r="1335" spans="13:19" ht="13.95" customHeight="1">
      <c r="M1335"/>
      <c r="N1335"/>
      <c r="O1335"/>
      <c r="P1335"/>
      <c r="Q1335"/>
      <c r="R1335"/>
      <c r="S1335"/>
    </row>
    <row r="1336" spans="13:19" ht="13.95" customHeight="1">
      <c r="M1336"/>
      <c r="N1336"/>
      <c r="O1336"/>
      <c r="P1336"/>
      <c r="Q1336"/>
      <c r="R1336"/>
      <c r="S1336"/>
    </row>
    <row r="1337" spans="13:19" ht="13.95" customHeight="1">
      <c r="M1337"/>
      <c r="N1337"/>
      <c r="O1337"/>
      <c r="P1337"/>
      <c r="Q1337"/>
      <c r="R1337"/>
      <c r="S1337"/>
    </row>
    <row r="1338" spans="13:19" ht="13.95" customHeight="1">
      <c r="M1338"/>
      <c r="N1338"/>
      <c r="O1338"/>
      <c r="P1338"/>
      <c r="Q1338"/>
      <c r="R1338"/>
      <c r="S1338"/>
    </row>
    <row r="1339" spans="13:19" ht="13.95" customHeight="1">
      <c r="M1339"/>
      <c r="N1339"/>
      <c r="O1339"/>
      <c r="P1339"/>
      <c r="Q1339"/>
      <c r="R1339"/>
      <c r="S1339"/>
    </row>
    <row r="1340" spans="13:19" ht="13.95" customHeight="1">
      <c r="M1340"/>
      <c r="N1340"/>
      <c r="O1340"/>
      <c r="P1340"/>
      <c r="Q1340"/>
      <c r="R1340"/>
      <c r="S1340"/>
    </row>
    <row r="1341" spans="13:19" ht="13.95" customHeight="1">
      <c r="M1341"/>
      <c r="N1341"/>
      <c r="O1341"/>
      <c r="P1341"/>
      <c r="Q1341"/>
      <c r="R1341"/>
      <c r="S1341"/>
    </row>
    <row r="1342" spans="13:19" ht="13.95" customHeight="1">
      <c r="M1342"/>
      <c r="N1342"/>
      <c r="O1342"/>
      <c r="P1342"/>
      <c r="Q1342"/>
      <c r="R1342"/>
      <c r="S1342"/>
    </row>
    <row r="1343" spans="13:19" ht="13.95" customHeight="1">
      <c r="M1343"/>
      <c r="N1343"/>
      <c r="O1343"/>
      <c r="P1343"/>
      <c r="Q1343"/>
      <c r="R1343"/>
      <c r="S1343"/>
    </row>
    <row r="1344" spans="13:19" ht="13.95" customHeight="1">
      <c r="M1344"/>
      <c r="N1344"/>
      <c r="O1344"/>
      <c r="P1344"/>
      <c r="Q1344"/>
      <c r="R1344"/>
      <c r="S1344"/>
    </row>
    <row r="1345" spans="13:19" ht="13.95" customHeight="1">
      <c r="M1345"/>
      <c r="N1345"/>
      <c r="O1345"/>
      <c r="P1345"/>
      <c r="Q1345"/>
      <c r="R1345"/>
      <c r="S1345"/>
    </row>
    <row r="1346" spans="13:19" ht="13.95" customHeight="1">
      <c r="M1346"/>
      <c r="N1346"/>
      <c r="O1346"/>
      <c r="P1346"/>
      <c r="Q1346"/>
      <c r="R1346"/>
      <c r="S1346"/>
    </row>
    <row r="1347" spans="13:19" ht="13.95" customHeight="1">
      <c r="M1347"/>
      <c r="N1347"/>
      <c r="O1347"/>
      <c r="P1347"/>
      <c r="Q1347"/>
      <c r="R1347"/>
      <c r="S1347"/>
    </row>
    <row r="1348" spans="13:19" ht="13.95" customHeight="1">
      <c r="M1348"/>
      <c r="N1348"/>
      <c r="O1348"/>
      <c r="P1348"/>
      <c r="Q1348"/>
      <c r="R1348"/>
      <c r="S1348"/>
    </row>
    <row r="1349" spans="13:19" ht="13.95" customHeight="1">
      <c r="M1349"/>
      <c r="N1349"/>
      <c r="O1349"/>
      <c r="P1349"/>
      <c r="Q1349"/>
      <c r="R1349"/>
      <c r="S1349"/>
    </row>
    <row r="1350" spans="13:19" ht="13.95" customHeight="1">
      <c r="M1350"/>
      <c r="N1350"/>
      <c r="O1350"/>
      <c r="P1350"/>
      <c r="Q1350"/>
      <c r="R1350"/>
      <c r="S1350"/>
    </row>
    <row r="1351" spans="13:19" ht="13.95" customHeight="1">
      <c r="M1351"/>
      <c r="N1351"/>
      <c r="O1351"/>
      <c r="P1351"/>
      <c r="Q1351"/>
      <c r="R1351"/>
      <c r="S1351"/>
    </row>
    <row r="1352" spans="13:19" ht="13.95" customHeight="1">
      <c r="M1352"/>
      <c r="N1352"/>
      <c r="O1352"/>
      <c r="P1352"/>
      <c r="Q1352"/>
      <c r="R1352"/>
      <c r="S1352"/>
    </row>
    <row r="1353" spans="13:19" ht="13.95" customHeight="1">
      <c r="M1353"/>
      <c r="N1353"/>
      <c r="O1353"/>
      <c r="P1353"/>
      <c r="Q1353"/>
      <c r="R1353"/>
      <c r="S1353"/>
    </row>
    <row r="1354" spans="13:19" ht="13.95" customHeight="1">
      <c r="M1354"/>
      <c r="N1354"/>
      <c r="O1354"/>
      <c r="P1354"/>
      <c r="Q1354"/>
      <c r="R1354"/>
      <c r="S1354"/>
    </row>
    <row r="1355" spans="13:19" ht="13.95" customHeight="1">
      <c r="M1355"/>
      <c r="N1355"/>
      <c r="O1355"/>
      <c r="P1355"/>
      <c r="Q1355"/>
      <c r="R1355"/>
      <c r="S1355"/>
    </row>
    <row r="1356" spans="13:19" ht="13.95" customHeight="1">
      <c r="M1356"/>
      <c r="N1356"/>
      <c r="O1356"/>
      <c r="P1356"/>
      <c r="Q1356"/>
      <c r="R1356"/>
      <c r="S1356"/>
    </row>
    <row r="1357" spans="13:19" ht="13.95" customHeight="1">
      <c r="M1357"/>
      <c r="N1357"/>
      <c r="O1357"/>
      <c r="P1357"/>
      <c r="Q1357"/>
      <c r="R1357"/>
      <c r="S1357"/>
    </row>
    <row r="1358" spans="13:19" ht="13.95" customHeight="1">
      <c r="M1358"/>
      <c r="N1358"/>
      <c r="O1358"/>
      <c r="P1358"/>
      <c r="Q1358"/>
      <c r="R1358"/>
      <c r="S1358"/>
    </row>
    <row r="1359" spans="13:19" ht="13.95" customHeight="1">
      <c r="M1359"/>
      <c r="N1359"/>
      <c r="O1359"/>
      <c r="P1359"/>
      <c r="Q1359"/>
      <c r="R1359"/>
      <c r="S1359"/>
    </row>
    <row r="1360" spans="13:19" ht="13.95" customHeight="1">
      <c r="M1360"/>
      <c r="N1360"/>
      <c r="O1360"/>
      <c r="P1360"/>
      <c r="Q1360"/>
      <c r="R1360"/>
      <c r="S1360"/>
    </row>
    <row r="1361" spans="13:19" ht="13.95" customHeight="1">
      <c r="M1361"/>
      <c r="N1361"/>
      <c r="O1361"/>
      <c r="P1361"/>
      <c r="Q1361"/>
      <c r="R1361"/>
      <c r="S1361"/>
    </row>
    <row r="1362" spans="13:19" ht="13.95" customHeight="1">
      <c r="M1362"/>
      <c r="N1362"/>
      <c r="O1362"/>
      <c r="P1362"/>
      <c r="Q1362"/>
      <c r="R1362"/>
      <c r="S1362"/>
    </row>
    <row r="1363" spans="13:19" ht="13.95" customHeight="1">
      <c r="M1363"/>
      <c r="N1363"/>
      <c r="O1363"/>
      <c r="P1363"/>
      <c r="Q1363"/>
      <c r="R1363"/>
      <c r="S1363"/>
    </row>
    <row r="1364" spans="13:19" ht="13.95" customHeight="1">
      <c r="M1364"/>
      <c r="N1364"/>
      <c r="O1364"/>
      <c r="P1364"/>
      <c r="Q1364"/>
      <c r="R1364"/>
      <c r="S1364"/>
    </row>
    <row r="1365" spans="13:19" ht="13.95" customHeight="1">
      <c r="M1365"/>
      <c r="N1365"/>
      <c r="O1365"/>
      <c r="P1365"/>
      <c r="Q1365"/>
      <c r="R1365"/>
      <c r="S1365"/>
    </row>
    <row r="1366" spans="13:19" ht="13.95" customHeight="1">
      <c r="M1366"/>
      <c r="N1366"/>
      <c r="O1366"/>
      <c r="P1366"/>
      <c r="Q1366"/>
      <c r="R1366"/>
      <c r="S1366"/>
    </row>
    <row r="1367" spans="13:19" ht="13.95" customHeight="1">
      <c r="M1367"/>
      <c r="N1367"/>
      <c r="O1367"/>
      <c r="P1367"/>
      <c r="Q1367"/>
      <c r="R1367"/>
      <c r="S1367"/>
    </row>
    <row r="1368" spans="13:19" ht="13.95" customHeight="1">
      <c r="M1368"/>
      <c r="N1368"/>
      <c r="O1368"/>
      <c r="P1368"/>
      <c r="Q1368"/>
      <c r="R1368"/>
      <c r="S1368"/>
    </row>
    <row r="1369" spans="13:19" ht="13.95" customHeight="1">
      <c r="M1369"/>
      <c r="N1369"/>
      <c r="O1369"/>
      <c r="P1369"/>
      <c r="Q1369"/>
      <c r="R1369"/>
      <c r="S1369"/>
    </row>
    <row r="1370" spans="13:19" ht="13.95" customHeight="1">
      <c r="M1370"/>
      <c r="N1370"/>
      <c r="O1370"/>
      <c r="P1370"/>
      <c r="Q1370"/>
      <c r="R1370"/>
      <c r="S1370"/>
    </row>
    <row r="1371" spans="13:19" ht="13.95" customHeight="1">
      <c r="M1371"/>
      <c r="N1371"/>
      <c r="O1371"/>
      <c r="P1371"/>
      <c r="Q1371"/>
      <c r="R1371"/>
      <c r="S1371"/>
    </row>
    <row r="1372" spans="13:19" ht="13.95" customHeight="1">
      <c r="M1372"/>
      <c r="N1372"/>
      <c r="O1372"/>
      <c r="P1372"/>
      <c r="Q1372"/>
      <c r="R1372"/>
      <c r="S1372"/>
    </row>
    <row r="1373" spans="13:19" ht="13.95" customHeight="1">
      <c r="M1373"/>
      <c r="N1373"/>
      <c r="O1373"/>
      <c r="P1373"/>
      <c r="Q1373"/>
      <c r="R1373"/>
      <c r="S1373"/>
    </row>
    <row r="1374" spans="13:19" ht="13.95" customHeight="1">
      <c r="M1374"/>
      <c r="N1374"/>
      <c r="O1374"/>
      <c r="P1374"/>
      <c r="Q1374"/>
      <c r="R1374"/>
      <c r="S1374"/>
    </row>
    <row r="1375" spans="13:19" ht="13.95" customHeight="1">
      <c r="M1375"/>
      <c r="N1375"/>
      <c r="O1375"/>
      <c r="P1375"/>
      <c r="Q1375"/>
      <c r="R1375"/>
      <c r="S1375"/>
    </row>
    <row r="1376" spans="13:19" ht="13.95" customHeight="1">
      <c r="M1376"/>
      <c r="N1376"/>
      <c r="O1376"/>
      <c r="P1376"/>
      <c r="Q1376"/>
      <c r="R1376"/>
      <c r="S1376"/>
    </row>
    <row r="1377" spans="13:19" ht="13.95" customHeight="1">
      <c r="M1377"/>
      <c r="N1377"/>
      <c r="O1377"/>
      <c r="P1377"/>
      <c r="Q1377"/>
      <c r="R1377"/>
      <c r="S1377"/>
    </row>
    <row r="1378" spans="13:19" ht="13.95" customHeight="1">
      <c r="M1378"/>
      <c r="N1378"/>
      <c r="O1378"/>
      <c r="P1378"/>
      <c r="Q1378"/>
      <c r="R1378"/>
      <c r="S1378"/>
    </row>
    <row r="1379" spans="13:19" ht="13.95" customHeight="1">
      <c r="M1379"/>
      <c r="N1379"/>
      <c r="O1379"/>
      <c r="P1379"/>
      <c r="Q1379"/>
      <c r="R1379"/>
      <c r="S1379"/>
    </row>
    <row r="1380" spans="13:19" ht="13.95" customHeight="1">
      <c r="M1380"/>
      <c r="N1380"/>
      <c r="O1380"/>
      <c r="P1380"/>
      <c r="Q1380"/>
      <c r="R1380"/>
      <c r="S1380"/>
    </row>
    <row r="1381" spans="13:19" ht="13.95" customHeight="1">
      <c r="M1381"/>
      <c r="N1381"/>
      <c r="O1381"/>
      <c r="P1381"/>
      <c r="Q1381"/>
      <c r="R1381"/>
      <c r="S1381"/>
    </row>
    <row r="1382" spans="13:19" ht="13.95" customHeight="1">
      <c r="M1382"/>
      <c r="N1382"/>
      <c r="O1382"/>
      <c r="P1382"/>
      <c r="Q1382"/>
      <c r="R1382"/>
      <c r="S1382"/>
    </row>
    <row r="1383" spans="13:19" ht="13.95" customHeight="1">
      <c r="M1383"/>
      <c r="N1383"/>
      <c r="O1383"/>
      <c r="P1383"/>
      <c r="Q1383"/>
      <c r="R1383"/>
      <c r="S1383"/>
    </row>
    <row r="1384" spans="13:19" ht="13.95" customHeight="1">
      <c r="M1384"/>
      <c r="N1384"/>
      <c r="O1384"/>
      <c r="P1384"/>
      <c r="Q1384"/>
      <c r="R1384"/>
      <c r="S1384"/>
    </row>
    <row r="1385" spans="13:19" ht="13.95" customHeight="1">
      <c r="M1385"/>
      <c r="N1385"/>
      <c r="O1385"/>
      <c r="P1385"/>
      <c r="Q1385"/>
      <c r="R1385"/>
      <c r="S1385"/>
    </row>
    <row r="1386" spans="13:19" ht="13.95" customHeight="1">
      <c r="M1386"/>
      <c r="N1386"/>
      <c r="O1386"/>
      <c r="P1386"/>
      <c r="Q1386"/>
      <c r="R1386"/>
      <c r="S1386"/>
    </row>
    <row r="1387" spans="13:19" ht="13.95" customHeight="1">
      <c r="M1387"/>
      <c r="N1387"/>
      <c r="O1387"/>
      <c r="P1387"/>
      <c r="Q1387"/>
      <c r="R1387"/>
      <c r="S1387"/>
    </row>
    <row r="1388" spans="13:19" ht="13.95" customHeight="1">
      <c r="M1388"/>
      <c r="N1388"/>
      <c r="O1388"/>
      <c r="P1388"/>
      <c r="Q1388"/>
      <c r="R1388"/>
      <c r="S1388"/>
    </row>
    <row r="1389" spans="13:19" ht="13.95" customHeight="1">
      <c r="M1389"/>
      <c r="N1389"/>
      <c r="O1389"/>
      <c r="P1389"/>
      <c r="Q1389"/>
      <c r="R1389"/>
      <c r="S1389"/>
    </row>
    <row r="1390" spans="13:19" ht="13.95" customHeight="1">
      <c r="M1390"/>
      <c r="N1390"/>
      <c r="O1390"/>
      <c r="P1390"/>
      <c r="Q1390"/>
      <c r="R1390"/>
      <c r="S1390"/>
    </row>
    <row r="1391" spans="13:19" ht="13.95" customHeight="1">
      <c r="M1391"/>
      <c r="N1391"/>
      <c r="O1391"/>
      <c r="P1391"/>
      <c r="Q1391"/>
      <c r="R1391"/>
      <c r="S1391"/>
    </row>
    <row r="1392" spans="13:19" ht="13.95" customHeight="1">
      <c r="M1392"/>
      <c r="N1392"/>
      <c r="O1392"/>
      <c r="P1392"/>
      <c r="Q1392"/>
      <c r="R1392"/>
      <c r="S1392"/>
    </row>
    <row r="1393" spans="13:19" ht="13.95" customHeight="1">
      <c r="M1393"/>
      <c r="N1393"/>
      <c r="O1393"/>
      <c r="P1393"/>
      <c r="Q1393"/>
      <c r="R1393"/>
      <c r="S1393"/>
    </row>
    <row r="1394" spans="13:19" ht="13.95" customHeight="1">
      <c r="M1394"/>
      <c r="N1394"/>
      <c r="O1394"/>
      <c r="P1394"/>
      <c r="Q1394"/>
      <c r="R1394"/>
      <c r="S1394"/>
    </row>
    <row r="1395" spans="13:19" ht="13.95" customHeight="1">
      <c r="M1395"/>
      <c r="N1395"/>
      <c r="O1395"/>
      <c r="P1395"/>
      <c r="Q1395"/>
      <c r="R1395"/>
      <c r="S1395"/>
    </row>
    <row r="1396" spans="13:19" ht="13.95" customHeight="1">
      <c r="M1396"/>
      <c r="N1396"/>
      <c r="O1396"/>
      <c r="P1396"/>
      <c r="Q1396"/>
      <c r="R1396"/>
      <c r="S1396"/>
    </row>
    <row r="1397" spans="13:19" ht="13.95" customHeight="1">
      <c r="M1397"/>
      <c r="N1397"/>
      <c r="O1397"/>
      <c r="P1397"/>
      <c r="Q1397"/>
      <c r="R1397"/>
      <c r="S1397"/>
    </row>
    <row r="1398" spans="13:19" ht="13.95" customHeight="1">
      <c r="M1398"/>
      <c r="N1398"/>
      <c r="O1398"/>
      <c r="P1398"/>
      <c r="Q1398"/>
      <c r="R1398"/>
      <c r="S1398"/>
    </row>
    <row r="1399" spans="13:19" ht="13.95" customHeight="1">
      <c r="M1399"/>
      <c r="N1399"/>
      <c r="O1399"/>
      <c r="P1399"/>
      <c r="Q1399"/>
      <c r="R1399"/>
      <c r="S1399"/>
    </row>
    <row r="1400" spans="13:19" ht="13.95" customHeight="1">
      <c r="M1400"/>
      <c r="N1400"/>
      <c r="O1400"/>
      <c r="P1400"/>
      <c r="Q1400"/>
      <c r="R1400"/>
      <c r="S1400"/>
    </row>
    <row r="1401" spans="13:19" ht="13.95" customHeight="1">
      <c r="M1401"/>
      <c r="N1401"/>
      <c r="O1401"/>
      <c r="P1401"/>
      <c r="Q1401"/>
      <c r="R1401"/>
      <c r="S1401"/>
    </row>
    <row r="1402" spans="13:19" ht="13.95" customHeight="1">
      <c r="M1402"/>
      <c r="N1402"/>
      <c r="O1402"/>
      <c r="P1402"/>
      <c r="Q1402"/>
      <c r="R1402"/>
      <c r="S1402"/>
    </row>
    <row r="1403" spans="13:19" ht="13.95" customHeight="1">
      <c r="M1403"/>
      <c r="N1403"/>
      <c r="O1403"/>
      <c r="P1403"/>
      <c r="Q1403"/>
      <c r="R1403"/>
      <c r="S1403"/>
    </row>
    <row r="1404" spans="13:19" ht="13.95" customHeight="1">
      <c r="M1404"/>
      <c r="N1404"/>
      <c r="O1404"/>
      <c r="P1404"/>
      <c r="Q1404"/>
      <c r="R1404"/>
      <c r="S1404"/>
    </row>
    <row r="1405" spans="13:19" ht="13.95" customHeight="1">
      <c r="M1405"/>
      <c r="N1405"/>
      <c r="O1405"/>
      <c r="P1405"/>
      <c r="Q1405"/>
      <c r="R1405"/>
      <c r="S1405"/>
    </row>
    <row r="1406" spans="13:19" ht="13.95" customHeight="1">
      <c r="M1406"/>
      <c r="N1406"/>
      <c r="O1406"/>
      <c r="P1406"/>
      <c r="Q1406"/>
      <c r="R1406"/>
      <c r="S1406"/>
    </row>
    <row r="1407" spans="13:19" ht="13.95" customHeight="1">
      <c r="M1407"/>
      <c r="N1407"/>
      <c r="O1407"/>
      <c r="P1407"/>
      <c r="Q1407"/>
      <c r="R1407"/>
      <c r="S1407"/>
    </row>
    <row r="1408" spans="13:19" ht="13.95" customHeight="1">
      <c r="M1408"/>
      <c r="N1408"/>
      <c r="O1408"/>
      <c r="P1408"/>
      <c r="Q1408"/>
      <c r="R1408"/>
      <c r="S1408"/>
    </row>
    <row r="1409" spans="13:19" ht="13.95" customHeight="1">
      <c r="M1409"/>
      <c r="N1409"/>
      <c r="O1409"/>
      <c r="P1409"/>
      <c r="Q1409"/>
      <c r="R1409"/>
      <c r="S1409"/>
    </row>
    <row r="1410" spans="13:19" ht="13.95" customHeight="1">
      <c r="M1410"/>
      <c r="N1410"/>
      <c r="O1410"/>
      <c r="P1410"/>
      <c r="Q1410"/>
      <c r="R1410"/>
      <c r="S1410"/>
    </row>
    <row r="1411" spans="13:19" ht="13.95" customHeight="1">
      <c r="M1411"/>
      <c r="N1411"/>
      <c r="O1411"/>
      <c r="P1411"/>
      <c r="Q1411"/>
      <c r="R1411"/>
      <c r="S1411"/>
    </row>
    <row r="1412" spans="13:19" ht="13.95" customHeight="1">
      <c r="M1412"/>
      <c r="N1412"/>
      <c r="O1412"/>
      <c r="P1412"/>
      <c r="Q1412"/>
      <c r="R1412"/>
      <c r="S1412"/>
    </row>
    <row r="1413" spans="13:19" ht="13.95" customHeight="1">
      <c r="M1413"/>
      <c r="N1413"/>
      <c r="O1413"/>
      <c r="P1413"/>
      <c r="Q1413"/>
      <c r="R1413"/>
      <c r="S1413"/>
    </row>
    <row r="1414" spans="13:19" ht="13.95" customHeight="1">
      <c r="M1414"/>
      <c r="N1414"/>
      <c r="O1414"/>
      <c r="P1414"/>
      <c r="Q1414"/>
      <c r="R1414"/>
      <c r="S1414"/>
    </row>
    <row r="1415" spans="13:19" ht="13.95" customHeight="1">
      <c r="M1415"/>
      <c r="N1415"/>
      <c r="O1415"/>
      <c r="P1415"/>
      <c r="Q1415"/>
      <c r="R1415"/>
      <c r="S1415"/>
    </row>
    <row r="1416" spans="13:19" ht="13.95" customHeight="1">
      <c r="M1416"/>
      <c r="N1416"/>
      <c r="O1416"/>
      <c r="P1416"/>
      <c r="Q1416"/>
      <c r="R1416"/>
      <c r="S1416"/>
    </row>
    <row r="1417" spans="13:19" ht="13.95" customHeight="1">
      <c r="M1417"/>
      <c r="N1417"/>
      <c r="O1417"/>
      <c r="P1417"/>
      <c r="Q1417"/>
      <c r="R1417"/>
      <c r="S1417"/>
    </row>
    <row r="1418" spans="13:19" ht="13.95" customHeight="1">
      <c r="M1418"/>
      <c r="N1418"/>
      <c r="O1418"/>
      <c r="P1418"/>
      <c r="Q1418"/>
      <c r="R1418"/>
      <c r="S1418"/>
    </row>
    <row r="1419" spans="13:19" ht="13.95" customHeight="1">
      <c r="M1419"/>
      <c r="N1419"/>
      <c r="O1419"/>
      <c r="P1419"/>
      <c r="Q1419"/>
      <c r="R1419"/>
      <c r="S1419"/>
    </row>
    <row r="1420" spans="13:19" ht="13.95" customHeight="1">
      <c r="M1420"/>
      <c r="N1420"/>
      <c r="O1420"/>
      <c r="P1420"/>
      <c r="Q1420"/>
      <c r="R1420"/>
      <c r="S1420"/>
    </row>
    <row r="1421" spans="13:19" ht="13.95" customHeight="1">
      <c r="M1421"/>
      <c r="N1421"/>
      <c r="O1421"/>
      <c r="P1421"/>
      <c r="Q1421"/>
      <c r="R1421"/>
      <c r="S1421"/>
    </row>
    <row r="1422" spans="13:19" ht="13.95" customHeight="1">
      <c r="M1422"/>
      <c r="N1422"/>
      <c r="O1422"/>
      <c r="P1422"/>
      <c r="Q1422"/>
      <c r="R1422"/>
      <c r="S1422"/>
    </row>
    <row r="1423" spans="13:19" ht="13.95" customHeight="1">
      <c r="M1423"/>
      <c r="N1423"/>
      <c r="O1423"/>
      <c r="P1423"/>
      <c r="Q1423"/>
      <c r="R1423"/>
      <c r="S1423"/>
    </row>
    <row r="1424" spans="13:19" ht="13.95" customHeight="1">
      <c r="M1424"/>
      <c r="N1424"/>
      <c r="O1424"/>
      <c r="P1424"/>
      <c r="Q1424"/>
      <c r="R1424"/>
      <c r="S1424"/>
    </row>
    <row r="1425" spans="13:19" ht="13.95" customHeight="1">
      <c r="M1425"/>
      <c r="N1425"/>
      <c r="O1425"/>
      <c r="P1425"/>
      <c r="Q1425"/>
      <c r="R1425"/>
      <c r="S1425"/>
    </row>
    <row r="1426" spans="13:19" ht="13.95" customHeight="1">
      <c r="M1426"/>
      <c r="N1426"/>
      <c r="O1426"/>
      <c r="P1426"/>
      <c r="Q1426"/>
      <c r="R1426"/>
      <c r="S1426"/>
    </row>
    <row r="1427" spans="13:19" ht="13.95" customHeight="1">
      <c r="M1427"/>
      <c r="N1427"/>
      <c r="O1427"/>
      <c r="P1427"/>
      <c r="Q1427"/>
      <c r="R1427"/>
      <c r="S1427"/>
    </row>
    <row r="1428" spans="13:19" ht="13.95" customHeight="1">
      <c r="M1428"/>
      <c r="N1428"/>
      <c r="O1428"/>
      <c r="P1428"/>
      <c r="Q1428"/>
      <c r="R1428"/>
      <c r="S1428"/>
    </row>
    <row r="1429" spans="13:19" ht="13.95" customHeight="1">
      <c r="M1429"/>
      <c r="N1429"/>
      <c r="O1429"/>
      <c r="P1429"/>
      <c r="Q1429"/>
      <c r="R1429"/>
      <c r="S1429"/>
    </row>
    <row r="1430" spans="13:19" ht="13.95" customHeight="1">
      <c r="M1430"/>
      <c r="N1430"/>
      <c r="O1430"/>
      <c r="P1430"/>
      <c r="Q1430"/>
      <c r="R1430"/>
      <c r="S1430"/>
    </row>
    <row r="1431" spans="13:19" ht="13.95" customHeight="1">
      <c r="M1431"/>
      <c r="N1431"/>
      <c r="O1431"/>
      <c r="P1431"/>
      <c r="Q1431"/>
      <c r="R1431"/>
      <c r="S1431"/>
    </row>
    <row r="1432" spans="13:19" ht="13.95" customHeight="1">
      <c r="M1432"/>
      <c r="N1432"/>
      <c r="O1432"/>
      <c r="P1432"/>
      <c r="Q1432"/>
      <c r="R1432"/>
      <c r="S1432"/>
    </row>
    <row r="1433" spans="13:19" ht="13.95" customHeight="1">
      <c r="M1433"/>
      <c r="N1433"/>
      <c r="O1433"/>
      <c r="P1433"/>
      <c r="Q1433"/>
      <c r="R1433"/>
      <c r="S1433"/>
    </row>
    <row r="1434" spans="13:19" ht="13.95" customHeight="1">
      <c r="M1434"/>
      <c r="N1434"/>
      <c r="O1434"/>
      <c r="P1434"/>
      <c r="Q1434"/>
      <c r="R1434"/>
      <c r="S1434"/>
    </row>
    <row r="1435" spans="13:19" ht="13.95" customHeight="1">
      <c r="M1435"/>
      <c r="N1435"/>
      <c r="O1435"/>
      <c r="P1435"/>
      <c r="Q1435"/>
      <c r="R1435"/>
      <c r="S1435"/>
    </row>
    <row r="1436" spans="13:19" ht="13.95" customHeight="1">
      <c r="M1436"/>
      <c r="N1436"/>
      <c r="O1436"/>
      <c r="P1436"/>
      <c r="Q1436"/>
      <c r="R1436"/>
      <c r="S1436"/>
    </row>
    <row r="1437" spans="13:19" ht="13.95" customHeight="1">
      <c r="M1437"/>
      <c r="N1437"/>
      <c r="O1437"/>
      <c r="P1437"/>
      <c r="Q1437"/>
      <c r="R1437"/>
      <c r="S1437"/>
    </row>
    <row r="1438" spans="13:19" ht="13.95" customHeight="1">
      <c r="M1438"/>
      <c r="N1438"/>
      <c r="O1438"/>
      <c r="P1438"/>
      <c r="Q1438"/>
      <c r="R1438"/>
      <c r="S1438"/>
    </row>
    <row r="1439" spans="13:19" ht="13.95" customHeight="1">
      <c r="M1439"/>
      <c r="N1439"/>
      <c r="O1439"/>
      <c r="P1439"/>
      <c r="Q1439"/>
      <c r="R1439"/>
      <c r="S1439"/>
    </row>
    <row r="1440" spans="13:19" ht="13.95" customHeight="1">
      <c r="M1440"/>
      <c r="N1440"/>
      <c r="O1440"/>
      <c r="P1440"/>
      <c r="Q1440"/>
      <c r="R1440"/>
      <c r="S1440"/>
    </row>
    <row r="1441" spans="13:19" ht="13.95" customHeight="1">
      <c r="M1441"/>
      <c r="N1441"/>
      <c r="O1441"/>
      <c r="P1441"/>
      <c r="Q1441"/>
      <c r="R1441"/>
      <c r="S1441"/>
    </row>
    <row r="1442" spans="13:19" ht="13.95" customHeight="1">
      <c r="M1442"/>
      <c r="N1442"/>
      <c r="O1442"/>
      <c r="P1442"/>
      <c r="Q1442"/>
      <c r="R1442"/>
      <c r="S1442"/>
    </row>
    <row r="1443" spans="13:19" ht="13.95" customHeight="1">
      <c r="M1443"/>
      <c r="N1443"/>
      <c r="O1443"/>
      <c r="P1443"/>
      <c r="Q1443"/>
      <c r="R1443"/>
      <c r="S1443"/>
    </row>
    <row r="1444" spans="13:19" ht="13.95" customHeight="1">
      <c r="M1444"/>
      <c r="N1444"/>
      <c r="O1444"/>
      <c r="P1444"/>
      <c r="Q1444"/>
      <c r="R1444"/>
      <c r="S1444"/>
    </row>
    <row r="1445" spans="13:19" ht="13.95" customHeight="1">
      <c r="M1445"/>
      <c r="N1445"/>
      <c r="O1445"/>
      <c r="P1445"/>
      <c r="Q1445"/>
      <c r="R1445"/>
      <c r="S1445"/>
    </row>
    <row r="1446" spans="13:19" ht="13.95" customHeight="1">
      <c r="M1446"/>
      <c r="N1446"/>
      <c r="O1446"/>
      <c r="P1446"/>
      <c r="Q1446"/>
      <c r="R1446"/>
      <c r="S1446"/>
    </row>
    <row r="1447" spans="13:19" ht="13.95" customHeight="1">
      <c r="M1447"/>
      <c r="N1447"/>
      <c r="O1447"/>
      <c r="P1447"/>
      <c r="Q1447"/>
      <c r="R1447"/>
      <c r="S1447"/>
    </row>
    <row r="1448" spans="13:19" ht="13.95" customHeight="1">
      <c r="M1448"/>
      <c r="N1448"/>
      <c r="O1448"/>
      <c r="P1448"/>
      <c r="Q1448"/>
      <c r="R1448"/>
      <c r="S1448"/>
    </row>
    <row r="1449" spans="13:19" ht="13.95" customHeight="1">
      <c r="M1449"/>
      <c r="N1449"/>
      <c r="O1449"/>
      <c r="P1449"/>
      <c r="Q1449"/>
      <c r="R1449"/>
      <c r="S1449"/>
    </row>
    <row r="1450" spans="13:19" ht="13.95" customHeight="1">
      <c r="M1450"/>
      <c r="N1450"/>
      <c r="O1450"/>
      <c r="P1450"/>
      <c r="Q1450"/>
      <c r="R1450"/>
      <c r="S1450"/>
    </row>
    <row r="1451" spans="13:19" ht="13.95" customHeight="1">
      <c r="M1451"/>
      <c r="N1451"/>
      <c r="O1451"/>
      <c r="P1451"/>
      <c r="Q1451"/>
      <c r="R1451"/>
      <c r="S1451"/>
    </row>
    <row r="1452" spans="13:19" ht="13.95" customHeight="1">
      <c r="M1452"/>
      <c r="N1452"/>
      <c r="O1452"/>
      <c r="P1452"/>
      <c r="Q1452"/>
      <c r="R1452"/>
      <c r="S1452"/>
    </row>
    <row r="1453" spans="13:19" ht="13.95" customHeight="1">
      <c r="M1453"/>
      <c r="N1453"/>
      <c r="O1453"/>
      <c r="P1453"/>
      <c r="Q1453"/>
      <c r="R1453"/>
      <c r="S1453"/>
    </row>
    <row r="1454" spans="13:19" ht="13.95" customHeight="1">
      <c r="M1454"/>
      <c r="N1454"/>
      <c r="O1454"/>
      <c r="P1454"/>
      <c r="Q1454"/>
      <c r="R1454"/>
      <c r="S1454"/>
    </row>
    <row r="1455" spans="13:19" ht="13.95" customHeight="1">
      <c r="M1455"/>
      <c r="N1455"/>
      <c r="O1455"/>
      <c r="P1455"/>
      <c r="Q1455"/>
      <c r="R1455"/>
      <c r="S1455"/>
    </row>
    <row r="1456" spans="13:19" ht="13.95" customHeight="1">
      <c r="M1456"/>
      <c r="N1456"/>
      <c r="O1456"/>
      <c r="P1456"/>
      <c r="Q1456"/>
      <c r="R1456"/>
      <c r="S1456"/>
    </row>
    <row r="1457" spans="13:19" ht="13.95" customHeight="1">
      <c r="M1457"/>
      <c r="N1457"/>
      <c r="O1457"/>
      <c r="P1457"/>
      <c r="Q1457"/>
      <c r="R1457"/>
      <c r="S1457"/>
    </row>
    <row r="1458" spans="13:19" ht="13.95" customHeight="1">
      <c r="M1458"/>
      <c r="N1458"/>
      <c r="O1458"/>
      <c r="P1458"/>
      <c r="Q1458"/>
      <c r="R1458"/>
      <c r="S1458"/>
    </row>
    <row r="1459" spans="13:19" ht="13.95" customHeight="1">
      <c r="M1459"/>
      <c r="N1459"/>
      <c r="O1459"/>
      <c r="P1459"/>
      <c r="Q1459"/>
      <c r="R1459"/>
      <c r="S1459"/>
    </row>
    <row r="1460" spans="13:19" ht="13.95" customHeight="1">
      <c r="M1460"/>
      <c r="N1460"/>
      <c r="O1460"/>
      <c r="P1460"/>
      <c r="Q1460"/>
      <c r="R1460"/>
      <c r="S1460"/>
    </row>
    <row r="1461" spans="13:19" ht="13.95" customHeight="1">
      <c r="M1461"/>
      <c r="N1461"/>
      <c r="O1461"/>
      <c r="P1461"/>
      <c r="Q1461"/>
      <c r="R1461"/>
      <c r="S1461"/>
    </row>
    <row r="1462" spans="13:19" ht="13.95" customHeight="1">
      <c r="M1462"/>
      <c r="N1462"/>
      <c r="O1462"/>
      <c r="P1462"/>
      <c r="Q1462"/>
      <c r="R1462"/>
      <c r="S1462"/>
    </row>
    <row r="1463" spans="13:19" ht="13.95" customHeight="1">
      <c r="M1463"/>
      <c r="N1463"/>
      <c r="O1463"/>
      <c r="P1463"/>
      <c r="Q1463"/>
      <c r="R1463"/>
      <c r="S1463"/>
    </row>
    <row r="1464" spans="13:19" ht="13.95" customHeight="1">
      <c r="M1464"/>
      <c r="N1464"/>
      <c r="O1464"/>
      <c r="P1464"/>
      <c r="Q1464"/>
      <c r="R1464"/>
      <c r="S1464"/>
    </row>
    <row r="1465" spans="13:19" ht="13.95" customHeight="1">
      <c r="M1465"/>
      <c r="N1465"/>
      <c r="O1465"/>
      <c r="P1465"/>
      <c r="Q1465"/>
      <c r="R1465"/>
      <c r="S1465"/>
    </row>
    <row r="1466" spans="13:19" ht="13.95" customHeight="1">
      <c r="M1466"/>
      <c r="N1466"/>
      <c r="O1466"/>
      <c r="P1466"/>
      <c r="Q1466"/>
      <c r="R1466"/>
      <c r="S1466"/>
    </row>
    <row r="1467" spans="13:19" ht="13.95" customHeight="1">
      <c r="M1467"/>
      <c r="N1467"/>
      <c r="O1467"/>
      <c r="P1467"/>
      <c r="Q1467"/>
      <c r="R1467"/>
      <c r="S1467"/>
    </row>
    <row r="1468" spans="13:19" ht="13.95" customHeight="1">
      <c r="M1468"/>
      <c r="N1468"/>
      <c r="O1468"/>
      <c r="P1468"/>
      <c r="Q1468"/>
      <c r="R1468"/>
      <c r="S1468"/>
    </row>
    <row r="1469" spans="13:19" ht="13.95" customHeight="1">
      <c r="M1469"/>
      <c r="N1469"/>
      <c r="O1469"/>
      <c r="P1469"/>
      <c r="Q1469"/>
      <c r="R1469"/>
      <c r="S1469"/>
    </row>
    <row r="1470" spans="13:19" ht="13.95" customHeight="1">
      <c r="M1470"/>
      <c r="N1470"/>
      <c r="O1470"/>
      <c r="P1470"/>
      <c r="Q1470"/>
      <c r="R1470"/>
      <c r="S1470"/>
    </row>
    <row r="1471" spans="13:19" ht="13.95" customHeight="1">
      <c r="M1471"/>
      <c r="N1471"/>
      <c r="O1471"/>
      <c r="P1471"/>
      <c r="Q1471"/>
      <c r="R1471"/>
      <c r="S1471"/>
    </row>
    <row r="1472" spans="13:19" ht="13.95" customHeight="1">
      <c r="M1472"/>
      <c r="N1472"/>
      <c r="O1472"/>
      <c r="P1472"/>
      <c r="Q1472"/>
      <c r="R1472"/>
      <c r="S1472"/>
    </row>
    <row r="1473" spans="13:19" ht="13.95" customHeight="1">
      <c r="M1473"/>
      <c r="N1473"/>
      <c r="O1473"/>
      <c r="P1473"/>
      <c r="Q1473"/>
      <c r="R1473"/>
      <c r="S1473"/>
    </row>
    <row r="1474" spans="13:19" ht="13.95" customHeight="1">
      <c r="M1474"/>
      <c r="N1474"/>
      <c r="O1474"/>
      <c r="P1474"/>
      <c r="Q1474"/>
      <c r="R1474"/>
      <c r="S1474"/>
    </row>
    <row r="1475" spans="13:19" ht="13.95" customHeight="1">
      <c r="M1475"/>
      <c r="N1475"/>
      <c r="O1475"/>
      <c r="P1475"/>
      <c r="Q1475"/>
      <c r="R1475"/>
      <c r="S1475"/>
    </row>
    <row r="1476" spans="13:19" ht="13.95" customHeight="1">
      <c r="M1476"/>
      <c r="N1476"/>
      <c r="O1476"/>
      <c r="P1476"/>
      <c r="Q1476"/>
      <c r="R1476"/>
      <c r="S1476"/>
    </row>
    <row r="1477" spans="13:19" ht="13.95" customHeight="1">
      <c r="M1477"/>
      <c r="N1477"/>
      <c r="O1477"/>
      <c r="P1477"/>
      <c r="Q1477"/>
      <c r="R1477"/>
      <c r="S1477"/>
    </row>
    <row r="1478" spans="13:19" ht="13.95" customHeight="1">
      <c r="M1478"/>
      <c r="N1478"/>
      <c r="O1478"/>
      <c r="P1478"/>
      <c r="Q1478"/>
      <c r="R1478"/>
      <c r="S1478"/>
    </row>
    <row r="1479" spans="13:19" ht="13.95" customHeight="1">
      <c r="M1479"/>
      <c r="N1479"/>
      <c r="O1479"/>
      <c r="P1479"/>
      <c r="Q1479"/>
      <c r="R1479"/>
      <c r="S1479"/>
    </row>
    <row r="1480" spans="13:19" ht="13.95" customHeight="1">
      <c r="M1480"/>
      <c r="N1480"/>
      <c r="O1480"/>
      <c r="P1480"/>
      <c r="Q1480"/>
      <c r="R1480"/>
      <c r="S1480"/>
    </row>
    <row r="1481" spans="13:19" ht="13.95" customHeight="1">
      <c r="M1481"/>
      <c r="N1481"/>
      <c r="O1481"/>
      <c r="P1481"/>
      <c r="Q1481"/>
      <c r="R1481"/>
      <c r="S1481"/>
    </row>
    <row r="1482" spans="13:19" ht="13.95" customHeight="1">
      <c r="M1482"/>
      <c r="N1482"/>
      <c r="O1482"/>
      <c r="P1482"/>
      <c r="Q1482"/>
      <c r="R1482"/>
      <c r="S1482"/>
    </row>
    <row r="1483" spans="13:19" ht="13.95" customHeight="1">
      <c r="M1483"/>
      <c r="N1483"/>
      <c r="O1483"/>
      <c r="P1483"/>
      <c r="Q1483"/>
      <c r="R1483"/>
      <c r="S1483"/>
    </row>
    <row r="1484" spans="13:19" ht="13.95" customHeight="1">
      <c r="M1484"/>
      <c r="N1484"/>
      <c r="O1484"/>
      <c r="P1484"/>
      <c r="Q1484"/>
      <c r="R1484"/>
      <c r="S1484"/>
    </row>
    <row r="1485" spans="13:19" ht="13.95" customHeight="1">
      <c r="M1485"/>
      <c r="N1485"/>
      <c r="O1485"/>
      <c r="P1485"/>
      <c r="Q1485"/>
      <c r="R1485"/>
      <c r="S1485"/>
    </row>
    <row r="1486" spans="13:19" ht="13.95" customHeight="1">
      <c r="M1486"/>
      <c r="N1486"/>
      <c r="O1486"/>
      <c r="P1486"/>
      <c r="Q1486"/>
      <c r="R1486"/>
      <c r="S1486"/>
    </row>
    <row r="1487" spans="13:19" ht="13.95" customHeight="1">
      <c r="M1487"/>
      <c r="N1487"/>
      <c r="O1487"/>
      <c r="P1487"/>
      <c r="Q1487"/>
      <c r="R1487"/>
      <c r="S1487"/>
    </row>
    <row r="1488" spans="13:19" ht="13.95" customHeight="1">
      <c r="M1488"/>
      <c r="N1488"/>
      <c r="O1488"/>
      <c r="P1488"/>
      <c r="Q1488"/>
      <c r="R1488"/>
      <c r="S1488"/>
    </row>
    <row r="1489" spans="13:19" ht="13.95" customHeight="1">
      <c r="M1489"/>
      <c r="N1489"/>
      <c r="O1489"/>
      <c r="P1489"/>
      <c r="Q1489"/>
      <c r="R1489"/>
      <c r="S1489"/>
    </row>
    <row r="1490" spans="13:19" ht="13.95" customHeight="1">
      <c r="M1490"/>
      <c r="N1490"/>
      <c r="O1490"/>
      <c r="P1490"/>
      <c r="Q1490"/>
      <c r="R1490"/>
      <c r="S1490"/>
    </row>
    <row r="1491" spans="13:19" ht="13.95" customHeight="1">
      <c r="M1491"/>
      <c r="N1491"/>
      <c r="O1491"/>
      <c r="P1491"/>
      <c r="Q1491"/>
      <c r="R1491"/>
      <c r="S1491"/>
    </row>
    <row r="1492" spans="13:19" ht="13.95" customHeight="1">
      <c r="M1492"/>
      <c r="N1492"/>
      <c r="O1492"/>
      <c r="P1492"/>
      <c r="Q1492"/>
      <c r="R1492"/>
      <c r="S1492"/>
    </row>
    <row r="1493" spans="13:19" ht="13.95" customHeight="1">
      <c r="M1493"/>
      <c r="N1493"/>
      <c r="O1493"/>
      <c r="P1493"/>
      <c r="Q1493"/>
      <c r="R1493"/>
      <c r="S1493"/>
    </row>
    <row r="1494" spans="13:19" ht="13.95" customHeight="1">
      <c r="M1494"/>
      <c r="N1494"/>
      <c r="O1494"/>
      <c r="P1494"/>
      <c r="Q1494"/>
      <c r="R1494"/>
      <c r="S1494"/>
    </row>
    <row r="1495" spans="13:19" ht="13.95" customHeight="1">
      <c r="M1495"/>
      <c r="N1495"/>
      <c r="O1495"/>
      <c r="P1495"/>
      <c r="Q1495"/>
      <c r="R1495"/>
      <c r="S1495"/>
    </row>
    <row r="1496" spans="13:19" ht="13.95" customHeight="1">
      <c r="M1496"/>
      <c r="N1496"/>
      <c r="O1496"/>
      <c r="P1496"/>
      <c r="Q1496"/>
      <c r="R1496"/>
      <c r="S1496"/>
    </row>
    <row r="1497" spans="13:19" ht="13.95" customHeight="1">
      <c r="M1497"/>
      <c r="N1497"/>
      <c r="O1497"/>
      <c r="P1497"/>
      <c r="Q1497"/>
      <c r="R1497"/>
      <c r="S1497"/>
    </row>
    <row r="1498" spans="13:19" ht="13.95" customHeight="1">
      <c r="M1498"/>
      <c r="N1498"/>
      <c r="O1498"/>
      <c r="P1498"/>
      <c r="Q1498"/>
      <c r="R1498"/>
      <c r="S1498"/>
    </row>
    <row r="1499" spans="13:19" ht="13.95" customHeight="1">
      <c r="M1499"/>
      <c r="N1499"/>
      <c r="O1499"/>
      <c r="P1499"/>
      <c r="Q1499"/>
      <c r="R1499"/>
      <c r="S1499"/>
    </row>
    <row r="1500" spans="13:19" ht="13.95" customHeight="1">
      <c r="M1500"/>
      <c r="N1500"/>
      <c r="O1500"/>
      <c r="P1500"/>
      <c r="Q1500"/>
      <c r="R1500"/>
      <c r="S1500"/>
    </row>
    <row r="1501" spans="13:19" ht="13.95" customHeight="1">
      <c r="M1501"/>
      <c r="N1501"/>
      <c r="O1501"/>
      <c r="P1501"/>
      <c r="Q1501"/>
      <c r="R1501"/>
      <c r="S1501"/>
    </row>
    <row r="1502" spans="13:19" ht="13.95" customHeight="1">
      <c r="M1502"/>
      <c r="N1502"/>
      <c r="O1502"/>
      <c r="P1502"/>
      <c r="Q1502"/>
      <c r="R1502"/>
      <c r="S1502"/>
    </row>
    <row r="1503" spans="13:19" ht="13.95" customHeight="1">
      <c r="M1503"/>
      <c r="N1503"/>
      <c r="O1503"/>
      <c r="P1503"/>
      <c r="Q1503"/>
      <c r="R1503"/>
      <c r="S1503"/>
    </row>
    <row r="1504" spans="13:19" ht="13.95" customHeight="1">
      <c r="M1504"/>
      <c r="N1504"/>
      <c r="O1504"/>
      <c r="P1504"/>
      <c r="Q1504"/>
      <c r="R1504"/>
      <c r="S1504"/>
    </row>
    <row r="1505" spans="13:19" ht="13.95" customHeight="1">
      <c r="M1505"/>
      <c r="N1505"/>
      <c r="O1505"/>
      <c r="P1505"/>
      <c r="Q1505"/>
      <c r="R1505"/>
      <c r="S1505"/>
    </row>
    <row r="1506" spans="13:19" ht="13.95" customHeight="1">
      <c r="M1506"/>
      <c r="N1506"/>
      <c r="O1506"/>
      <c r="P1506"/>
      <c r="Q1506"/>
      <c r="R1506"/>
      <c r="S1506"/>
    </row>
    <row r="1507" spans="13:19" ht="13.95" customHeight="1">
      <c r="M1507"/>
      <c r="N1507"/>
      <c r="O1507"/>
      <c r="P1507"/>
      <c r="Q1507"/>
      <c r="R1507"/>
      <c r="S1507"/>
    </row>
    <row r="1508" spans="13:19" ht="13.95" customHeight="1">
      <c r="M1508"/>
      <c r="N1508"/>
      <c r="O1508"/>
      <c r="P1508"/>
      <c r="Q1508"/>
      <c r="R1508"/>
      <c r="S1508"/>
    </row>
    <row r="1509" spans="13:19" ht="13.95" customHeight="1">
      <c r="M1509"/>
      <c r="N1509"/>
      <c r="O1509"/>
      <c r="P1509"/>
      <c r="Q1509"/>
      <c r="R1509"/>
      <c r="S1509"/>
    </row>
    <row r="1510" spans="13:19" ht="13.95" customHeight="1">
      <c r="M1510"/>
      <c r="N1510"/>
      <c r="O1510"/>
      <c r="P1510"/>
      <c r="Q1510"/>
      <c r="R1510"/>
      <c r="S1510"/>
    </row>
    <row r="1511" spans="13:19" ht="13.95" customHeight="1">
      <c r="M1511"/>
      <c r="N1511"/>
      <c r="O1511"/>
      <c r="P1511"/>
      <c r="Q1511"/>
      <c r="R1511"/>
      <c r="S1511"/>
    </row>
    <row r="1512" spans="13:19" ht="13.95" customHeight="1">
      <c r="M1512"/>
      <c r="N1512"/>
      <c r="O1512"/>
      <c r="P1512"/>
      <c r="Q1512"/>
      <c r="R1512"/>
      <c r="S1512"/>
    </row>
    <row r="1513" spans="13:19" ht="13.95" customHeight="1">
      <c r="M1513"/>
      <c r="N1513"/>
      <c r="O1513"/>
      <c r="P1513"/>
      <c r="Q1513"/>
      <c r="R1513"/>
      <c r="S1513"/>
    </row>
    <row r="1514" spans="13:19" ht="13.95" customHeight="1">
      <c r="M1514"/>
      <c r="N1514"/>
      <c r="O1514"/>
      <c r="P1514"/>
      <c r="Q1514"/>
      <c r="R1514"/>
      <c r="S1514"/>
    </row>
    <row r="1515" spans="13:19" ht="13.95" customHeight="1">
      <c r="M1515"/>
      <c r="N1515"/>
      <c r="O1515"/>
      <c r="P1515"/>
      <c r="Q1515"/>
      <c r="R1515"/>
      <c r="S1515"/>
    </row>
    <row r="1516" spans="13:19" ht="13.95" customHeight="1">
      <c r="M1516"/>
      <c r="N1516"/>
      <c r="O1516"/>
      <c r="P1516"/>
      <c r="Q1516"/>
      <c r="R1516"/>
      <c r="S1516"/>
    </row>
    <row r="1517" spans="13:19" ht="13.95" customHeight="1">
      <c r="M1517"/>
      <c r="N1517"/>
      <c r="O1517"/>
      <c r="P1517"/>
      <c r="Q1517"/>
      <c r="R1517"/>
      <c r="S1517"/>
    </row>
    <row r="1518" spans="13:19" ht="13.95" customHeight="1">
      <c r="M1518"/>
      <c r="N1518"/>
      <c r="O1518"/>
      <c r="P1518"/>
      <c r="Q1518"/>
      <c r="R1518"/>
      <c r="S1518"/>
    </row>
    <row r="1519" spans="13:19" ht="13.95" customHeight="1">
      <c r="M1519"/>
      <c r="N1519"/>
      <c r="O1519"/>
      <c r="P1519"/>
      <c r="Q1519"/>
      <c r="R1519"/>
      <c r="S1519"/>
    </row>
    <row r="1520" spans="13:19" ht="13.95" customHeight="1">
      <c r="M1520"/>
      <c r="N1520"/>
      <c r="O1520"/>
      <c r="P1520"/>
      <c r="Q1520"/>
      <c r="R1520"/>
      <c r="S1520"/>
    </row>
    <row r="1521" spans="13:19" ht="13.95" customHeight="1">
      <c r="M1521"/>
      <c r="N1521"/>
      <c r="O1521"/>
      <c r="P1521"/>
      <c r="Q1521"/>
      <c r="R1521"/>
      <c r="S1521"/>
    </row>
    <row r="1522" spans="13:19" ht="13.95" customHeight="1">
      <c r="M1522"/>
      <c r="N1522"/>
      <c r="O1522"/>
      <c r="P1522"/>
      <c r="Q1522"/>
      <c r="R1522"/>
      <c r="S1522"/>
    </row>
    <row r="1523" spans="13:19" ht="13.95" customHeight="1">
      <c r="M1523"/>
      <c r="N1523"/>
      <c r="O1523"/>
      <c r="P1523"/>
      <c r="Q1523"/>
      <c r="R1523"/>
      <c r="S1523"/>
    </row>
    <row r="1524" spans="13:19" ht="13.95" customHeight="1">
      <c r="M1524"/>
      <c r="N1524"/>
      <c r="O1524"/>
      <c r="P1524"/>
      <c r="Q1524"/>
      <c r="R1524"/>
      <c r="S1524"/>
    </row>
    <row r="1525" spans="13:19" ht="13.95" customHeight="1">
      <c r="M1525"/>
      <c r="N1525"/>
      <c r="O1525"/>
      <c r="P1525"/>
      <c r="Q1525"/>
      <c r="R1525"/>
      <c r="S1525"/>
    </row>
    <row r="1526" spans="13:19" ht="13.95" customHeight="1">
      <c r="M1526"/>
      <c r="N1526"/>
      <c r="O1526"/>
      <c r="P1526"/>
      <c r="Q1526"/>
      <c r="R1526"/>
      <c r="S1526"/>
    </row>
    <row r="1527" spans="13:19" ht="13.95" customHeight="1">
      <c r="M1527"/>
      <c r="N1527"/>
      <c r="O1527"/>
      <c r="P1527"/>
      <c r="Q1527"/>
      <c r="R1527"/>
      <c r="S1527"/>
    </row>
    <row r="1528" spans="13:19" ht="13.95" customHeight="1">
      <c r="M1528"/>
      <c r="N1528"/>
      <c r="O1528"/>
      <c r="P1528"/>
      <c r="Q1528"/>
      <c r="R1528"/>
      <c r="S1528"/>
    </row>
    <row r="1529" spans="13:19" ht="13.95" customHeight="1">
      <c r="M1529"/>
      <c r="N1529"/>
      <c r="O1529"/>
      <c r="P1529"/>
      <c r="Q1529"/>
      <c r="R1529"/>
      <c r="S1529"/>
    </row>
    <row r="1530" spans="13:19" ht="13.95" customHeight="1">
      <c r="M1530"/>
      <c r="N1530"/>
      <c r="O1530"/>
      <c r="P1530"/>
      <c r="Q1530"/>
      <c r="R1530"/>
      <c r="S1530"/>
    </row>
    <row r="1531" spans="13:19" ht="13.95" customHeight="1">
      <c r="M1531"/>
      <c r="N1531"/>
      <c r="O1531"/>
      <c r="P1531"/>
      <c r="Q1531"/>
      <c r="R1531"/>
      <c r="S1531"/>
    </row>
    <row r="1532" spans="13:19" ht="13.95" customHeight="1">
      <c r="M1532"/>
      <c r="N1532"/>
      <c r="O1532"/>
      <c r="P1532"/>
      <c r="Q1532"/>
      <c r="R1532"/>
      <c r="S1532"/>
    </row>
    <row r="1533" spans="13:19" ht="13.95" customHeight="1">
      <c r="M1533"/>
      <c r="N1533"/>
      <c r="O1533"/>
      <c r="P1533"/>
      <c r="Q1533"/>
      <c r="R1533"/>
      <c r="S1533"/>
    </row>
    <row r="1534" spans="13:19" ht="13.95" customHeight="1">
      <c r="M1534"/>
      <c r="N1534"/>
      <c r="O1534"/>
      <c r="P1534"/>
      <c r="Q1534"/>
      <c r="R1534"/>
      <c r="S1534"/>
    </row>
    <row r="1535" spans="13:19" ht="13.95" customHeight="1">
      <c r="M1535"/>
      <c r="N1535"/>
      <c r="O1535"/>
      <c r="P1535"/>
      <c r="Q1535"/>
      <c r="R1535"/>
      <c r="S1535"/>
    </row>
    <row r="1536" spans="13:19" ht="13.95" customHeight="1">
      <c r="M1536"/>
      <c r="N1536"/>
      <c r="O1536"/>
      <c r="P1536"/>
      <c r="Q1536"/>
      <c r="R1536"/>
      <c r="S1536"/>
    </row>
    <row r="1537" spans="13:19" ht="13.95" customHeight="1">
      <c r="M1537"/>
      <c r="N1537"/>
      <c r="O1537"/>
      <c r="P1537"/>
      <c r="Q1537"/>
      <c r="R1537"/>
      <c r="S1537"/>
    </row>
    <row r="1538" spans="13:19" ht="13.95" customHeight="1">
      <c r="M1538"/>
      <c r="N1538"/>
      <c r="O1538"/>
      <c r="P1538"/>
      <c r="Q1538"/>
      <c r="R1538"/>
      <c r="S1538"/>
    </row>
    <row r="1539" spans="13:19" ht="13.95" customHeight="1">
      <c r="M1539"/>
      <c r="N1539"/>
      <c r="O1539"/>
      <c r="P1539"/>
      <c r="Q1539"/>
      <c r="R1539"/>
      <c r="S1539"/>
    </row>
    <row r="1540" spans="13:19" ht="13.95" customHeight="1">
      <c r="M1540"/>
      <c r="N1540"/>
      <c r="O1540"/>
      <c r="P1540"/>
      <c r="Q1540"/>
      <c r="R1540"/>
      <c r="S1540"/>
    </row>
    <row r="1541" spans="13:19" ht="13.95" customHeight="1">
      <c r="M1541"/>
      <c r="N1541"/>
      <c r="O1541"/>
      <c r="P1541"/>
      <c r="Q1541"/>
      <c r="R1541"/>
      <c r="S1541"/>
    </row>
    <row r="1542" spans="13:19" ht="13.95" customHeight="1">
      <c r="M1542"/>
      <c r="N1542"/>
      <c r="O1542"/>
      <c r="P1542"/>
      <c r="Q1542"/>
      <c r="R1542"/>
      <c r="S1542"/>
    </row>
    <row r="1543" spans="13:19" ht="13.95" customHeight="1">
      <c r="M1543"/>
      <c r="N1543"/>
      <c r="O1543"/>
      <c r="P1543"/>
      <c r="Q1543"/>
      <c r="R1543"/>
      <c r="S1543"/>
    </row>
    <row r="1544" spans="13:19" ht="13.95" customHeight="1">
      <c r="M1544"/>
      <c r="N1544"/>
      <c r="O1544"/>
      <c r="P1544"/>
      <c r="Q1544"/>
      <c r="R1544"/>
      <c r="S1544"/>
    </row>
    <row r="1545" spans="13:19" ht="13.95" customHeight="1">
      <c r="M1545"/>
      <c r="N1545"/>
      <c r="O1545"/>
      <c r="P1545"/>
      <c r="Q1545"/>
      <c r="R1545"/>
      <c r="S1545"/>
    </row>
    <row r="1546" spans="13:19" ht="13.95" customHeight="1">
      <c r="M1546"/>
      <c r="N1546"/>
      <c r="O1546"/>
      <c r="P1546"/>
      <c r="Q1546"/>
      <c r="R1546"/>
      <c r="S1546"/>
    </row>
    <row r="1547" spans="13:19" ht="13.95" customHeight="1">
      <c r="M1547"/>
      <c r="N1547"/>
      <c r="O1547"/>
      <c r="P1547"/>
      <c r="Q1547"/>
      <c r="R1547"/>
      <c r="S1547"/>
    </row>
    <row r="1548" spans="13:19" ht="13.95" customHeight="1">
      <c r="M1548"/>
      <c r="N1548"/>
      <c r="O1548"/>
      <c r="P1548"/>
      <c r="Q1548"/>
      <c r="R1548"/>
      <c r="S1548"/>
    </row>
    <row r="1549" spans="13:19" ht="13.95" customHeight="1">
      <c r="M1549"/>
      <c r="N1549"/>
      <c r="O1549"/>
      <c r="P1549"/>
      <c r="Q1549"/>
      <c r="R1549"/>
      <c r="S1549"/>
    </row>
    <row r="1550" spans="13:19" ht="13.95" customHeight="1">
      <c r="M1550"/>
      <c r="N1550"/>
      <c r="O1550"/>
      <c r="P1550"/>
      <c r="Q1550"/>
      <c r="R1550"/>
      <c r="S1550"/>
    </row>
    <row r="1551" spans="13:19" ht="13.95" customHeight="1">
      <c r="M1551"/>
      <c r="N1551"/>
      <c r="O1551"/>
      <c r="P1551"/>
      <c r="Q1551"/>
      <c r="R1551"/>
      <c r="S1551"/>
    </row>
    <row r="1552" spans="13:19" ht="13.95" customHeight="1">
      <c r="M1552"/>
      <c r="N1552"/>
      <c r="O1552"/>
      <c r="P1552"/>
      <c r="Q1552"/>
      <c r="R1552"/>
      <c r="S1552"/>
    </row>
    <row r="1553" spans="13:19" ht="13.95" customHeight="1">
      <c r="M1553"/>
      <c r="N1553"/>
      <c r="O1553"/>
      <c r="P1553"/>
      <c r="Q1553"/>
      <c r="R1553"/>
      <c r="S1553"/>
    </row>
    <row r="1554" spans="13:19" ht="13.95" customHeight="1">
      <c r="M1554"/>
      <c r="N1554"/>
      <c r="O1554"/>
      <c r="P1554"/>
      <c r="Q1554"/>
      <c r="R1554"/>
      <c r="S1554"/>
    </row>
    <row r="1555" spans="13:19" ht="13.95" customHeight="1">
      <c r="M1555"/>
      <c r="N1555"/>
      <c r="O1555"/>
      <c r="P1555"/>
      <c r="Q1555"/>
      <c r="R1555"/>
      <c r="S1555"/>
    </row>
    <row r="1556" spans="13:19" ht="13.95" customHeight="1">
      <c r="M1556"/>
      <c r="N1556"/>
      <c r="O1556"/>
      <c r="P1556"/>
      <c r="Q1556"/>
      <c r="R1556"/>
      <c r="S1556"/>
    </row>
    <row r="1557" spans="13:19" ht="13.95" customHeight="1">
      <c r="M1557"/>
      <c r="N1557"/>
      <c r="O1557"/>
      <c r="P1557"/>
      <c r="Q1557"/>
      <c r="R1557"/>
      <c r="S1557"/>
    </row>
    <row r="1558" spans="13:19" ht="13.95" customHeight="1">
      <c r="M1558"/>
      <c r="N1558"/>
      <c r="O1558"/>
      <c r="P1558"/>
      <c r="Q1558"/>
      <c r="R1558"/>
      <c r="S1558"/>
    </row>
    <row r="1559" spans="13:19" ht="13.95" customHeight="1">
      <c r="M1559"/>
      <c r="N1559"/>
      <c r="O1559"/>
      <c r="P1559"/>
      <c r="Q1559"/>
      <c r="R1559"/>
      <c r="S1559"/>
    </row>
    <row r="1560" spans="13:19" ht="13.95" customHeight="1">
      <c r="M1560"/>
      <c r="N1560"/>
      <c r="O1560"/>
      <c r="P1560"/>
      <c r="Q1560"/>
      <c r="R1560"/>
      <c r="S1560"/>
    </row>
    <row r="1561" spans="13:19" ht="13.95" customHeight="1">
      <c r="M1561"/>
      <c r="N1561"/>
      <c r="O1561"/>
      <c r="P1561"/>
      <c r="Q1561"/>
      <c r="R1561"/>
      <c r="S1561"/>
    </row>
    <row r="1562" spans="13:19" ht="13.95" customHeight="1">
      <c r="M1562"/>
      <c r="N1562"/>
      <c r="O1562"/>
      <c r="P1562"/>
      <c r="Q1562"/>
      <c r="R1562"/>
      <c r="S1562"/>
    </row>
    <row r="1563" spans="13:19" ht="13.95" customHeight="1">
      <c r="M1563"/>
      <c r="N1563"/>
      <c r="O1563"/>
      <c r="P1563"/>
      <c r="Q1563"/>
      <c r="R1563"/>
      <c r="S1563"/>
    </row>
    <row r="1564" spans="13:19" ht="13.95" customHeight="1">
      <c r="M1564"/>
      <c r="N1564"/>
      <c r="O1564"/>
      <c r="P1564"/>
      <c r="Q1564"/>
      <c r="R1564"/>
      <c r="S1564"/>
    </row>
    <row r="1565" spans="13:19" ht="13.95" customHeight="1">
      <c r="M1565"/>
      <c r="N1565"/>
      <c r="O1565"/>
      <c r="P1565"/>
      <c r="Q1565"/>
      <c r="R1565"/>
      <c r="S1565"/>
    </row>
    <row r="1566" spans="13:19" ht="13.95" customHeight="1">
      <c r="M1566"/>
      <c r="N1566"/>
      <c r="O1566"/>
      <c r="P1566"/>
      <c r="Q1566"/>
      <c r="R1566"/>
      <c r="S1566"/>
    </row>
    <row r="1567" spans="13:19" ht="13.95" customHeight="1">
      <c r="M1567"/>
      <c r="N1567"/>
      <c r="O1567"/>
      <c r="P1567"/>
      <c r="Q1567"/>
      <c r="R1567"/>
      <c r="S1567"/>
    </row>
    <row r="1568" spans="13:19" ht="13.95" customHeight="1">
      <c r="M1568"/>
      <c r="N1568"/>
      <c r="O1568"/>
      <c r="P1568"/>
      <c r="Q1568"/>
      <c r="R1568"/>
      <c r="S1568"/>
    </row>
    <row r="1569" spans="13:19" ht="13.95" customHeight="1">
      <c r="M1569"/>
      <c r="N1569"/>
      <c r="O1569"/>
      <c r="P1569"/>
      <c r="Q1569"/>
      <c r="R1569"/>
      <c r="S1569"/>
    </row>
    <row r="1570" spans="13:19" ht="13.95" customHeight="1">
      <c r="M1570"/>
      <c r="N1570"/>
      <c r="O1570"/>
      <c r="P1570"/>
      <c r="Q1570"/>
      <c r="R1570"/>
      <c r="S1570"/>
    </row>
    <row r="1571" spans="13:19" ht="13.95" customHeight="1">
      <c r="M1571"/>
      <c r="N1571"/>
      <c r="O1571"/>
      <c r="P1571"/>
      <c r="Q1571"/>
      <c r="R1571"/>
      <c r="S1571"/>
    </row>
    <row r="1572" spans="13:19" ht="13.95" customHeight="1">
      <c r="M1572"/>
      <c r="N1572"/>
      <c r="O1572"/>
      <c r="P1572"/>
      <c r="Q1572"/>
      <c r="R1572"/>
      <c r="S1572"/>
    </row>
    <row r="1573" spans="13:19" ht="13.95" customHeight="1">
      <c r="M1573"/>
      <c r="N1573"/>
      <c r="O1573"/>
      <c r="P1573"/>
      <c r="Q1573"/>
      <c r="R1573"/>
      <c r="S1573"/>
    </row>
    <row r="1574" spans="13:19" ht="13.95" customHeight="1">
      <c r="M1574"/>
      <c r="N1574"/>
      <c r="O1574"/>
      <c r="P1574"/>
      <c r="Q1574"/>
      <c r="R1574"/>
      <c r="S1574"/>
    </row>
    <row r="1575" spans="13:19" ht="13.95" customHeight="1">
      <c r="M1575"/>
      <c r="N1575"/>
      <c r="O1575"/>
      <c r="P1575"/>
      <c r="Q1575"/>
      <c r="R1575"/>
      <c r="S1575"/>
    </row>
    <row r="1576" spans="13:19" ht="13.95" customHeight="1">
      <c r="M1576"/>
      <c r="N1576"/>
      <c r="O1576"/>
      <c r="P1576"/>
      <c r="Q1576"/>
      <c r="R1576"/>
      <c r="S1576"/>
    </row>
    <row r="1577" spans="13:19" ht="13.95" customHeight="1">
      <c r="M1577"/>
      <c r="N1577"/>
      <c r="O1577"/>
      <c r="P1577"/>
      <c r="Q1577"/>
      <c r="R1577"/>
      <c r="S1577"/>
    </row>
    <row r="1578" spans="13:19" ht="13.95" customHeight="1">
      <c r="M1578"/>
      <c r="N1578"/>
      <c r="O1578"/>
      <c r="P1578"/>
      <c r="Q1578"/>
      <c r="R1578"/>
      <c r="S1578"/>
    </row>
    <row r="1579" spans="13:19" ht="13.95" customHeight="1">
      <c r="M1579"/>
      <c r="N1579"/>
      <c r="O1579"/>
      <c r="P1579"/>
      <c r="Q1579"/>
      <c r="R1579"/>
      <c r="S1579"/>
    </row>
    <row r="1580" spans="13:19" ht="13.95" customHeight="1">
      <c r="M1580"/>
      <c r="N1580"/>
      <c r="O1580"/>
      <c r="P1580"/>
      <c r="Q1580"/>
      <c r="R1580"/>
      <c r="S1580"/>
    </row>
    <row r="1581" spans="13:19" ht="13.95" customHeight="1">
      <c r="M1581"/>
      <c r="N1581"/>
      <c r="O1581"/>
      <c r="P1581"/>
      <c r="Q1581"/>
      <c r="R1581"/>
      <c r="S1581"/>
    </row>
    <row r="1582" spans="13:19" ht="13.95" customHeight="1">
      <c r="M1582"/>
      <c r="N1582"/>
      <c r="O1582"/>
      <c r="P1582"/>
      <c r="Q1582"/>
      <c r="R1582"/>
      <c r="S1582"/>
    </row>
    <row r="1583" spans="13:19" ht="13.95" customHeight="1">
      <c r="M1583"/>
      <c r="N1583"/>
      <c r="O1583"/>
      <c r="P1583"/>
      <c r="Q1583"/>
      <c r="R1583"/>
      <c r="S1583"/>
    </row>
    <row r="1584" spans="13:19" ht="13.95" customHeight="1">
      <c r="M1584"/>
      <c r="N1584"/>
      <c r="O1584"/>
      <c r="P1584"/>
      <c r="Q1584"/>
      <c r="R1584"/>
      <c r="S1584"/>
    </row>
    <row r="1585" spans="13:19" ht="13.95" customHeight="1">
      <c r="M1585"/>
      <c r="N1585"/>
      <c r="O1585"/>
      <c r="P1585"/>
      <c r="Q1585"/>
      <c r="R1585"/>
      <c r="S1585"/>
    </row>
    <row r="1586" spans="13:19" ht="13.95" customHeight="1">
      <c r="M1586"/>
      <c r="N1586"/>
      <c r="O1586"/>
      <c r="P1586"/>
      <c r="Q1586"/>
      <c r="R1586"/>
      <c r="S1586"/>
    </row>
    <row r="1587" spans="13:19" ht="13.95" customHeight="1">
      <c r="M1587"/>
      <c r="N1587"/>
      <c r="O1587"/>
      <c r="P1587"/>
      <c r="Q1587"/>
      <c r="R1587"/>
      <c r="S1587"/>
    </row>
    <row r="1588" spans="13:19" ht="13.95" customHeight="1">
      <c r="M1588"/>
      <c r="N1588"/>
      <c r="O1588"/>
      <c r="P1588"/>
      <c r="Q1588"/>
      <c r="R1588"/>
      <c r="S1588"/>
    </row>
    <row r="1589" spans="13:19" ht="13.95" customHeight="1">
      <c r="M1589"/>
      <c r="N1589"/>
      <c r="O1589"/>
      <c r="P1589"/>
      <c r="Q1589"/>
      <c r="R1589"/>
      <c r="S1589"/>
    </row>
    <row r="1590" spans="13:19" ht="13.95" customHeight="1">
      <c r="M1590"/>
      <c r="N1590"/>
      <c r="O1590"/>
      <c r="P1590"/>
      <c r="Q1590"/>
      <c r="R1590"/>
      <c r="S1590"/>
    </row>
    <row r="1591" spans="13:19" ht="13.95" customHeight="1">
      <c r="M1591"/>
      <c r="N1591"/>
      <c r="O1591"/>
      <c r="P1591"/>
      <c r="Q1591"/>
      <c r="R1591"/>
      <c r="S1591"/>
    </row>
    <row r="1592" spans="13:19" ht="13.95" customHeight="1">
      <c r="M1592"/>
      <c r="N1592"/>
      <c r="O1592"/>
      <c r="P1592"/>
      <c r="Q1592"/>
      <c r="R1592"/>
      <c r="S1592"/>
    </row>
    <row r="1593" spans="13:19" ht="13.95" customHeight="1">
      <c r="M1593"/>
      <c r="N1593"/>
      <c r="O1593"/>
      <c r="P1593"/>
      <c r="Q1593"/>
      <c r="R1593"/>
      <c r="S1593"/>
    </row>
    <row r="1594" spans="13:19" ht="13.95" customHeight="1">
      <c r="M1594"/>
      <c r="N1594"/>
      <c r="O1594"/>
      <c r="P1594"/>
      <c r="Q1594"/>
      <c r="R1594"/>
      <c r="S1594"/>
    </row>
    <row r="1595" spans="13:19" ht="13.95" customHeight="1">
      <c r="M1595"/>
      <c r="N1595"/>
      <c r="O1595"/>
      <c r="P1595"/>
      <c r="Q1595"/>
      <c r="R1595"/>
      <c r="S1595"/>
    </row>
    <row r="1596" spans="13:19" ht="13.95" customHeight="1">
      <c r="M1596"/>
      <c r="N1596"/>
      <c r="O1596"/>
      <c r="P1596"/>
      <c r="Q1596"/>
      <c r="R1596"/>
      <c r="S1596"/>
    </row>
    <row r="1597" spans="13:19" ht="13.95" customHeight="1">
      <c r="M1597"/>
      <c r="N1597"/>
      <c r="O1597"/>
      <c r="P1597"/>
      <c r="Q1597"/>
      <c r="R1597"/>
      <c r="S1597"/>
    </row>
    <row r="1598" spans="13:19" ht="13.95" customHeight="1">
      <c r="M1598"/>
      <c r="N1598"/>
      <c r="O1598"/>
      <c r="P1598"/>
      <c r="Q1598"/>
      <c r="R1598"/>
      <c r="S1598"/>
    </row>
    <row r="1599" spans="13:19" ht="13.95" customHeight="1">
      <c r="M1599"/>
      <c r="N1599"/>
      <c r="O1599"/>
      <c r="P1599"/>
      <c r="Q1599"/>
      <c r="R1599"/>
      <c r="S1599"/>
    </row>
    <row r="1600" spans="13:19" ht="13.95" customHeight="1">
      <c r="M1600"/>
      <c r="N1600"/>
      <c r="O1600"/>
      <c r="P1600"/>
      <c r="Q1600"/>
      <c r="R1600"/>
      <c r="S1600"/>
    </row>
    <row r="1601" spans="13:19" ht="13.95" customHeight="1">
      <c r="M1601"/>
      <c r="N1601"/>
      <c r="O1601"/>
      <c r="P1601"/>
      <c r="Q1601"/>
      <c r="R1601"/>
      <c r="S1601"/>
    </row>
    <row r="1602" spans="13:19" ht="13.95" customHeight="1">
      <c r="M1602"/>
      <c r="N1602"/>
      <c r="O1602"/>
      <c r="P1602"/>
      <c r="Q1602"/>
      <c r="R1602"/>
      <c r="S1602"/>
    </row>
    <row r="1603" spans="13:19" ht="13.95" customHeight="1">
      <c r="M1603"/>
      <c r="N1603"/>
      <c r="O1603"/>
      <c r="P1603"/>
      <c r="Q1603"/>
      <c r="R1603"/>
      <c r="S1603"/>
    </row>
    <row r="1604" spans="13:19" ht="13.95" customHeight="1">
      <c r="M1604"/>
      <c r="N1604"/>
      <c r="O1604"/>
      <c r="P1604"/>
      <c r="Q1604"/>
      <c r="R1604"/>
      <c r="S1604"/>
    </row>
    <row r="1605" spans="13:19" ht="13.95" customHeight="1">
      <c r="M1605"/>
      <c r="N1605"/>
      <c r="O1605"/>
      <c r="P1605"/>
      <c r="Q1605"/>
      <c r="R1605"/>
      <c r="S1605"/>
    </row>
    <row r="1606" spans="13:19" ht="13.95" customHeight="1">
      <c r="M1606"/>
      <c r="N1606"/>
      <c r="O1606"/>
      <c r="P1606"/>
      <c r="Q1606"/>
      <c r="R1606"/>
      <c r="S1606"/>
    </row>
    <row r="1607" spans="13:19" ht="13.95" customHeight="1">
      <c r="M1607"/>
      <c r="N1607"/>
      <c r="O1607"/>
      <c r="P1607"/>
      <c r="Q1607"/>
      <c r="R1607"/>
      <c r="S1607"/>
    </row>
    <row r="1608" spans="13:19" ht="13.95" customHeight="1">
      <c r="M1608"/>
      <c r="N1608"/>
      <c r="O1608"/>
      <c r="P1608"/>
      <c r="Q1608"/>
      <c r="R1608"/>
      <c r="S1608"/>
    </row>
    <row r="1609" spans="13:19" ht="13.95" customHeight="1">
      <c r="M1609"/>
      <c r="N1609"/>
      <c r="O1609"/>
      <c r="P1609"/>
      <c r="Q1609"/>
      <c r="R1609"/>
      <c r="S1609"/>
    </row>
    <row r="1610" spans="13:19" ht="13.95" customHeight="1">
      <c r="M1610"/>
      <c r="N1610"/>
      <c r="O1610"/>
      <c r="P1610"/>
      <c r="Q1610"/>
      <c r="R1610"/>
      <c r="S1610"/>
    </row>
    <row r="1611" spans="13:19" ht="13.95" customHeight="1">
      <c r="M1611"/>
      <c r="N1611"/>
      <c r="O1611"/>
      <c r="P1611"/>
      <c r="Q1611"/>
      <c r="R1611"/>
      <c r="S1611"/>
    </row>
    <row r="1612" spans="13:19" ht="13.95" customHeight="1">
      <c r="M1612"/>
      <c r="N1612"/>
      <c r="O1612"/>
      <c r="P1612"/>
      <c r="Q1612"/>
      <c r="R1612"/>
      <c r="S1612"/>
    </row>
    <row r="1613" spans="13:19" ht="13.95" customHeight="1">
      <c r="M1613"/>
      <c r="N1613"/>
      <c r="O1613"/>
      <c r="P1613"/>
      <c r="Q1613"/>
      <c r="R1613"/>
      <c r="S1613"/>
    </row>
    <row r="1614" spans="13:19" ht="13.95" customHeight="1">
      <c r="M1614"/>
      <c r="N1614"/>
      <c r="O1614"/>
      <c r="P1614"/>
      <c r="Q1614"/>
      <c r="R1614"/>
      <c r="S1614"/>
    </row>
    <row r="1615" spans="13:19" ht="13.95" customHeight="1">
      <c r="M1615"/>
      <c r="N1615"/>
      <c r="O1615"/>
      <c r="P1615"/>
      <c r="Q1615"/>
      <c r="R1615"/>
      <c r="S1615"/>
    </row>
    <row r="1616" spans="13:19" ht="13.95" customHeight="1">
      <c r="M1616"/>
      <c r="N1616"/>
      <c r="O1616"/>
      <c r="P1616"/>
      <c r="Q1616"/>
      <c r="R1616"/>
      <c r="S1616"/>
    </row>
    <row r="1617" spans="13:19" ht="13.95" customHeight="1">
      <c r="M1617"/>
      <c r="N1617"/>
      <c r="O1617"/>
      <c r="P1617"/>
      <c r="Q1617"/>
      <c r="R1617"/>
      <c r="S1617"/>
    </row>
    <row r="1618" spans="13:19" ht="13.95" customHeight="1">
      <c r="M1618"/>
      <c r="N1618"/>
      <c r="O1618"/>
      <c r="P1618"/>
      <c r="Q1618"/>
      <c r="R1618"/>
      <c r="S1618"/>
    </row>
    <row r="1619" spans="13:19" ht="13.95" customHeight="1">
      <c r="M1619"/>
      <c r="N1619"/>
      <c r="O1619"/>
      <c r="P1619"/>
      <c r="Q1619"/>
      <c r="R1619"/>
      <c r="S1619"/>
    </row>
    <row r="1620" spans="13:19" ht="13.95" customHeight="1">
      <c r="M1620"/>
      <c r="N1620"/>
      <c r="O1620"/>
      <c r="P1620"/>
      <c r="Q1620"/>
      <c r="R1620"/>
      <c r="S1620"/>
    </row>
    <row r="1621" spans="13:19" ht="13.95" customHeight="1">
      <c r="M1621"/>
      <c r="N1621"/>
      <c r="O1621"/>
      <c r="P1621"/>
      <c r="Q1621"/>
      <c r="R1621"/>
      <c r="S1621"/>
    </row>
    <row r="1622" spans="13:19" ht="13.95" customHeight="1">
      <c r="M1622"/>
      <c r="N1622"/>
      <c r="O1622"/>
      <c r="P1622"/>
      <c r="Q1622"/>
      <c r="R1622"/>
      <c r="S1622"/>
    </row>
    <row r="1623" spans="13:19" ht="13.95" customHeight="1">
      <c r="M1623"/>
      <c r="N1623"/>
      <c r="O1623"/>
      <c r="P1623"/>
      <c r="Q1623"/>
      <c r="R1623"/>
      <c r="S1623"/>
    </row>
    <row r="1624" spans="13:19" ht="13.95" customHeight="1">
      <c r="M1624"/>
      <c r="N1624"/>
      <c r="O1624"/>
      <c r="P1624"/>
      <c r="Q1624"/>
      <c r="R1624"/>
      <c r="S1624"/>
    </row>
    <row r="1625" spans="13:19" ht="13.95" customHeight="1">
      <c r="M1625"/>
      <c r="N1625"/>
      <c r="O1625"/>
      <c r="P1625"/>
      <c r="Q1625"/>
      <c r="R1625"/>
      <c r="S1625"/>
    </row>
    <row r="1626" spans="13:19" ht="13.95" customHeight="1">
      <c r="M1626"/>
      <c r="N1626"/>
      <c r="O1626"/>
      <c r="P1626"/>
      <c r="Q1626"/>
      <c r="R1626"/>
      <c r="S1626"/>
    </row>
    <row r="1627" spans="13:19" ht="13.95" customHeight="1">
      <c r="M1627"/>
      <c r="N1627"/>
      <c r="O1627"/>
      <c r="P1627"/>
      <c r="Q1627"/>
      <c r="R1627"/>
      <c r="S1627"/>
    </row>
    <row r="1628" spans="13:19" ht="13.95" customHeight="1">
      <c r="M1628"/>
      <c r="N1628"/>
      <c r="O1628"/>
      <c r="P1628"/>
      <c r="Q1628"/>
      <c r="R1628"/>
      <c r="S1628"/>
    </row>
    <row r="1629" spans="13:19" ht="13.95" customHeight="1">
      <c r="M1629"/>
      <c r="N1629"/>
      <c r="O1629"/>
      <c r="P1629"/>
      <c r="Q1629"/>
      <c r="R1629"/>
      <c r="S1629"/>
    </row>
    <row r="1630" spans="13:19" ht="13.95" customHeight="1">
      <c r="M1630"/>
      <c r="N1630"/>
      <c r="O1630"/>
      <c r="P1630"/>
      <c r="Q1630"/>
      <c r="R1630"/>
      <c r="S1630"/>
    </row>
    <row r="1631" spans="13:19" ht="13.95" customHeight="1">
      <c r="M1631"/>
      <c r="N1631"/>
      <c r="O1631"/>
      <c r="P1631"/>
      <c r="Q1631"/>
      <c r="R1631"/>
      <c r="S1631"/>
    </row>
    <row r="1632" spans="13:19" ht="13.95" customHeight="1">
      <c r="M1632"/>
      <c r="N1632"/>
      <c r="O1632"/>
      <c r="P1632"/>
      <c r="Q1632"/>
      <c r="R1632"/>
      <c r="S1632"/>
    </row>
    <row r="1633" spans="13:19" ht="13.95" customHeight="1">
      <c r="M1633"/>
      <c r="N1633"/>
      <c r="O1633"/>
      <c r="P1633"/>
      <c r="Q1633"/>
      <c r="R1633"/>
      <c r="S1633"/>
    </row>
    <row r="1634" spans="13:19" ht="13.95" customHeight="1">
      <c r="M1634"/>
      <c r="N1634"/>
      <c r="O1634"/>
      <c r="P1634"/>
      <c r="Q1634"/>
      <c r="R1634"/>
      <c r="S1634"/>
    </row>
    <row r="1635" spans="13:19" ht="13.95" customHeight="1">
      <c r="M1635"/>
      <c r="N1635"/>
      <c r="O1635"/>
      <c r="P1635"/>
      <c r="Q1635"/>
      <c r="R1635"/>
      <c r="S1635"/>
    </row>
    <row r="1636" spans="13:19" ht="13.95" customHeight="1">
      <c r="M1636"/>
      <c r="N1636"/>
      <c r="O1636"/>
      <c r="P1636"/>
      <c r="Q1636"/>
      <c r="R1636"/>
      <c r="S1636"/>
    </row>
    <row r="1637" spans="13:19" ht="13.95" customHeight="1">
      <c r="M1637"/>
      <c r="N1637"/>
      <c r="O1637"/>
      <c r="P1637"/>
      <c r="Q1637"/>
      <c r="R1637"/>
      <c r="S1637"/>
    </row>
    <row r="1638" spans="13:19" ht="13.95" customHeight="1">
      <c r="M1638"/>
      <c r="N1638"/>
      <c r="O1638"/>
      <c r="P1638"/>
      <c r="Q1638"/>
      <c r="R1638"/>
      <c r="S1638"/>
    </row>
    <row r="1639" spans="13:19" ht="13.95" customHeight="1">
      <c r="M1639"/>
      <c r="N1639"/>
      <c r="O1639"/>
      <c r="P1639"/>
      <c r="Q1639"/>
      <c r="R1639"/>
      <c r="S1639"/>
    </row>
    <row r="1640" spans="13:19" ht="13.95" customHeight="1">
      <c r="M1640"/>
      <c r="N1640"/>
      <c r="O1640"/>
      <c r="P1640"/>
      <c r="Q1640"/>
      <c r="R1640"/>
      <c r="S1640"/>
    </row>
    <row r="1641" spans="13:19" ht="13.95" customHeight="1">
      <c r="M1641"/>
      <c r="N1641"/>
      <c r="O1641"/>
      <c r="P1641"/>
      <c r="Q1641"/>
      <c r="R1641"/>
      <c r="S1641"/>
    </row>
    <row r="1642" spans="13:19" ht="13.95" customHeight="1">
      <c r="M1642"/>
      <c r="N1642"/>
      <c r="O1642"/>
      <c r="P1642"/>
      <c r="Q1642"/>
      <c r="R1642"/>
      <c r="S1642"/>
    </row>
    <row r="1643" spans="13:19" ht="13.95" customHeight="1">
      <c r="M1643"/>
      <c r="N1643"/>
      <c r="O1643"/>
      <c r="P1643"/>
      <c r="Q1643"/>
      <c r="R1643"/>
      <c r="S1643"/>
    </row>
    <row r="1644" spans="13:19" ht="13.95" customHeight="1">
      <c r="M1644"/>
      <c r="N1644"/>
      <c r="O1644"/>
      <c r="P1644"/>
      <c r="Q1644"/>
      <c r="R1644"/>
      <c r="S1644"/>
    </row>
    <row r="1645" spans="13:19" ht="13.95" customHeight="1">
      <c r="M1645"/>
      <c r="N1645"/>
      <c r="O1645"/>
      <c r="P1645"/>
      <c r="Q1645"/>
      <c r="R1645"/>
      <c r="S1645"/>
    </row>
    <row r="1646" spans="13:19" ht="13.95" customHeight="1">
      <c r="M1646"/>
      <c r="N1646"/>
      <c r="O1646"/>
      <c r="P1646"/>
      <c r="Q1646"/>
      <c r="R1646"/>
      <c r="S1646"/>
    </row>
    <row r="1647" spans="13:19" ht="13.95" customHeight="1">
      <c r="M1647"/>
      <c r="N1647"/>
      <c r="O1647"/>
      <c r="P1647"/>
      <c r="Q1647"/>
      <c r="R1647"/>
      <c r="S1647"/>
    </row>
    <row r="1648" spans="13:19" ht="13.95" customHeight="1">
      <c r="M1648"/>
      <c r="N1648"/>
      <c r="O1648"/>
      <c r="P1648"/>
      <c r="Q1648"/>
      <c r="R1648"/>
      <c r="S1648"/>
    </row>
    <row r="1649" spans="13:19" ht="13.95" customHeight="1">
      <c r="M1649"/>
      <c r="N1649"/>
      <c r="O1649"/>
      <c r="P1649"/>
      <c r="Q1649"/>
      <c r="R1649"/>
      <c r="S1649"/>
    </row>
    <row r="1650" spans="13:19" ht="13.95" customHeight="1">
      <c r="M1650"/>
      <c r="N1650"/>
      <c r="O1650"/>
      <c r="P1650"/>
      <c r="Q1650"/>
      <c r="R1650"/>
      <c r="S1650"/>
    </row>
    <row r="1651" spans="13:19" ht="13.95" customHeight="1">
      <c r="M1651"/>
      <c r="N1651"/>
      <c r="O1651"/>
      <c r="P1651"/>
      <c r="Q1651"/>
      <c r="R1651"/>
      <c r="S1651"/>
    </row>
    <row r="1652" spans="13:19" ht="13.95" customHeight="1">
      <c r="M1652"/>
      <c r="N1652"/>
      <c r="O1652"/>
      <c r="P1652"/>
      <c r="Q1652"/>
      <c r="R1652"/>
      <c r="S1652"/>
    </row>
    <row r="1653" spans="13:19" ht="13.95" customHeight="1">
      <c r="M1653"/>
      <c r="N1653"/>
      <c r="O1653"/>
      <c r="P1653"/>
      <c r="Q1653"/>
      <c r="R1653"/>
      <c r="S1653"/>
    </row>
    <row r="1654" spans="13:19" ht="13.95" customHeight="1">
      <c r="M1654"/>
      <c r="N1654"/>
      <c r="O1654"/>
      <c r="P1654"/>
      <c r="Q1654"/>
      <c r="R1654"/>
      <c r="S1654"/>
    </row>
    <row r="1655" spans="13:19" ht="13.95" customHeight="1">
      <c r="M1655"/>
      <c r="N1655"/>
      <c r="O1655"/>
      <c r="P1655"/>
      <c r="Q1655"/>
      <c r="R1655"/>
      <c r="S1655"/>
    </row>
    <row r="1656" spans="13:19" ht="13.95" customHeight="1">
      <c r="M1656"/>
      <c r="N1656"/>
      <c r="O1656"/>
      <c r="P1656"/>
      <c r="Q1656"/>
      <c r="R1656"/>
      <c r="S1656"/>
    </row>
    <row r="1657" spans="13:19" ht="13.95" customHeight="1">
      <c r="M1657"/>
      <c r="N1657"/>
      <c r="O1657"/>
      <c r="P1657"/>
      <c r="Q1657"/>
      <c r="R1657"/>
      <c r="S1657"/>
    </row>
    <row r="1658" spans="13:19" ht="13.95" customHeight="1">
      <c r="M1658"/>
      <c r="N1658"/>
      <c r="O1658"/>
      <c r="P1658"/>
      <c r="Q1658"/>
      <c r="R1658"/>
      <c r="S1658"/>
    </row>
    <row r="1659" spans="13:19" ht="13.95" customHeight="1">
      <c r="M1659"/>
      <c r="N1659"/>
      <c r="O1659"/>
      <c r="P1659"/>
      <c r="Q1659"/>
      <c r="R1659"/>
      <c r="S1659"/>
    </row>
    <row r="1660" spans="13:19" ht="13.95" customHeight="1">
      <c r="M1660"/>
      <c r="N1660"/>
      <c r="O1660"/>
      <c r="P1660"/>
      <c r="Q1660"/>
      <c r="R1660"/>
      <c r="S1660"/>
    </row>
    <row r="1661" spans="13:19" ht="13.95" customHeight="1">
      <c r="M1661"/>
      <c r="N1661"/>
      <c r="O1661"/>
      <c r="P1661"/>
      <c r="Q1661"/>
      <c r="R1661"/>
      <c r="S1661"/>
    </row>
    <row r="1662" spans="13:19" ht="13.95" customHeight="1">
      <c r="M1662"/>
      <c r="N1662"/>
      <c r="O1662"/>
      <c r="P1662"/>
      <c r="Q1662"/>
      <c r="R1662"/>
      <c r="S1662"/>
    </row>
    <row r="1663" spans="13:19" ht="13.95" customHeight="1">
      <c r="M1663"/>
      <c r="N1663"/>
      <c r="O1663"/>
      <c r="P1663"/>
      <c r="Q1663"/>
      <c r="R1663"/>
      <c r="S1663"/>
    </row>
    <row r="1664" spans="13:19" ht="13.95" customHeight="1">
      <c r="M1664"/>
      <c r="N1664"/>
      <c r="O1664"/>
      <c r="P1664"/>
      <c r="Q1664"/>
      <c r="R1664"/>
      <c r="S1664"/>
    </row>
    <row r="1665" spans="13:19" ht="13.95" customHeight="1">
      <c r="M1665"/>
      <c r="N1665"/>
      <c r="O1665"/>
      <c r="P1665"/>
      <c r="Q1665"/>
      <c r="R1665"/>
      <c r="S1665"/>
    </row>
    <row r="1666" spans="13:19" ht="13.95" customHeight="1">
      <c r="M1666"/>
      <c r="N1666"/>
      <c r="O1666"/>
      <c r="P1666"/>
      <c r="Q1666"/>
      <c r="R1666"/>
      <c r="S1666"/>
    </row>
    <row r="1667" spans="13:19" ht="13.95" customHeight="1">
      <c r="M1667"/>
      <c r="N1667"/>
      <c r="O1667"/>
      <c r="P1667"/>
      <c r="Q1667"/>
      <c r="R1667"/>
      <c r="S1667"/>
    </row>
    <row r="1668" spans="13:19" ht="13.95" customHeight="1">
      <c r="M1668"/>
      <c r="N1668"/>
      <c r="O1668"/>
      <c r="P1668"/>
      <c r="Q1668"/>
      <c r="R1668"/>
      <c r="S1668"/>
    </row>
    <row r="1669" spans="13:19" ht="13.95" customHeight="1">
      <c r="M1669"/>
      <c r="N1669"/>
      <c r="O1669"/>
      <c r="P1669"/>
      <c r="Q1669"/>
      <c r="R1669"/>
      <c r="S1669"/>
    </row>
    <row r="1670" spans="13:19" ht="13.95" customHeight="1">
      <c r="M1670"/>
      <c r="N1670"/>
      <c r="O1670"/>
      <c r="P1670"/>
      <c r="Q1670"/>
      <c r="R1670"/>
      <c r="S1670"/>
    </row>
    <row r="1671" spans="13:19" ht="13.95" customHeight="1">
      <c r="M1671"/>
      <c r="N1671"/>
      <c r="O1671"/>
      <c r="P1671"/>
      <c r="Q1671"/>
      <c r="R1671"/>
      <c r="S1671"/>
    </row>
    <row r="1672" spans="13:19" ht="13.95" customHeight="1">
      <c r="M1672"/>
      <c r="N1672"/>
      <c r="O1672"/>
      <c r="P1672"/>
      <c r="Q1672"/>
      <c r="R1672"/>
      <c r="S1672"/>
    </row>
    <row r="1673" spans="13:19" ht="13.95" customHeight="1">
      <c r="M1673"/>
      <c r="N1673"/>
      <c r="O1673"/>
      <c r="P1673"/>
      <c r="Q1673"/>
      <c r="R1673"/>
      <c r="S1673"/>
    </row>
    <row r="1674" spans="13:19" ht="13.95" customHeight="1">
      <c r="M1674"/>
      <c r="N1674"/>
      <c r="O1674"/>
      <c r="P1674"/>
      <c r="Q1674"/>
      <c r="R1674"/>
      <c r="S1674"/>
    </row>
    <row r="1675" spans="13:19" ht="13.95" customHeight="1">
      <c r="M1675"/>
      <c r="N1675"/>
      <c r="O1675"/>
      <c r="P1675"/>
      <c r="Q1675"/>
      <c r="R1675"/>
      <c r="S1675"/>
    </row>
    <row r="1676" spans="13:19" ht="13.95" customHeight="1">
      <c r="M1676"/>
      <c r="N1676"/>
      <c r="O1676"/>
      <c r="P1676"/>
      <c r="Q1676"/>
      <c r="R1676"/>
      <c r="S1676"/>
    </row>
    <row r="1677" spans="13:19" ht="13.95" customHeight="1">
      <c r="M1677"/>
      <c r="N1677"/>
      <c r="O1677"/>
      <c r="P1677"/>
      <c r="Q1677"/>
      <c r="R1677"/>
      <c r="S1677"/>
    </row>
    <row r="1678" spans="13:19" ht="13.95" customHeight="1">
      <c r="M1678"/>
      <c r="N1678"/>
      <c r="O1678"/>
      <c r="P1678"/>
      <c r="Q1678"/>
      <c r="R1678"/>
      <c r="S1678"/>
    </row>
    <row r="1679" spans="13:19" ht="13.95" customHeight="1">
      <c r="M1679"/>
      <c r="N1679"/>
      <c r="O1679"/>
      <c r="P1679"/>
      <c r="Q1679"/>
      <c r="R1679"/>
      <c r="S1679"/>
    </row>
    <row r="1680" spans="13:19" ht="13.95" customHeight="1">
      <c r="M1680"/>
      <c r="N1680"/>
      <c r="O1680"/>
      <c r="P1680"/>
      <c r="Q1680"/>
      <c r="R1680"/>
      <c r="S1680"/>
    </row>
    <row r="1681" spans="13:19" ht="13.95" customHeight="1">
      <c r="M1681"/>
      <c r="N1681"/>
      <c r="O1681"/>
      <c r="P1681"/>
      <c r="Q1681"/>
      <c r="R1681"/>
      <c r="S1681"/>
    </row>
    <row r="1682" spans="13:19" ht="13.95" customHeight="1">
      <c r="M1682"/>
      <c r="N1682"/>
      <c r="O1682"/>
      <c r="P1682"/>
      <c r="Q1682"/>
      <c r="R1682"/>
      <c r="S1682"/>
    </row>
    <row r="1683" spans="13:19" ht="13.95" customHeight="1">
      <c r="M1683"/>
      <c r="N1683"/>
      <c r="O1683"/>
      <c r="P1683"/>
      <c r="Q1683"/>
      <c r="R1683"/>
      <c r="S1683"/>
    </row>
    <row r="1684" spans="13:19" ht="13.95" customHeight="1">
      <c r="M1684"/>
      <c r="N1684"/>
      <c r="O1684"/>
      <c r="P1684"/>
      <c r="Q1684"/>
      <c r="R1684"/>
      <c r="S1684"/>
    </row>
    <row r="1685" spans="13:19" ht="13.95" customHeight="1">
      <c r="M1685"/>
      <c r="N1685"/>
      <c r="O1685"/>
      <c r="P1685"/>
      <c r="Q1685"/>
      <c r="R1685"/>
      <c r="S1685"/>
    </row>
    <row r="1686" spans="13:19" ht="13.95" customHeight="1">
      <c r="M1686"/>
      <c r="N1686"/>
      <c r="O1686"/>
      <c r="P1686"/>
      <c r="Q1686"/>
      <c r="R1686"/>
      <c r="S1686"/>
    </row>
    <row r="1687" spans="13:19" ht="13.95" customHeight="1">
      <c r="M1687"/>
      <c r="N1687"/>
      <c r="O1687"/>
      <c r="P1687"/>
      <c r="Q1687"/>
      <c r="R1687"/>
      <c r="S1687"/>
    </row>
    <row r="1688" spans="13:19" ht="13.95" customHeight="1">
      <c r="M1688"/>
      <c r="N1688"/>
      <c r="O1688"/>
      <c r="P1688"/>
      <c r="Q1688"/>
      <c r="R1688"/>
      <c r="S1688"/>
    </row>
    <row r="1689" spans="13:19" ht="13.95" customHeight="1">
      <c r="M1689"/>
      <c r="N1689"/>
      <c r="O1689"/>
      <c r="P1689"/>
      <c r="Q1689"/>
      <c r="R1689"/>
      <c r="S1689"/>
    </row>
    <row r="1690" spans="13:19" ht="13.95" customHeight="1">
      <c r="M1690"/>
      <c r="N1690"/>
      <c r="O1690"/>
      <c r="P1690"/>
      <c r="Q1690"/>
      <c r="R1690"/>
      <c r="S1690"/>
    </row>
    <row r="1691" spans="13:19" ht="13.95" customHeight="1">
      <c r="M1691"/>
      <c r="N1691"/>
      <c r="O1691"/>
      <c r="P1691"/>
      <c r="Q1691"/>
      <c r="R1691"/>
      <c r="S1691"/>
    </row>
    <row r="1692" spans="13:19" ht="13.95" customHeight="1">
      <c r="M1692"/>
      <c r="N1692"/>
      <c r="O1692"/>
      <c r="P1692"/>
      <c r="Q1692"/>
      <c r="R1692"/>
      <c r="S1692"/>
    </row>
    <row r="1693" spans="13:19" ht="13.95" customHeight="1">
      <c r="M1693"/>
      <c r="N1693"/>
      <c r="O1693"/>
      <c r="P1693"/>
      <c r="Q1693"/>
      <c r="R1693"/>
      <c r="S1693"/>
    </row>
    <row r="1694" spans="13:19" ht="13.95" customHeight="1">
      <c r="M1694"/>
      <c r="N1694"/>
      <c r="O1694"/>
      <c r="P1694"/>
      <c r="Q1694"/>
      <c r="R1694"/>
      <c r="S1694"/>
    </row>
    <row r="1695" spans="13:19" ht="13.95" customHeight="1">
      <c r="M1695"/>
      <c r="N1695"/>
      <c r="O1695"/>
      <c r="P1695"/>
      <c r="Q1695"/>
      <c r="R1695"/>
      <c r="S1695"/>
    </row>
    <row r="1696" spans="13:19" ht="13.95" customHeight="1">
      <c r="M1696"/>
      <c r="N1696"/>
      <c r="O1696"/>
      <c r="P1696"/>
      <c r="Q1696"/>
      <c r="R1696"/>
      <c r="S1696"/>
    </row>
    <row r="1697" spans="13:19" ht="13.95" customHeight="1">
      <c r="M1697"/>
      <c r="N1697"/>
      <c r="O1697"/>
      <c r="P1697"/>
      <c r="Q1697"/>
      <c r="R1697"/>
      <c r="S1697"/>
    </row>
    <row r="1698" spans="13:19" ht="13.95" customHeight="1">
      <c r="M1698"/>
      <c r="N1698"/>
      <c r="O1698"/>
      <c r="P1698"/>
      <c r="Q1698"/>
      <c r="R1698"/>
      <c r="S1698"/>
    </row>
    <row r="1699" spans="13:19" ht="13.95" customHeight="1">
      <c r="M1699"/>
      <c r="N1699"/>
      <c r="O1699"/>
      <c r="P1699"/>
      <c r="Q1699"/>
      <c r="R1699"/>
      <c r="S1699"/>
    </row>
    <row r="1700" spans="13:19" ht="13.95" customHeight="1">
      <c r="M1700"/>
      <c r="N1700"/>
      <c r="O1700"/>
      <c r="P1700"/>
      <c r="Q1700"/>
      <c r="R1700"/>
      <c r="S1700"/>
    </row>
    <row r="1701" spans="13:19" ht="13.95" customHeight="1">
      <c r="M1701"/>
      <c r="N1701"/>
      <c r="O1701"/>
      <c r="P1701"/>
      <c r="Q1701"/>
      <c r="R1701"/>
      <c r="S1701"/>
    </row>
    <row r="1702" spans="13:19" ht="13.95" customHeight="1">
      <c r="M1702"/>
      <c r="N1702"/>
      <c r="O1702"/>
      <c r="P1702"/>
      <c r="Q1702"/>
      <c r="R1702"/>
      <c r="S1702"/>
    </row>
    <row r="1703" spans="13:19" ht="13.95" customHeight="1">
      <c r="M1703"/>
      <c r="N1703"/>
      <c r="O1703"/>
      <c r="P1703"/>
      <c r="Q1703"/>
      <c r="R1703"/>
      <c r="S1703"/>
    </row>
    <row r="1704" spans="13:19" ht="13.95" customHeight="1">
      <c r="M1704"/>
      <c r="N1704"/>
      <c r="O1704"/>
      <c r="P1704"/>
      <c r="Q1704"/>
      <c r="R1704"/>
      <c r="S1704"/>
    </row>
    <row r="1705" spans="13:19" ht="13.95" customHeight="1">
      <c r="M1705"/>
      <c r="N1705"/>
      <c r="O1705"/>
      <c r="P1705"/>
      <c r="Q1705"/>
      <c r="R1705"/>
      <c r="S1705"/>
    </row>
    <row r="1706" spans="13:19" ht="13.95" customHeight="1">
      <c r="M1706"/>
      <c r="N1706"/>
      <c r="O1706"/>
      <c r="P1706"/>
      <c r="Q1706"/>
      <c r="R1706"/>
      <c r="S1706"/>
    </row>
    <row r="1707" spans="13:19" ht="13.95" customHeight="1">
      <c r="M1707"/>
      <c r="N1707"/>
      <c r="O1707"/>
      <c r="P1707"/>
      <c r="Q1707"/>
      <c r="R1707"/>
      <c r="S1707"/>
    </row>
    <row r="1708" spans="13:19" ht="13.95" customHeight="1">
      <c r="M1708"/>
      <c r="N1708"/>
      <c r="O1708"/>
      <c r="P1708"/>
      <c r="Q1708"/>
      <c r="R1708"/>
      <c r="S1708"/>
    </row>
    <row r="1709" spans="13:19" ht="13.95" customHeight="1">
      <c r="M1709"/>
      <c r="N1709"/>
      <c r="O1709"/>
      <c r="P1709"/>
      <c r="Q1709"/>
      <c r="R1709"/>
      <c r="S1709"/>
    </row>
    <row r="1710" spans="13:19" ht="13.95" customHeight="1">
      <c r="M1710"/>
      <c r="N1710"/>
      <c r="O1710"/>
      <c r="P1710"/>
      <c r="Q1710"/>
      <c r="R1710"/>
      <c r="S1710"/>
    </row>
    <row r="1711" spans="13:19" ht="13.95" customHeight="1">
      <c r="M1711"/>
      <c r="N1711"/>
      <c r="O1711"/>
      <c r="P1711"/>
      <c r="Q1711"/>
      <c r="R1711"/>
      <c r="S1711"/>
    </row>
    <row r="1712" spans="13:19" ht="13.95" customHeight="1">
      <c r="M1712"/>
      <c r="N1712"/>
      <c r="O1712"/>
      <c r="P1712"/>
      <c r="Q1712"/>
      <c r="R1712"/>
      <c r="S1712"/>
    </row>
    <row r="1713" spans="13:19" ht="13.95" customHeight="1">
      <c r="M1713"/>
      <c r="N1713"/>
      <c r="O1713"/>
      <c r="P1713"/>
      <c r="Q1713"/>
      <c r="R1713"/>
      <c r="S1713"/>
    </row>
    <row r="1714" spans="13:19" ht="13.95" customHeight="1">
      <c r="M1714"/>
      <c r="N1714"/>
      <c r="O1714"/>
      <c r="P1714"/>
      <c r="Q1714"/>
      <c r="R1714"/>
      <c r="S1714"/>
    </row>
    <row r="1715" spans="13:19" ht="13.95" customHeight="1">
      <c r="M1715"/>
      <c r="N1715"/>
      <c r="O1715"/>
      <c r="P1715"/>
      <c r="Q1715"/>
      <c r="R1715"/>
      <c r="S1715"/>
    </row>
    <row r="1716" spans="13:19" ht="13.95" customHeight="1">
      <c r="M1716"/>
      <c r="N1716"/>
      <c r="O1716"/>
      <c r="P1716"/>
      <c r="Q1716"/>
      <c r="R1716"/>
      <c r="S1716"/>
    </row>
    <row r="1717" spans="13:19" ht="13.95" customHeight="1">
      <c r="M1717"/>
      <c r="N1717"/>
      <c r="O1717"/>
      <c r="P1717"/>
      <c r="Q1717"/>
      <c r="R1717"/>
      <c r="S1717"/>
    </row>
    <row r="1718" spans="13:19" ht="13.95" customHeight="1">
      <c r="M1718"/>
      <c r="N1718"/>
      <c r="O1718"/>
      <c r="P1718"/>
      <c r="Q1718"/>
      <c r="R1718"/>
      <c r="S1718"/>
    </row>
    <row r="1719" spans="13:19" ht="13.95" customHeight="1">
      <c r="M1719"/>
      <c r="N1719"/>
      <c r="O1719"/>
      <c r="P1719"/>
      <c r="Q1719"/>
      <c r="R1719"/>
      <c r="S1719"/>
    </row>
    <row r="1720" spans="13:19" ht="13.95" customHeight="1">
      <c r="M1720"/>
      <c r="N1720"/>
      <c r="O1720"/>
      <c r="P1720"/>
      <c r="Q1720"/>
      <c r="R1720"/>
      <c r="S1720"/>
    </row>
    <row r="1721" spans="13:19" ht="13.95" customHeight="1">
      <c r="M1721"/>
      <c r="N1721"/>
      <c r="O1721"/>
      <c r="P1721"/>
      <c r="Q1721"/>
      <c r="R1721"/>
      <c r="S1721"/>
    </row>
    <row r="1722" spans="13:19" ht="13.95" customHeight="1">
      <c r="M1722"/>
      <c r="N1722"/>
      <c r="O1722"/>
      <c r="P1722"/>
      <c r="Q1722"/>
      <c r="R1722"/>
      <c r="S1722"/>
    </row>
    <row r="1723" spans="13:19" ht="13.95" customHeight="1">
      <c r="M1723"/>
      <c r="N1723"/>
      <c r="O1723"/>
      <c r="P1723"/>
      <c r="Q1723"/>
      <c r="R1723"/>
      <c r="S1723"/>
    </row>
    <row r="1724" spans="13:19" ht="13.95" customHeight="1">
      <c r="M1724"/>
      <c r="N1724"/>
      <c r="O1724"/>
      <c r="P1724"/>
      <c r="Q1724"/>
      <c r="R1724"/>
      <c r="S1724"/>
    </row>
    <row r="1725" spans="13:19" ht="13.95" customHeight="1">
      <c r="M1725"/>
      <c r="N1725"/>
      <c r="O1725"/>
      <c r="P1725"/>
      <c r="Q1725"/>
      <c r="R1725"/>
      <c r="S1725"/>
    </row>
    <row r="1726" spans="13:19" ht="13.95" customHeight="1">
      <c r="M1726"/>
      <c r="N1726"/>
      <c r="O1726"/>
      <c r="P1726"/>
      <c r="Q1726"/>
      <c r="R1726"/>
      <c r="S1726"/>
    </row>
    <row r="1727" spans="13:19" ht="13.95" customHeight="1">
      <c r="M1727"/>
      <c r="N1727"/>
      <c r="O1727"/>
      <c r="P1727"/>
      <c r="Q1727"/>
      <c r="R1727"/>
      <c r="S1727"/>
    </row>
    <row r="1728" spans="13:19" ht="13.95" customHeight="1">
      <c r="M1728"/>
      <c r="N1728"/>
      <c r="O1728"/>
      <c r="P1728"/>
      <c r="Q1728"/>
      <c r="R1728"/>
      <c r="S1728"/>
    </row>
    <row r="1729" spans="13:19" ht="13.95" customHeight="1">
      <c r="M1729"/>
      <c r="N1729"/>
      <c r="O1729"/>
      <c r="P1729"/>
      <c r="Q1729"/>
      <c r="R1729"/>
      <c r="S1729"/>
    </row>
    <row r="1730" spans="13:19" ht="13.95" customHeight="1">
      <c r="M1730"/>
      <c r="N1730"/>
      <c r="O1730"/>
      <c r="P1730"/>
      <c r="Q1730"/>
      <c r="R1730"/>
      <c r="S1730"/>
    </row>
    <row r="1731" spans="13:19" ht="13.95" customHeight="1">
      <c r="M1731"/>
      <c r="N1731"/>
      <c r="O1731"/>
      <c r="P1731"/>
      <c r="Q1731"/>
      <c r="R1731"/>
      <c r="S1731"/>
    </row>
    <row r="1732" spans="13:19" ht="13.95" customHeight="1">
      <c r="M1732"/>
      <c r="N1732"/>
      <c r="O1732"/>
      <c r="P1732"/>
      <c r="Q1732"/>
      <c r="R1732"/>
      <c r="S1732"/>
    </row>
    <row r="1733" spans="13:19" ht="13.95" customHeight="1">
      <c r="M1733"/>
      <c r="N1733"/>
      <c r="O1733"/>
      <c r="P1733"/>
      <c r="Q1733"/>
      <c r="R1733"/>
      <c r="S1733"/>
    </row>
    <row r="1734" spans="13:19" ht="13.95" customHeight="1">
      <c r="M1734"/>
      <c r="N1734"/>
      <c r="O1734"/>
      <c r="P1734"/>
      <c r="Q1734"/>
      <c r="R1734"/>
      <c r="S1734"/>
    </row>
    <row r="1735" spans="13:19" ht="13.95" customHeight="1">
      <c r="M1735"/>
      <c r="N1735"/>
      <c r="O1735"/>
      <c r="P1735"/>
      <c r="Q1735"/>
      <c r="R1735"/>
      <c r="S1735"/>
    </row>
    <row r="1736" spans="13:19" ht="13.95" customHeight="1">
      <c r="M1736"/>
      <c r="N1736"/>
      <c r="O1736"/>
      <c r="P1736"/>
      <c r="Q1736"/>
      <c r="R1736"/>
      <c r="S1736"/>
    </row>
    <row r="1737" spans="13:19" ht="13.95" customHeight="1">
      <c r="M1737"/>
      <c r="N1737"/>
      <c r="O1737"/>
      <c r="P1737"/>
      <c r="Q1737"/>
      <c r="R1737"/>
      <c r="S1737"/>
    </row>
    <row r="1738" spans="13:19" ht="13.95" customHeight="1">
      <c r="M1738"/>
      <c r="N1738"/>
      <c r="O1738"/>
      <c r="P1738"/>
      <c r="Q1738"/>
      <c r="R1738"/>
      <c r="S1738"/>
    </row>
    <row r="1739" spans="13:19" ht="13.95" customHeight="1">
      <c r="M1739"/>
      <c r="N1739"/>
      <c r="O1739"/>
      <c r="P1739"/>
      <c r="Q1739"/>
      <c r="R1739"/>
      <c r="S1739"/>
    </row>
    <row r="1740" spans="13:19" ht="13.95" customHeight="1">
      <c r="M1740"/>
      <c r="N1740"/>
      <c r="O1740"/>
      <c r="P1740"/>
      <c r="Q1740"/>
      <c r="R1740"/>
      <c r="S1740"/>
    </row>
    <row r="1741" spans="13:19" ht="13.95" customHeight="1">
      <c r="M1741"/>
      <c r="N1741"/>
      <c r="O1741"/>
      <c r="P1741"/>
      <c r="Q1741"/>
      <c r="R1741"/>
      <c r="S1741"/>
    </row>
    <row r="1742" spans="13:19" ht="13.95" customHeight="1">
      <c r="M1742"/>
      <c r="N1742"/>
      <c r="O1742"/>
      <c r="P1742"/>
      <c r="Q1742"/>
      <c r="R1742"/>
      <c r="S1742"/>
    </row>
    <row r="1743" spans="13:19" ht="13.95" customHeight="1">
      <c r="M1743"/>
      <c r="N1743"/>
      <c r="O1743"/>
      <c r="P1743"/>
      <c r="Q1743"/>
      <c r="R1743"/>
      <c r="S1743"/>
    </row>
    <row r="1744" spans="13:19" ht="13.95" customHeight="1">
      <c r="M1744"/>
      <c r="N1744"/>
      <c r="O1744"/>
      <c r="P1744"/>
      <c r="Q1744"/>
      <c r="R1744"/>
      <c r="S1744"/>
    </row>
    <row r="1745" spans="13:19" ht="13.95" customHeight="1">
      <c r="M1745"/>
      <c r="N1745"/>
      <c r="O1745"/>
      <c r="P1745"/>
      <c r="Q1745"/>
      <c r="R1745"/>
      <c r="S1745"/>
    </row>
    <row r="1746" spans="13:19" ht="13.95" customHeight="1">
      <c r="M1746"/>
      <c r="N1746"/>
      <c r="O1746"/>
      <c r="P1746"/>
      <c r="Q1746"/>
      <c r="R1746"/>
      <c r="S1746"/>
    </row>
    <row r="1747" spans="13:19" ht="13.95" customHeight="1">
      <c r="M1747"/>
      <c r="N1747"/>
      <c r="O1747"/>
      <c r="P1747"/>
      <c r="Q1747"/>
      <c r="R1747"/>
      <c r="S1747"/>
    </row>
    <row r="1748" spans="13:19" ht="13.95" customHeight="1">
      <c r="M1748"/>
      <c r="N1748"/>
      <c r="O1748"/>
      <c r="P1748"/>
      <c r="Q1748"/>
      <c r="R1748"/>
      <c r="S1748"/>
    </row>
    <row r="1749" spans="13:19" ht="13.95" customHeight="1">
      <c r="M1749"/>
      <c r="N1749"/>
      <c r="O1749"/>
      <c r="P1749"/>
      <c r="Q1749"/>
      <c r="R1749"/>
      <c r="S1749"/>
    </row>
    <row r="1750" spans="13:19" ht="13.95" customHeight="1">
      <c r="M1750"/>
      <c r="N1750"/>
      <c r="O1750"/>
      <c r="P1750"/>
      <c r="Q1750"/>
      <c r="R1750"/>
      <c r="S1750"/>
    </row>
    <row r="1751" spans="13:19" ht="13.95" customHeight="1">
      <c r="M1751"/>
      <c r="N1751"/>
      <c r="O1751"/>
      <c r="P1751"/>
      <c r="Q1751"/>
      <c r="R1751"/>
      <c r="S1751"/>
    </row>
    <row r="1752" spans="13:19" ht="13.95" customHeight="1">
      <c r="M1752"/>
      <c r="N1752"/>
      <c r="O1752"/>
      <c r="P1752"/>
      <c r="Q1752"/>
      <c r="R1752"/>
      <c r="S1752"/>
    </row>
    <row r="1753" spans="13:19" ht="13.95" customHeight="1">
      <c r="M1753"/>
      <c r="N1753"/>
      <c r="O1753"/>
      <c r="P1753"/>
      <c r="Q1753"/>
      <c r="R1753"/>
      <c r="S1753"/>
    </row>
    <row r="1754" spans="13:19" ht="13.95" customHeight="1">
      <c r="M1754"/>
      <c r="N1754"/>
      <c r="O1754"/>
      <c r="P1754"/>
      <c r="Q1754"/>
      <c r="R1754"/>
      <c r="S1754"/>
    </row>
    <row r="1755" spans="13:19" ht="13.95" customHeight="1">
      <c r="M1755"/>
      <c r="N1755"/>
      <c r="O1755"/>
      <c r="P1755"/>
      <c r="Q1755"/>
      <c r="R1755"/>
      <c r="S1755"/>
    </row>
    <row r="1756" spans="13:19" ht="13.95" customHeight="1">
      <c r="M1756"/>
      <c r="N1756"/>
      <c r="O1756"/>
      <c r="P1756"/>
      <c r="Q1756"/>
      <c r="R1756"/>
      <c r="S1756"/>
    </row>
    <row r="1757" spans="13:19" ht="13.95" customHeight="1">
      <c r="M1757"/>
      <c r="N1757"/>
      <c r="O1757"/>
      <c r="P1757"/>
      <c r="Q1757"/>
      <c r="R1757"/>
      <c r="S1757"/>
    </row>
    <row r="1758" spans="13:19" ht="13.95" customHeight="1">
      <c r="M1758"/>
      <c r="N1758"/>
      <c r="O1758"/>
      <c r="P1758"/>
      <c r="Q1758"/>
      <c r="R1758"/>
      <c r="S1758"/>
    </row>
    <row r="1759" spans="13:19" ht="13.95" customHeight="1">
      <c r="M1759"/>
      <c r="N1759"/>
      <c r="O1759"/>
      <c r="P1759"/>
      <c r="Q1759"/>
      <c r="R1759"/>
      <c r="S1759"/>
    </row>
    <row r="1760" spans="13:19" ht="13.95" customHeight="1">
      <c r="M1760"/>
      <c r="N1760"/>
      <c r="O1760"/>
      <c r="P1760"/>
      <c r="Q1760"/>
      <c r="R1760"/>
      <c r="S1760"/>
    </row>
    <row r="1761" spans="13:19" ht="13.95" customHeight="1">
      <c r="M1761"/>
      <c r="N1761"/>
      <c r="O1761"/>
      <c r="P1761"/>
      <c r="Q1761"/>
      <c r="R1761"/>
      <c r="S1761"/>
    </row>
    <row r="1762" spans="13:19" ht="13.95" customHeight="1">
      <c r="M1762"/>
      <c r="N1762"/>
      <c r="O1762"/>
      <c r="P1762"/>
      <c r="Q1762"/>
      <c r="R1762"/>
      <c r="S1762"/>
    </row>
    <row r="1763" spans="13:19" ht="13.95" customHeight="1">
      <c r="M1763"/>
      <c r="N1763"/>
      <c r="O1763"/>
      <c r="P1763"/>
      <c r="Q1763"/>
      <c r="R1763"/>
      <c r="S1763"/>
    </row>
    <row r="1764" spans="13:19" ht="13.95" customHeight="1">
      <c r="M1764"/>
      <c r="N1764"/>
      <c r="O1764"/>
      <c r="P1764"/>
      <c r="Q1764"/>
      <c r="R1764"/>
      <c r="S1764"/>
    </row>
    <row r="1765" spans="13:19" ht="13.95" customHeight="1">
      <c r="M1765"/>
      <c r="N1765"/>
      <c r="O1765"/>
      <c r="P1765"/>
      <c r="Q1765"/>
      <c r="R1765"/>
      <c r="S1765"/>
    </row>
    <row r="1766" spans="13:19" ht="13.95" customHeight="1">
      <c r="M1766"/>
      <c r="N1766"/>
      <c r="O1766"/>
      <c r="P1766"/>
      <c r="Q1766"/>
      <c r="R1766"/>
      <c r="S1766"/>
    </row>
    <row r="1767" spans="13:19" ht="13.95" customHeight="1">
      <c r="M1767"/>
      <c r="N1767"/>
      <c r="O1767"/>
      <c r="P1767"/>
      <c r="Q1767"/>
      <c r="R1767"/>
      <c r="S1767"/>
    </row>
    <row r="1768" spans="13:19" ht="13.95" customHeight="1">
      <c r="M1768"/>
      <c r="N1768"/>
      <c r="O1768"/>
      <c r="P1768"/>
      <c r="Q1768"/>
      <c r="R1768"/>
      <c r="S1768"/>
    </row>
    <row r="1769" spans="13:19" ht="13.95" customHeight="1">
      <c r="M1769"/>
      <c r="N1769"/>
      <c r="O1769"/>
      <c r="P1769"/>
      <c r="Q1769"/>
      <c r="R1769"/>
      <c r="S1769"/>
    </row>
    <row r="1770" spans="13:19" ht="13.95" customHeight="1">
      <c r="M1770"/>
      <c r="N1770"/>
      <c r="O1770"/>
      <c r="P1770"/>
      <c r="Q1770"/>
      <c r="R1770"/>
      <c r="S1770"/>
    </row>
    <row r="1771" spans="13:19" ht="13.95" customHeight="1">
      <c r="M1771"/>
      <c r="N1771"/>
      <c r="O1771"/>
      <c r="P1771"/>
      <c r="Q1771"/>
      <c r="R1771"/>
      <c r="S1771"/>
    </row>
    <row r="1772" spans="13:19" ht="13.95" customHeight="1">
      <c r="M1772"/>
      <c r="N1772"/>
      <c r="O1772"/>
      <c r="P1772"/>
      <c r="Q1772"/>
      <c r="R1772"/>
      <c r="S1772"/>
    </row>
    <row r="1773" spans="13:19" ht="13.95" customHeight="1">
      <c r="M1773"/>
      <c r="N1773"/>
      <c r="O1773"/>
      <c r="P1773"/>
      <c r="Q1773"/>
      <c r="R1773"/>
      <c r="S1773"/>
    </row>
    <row r="1774" spans="13:19" ht="13.95" customHeight="1">
      <c r="M1774"/>
      <c r="N1774"/>
      <c r="O1774"/>
      <c r="P1774"/>
      <c r="Q1774"/>
      <c r="R1774"/>
      <c r="S1774"/>
    </row>
    <row r="1775" spans="13:19" ht="13.95" customHeight="1">
      <c r="M1775"/>
      <c r="N1775"/>
      <c r="O1775"/>
      <c r="P1775"/>
      <c r="Q1775"/>
      <c r="R1775"/>
      <c r="S1775"/>
    </row>
    <row r="1776" spans="13:19" ht="13.95" customHeight="1">
      <c r="M1776"/>
      <c r="N1776"/>
      <c r="O1776"/>
      <c r="P1776"/>
      <c r="Q1776"/>
      <c r="R1776"/>
      <c r="S1776"/>
    </row>
    <row r="1777" spans="13:19" ht="13.95" customHeight="1">
      <c r="M1777"/>
      <c r="N1777"/>
      <c r="O1777"/>
      <c r="P1777"/>
      <c r="Q1777"/>
      <c r="R1777"/>
      <c r="S1777"/>
    </row>
    <row r="1778" spans="13:19" ht="13.95" customHeight="1">
      <c r="M1778"/>
      <c r="N1778"/>
      <c r="O1778"/>
      <c r="P1778"/>
      <c r="Q1778"/>
      <c r="R1778"/>
      <c r="S1778"/>
    </row>
    <row r="1779" spans="13:19" ht="13.95" customHeight="1">
      <c r="M1779"/>
      <c r="N1779"/>
      <c r="O1779"/>
      <c r="P1779"/>
      <c r="Q1779"/>
      <c r="R1779"/>
      <c r="S1779"/>
    </row>
    <row r="1780" spans="13:19" ht="13.95" customHeight="1">
      <c r="M1780"/>
      <c r="N1780"/>
      <c r="O1780"/>
      <c r="P1780"/>
      <c r="Q1780"/>
      <c r="R1780"/>
      <c r="S1780"/>
    </row>
    <row r="1781" spans="13:19" ht="13.95" customHeight="1">
      <c r="M1781"/>
      <c r="N1781"/>
      <c r="O1781"/>
      <c r="P1781"/>
      <c r="Q1781"/>
      <c r="R1781"/>
      <c r="S1781"/>
    </row>
    <row r="1782" spans="13:19" ht="13.95" customHeight="1">
      <c r="M1782"/>
      <c r="N1782"/>
      <c r="O1782"/>
      <c r="P1782"/>
      <c r="Q1782"/>
      <c r="R1782"/>
      <c r="S1782"/>
    </row>
    <row r="1783" spans="13:19" ht="13.95" customHeight="1">
      <c r="M1783"/>
      <c r="N1783"/>
      <c r="O1783"/>
      <c r="P1783"/>
      <c r="Q1783"/>
      <c r="R1783"/>
      <c r="S1783"/>
    </row>
    <row r="1784" spans="13:19" ht="13.95" customHeight="1">
      <c r="M1784"/>
      <c r="N1784"/>
      <c r="O1784"/>
      <c r="P1784"/>
      <c r="Q1784"/>
      <c r="R1784"/>
      <c r="S1784"/>
    </row>
    <row r="1785" spans="13:19" ht="13.95" customHeight="1">
      <c r="M1785"/>
      <c r="N1785"/>
      <c r="O1785"/>
      <c r="P1785"/>
      <c r="Q1785"/>
      <c r="R1785"/>
      <c r="S1785"/>
    </row>
    <row r="1786" spans="13:19" ht="13.95" customHeight="1">
      <c r="M1786"/>
      <c r="N1786"/>
      <c r="O1786"/>
      <c r="P1786"/>
      <c r="Q1786"/>
      <c r="R1786"/>
      <c r="S1786"/>
    </row>
    <row r="1787" spans="13:19" ht="13.95" customHeight="1">
      <c r="M1787"/>
      <c r="N1787"/>
      <c r="O1787"/>
      <c r="P1787"/>
      <c r="Q1787"/>
      <c r="R1787"/>
      <c r="S1787"/>
    </row>
    <row r="1788" spans="13:19" ht="13.95" customHeight="1">
      <c r="M1788"/>
      <c r="N1788"/>
      <c r="O1788"/>
      <c r="P1788"/>
      <c r="Q1788"/>
      <c r="R1788"/>
      <c r="S1788"/>
    </row>
    <row r="1789" spans="13:19" ht="13.95" customHeight="1">
      <c r="M1789"/>
      <c r="N1789"/>
      <c r="O1789"/>
      <c r="P1789"/>
      <c r="Q1789"/>
      <c r="R1789"/>
      <c r="S1789"/>
    </row>
    <row r="1790" spans="13:19" ht="13.95" customHeight="1">
      <c r="M1790"/>
      <c r="N1790"/>
      <c r="O1790"/>
      <c r="P1790"/>
      <c r="Q1790"/>
      <c r="R1790"/>
      <c r="S1790"/>
    </row>
    <row r="1791" spans="13:19" ht="13.95" customHeight="1">
      <c r="M1791"/>
      <c r="N1791"/>
      <c r="O1791"/>
      <c r="P1791"/>
      <c r="Q1791"/>
      <c r="R1791"/>
      <c r="S1791"/>
    </row>
    <row r="1792" spans="13:19" ht="13.95" customHeight="1">
      <c r="M1792"/>
      <c r="N1792"/>
      <c r="O1792"/>
      <c r="P1792"/>
      <c r="Q1792"/>
      <c r="R1792"/>
      <c r="S1792"/>
    </row>
    <row r="1793" spans="13:19" ht="13.95" customHeight="1">
      <c r="M1793"/>
      <c r="N1793"/>
      <c r="O1793"/>
      <c r="P1793"/>
      <c r="Q1793"/>
      <c r="R1793"/>
      <c r="S1793"/>
    </row>
    <row r="1794" spans="13:19" ht="13.95" customHeight="1">
      <c r="M1794"/>
      <c r="N1794"/>
      <c r="O1794"/>
      <c r="P1794"/>
      <c r="Q1794"/>
      <c r="R1794"/>
      <c r="S1794"/>
    </row>
    <row r="1795" spans="13:19" ht="13.95" customHeight="1">
      <c r="M1795"/>
      <c r="N1795"/>
      <c r="O1795"/>
      <c r="P1795"/>
      <c r="Q1795"/>
      <c r="R1795"/>
      <c r="S1795"/>
    </row>
    <row r="1796" spans="13:19" ht="13.95" customHeight="1">
      <c r="M1796"/>
      <c r="N1796"/>
      <c r="O1796"/>
      <c r="P1796"/>
      <c r="Q1796"/>
      <c r="R1796"/>
      <c r="S1796"/>
    </row>
    <row r="1797" spans="13:19" ht="13.95" customHeight="1">
      <c r="M1797"/>
      <c r="N1797"/>
      <c r="O1797"/>
      <c r="P1797"/>
      <c r="Q1797"/>
      <c r="R1797"/>
      <c r="S1797"/>
    </row>
    <row r="1798" spans="13:19" ht="13.95" customHeight="1">
      <c r="M1798"/>
      <c r="N1798"/>
      <c r="O1798"/>
      <c r="P1798"/>
      <c r="Q1798"/>
      <c r="R1798"/>
      <c r="S1798"/>
    </row>
    <row r="1799" spans="13:19" ht="13.95" customHeight="1">
      <c r="M1799"/>
      <c r="N1799"/>
      <c r="O1799"/>
      <c r="P1799"/>
      <c r="Q1799"/>
      <c r="R1799"/>
      <c r="S1799"/>
    </row>
    <row r="1800" spans="13:19" ht="13.95" customHeight="1">
      <c r="M1800"/>
      <c r="N1800"/>
      <c r="O1800"/>
      <c r="P1800"/>
      <c r="Q1800"/>
      <c r="R1800"/>
      <c r="S1800"/>
    </row>
    <row r="1801" spans="13:19" ht="13.95" customHeight="1">
      <c r="M1801"/>
      <c r="N1801"/>
      <c r="O1801"/>
      <c r="P1801"/>
      <c r="Q1801"/>
      <c r="R1801"/>
      <c r="S1801"/>
    </row>
    <row r="1802" spans="13:19" ht="13.95" customHeight="1">
      <c r="M1802"/>
      <c r="N1802"/>
      <c r="O1802"/>
      <c r="P1802"/>
      <c r="Q1802"/>
      <c r="R1802"/>
      <c r="S1802"/>
    </row>
    <row r="1803" spans="13:19" ht="13.95" customHeight="1">
      <c r="M1803"/>
      <c r="N1803"/>
      <c r="O1803"/>
      <c r="P1803"/>
      <c r="Q1803"/>
      <c r="R1803"/>
      <c r="S1803"/>
    </row>
    <row r="1804" spans="13:19" ht="13.95" customHeight="1">
      <c r="M1804"/>
      <c r="N1804"/>
      <c r="O1804"/>
      <c r="P1804"/>
      <c r="Q1804"/>
      <c r="R1804"/>
      <c r="S1804"/>
    </row>
    <row r="1805" spans="13:19" ht="13.95" customHeight="1">
      <c r="M1805"/>
      <c r="N1805"/>
      <c r="O1805"/>
      <c r="P1805"/>
      <c r="Q1805"/>
      <c r="R1805"/>
      <c r="S1805"/>
    </row>
    <row r="1806" spans="13:19" ht="13.95" customHeight="1">
      <c r="M1806"/>
      <c r="N1806"/>
      <c r="O1806"/>
      <c r="P1806"/>
      <c r="Q1806"/>
      <c r="R1806"/>
      <c r="S1806"/>
    </row>
    <row r="1807" spans="13:19" ht="13.95" customHeight="1">
      <c r="M1807"/>
      <c r="N1807"/>
      <c r="O1807"/>
      <c r="P1807"/>
      <c r="Q1807"/>
      <c r="R1807"/>
      <c r="S1807"/>
    </row>
    <row r="1808" spans="13:19" ht="13.95" customHeight="1">
      <c r="M1808"/>
      <c r="N1808"/>
      <c r="O1808"/>
      <c r="P1808"/>
      <c r="Q1808"/>
      <c r="R1808"/>
      <c r="S1808"/>
    </row>
    <row r="1809" spans="13:19" ht="13.95" customHeight="1">
      <c r="M1809"/>
      <c r="N1809"/>
      <c r="O1809"/>
      <c r="P1809"/>
      <c r="Q1809"/>
      <c r="R1809"/>
      <c r="S1809"/>
    </row>
    <row r="1810" spans="13:19" ht="13.95" customHeight="1">
      <c r="M1810"/>
      <c r="N1810"/>
      <c r="O1810"/>
      <c r="P1810"/>
      <c r="Q1810"/>
      <c r="R1810"/>
      <c r="S1810"/>
    </row>
    <row r="1811" spans="13:19" ht="13.95" customHeight="1">
      <c r="M1811"/>
      <c r="N1811"/>
      <c r="O1811"/>
      <c r="P1811"/>
      <c r="Q1811"/>
      <c r="R1811"/>
      <c r="S1811"/>
    </row>
    <row r="1812" spans="13:19" ht="13.95" customHeight="1">
      <c r="M1812"/>
      <c r="N1812"/>
      <c r="O1812"/>
      <c r="P1812"/>
      <c r="Q1812"/>
      <c r="R1812"/>
      <c r="S1812"/>
    </row>
    <row r="1813" spans="13:19" ht="13.95" customHeight="1">
      <c r="M1813"/>
      <c r="N1813"/>
      <c r="O1813"/>
      <c r="P1813"/>
      <c r="Q1813"/>
      <c r="R1813"/>
      <c r="S1813"/>
    </row>
    <row r="1814" spans="13:19" ht="13.95" customHeight="1">
      <c r="M1814"/>
      <c r="N1814"/>
      <c r="O1814"/>
      <c r="P1814"/>
      <c r="Q1814"/>
      <c r="R1814"/>
      <c r="S1814"/>
    </row>
    <row r="1815" spans="13:19" ht="13.95" customHeight="1">
      <c r="M1815"/>
      <c r="N1815"/>
      <c r="O1815"/>
      <c r="P1815"/>
      <c r="Q1815"/>
      <c r="R1815"/>
      <c r="S1815"/>
    </row>
    <row r="1816" spans="13:19" ht="13.95" customHeight="1">
      <c r="M1816"/>
      <c r="N1816"/>
      <c r="O1816"/>
      <c r="P1816"/>
      <c r="Q1816"/>
      <c r="R1816"/>
      <c r="S1816"/>
    </row>
    <row r="1817" spans="13:19" ht="13.95" customHeight="1">
      <c r="M1817"/>
      <c r="N1817"/>
      <c r="O1817"/>
      <c r="P1817"/>
      <c r="Q1817"/>
      <c r="R1817"/>
      <c r="S1817"/>
    </row>
    <row r="1818" spans="13:19" ht="13.95" customHeight="1">
      <c r="M1818"/>
      <c r="N1818"/>
      <c r="O1818"/>
      <c r="P1818"/>
      <c r="Q1818"/>
      <c r="R1818"/>
      <c r="S1818"/>
    </row>
    <row r="1819" spans="13:19" ht="13.95" customHeight="1">
      <c r="M1819"/>
      <c r="N1819"/>
      <c r="O1819"/>
      <c r="P1819"/>
      <c r="Q1819"/>
      <c r="R1819"/>
      <c r="S1819"/>
    </row>
    <row r="1820" spans="13:19" ht="13.95" customHeight="1">
      <c r="M1820"/>
      <c r="N1820"/>
      <c r="O1820"/>
      <c r="P1820"/>
      <c r="Q1820"/>
      <c r="R1820"/>
      <c r="S1820"/>
    </row>
    <row r="1821" spans="13:19" ht="13.95" customHeight="1">
      <c r="M1821"/>
      <c r="N1821"/>
      <c r="O1821"/>
      <c r="P1821"/>
      <c r="Q1821"/>
      <c r="R1821"/>
      <c r="S1821"/>
    </row>
    <row r="1822" spans="13:19" ht="13.95" customHeight="1">
      <c r="M1822"/>
      <c r="N1822"/>
      <c r="O1822"/>
      <c r="P1822"/>
      <c r="Q1822"/>
      <c r="R1822"/>
      <c r="S1822"/>
    </row>
    <row r="1823" spans="13:19" ht="13.95" customHeight="1">
      <c r="M1823"/>
      <c r="N1823"/>
      <c r="O1823"/>
      <c r="P1823"/>
      <c r="Q1823"/>
      <c r="R1823"/>
      <c r="S1823"/>
    </row>
    <row r="1824" spans="13:19" ht="13.95" customHeight="1">
      <c r="M1824"/>
      <c r="N1824"/>
      <c r="O1824"/>
      <c r="P1824"/>
      <c r="Q1824"/>
      <c r="R1824"/>
      <c r="S1824"/>
    </row>
    <row r="1825" spans="13:19" ht="13.95" customHeight="1">
      <c r="M1825"/>
      <c r="N1825"/>
      <c r="O1825"/>
      <c r="P1825"/>
      <c r="Q1825"/>
      <c r="R1825"/>
      <c r="S1825"/>
    </row>
    <row r="1826" spans="13:19" ht="13.95" customHeight="1">
      <c r="M1826"/>
      <c r="N1826"/>
      <c r="O1826"/>
      <c r="P1826"/>
      <c r="Q1826"/>
      <c r="R1826"/>
      <c r="S1826"/>
    </row>
    <row r="1827" spans="13:19" ht="13.95" customHeight="1">
      <c r="M1827"/>
      <c r="N1827"/>
      <c r="O1827"/>
      <c r="P1827"/>
      <c r="Q1827"/>
      <c r="R1827"/>
      <c r="S1827"/>
    </row>
    <row r="1828" spans="13:19" ht="13.95" customHeight="1">
      <c r="M1828"/>
      <c r="N1828"/>
      <c r="O1828"/>
      <c r="P1828"/>
      <c r="Q1828"/>
      <c r="R1828"/>
      <c r="S1828"/>
    </row>
    <row r="1829" spans="13:19" ht="13.95" customHeight="1">
      <c r="M1829"/>
      <c r="N1829"/>
      <c r="O1829"/>
      <c r="P1829"/>
      <c r="Q1829"/>
      <c r="R1829"/>
      <c r="S1829"/>
    </row>
    <row r="1830" spans="13:19" ht="13.95" customHeight="1">
      <c r="M1830"/>
      <c r="N1830"/>
      <c r="O1830"/>
      <c r="P1830"/>
      <c r="Q1830"/>
      <c r="R1830"/>
      <c r="S1830"/>
    </row>
    <row r="1831" spans="13:19" ht="13.95" customHeight="1">
      <c r="M1831"/>
      <c r="N1831"/>
      <c r="O1831"/>
      <c r="P1831"/>
      <c r="Q1831"/>
      <c r="R1831"/>
      <c r="S1831"/>
    </row>
    <row r="1832" spans="13:19" ht="13.95" customHeight="1">
      <c r="M1832"/>
      <c r="N1832"/>
      <c r="O1832"/>
      <c r="P1832"/>
      <c r="Q1832"/>
      <c r="R1832"/>
      <c r="S1832"/>
    </row>
    <row r="1833" spans="13:19" ht="13.95" customHeight="1">
      <c r="M1833"/>
      <c r="N1833"/>
      <c r="O1833"/>
      <c r="P1833"/>
      <c r="Q1833"/>
      <c r="R1833"/>
      <c r="S1833"/>
    </row>
    <row r="1834" spans="13:19" ht="13.95" customHeight="1">
      <c r="M1834"/>
      <c r="N1834"/>
      <c r="O1834"/>
      <c r="P1834"/>
      <c r="Q1834"/>
      <c r="R1834"/>
      <c r="S1834"/>
    </row>
    <row r="1835" spans="13:19" ht="13.95" customHeight="1">
      <c r="M1835"/>
      <c r="N1835"/>
      <c r="O1835"/>
      <c r="P1835"/>
      <c r="Q1835"/>
      <c r="R1835"/>
      <c r="S1835"/>
    </row>
    <row r="1836" spans="13:19" ht="13.95" customHeight="1">
      <c r="M1836"/>
      <c r="N1836"/>
      <c r="O1836"/>
      <c r="P1836"/>
      <c r="Q1836"/>
      <c r="R1836"/>
      <c r="S1836"/>
    </row>
    <row r="1837" spans="13:19" ht="13.95" customHeight="1">
      <c r="M1837"/>
      <c r="N1837"/>
      <c r="O1837"/>
      <c r="P1837"/>
      <c r="Q1837"/>
      <c r="R1837"/>
      <c r="S1837"/>
    </row>
    <row r="1838" spans="13:19" ht="13.95" customHeight="1">
      <c r="M1838"/>
      <c r="N1838"/>
      <c r="O1838"/>
      <c r="P1838"/>
      <c r="Q1838"/>
      <c r="R1838"/>
      <c r="S1838"/>
    </row>
    <row r="1839" spans="13:19" ht="13.95" customHeight="1">
      <c r="M1839"/>
      <c r="N1839"/>
      <c r="O1839"/>
      <c r="P1839"/>
      <c r="Q1839"/>
      <c r="R1839"/>
      <c r="S1839"/>
    </row>
    <row r="1840" spans="13:19" ht="13.95" customHeight="1">
      <c r="M1840"/>
      <c r="N1840"/>
      <c r="O1840"/>
      <c r="P1840"/>
      <c r="Q1840"/>
      <c r="R1840"/>
      <c r="S1840"/>
    </row>
    <row r="1841" spans="13:19" ht="13.95" customHeight="1">
      <c r="M1841"/>
      <c r="N1841"/>
      <c r="O1841"/>
      <c r="P1841"/>
      <c r="Q1841"/>
      <c r="R1841"/>
      <c r="S1841"/>
    </row>
    <row r="1842" spans="13:19" ht="13.95" customHeight="1">
      <c r="M1842"/>
      <c r="N1842"/>
      <c r="O1842"/>
      <c r="P1842"/>
      <c r="Q1842"/>
      <c r="R1842"/>
      <c r="S1842"/>
    </row>
    <row r="1843" spans="13:19" ht="13.95" customHeight="1">
      <c r="M1843"/>
      <c r="N1843"/>
      <c r="O1843"/>
      <c r="P1843"/>
      <c r="Q1843"/>
      <c r="R1843"/>
      <c r="S1843"/>
    </row>
    <row r="1844" spans="13:19" ht="13.95" customHeight="1">
      <c r="M1844"/>
      <c r="N1844"/>
      <c r="O1844"/>
      <c r="P1844"/>
      <c r="Q1844"/>
      <c r="R1844"/>
      <c r="S1844"/>
    </row>
    <row r="1845" spans="13:19" ht="13.95" customHeight="1">
      <c r="M1845"/>
      <c r="N1845"/>
      <c r="O1845"/>
      <c r="P1845"/>
      <c r="Q1845"/>
      <c r="R1845"/>
      <c r="S1845"/>
    </row>
    <row r="1846" spans="13:19" ht="13.95" customHeight="1">
      <c r="M1846"/>
      <c r="N1846"/>
      <c r="O1846"/>
      <c r="P1846"/>
      <c r="Q1846"/>
      <c r="R1846"/>
      <c r="S1846"/>
    </row>
    <row r="1847" spans="13:19" ht="13.95" customHeight="1">
      <c r="M1847"/>
      <c r="N1847"/>
      <c r="O1847"/>
      <c r="P1847"/>
      <c r="Q1847"/>
      <c r="R1847"/>
      <c r="S1847"/>
    </row>
    <row r="1848" spans="13:19" ht="13.95" customHeight="1">
      <c r="M1848"/>
      <c r="N1848"/>
      <c r="O1848"/>
      <c r="P1848"/>
      <c r="Q1848"/>
      <c r="R1848"/>
      <c r="S1848"/>
    </row>
    <row r="1849" spans="13:19" ht="13.95" customHeight="1">
      <c r="M1849"/>
      <c r="N1849"/>
      <c r="O1849"/>
      <c r="P1849"/>
      <c r="Q1849"/>
      <c r="R1849"/>
      <c r="S1849"/>
    </row>
    <row r="1850" spans="13:19" ht="13.95" customHeight="1">
      <c r="M1850"/>
      <c r="N1850"/>
      <c r="O1850"/>
      <c r="P1850"/>
      <c r="Q1850"/>
      <c r="R1850"/>
      <c r="S1850"/>
    </row>
    <row r="1851" spans="13:19" ht="13.95" customHeight="1">
      <c r="M1851"/>
      <c r="N1851"/>
      <c r="O1851"/>
      <c r="P1851"/>
      <c r="Q1851"/>
      <c r="R1851"/>
      <c r="S1851"/>
    </row>
    <row r="1852" spans="13:19" ht="13.95" customHeight="1">
      <c r="M1852"/>
      <c r="N1852"/>
      <c r="O1852"/>
      <c r="P1852"/>
      <c r="Q1852"/>
      <c r="R1852"/>
      <c r="S1852"/>
    </row>
    <row r="1853" spans="13:19" ht="13.95" customHeight="1">
      <c r="M1853"/>
      <c r="N1853"/>
      <c r="O1853"/>
      <c r="P1853"/>
      <c r="Q1853"/>
      <c r="R1853"/>
      <c r="S1853"/>
    </row>
    <row r="1854" spans="13:19" ht="13.95" customHeight="1">
      <c r="M1854"/>
      <c r="N1854"/>
      <c r="O1854"/>
      <c r="P1854"/>
      <c r="Q1854"/>
      <c r="R1854"/>
      <c r="S1854"/>
    </row>
    <row r="1855" spans="13:19" ht="13.95" customHeight="1">
      <c r="M1855"/>
      <c r="N1855"/>
      <c r="O1855"/>
      <c r="P1855"/>
      <c r="Q1855"/>
      <c r="R1855"/>
      <c r="S1855"/>
    </row>
    <row r="1856" spans="13:19" ht="13.95" customHeight="1">
      <c r="M1856"/>
      <c r="N1856"/>
      <c r="O1856"/>
      <c r="P1856"/>
      <c r="Q1856"/>
      <c r="R1856"/>
      <c r="S1856"/>
    </row>
    <row r="1857" spans="13:19" ht="13.95" customHeight="1">
      <c r="M1857"/>
      <c r="N1857"/>
      <c r="O1857"/>
      <c r="P1857"/>
      <c r="Q1857"/>
      <c r="R1857"/>
      <c r="S1857"/>
    </row>
    <row r="1858" spans="13:19" ht="13.95" customHeight="1">
      <c r="M1858"/>
      <c r="N1858"/>
      <c r="O1858"/>
      <c r="P1858"/>
      <c r="Q1858"/>
      <c r="R1858"/>
      <c r="S1858"/>
    </row>
    <row r="1859" spans="13:19" ht="13.95" customHeight="1">
      <c r="M1859"/>
      <c r="N1859"/>
      <c r="O1859"/>
      <c r="P1859"/>
      <c r="Q1859"/>
      <c r="R1859"/>
      <c r="S1859"/>
    </row>
    <row r="1860" spans="13:19" ht="13.95" customHeight="1">
      <c r="M1860"/>
      <c r="N1860"/>
      <c r="O1860"/>
      <c r="P1860"/>
      <c r="Q1860"/>
      <c r="R1860"/>
      <c r="S1860"/>
    </row>
    <row r="1861" spans="13:19" ht="13.95" customHeight="1">
      <c r="M1861"/>
      <c r="N1861"/>
      <c r="O1861"/>
      <c r="P1861"/>
      <c r="Q1861"/>
      <c r="R1861"/>
      <c r="S1861"/>
    </row>
    <row r="1862" spans="13:19" ht="13.95" customHeight="1">
      <c r="M1862"/>
      <c r="N1862"/>
      <c r="O1862"/>
      <c r="P1862"/>
      <c r="Q1862"/>
      <c r="R1862"/>
      <c r="S1862"/>
    </row>
    <row r="1863" spans="13:19" ht="13.95" customHeight="1">
      <c r="M1863"/>
      <c r="N1863"/>
      <c r="O1863"/>
      <c r="P1863"/>
      <c r="Q1863"/>
      <c r="R1863"/>
      <c r="S1863"/>
    </row>
    <row r="1864" spans="13:19" ht="13.95" customHeight="1">
      <c r="M1864"/>
      <c r="N1864"/>
      <c r="O1864"/>
      <c r="P1864"/>
      <c r="Q1864"/>
      <c r="R1864"/>
      <c r="S1864"/>
    </row>
    <row r="1865" spans="13:19" ht="13.95" customHeight="1">
      <c r="M1865"/>
      <c r="N1865"/>
      <c r="O1865"/>
      <c r="P1865"/>
      <c r="Q1865"/>
      <c r="R1865"/>
      <c r="S1865"/>
    </row>
    <row r="1866" spans="13:19" ht="13.95" customHeight="1">
      <c r="M1866"/>
      <c r="N1866"/>
      <c r="O1866"/>
      <c r="P1866"/>
      <c r="Q1866"/>
      <c r="R1866"/>
      <c r="S1866"/>
    </row>
    <row r="1867" spans="13:19" ht="13.95" customHeight="1">
      <c r="M1867"/>
      <c r="N1867"/>
      <c r="O1867"/>
      <c r="P1867"/>
      <c r="Q1867"/>
      <c r="R1867"/>
      <c r="S1867"/>
    </row>
    <row r="1868" spans="13:19" ht="13.95" customHeight="1">
      <c r="M1868"/>
      <c r="N1868"/>
      <c r="O1868"/>
      <c r="P1868"/>
      <c r="Q1868"/>
      <c r="R1868"/>
      <c r="S1868"/>
    </row>
    <row r="1869" spans="13:19" ht="13.95" customHeight="1">
      <c r="M1869"/>
      <c r="N1869"/>
      <c r="O1869"/>
      <c r="P1869"/>
      <c r="Q1869"/>
      <c r="R1869"/>
      <c r="S1869"/>
    </row>
    <row r="1870" spans="13:19" ht="13.95" customHeight="1">
      <c r="M1870"/>
      <c r="N1870"/>
      <c r="O1870"/>
      <c r="P1870"/>
      <c r="Q1870"/>
      <c r="R1870"/>
      <c r="S1870"/>
    </row>
    <row r="1871" spans="13:19" ht="13.95" customHeight="1">
      <c r="M1871"/>
      <c r="N1871"/>
      <c r="O1871"/>
      <c r="P1871"/>
      <c r="Q1871"/>
      <c r="R1871"/>
      <c r="S1871"/>
    </row>
    <row r="1872" spans="13:19" ht="13.95" customHeight="1">
      <c r="M1872"/>
      <c r="N1872"/>
      <c r="O1872"/>
      <c r="P1872"/>
      <c r="Q1872"/>
      <c r="R1872"/>
      <c r="S1872"/>
    </row>
    <row r="1873" spans="13:19" ht="13.95" customHeight="1">
      <c r="M1873"/>
      <c r="N1873"/>
      <c r="O1873"/>
      <c r="P1873"/>
      <c r="Q1873"/>
      <c r="R1873"/>
      <c r="S1873"/>
    </row>
    <row r="1874" spans="13:19" ht="13.95" customHeight="1">
      <c r="M1874"/>
      <c r="N1874"/>
      <c r="O1874"/>
      <c r="P1874"/>
      <c r="Q1874"/>
      <c r="R1874"/>
      <c r="S1874"/>
    </row>
    <row r="1875" spans="13:19" ht="13.95" customHeight="1">
      <c r="M1875"/>
      <c r="N1875"/>
      <c r="O1875"/>
      <c r="P1875"/>
      <c r="Q1875"/>
      <c r="R1875"/>
      <c r="S1875"/>
    </row>
    <row r="1876" spans="13:19" ht="13.95" customHeight="1">
      <c r="M1876"/>
      <c r="N1876"/>
      <c r="O1876"/>
      <c r="P1876"/>
      <c r="Q1876"/>
      <c r="R1876"/>
      <c r="S1876"/>
    </row>
    <row r="1877" spans="13:19" ht="13.95" customHeight="1">
      <c r="M1877"/>
      <c r="N1877"/>
      <c r="O1877"/>
      <c r="P1877"/>
      <c r="Q1877"/>
      <c r="R1877"/>
      <c r="S1877"/>
    </row>
    <row r="1878" spans="13:19" ht="13.95" customHeight="1">
      <c r="M1878"/>
      <c r="N1878"/>
      <c r="O1878"/>
      <c r="P1878"/>
      <c r="Q1878"/>
      <c r="R1878"/>
      <c r="S1878"/>
    </row>
    <row r="1879" spans="13:19" ht="13.95" customHeight="1">
      <c r="M1879"/>
      <c r="N1879"/>
      <c r="O1879"/>
      <c r="P1879"/>
      <c r="Q1879"/>
      <c r="R1879"/>
      <c r="S1879"/>
    </row>
    <row r="1880" spans="13:19" ht="13.95" customHeight="1">
      <c r="M1880"/>
      <c r="N1880"/>
      <c r="O1880"/>
      <c r="P1880"/>
      <c r="Q1880"/>
      <c r="R1880"/>
      <c r="S1880"/>
    </row>
    <row r="1881" spans="13:19" ht="13.95" customHeight="1">
      <c r="M1881"/>
      <c r="N1881"/>
      <c r="O1881"/>
      <c r="P1881"/>
      <c r="Q1881"/>
      <c r="R1881"/>
      <c r="S1881"/>
    </row>
    <row r="1882" spans="13:19" ht="13.95" customHeight="1">
      <c r="M1882"/>
      <c r="N1882"/>
      <c r="O1882"/>
      <c r="P1882"/>
      <c r="Q1882"/>
      <c r="R1882"/>
      <c r="S1882"/>
    </row>
    <row r="1883" spans="13:19" ht="13.95" customHeight="1">
      <c r="M1883"/>
      <c r="N1883"/>
      <c r="O1883"/>
      <c r="P1883"/>
      <c r="Q1883"/>
      <c r="R1883"/>
      <c r="S1883"/>
    </row>
    <row r="1884" spans="13:19" ht="13.95" customHeight="1">
      <c r="M1884"/>
      <c r="N1884"/>
      <c r="O1884"/>
      <c r="P1884"/>
      <c r="Q1884"/>
      <c r="R1884"/>
      <c r="S1884"/>
    </row>
    <row r="1885" spans="13:19" ht="13.95" customHeight="1">
      <c r="M1885"/>
      <c r="N1885"/>
      <c r="O1885"/>
      <c r="P1885"/>
      <c r="Q1885"/>
      <c r="R1885"/>
      <c r="S1885"/>
    </row>
    <row r="1886" spans="13:19" ht="13.95" customHeight="1">
      <c r="M1886"/>
      <c r="N1886"/>
      <c r="O1886"/>
      <c r="P1886"/>
      <c r="Q1886"/>
      <c r="R1886"/>
      <c r="S1886"/>
    </row>
    <row r="1887" spans="13:19" ht="13.95" customHeight="1">
      <c r="M1887"/>
      <c r="N1887"/>
      <c r="O1887"/>
      <c r="P1887"/>
      <c r="Q1887"/>
      <c r="R1887"/>
      <c r="S1887"/>
    </row>
    <row r="1888" spans="13:19" ht="13.95" customHeight="1">
      <c r="M1888"/>
      <c r="N1888"/>
      <c r="O1888"/>
      <c r="P1888"/>
      <c r="Q1888"/>
      <c r="R1888"/>
      <c r="S1888"/>
    </row>
    <row r="1889" spans="13:19" ht="13.95" customHeight="1">
      <c r="M1889"/>
      <c r="N1889"/>
      <c r="O1889"/>
      <c r="P1889"/>
      <c r="Q1889"/>
      <c r="R1889"/>
      <c r="S1889"/>
    </row>
    <row r="1890" spans="13:19" ht="13.95" customHeight="1">
      <c r="M1890"/>
      <c r="N1890"/>
      <c r="O1890"/>
      <c r="P1890"/>
      <c r="Q1890"/>
      <c r="R1890"/>
      <c r="S1890"/>
    </row>
    <row r="1891" spans="13:19" ht="13.95" customHeight="1">
      <c r="M1891"/>
      <c r="N1891"/>
      <c r="O1891"/>
      <c r="P1891"/>
      <c r="Q1891"/>
      <c r="R1891"/>
      <c r="S1891"/>
    </row>
    <row r="1892" spans="13:19" ht="13.95" customHeight="1">
      <c r="M1892"/>
      <c r="N1892"/>
      <c r="O1892"/>
      <c r="P1892"/>
      <c r="Q1892"/>
      <c r="R1892"/>
      <c r="S1892"/>
    </row>
    <row r="1893" spans="13:19" ht="13.95" customHeight="1">
      <c r="M1893"/>
      <c r="N1893"/>
      <c r="O1893"/>
      <c r="P1893"/>
      <c r="Q1893"/>
      <c r="R1893"/>
      <c r="S1893"/>
    </row>
    <row r="1894" spans="13:19" ht="13.95" customHeight="1">
      <c r="M1894"/>
      <c r="N1894"/>
      <c r="O1894"/>
      <c r="P1894"/>
      <c r="Q1894"/>
      <c r="R1894"/>
      <c r="S1894"/>
    </row>
    <row r="1895" spans="13:19" ht="13.95" customHeight="1">
      <c r="M1895"/>
      <c r="N1895"/>
      <c r="O1895"/>
      <c r="P1895"/>
      <c r="Q1895"/>
      <c r="R1895"/>
      <c r="S1895"/>
    </row>
    <row r="1896" spans="13:19" ht="13.95" customHeight="1">
      <c r="M1896"/>
      <c r="N1896"/>
      <c r="O1896"/>
      <c r="P1896"/>
      <c r="Q1896"/>
      <c r="R1896"/>
      <c r="S1896"/>
    </row>
    <row r="1897" spans="13:19" ht="13.95" customHeight="1">
      <c r="M1897"/>
      <c r="N1897"/>
      <c r="O1897"/>
      <c r="P1897"/>
      <c r="Q1897"/>
      <c r="R1897"/>
      <c r="S1897"/>
    </row>
    <row r="1898" spans="13:19" ht="13.95" customHeight="1">
      <c r="M1898"/>
      <c r="N1898"/>
      <c r="O1898"/>
      <c r="P1898"/>
      <c r="Q1898"/>
      <c r="R1898"/>
      <c r="S1898"/>
    </row>
    <row r="1899" spans="13:19" ht="13.95" customHeight="1">
      <c r="M1899"/>
      <c r="N1899"/>
      <c r="O1899"/>
      <c r="P1899"/>
      <c r="Q1899"/>
      <c r="R1899"/>
      <c r="S1899"/>
    </row>
    <row r="1900" spans="13:19" ht="13.95" customHeight="1">
      <c r="M1900"/>
      <c r="N1900"/>
      <c r="O1900"/>
      <c r="P1900"/>
      <c r="Q1900"/>
      <c r="R1900"/>
      <c r="S1900"/>
    </row>
    <row r="1901" spans="13:19" ht="13.95" customHeight="1">
      <c r="M1901"/>
      <c r="N1901"/>
      <c r="O1901"/>
      <c r="P1901"/>
      <c r="Q1901"/>
      <c r="R1901"/>
      <c r="S1901"/>
    </row>
    <row r="1902" spans="13:19" ht="13.95" customHeight="1">
      <c r="M1902"/>
      <c r="N1902"/>
      <c r="O1902"/>
      <c r="P1902"/>
      <c r="Q1902"/>
      <c r="R1902"/>
      <c r="S1902"/>
    </row>
    <row r="1903" spans="13:19" ht="13.95" customHeight="1">
      <c r="M1903"/>
      <c r="N1903"/>
      <c r="O1903"/>
      <c r="P1903"/>
      <c r="Q1903"/>
      <c r="R1903"/>
      <c r="S1903"/>
    </row>
    <row r="1904" spans="13:19" ht="13.95" customHeight="1">
      <c r="M1904"/>
      <c r="N1904"/>
      <c r="O1904"/>
      <c r="P1904"/>
      <c r="Q1904"/>
      <c r="R1904"/>
      <c r="S1904"/>
    </row>
    <row r="1905" spans="13:19" ht="13.95" customHeight="1">
      <c r="M1905"/>
      <c r="N1905"/>
      <c r="O1905"/>
      <c r="P1905"/>
      <c r="Q1905"/>
      <c r="R1905"/>
      <c r="S1905"/>
    </row>
    <row r="1906" spans="13:19" ht="13.95" customHeight="1">
      <c r="M1906"/>
      <c r="N1906"/>
      <c r="O1906"/>
      <c r="P1906"/>
      <c r="Q1906"/>
      <c r="R1906"/>
      <c r="S1906"/>
    </row>
    <row r="1907" spans="13:19" ht="13.95" customHeight="1">
      <c r="M1907"/>
      <c r="N1907"/>
      <c r="O1907"/>
      <c r="P1907"/>
      <c r="Q1907"/>
      <c r="R1907"/>
      <c r="S1907"/>
    </row>
    <row r="1908" spans="13:19" ht="13.95" customHeight="1">
      <c r="M1908"/>
      <c r="N1908"/>
      <c r="O1908"/>
      <c r="P1908"/>
      <c r="Q1908"/>
      <c r="R1908"/>
      <c r="S1908"/>
    </row>
    <row r="1909" spans="13:19" ht="13.95" customHeight="1">
      <c r="M1909"/>
      <c r="N1909"/>
      <c r="O1909"/>
      <c r="P1909"/>
      <c r="Q1909"/>
      <c r="R1909"/>
      <c r="S1909"/>
    </row>
    <row r="1910" spans="13:19" ht="13.95" customHeight="1">
      <c r="M1910"/>
      <c r="N1910"/>
      <c r="O1910"/>
      <c r="P1910"/>
      <c r="Q1910"/>
      <c r="R1910"/>
      <c r="S1910"/>
    </row>
    <row r="1911" spans="13:19" ht="13.95" customHeight="1">
      <c r="M1911"/>
      <c r="N1911"/>
      <c r="O1911"/>
      <c r="P1911"/>
      <c r="Q1911"/>
      <c r="R1911"/>
      <c r="S1911"/>
    </row>
    <row r="1912" spans="13:19" ht="13.95" customHeight="1">
      <c r="M1912"/>
      <c r="N1912"/>
      <c r="O1912"/>
      <c r="P1912"/>
      <c r="Q1912"/>
      <c r="R1912"/>
      <c r="S1912"/>
    </row>
    <row r="1913" spans="13:19" ht="13.95" customHeight="1">
      <c r="M1913"/>
      <c r="N1913"/>
      <c r="O1913"/>
      <c r="P1913"/>
      <c r="Q1913"/>
      <c r="R1913"/>
      <c r="S1913"/>
    </row>
    <row r="1914" spans="13:19" ht="13.95" customHeight="1">
      <c r="M1914"/>
      <c r="N1914"/>
      <c r="O1914"/>
      <c r="P1914"/>
      <c r="Q1914"/>
      <c r="R1914"/>
      <c r="S1914"/>
    </row>
    <row r="1915" spans="13:19" ht="13.95" customHeight="1">
      <c r="M1915"/>
      <c r="N1915"/>
      <c r="O1915"/>
      <c r="P1915"/>
      <c r="Q1915"/>
      <c r="R1915"/>
      <c r="S1915"/>
    </row>
    <row r="1916" spans="13:19" ht="13.95" customHeight="1">
      <c r="M1916"/>
      <c r="N1916"/>
      <c r="O1916"/>
      <c r="P1916"/>
      <c r="Q1916"/>
      <c r="R1916"/>
      <c r="S1916"/>
    </row>
    <row r="1917" spans="13:19" ht="13.95" customHeight="1">
      <c r="M1917"/>
      <c r="N1917"/>
      <c r="O1917"/>
      <c r="P1917"/>
      <c r="Q1917"/>
      <c r="R1917"/>
      <c r="S1917"/>
    </row>
    <row r="1918" spans="13:19" ht="13.95" customHeight="1">
      <c r="M1918"/>
      <c r="N1918"/>
      <c r="O1918"/>
      <c r="P1918"/>
      <c r="Q1918"/>
      <c r="R1918"/>
      <c r="S1918"/>
    </row>
    <row r="1919" spans="13:19" ht="13.95" customHeight="1">
      <c r="M1919"/>
      <c r="N1919"/>
      <c r="O1919"/>
      <c r="P1919"/>
      <c r="Q1919"/>
      <c r="R1919"/>
      <c r="S1919"/>
    </row>
    <row r="1920" spans="13:19" ht="13.95" customHeight="1">
      <c r="M1920"/>
      <c r="N1920"/>
      <c r="O1920"/>
      <c r="P1920"/>
      <c r="Q1920"/>
      <c r="R1920"/>
      <c r="S1920"/>
    </row>
    <row r="1921" spans="13:19" ht="13.95" customHeight="1">
      <c r="M1921"/>
      <c r="N1921"/>
      <c r="O1921"/>
      <c r="P1921"/>
      <c r="Q1921"/>
      <c r="R1921"/>
      <c r="S1921"/>
    </row>
    <row r="1922" spans="13:19" ht="13.95" customHeight="1">
      <c r="M1922"/>
      <c r="N1922"/>
      <c r="O1922"/>
      <c r="P1922"/>
      <c r="Q1922"/>
      <c r="R1922"/>
      <c r="S1922"/>
    </row>
    <row r="1923" spans="13:19" ht="13.95" customHeight="1">
      <c r="M1923"/>
      <c r="N1923"/>
      <c r="O1923"/>
      <c r="P1923"/>
      <c r="Q1923"/>
      <c r="R1923"/>
      <c r="S1923"/>
    </row>
    <row r="1924" spans="13:19" ht="13.95" customHeight="1">
      <c r="M1924"/>
      <c r="N1924"/>
      <c r="O1924"/>
      <c r="P1924"/>
      <c r="Q1924"/>
      <c r="R1924"/>
      <c r="S1924"/>
    </row>
    <row r="1925" spans="13:19" ht="13.95" customHeight="1">
      <c r="M1925"/>
      <c r="N1925"/>
      <c r="O1925"/>
      <c r="P1925"/>
      <c r="Q1925"/>
      <c r="R1925"/>
      <c r="S1925"/>
    </row>
    <row r="1926" spans="13:19" ht="13.95" customHeight="1">
      <c r="M1926"/>
      <c r="N1926"/>
      <c r="O1926"/>
      <c r="P1926"/>
      <c r="Q1926"/>
      <c r="R1926"/>
      <c r="S1926"/>
    </row>
    <row r="1927" spans="13:19" ht="13.95" customHeight="1">
      <c r="M1927"/>
      <c r="N1927"/>
      <c r="O1927"/>
      <c r="P1927"/>
      <c r="Q1927"/>
      <c r="R1927"/>
      <c r="S1927"/>
    </row>
    <row r="1928" spans="13:19" ht="13.95" customHeight="1">
      <c r="M1928"/>
      <c r="N1928"/>
      <c r="O1928"/>
      <c r="P1928"/>
      <c r="Q1928"/>
      <c r="R1928"/>
      <c r="S1928"/>
    </row>
    <row r="1929" spans="13:19" ht="13.95" customHeight="1">
      <c r="M1929"/>
      <c r="N1929"/>
      <c r="O1929"/>
      <c r="P1929"/>
      <c r="Q1929"/>
      <c r="R1929"/>
      <c r="S1929"/>
    </row>
    <row r="1930" spans="13:19" ht="13.95" customHeight="1">
      <c r="M1930"/>
      <c r="N1930"/>
      <c r="O1930"/>
      <c r="P1930"/>
      <c r="Q1930"/>
      <c r="R1930"/>
      <c r="S1930"/>
    </row>
    <row r="1931" spans="13:19" ht="13.95" customHeight="1">
      <c r="M1931"/>
      <c r="N1931"/>
      <c r="O1931"/>
      <c r="P1931"/>
      <c r="Q1931"/>
      <c r="R1931"/>
      <c r="S1931"/>
    </row>
    <row r="1932" spans="13:19" ht="13.95" customHeight="1">
      <c r="M1932"/>
      <c r="N1932"/>
      <c r="O1932"/>
      <c r="P1932"/>
      <c r="Q1932"/>
      <c r="R1932"/>
      <c r="S1932"/>
    </row>
    <row r="1933" spans="13:19" ht="13.95" customHeight="1">
      <c r="M1933"/>
      <c r="N1933"/>
      <c r="O1933"/>
      <c r="P1933"/>
      <c r="Q1933"/>
      <c r="R1933"/>
      <c r="S1933"/>
    </row>
    <row r="1934" spans="13:19" ht="13.95" customHeight="1">
      <c r="M1934"/>
      <c r="N1934"/>
      <c r="O1934"/>
      <c r="P1934"/>
      <c r="Q1934"/>
      <c r="R1934"/>
      <c r="S1934"/>
    </row>
    <row r="1935" spans="13:19" ht="13.95" customHeight="1">
      <c r="M1935"/>
      <c r="N1935"/>
      <c r="O1935"/>
      <c r="P1935"/>
      <c r="Q1935"/>
      <c r="R1935"/>
      <c r="S1935"/>
    </row>
    <row r="1936" spans="13:19" ht="13.95" customHeight="1">
      <c r="M1936"/>
      <c r="N1936"/>
      <c r="O1936"/>
      <c r="P1936"/>
      <c r="Q1936"/>
      <c r="R1936"/>
      <c r="S1936"/>
    </row>
    <row r="1937" spans="13:19" ht="13.95" customHeight="1">
      <c r="M1937"/>
      <c r="N1937"/>
      <c r="O1937"/>
      <c r="P1937"/>
      <c r="Q1937"/>
      <c r="R1937"/>
      <c r="S1937"/>
    </row>
    <row r="1938" spans="13:19" ht="13.95" customHeight="1">
      <c r="M1938"/>
      <c r="N1938"/>
      <c r="O1938"/>
      <c r="P1938"/>
      <c r="Q1938"/>
      <c r="R1938"/>
      <c r="S1938"/>
    </row>
    <row r="1939" spans="13:19" ht="13.95" customHeight="1">
      <c r="M1939"/>
      <c r="N1939"/>
      <c r="O1939"/>
      <c r="P1939"/>
      <c r="Q1939"/>
      <c r="R1939"/>
      <c r="S1939"/>
    </row>
    <row r="1940" spans="13:19" ht="13.95" customHeight="1">
      <c r="M1940"/>
      <c r="N1940"/>
      <c r="O1940"/>
      <c r="P1940"/>
      <c r="Q1940"/>
      <c r="R1940"/>
      <c r="S1940"/>
    </row>
    <row r="1941" spans="13:19" ht="13.95" customHeight="1">
      <c r="M1941"/>
      <c r="N1941"/>
      <c r="O1941"/>
      <c r="P1941"/>
      <c r="Q1941"/>
      <c r="R1941"/>
      <c r="S1941"/>
    </row>
    <row r="1942" spans="13:19" ht="13.95" customHeight="1">
      <c r="M1942"/>
      <c r="N1942"/>
      <c r="O1942"/>
      <c r="P1942"/>
      <c r="Q1942"/>
      <c r="R1942"/>
      <c r="S1942"/>
    </row>
    <row r="1943" spans="13:19" ht="13.95" customHeight="1">
      <c r="M1943"/>
      <c r="N1943"/>
      <c r="O1943"/>
      <c r="P1943"/>
      <c r="Q1943"/>
      <c r="R1943"/>
      <c r="S1943"/>
    </row>
    <row r="1944" spans="13:19" ht="13.95" customHeight="1">
      <c r="M1944"/>
      <c r="N1944"/>
      <c r="O1944"/>
      <c r="P1944"/>
      <c r="Q1944"/>
      <c r="R1944"/>
      <c r="S1944"/>
    </row>
    <row r="1945" spans="13:19" ht="13.95" customHeight="1">
      <c r="M1945"/>
      <c r="N1945"/>
      <c r="O1945"/>
      <c r="P1945"/>
      <c r="Q1945"/>
      <c r="R1945"/>
      <c r="S1945"/>
    </row>
    <row r="1946" spans="13:19" ht="13.95" customHeight="1">
      <c r="M1946"/>
      <c r="N1946"/>
      <c r="O1946"/>
      <c r="P1946"/>
      <c r="Q1946"/>
      <c r="R1946"/>
      <c r="S1946"/>
    </row>
    <row r="1947" spans="13:19" ht="13.95" customHeight="1">
      <c r="M1947"/>
      <c r="N1947"/>
      <c r="O1947"/>
      <c r="P1947"/>
      <c r="Q1947"/>
      <c r="R1947"/>
      <c r="S1947"/>
    </row>
    <row r="1948" spans="13:19" ht="13.95" customHeight="1">
      <c r="M1948"/>
      <c r="N1948"/>
      <c r="O1948"/>
      <c r="P1948"/>
      <c r="Q1948"/>
      <c r="R1948"/>
      <c r="S1948"/>
    </row>
    <row r="1949" spans="13:19" ht="13.95" customHeight="1">
      <c r="M1949"/>
      <c r="N1949"/>
      <c r="O1949"/>
      <c r="P1949"/>
      <c r="Q1949"/>
      <c r="R1949"/>
      <c r="S1949"/>
    </row>
    <row r="1950" spans="13:19" ht="13.95" customHeight="1">
      <c r="M1950"/>
      <c r="N1950"/>
      <c r="O1950"/>
      <c r="P1950"/>
      <c r="Q1950"/>
      <c r="R1950"/>
      <c r="S1950"/>
    </row>
    <row r="1951" spans="13:19" ht="13.95" customHeight="1">
      <c r="M1951"/>
      <c r="N1951"/>
      <c r="O1951"/>
      <c r="P1951"/>
      <c r="Q1951"/>
      <c r="R1951"/>
      <c r="S1951"/>
    </row>
    <row r="1952" spans="13:19" ht="13.95" customHeight="1">
      <c r="M1952"/>
      <c r="N1952"/>
      <c r="O1952"/>
      <c r="P1952"/>
      <c r="Q1952"/>
      <c r="R1952"/>
      <c r="S1952"/>
    </row>
    <row r="1953" spans="13:19" ht="13.95" customHeight="1">
      <c r="M1953"/>
      <c r="N1953"/>
      <c r="O1953"/>
      <c r="P1953"/>
      <c r="Q1953"/>
      <c r="R1953"/>
      <c r="S1953"/>
    </row>
    <row r="1954" spans="13:19" ht="13.95" customHeight="1">
      <c r="M1954"/>
      <c r="N1954"/>
      <c r="O1954"/>
      <c r="P1954"/>
      <c r="Q1954"/>
      <c r="R1954"/>
      <c r="S1954"/>
    </row>
    <row r="1955" spans="13:19" ht="13.95" customHeight="1">
      <c r="M1955"/>
      <c r="N1955"/>
      <c r="O1955"/>
      <c r="P1955"/>
      <c r="Q1955"/>
      <c r="R1955"/>
      <c r="S1955"/>
    </row>
    <row r="1956" spans="13:19" ht="13.95" customHeight="1">
      <c r="M1956"/>
      <c r="N1956"/>
      <c r="O1956"/>
      <c r="P1956"/>
      <c r="Q1956"/>
      <c r="R1956"/>
      <c r="S1956"/>
    </row>
    <row r="1957" spans="13:19" ht="13.95" customHeight="1">
      <c r="M1957"/>
      <c r="N1957"/>
      <c r="O1957"/>
      <c r="P1957"/>
      <c r="Q1957"/>
      <c r="R1957"/>
      <c r="S1957"/>
    </row>
    <row r="1958" spans="13:19" ht="13.95" customHeight="1">
      <c r="M1958"/>
      <c r="N1958"/>
      <c r="O1958"/>
      <c r="P1958"/>
      <c r="Q1958"/>
      <c r="R1958"/>
      <c r="S1958"/>
    </row>
    <row r="1959" spans="13:19" ht="13.95" customHeight="1">
      <c r="M1959"/>
      <c r="N1959"/>
      <c r="O1959"/>
      <c r="P1959"/>
      <c r="Q1959"/>
      <c r="R1959"/>
      <c r="S1959"/>
    </row>
    <row r="1960" spans="13:19" ht="13.95" customHeight="1">
      <c r="M1960"/>
      <c r="N1960"/>
      <c r="O1960"/>
      <c r="P1960"/>
      <c r="Q1960"/>
      <c r="R1960"/>
      <c r="S1960"/>
    </row>
    <row r="1961" spans="13:19" ht="13.95" customHeight="1">
      <c r="M1961"/>
      <c r="N1961"/>
      <c r="O1961"/>
      <c r="P1961"/>
      <c r="Q1961"/>
      <c r="R1961"/>
      <c r="S1961"/>
    </row>
    <row r="1962" spans="13:19" ht="13.95" customHeight="1">
      <c r="M1962"/>
      <c r="N1962"/>
      <c r="O1962"/>
      <c r="P1962"/>
      <c r="Q1962"/>
      <c r="R1962"/>
      <c r="S1962"/>
    </row>
    <row r="1963" spans="13:19" ht="13.95" customHeight="1">
      <c r="M1963"/>
      <c r="N1963"/>
      <c r="O1963"/>
      <c r="P1963"/>
      <c r="Q1963"/>
      <c r="R1963"/>
      <c r="S1963"/>
    </row>
    <row r="1964" spans="13:19" ht="13.95" customHeight="1">
      <c r="M1964"/>
      <c r="N1964"/>
      <c r="O1964"/>
      <c r="P1964"/>
      <c r="Q1964"/>
      <c r="R1964"/>
      <c r="S1964"/>
    </row>
    <row r="1965" spans="13:19" ht="13.95" customHeight="1">
      <c r="M1965"/>
      <c r="N1965"/>
      <c r="O1965"/>
      <c r="P1965"/>
      <c r="Q1965"/>
      <c r="R1965"/>
      <c r="S1965"/>
    </row>
    <row r="1966" spans="13:19" ht="13.95" customHeight="1">
      <c r="M1966"/>
      <c r="N1966"/>
      <c r="O1966"/>
      <c r="P1966"/>
      <c r="Q1966"/>
      <c r="R1966"/>
      <c r="S1966"/>
    </row>
    <row r="1967" spans="13:19" ht="13.95" customHeight="1">
      <c r="M1967"/>
      <c r="N1967"/>
      <c r="O1967"/>
      <c r="P1967"/>
      <c r="Q1967"/>
      <c r="R1967"/>
      <c r="S1967"/>
    </row>
    <row r="1968" spans="13:19" ht="13.95" customHeight="1">
      <c r="M1968"/>
      <c r="N1968"/>
      <c r="O1968"/>
      <c r="P1968"/>
      <c r="Q1968"/>
      <c r="R1968"/>
      <c r="S1968"/>
    </row>
    <row r="1969" spans="13:19" ht="13.95" customHeight="1">
      <c r="M1969"/>
      <c r="N1969"/>
      <c r="O1969"/>
      <c r="P1969"/>
      <c r="Q1969"/>
      <c r="R1969"/>
      <c r="S1969"/>
    </row>
    <row r="1970" spans="13:19" ht="13.95" customHeight="1">
      <c r="M1970"/>
      <c r="N1970"/>
      <c r="O1970"/>
      <c r="P1970"/>
      <c r="Q1970"/>
      <c r="R1970"/>
      <c r="S1970"/>
    </row>
    <row r="1971" spans="13:19" ht="13.95" customHeight="1">
      <c r="M1971"/>
      <c r="N1971"/>
      <c r="O1971"/>
      <c r="P1971"/>
      <c r="Q1971"/>
      <c r="R1971"/>
      <c r="S1971"/>
    </row>
    <row r="1972" spans="13:19" ht="13.95" customHeight="1">
      <c r="M1972"/>
      <c r="N1972"/>
      <c r="O1972"/>
      <c r="P1972"/>
      <c r="Q1972"/>
      <c r="R1972"/>
      <c r="S1972"/>
    </row>
    <row r="1973" spans="13:19" ht="13.95" customHeight="1">
      <c r="M1973"/>
      <c r="N1973"/>
      <c r="O1973"/>
      <c r="P1973"/>
      <c r="Q1973"/>
      <c r="R1973"/>
      <c r="S1973"/>
    </row>
    <row r="1974" spans="13:19" ht="13.95" customHeight="1">
      <c r="M1974"/>
      <c r="N1974"/>
      <c r="O1974"/>
      <c r="P1974"/>
      <c r="Q1974"/>
      <c r="R1974"/>
      <c r="S1974"/>
    </row>
    <row r="1975" spans="13:19" ht="13.95" customHeight="1">
      <c r="M1975"/>
      <c r="N1975"/>
      <c r="O1975"/>
      <c r="P1975"/>
      <c r="Q1975"/>
      <c r="R1975"/>
      <c r="S1975"/>
    </row>
    <row r="1976" spans="13:19" ht="13.95" customHeight="1">
      <c r="M1976"/>
      <c r="N1976"/>
      <c r="O1976"/>
      <c r="P1976"/>
      <c r="Q1976"/>
      <c r="R1976"/>
      <c r="S1976"/>
    </row>
    <row r="1977" spans="13:19" ht="13.95" customHeight="1">
      <c r="M1977"/>
      <c r="N1977"/>
      <c r="O1977"/>
      <c r="P1977"/>
      <c r="Q1977"/>
      <c r="R1977"/>
      <c r="S1977"/>
    </row>
    <row r="1978" spans="13:19" ht="13.95" customHeight="1">
      <c r="M1978"/>
      <c r="N1978"/>
      <c r="O1978"/>
      <c r="P1978"/>
      <c r="Q1978"/>
      <c r="R1978"/>
      <c r="S1978"/>
    </row>
    <row r="1979" spans="13:19" ht="13.95" customHeight="1">
      <c r="M1979"/>
      <c r="N1979"/>
      <c r="O1979"/>
      <c r="P1979"/>
      <c r="Q1979"/>
      <c r="R1979"/>
      <c r="S1979"/>
    </row>
    <row r="1980" spans="13:19" ht="13.95" customHeight="1">
      <c r="M1980"/>
      <c r="N1980"/>
      <c r="O1980"/>
      <c r="P1980"/>
      <c r="Q1980"/>
      <c r="R1980"/>
      <c r="S1980"/>
    </row>
    <row r="1981" spans="13:19" ht="13.95" customHeight="1">
      <c r="M1981"/>
      <c r="N1981"/>
      <c r="O1981"/>
      <c r="P1981"/>
      <c r="Q1981"/>
      <c r="R1981"/>
      <c r="S1981"/>
    </row>
    <row r="1982" spans="13:19" ht="13.95" customHeight="1">
      <c r="M1982"/>
      <c r="N1982"/>
      <c r="O1982"/>
      <c r="P1982"/>
      <c r="Q1982"/>
      <c r="R1982"/>
      <c r="S1982"/>
    </row>
    <row r="1983" spans="13:19" ht="13.95" customHeight="1">
      <c r="M1983"/>
      <c r="N1983"/>
      <c r="O1983"/>
      <c r="P1983"/>
      <c r="Q1983"/>
      <c r="R1983"/>
      <c r="S1983"/>
    </row>
    <row r="1984" spans="13:19" ht="13.95" customHeight="1">
      <c r="M1984"/>
      <c r="N1984"/>
      <c r="O1984"/>
      <c r="P1984"/>
      <c r="Q1984"/>
      <c r="R1984"/>
      <c r="S1984"/>
    </row>
    <row r="1985" spans="13:19" ht="13.95" customHeight="1">
      <c r="M1985"/>
      <c r="N1985"/>
      <c r="O1985"/>
      <c r="P1985"/>
      <c r="Q1985"/>
      <c r="R1985"/>
      <c r="S1985"/>
    </row>
    <row r="1986" spans="13:19" ht="13.95" customHeight="1">
      <c r="M1986"/>
      <c r="N1986"/>
      <c r="O1986"/>
      <c r="P1986"/>
      <c r="Q1986"/>
      <c r="R1986"/>
      <c r="S1986"/>
    </row>
    <row r="1987" spans="13:19" ht="13.95" customHeight="1">
      <c r="M1987"/>
      <c r="N1987"/>
      <c r="O1987"/>
      <c r="P1987"/>
      <c r="Q1987"/>
      <c r="R1987"/>
      <c r="S1987"/>
    </row>
    <row r="1988" spans="13:19" ht="13.95" customHeight="1">
      <c r="M1988"/>
      <c r="N1988"/>
      <c r="O1988"/>
      <c r="P1988"/>
      <c r="Q1988"/>
      <c r="R1988"/>
      <c r="S1988"/>
    </row>
    <row r="1989" spans="13:19" ht="13.95" customHeight="1">
      <c r="M1989"/>
      <c r="N1989"/>
      <c r="O1989"/>
      <c r="P1989"/>
      <c r="Q1989"/>
      <c r="R1989"/>
      <c r="S1989"/>
    </row>
    <row r="1990" spans="13:19" ht="13.95" customHeight="1">
      <c r="M1990"/>
      <c r="N1990"/>
      <c r="O1990"/>
      <c r="P1990"/>
      <c r="Q1990"/>
      <c r="R1990"/>
      <c r="S1990"/>
    </row>
    <row r="1991" spans="13:19" ht="13.95" customHeight="1">
      <c r="M1991"/>
      <c r="N1991"/>
      <c r="O1991"/>
      <c r="P1991"/>
      <c r="Q1991"/>
      <c r="R1991"/>
      <c r="S1991"/>
    </row>
    <row r="1992" spans="13:19" ht="13.95" customHeight="1">
      <c r="M1992"/>
      <c r="N1992"/>
      <c r="O1992"/>
      <c r="P1992"/>
      <c r="Q1992"/>
      <c r="R1992"/>
      <c r="S1992"/>
    </row>
    <row r="1993" spans="13:19" ht="13.95" customHeight="1">
      <c r="M1993"/>
      <c r="N1993"/>
      <c r="O1993"/>
      <c r="P1993"/>
      <c r="Q1993"/>
      <c r="R1993"/>
      <c r="S1993"/>
    </row>
    <row r="1994" spans="13:19" ht="13.95" customHeight="1">
      <c r="M1994"/>
      <c r="N1994"/>
      <c r="O1994"/>
      <c r="P1994"/>
      <c r="Q1994"/>
      <c r="R1994"/>
      <c r="S1994"/>
    </row>
    <row r="1995" spans="13:19" ht="13.95" customHeight="1">
      <c r="M1995"/>
      <c r="N1995"/>
      <c r="O1995"/>
      <c r="P1995"/>
      <c r="Q1995"/>
      <c r="R1995"/>
      <c r="S1995"/>
    </row>
    <row r="1996" spans="13:19" ht="13.95" customHeight="1">
      <c r="M1996"/>
      <c r="N1996"/>
      <c r="O1996"/>
      <c r="P1996"/>
      <c r="Q1996"/>
      <c r="R1996"/>
      <c r="S1996"/>
    </row>
    <row r="1997" spans="13:19" ht="13.95" customHeight="1">
      <c r="M1997"/>
      <c r="N1997"/>
      <c r="O1997"/>
      <c r="P1997"/>
      <c r="Q1997"/>
      <c r="R1997"/>
      <c r="S1997"/>
    </row>
    <row r="1998" spans="13:19" ht="13.95" customHeight="1">
      <c r="M1998"/>
      <c r="N1998"/>
      <c r="O1998"/>
      <c r="P1998"/>
      <c r="Q1998"/>
      <c r="R1998"/>
      <c r="S1998"/>
    </row>
    <row r="1999" spans="13:19" ht="13.95" customHeight="1">
      <c r="M1999"/>
      <c r="N1999"/>
      <c r="O1999"/>
      <c r="P1999"/>
      <c r="Q1999"/>
      <c r="R1999"/>
      <c r="S1999"/>
    </row>
    <row r="2000" spans="13:19" ht="13.95" customHeight="1">
      <c r="M2000"/>
      <c r="N2000"/>
      <c r="O2000"/>
      <c r="P2000"/>
      <c r="Q2000"/>
      <c r="R2000"/>
      <c r="S2000"/>
    </row>
    <row r="2001" spans="13:19" ht="13.95" customHeight="1">
      <c r="M2001"/>
      <c r="N2001"/>
      <c r="O2001"/>
      <c r="P2001"/>
      <c r="Q2001"/>
      <c r="R2001"/>
      <c r="S2001"/>
    </row>
    <row r="2002" spans="13:19" ht="13.95" customHeight="1">
      <c r="M2002"/>
      <c r="N2002"/>
      <c r="O2002"/>
      <c r="P2002"/>
      <c r="Q2002"/>
      <c r="R2002"/>
      <c r="S2002"/>
    </row>
    <row r="2003" spans="13:19" ht="13.95" customHeight="1">
      <c r="M2003"/>
      <c r="N2003"/>
      <c r="O2003"/>
      <c r="P2003"/>
      <c r="Q2003"/>
      <c r="R2003"/>
      <c r="S2003"/>
    </row>
    <row r="2004" spans="13:19" ht="13.95" customHeight="1">
      <c r="M2004"/>
      <c r="N2004"/>
      <c r="O2004"/>
      <c r="P2004"/>
      <c r="Q2004"/>
      <c r="R2004"/>
      <c r="S2004"/>
    </row>
    <row r="2005" spans="13:19" ht="13.95" customHeight="1">
      <c r="M2005"/>
      <c r="N2005"/>
      <c r="O2005"/>
      <c r="P2005"/>
      <c r="Q2005"/>
      <c r="R2005"/>
      <c r="S2005"/>
    </row>
    <row r="2006" spans="13:19" ht="13.95" customHeight="1">
      <c r="M2006"/>
      <c r="N2006"/>
      <c r="O2006"/>
      <c r="P2006"/>
      <c r="Q2006"/>
      <c r="R2006"/>
      <c r="S2006"/>
    </row>
    <row r="2007" spans="13:19" ht="13.95" customHeight="1">
      <c r="M2007"/>
      <c r="N2007"/>
      <c r="O2007"/>
      <c r="P2007"/>
      <c r="Q2007"/>
      <c r="R2007"/>
      <c r="S2007"/>
    </row>
    <row r="2008" spans="13:19" ht="13.95" customHeight="1">
      <c r="M2008"/>
      <c r="N2008"/>
      <c r="O2008"/>
      <c r="P2008"/>
      <c r="Q2008"/>
      <c r="R2008"/>
      <c r="S2008"/>
    </row>
    <row r="2009" spans="13:19" ht="13.95" customHeight="1">
      <c r="M2009"/>
      <c r="N2009"/>
      <c r="O2009"/>
      <c r="P2009"/>
      <c r="Q2009"/>
      <c r="R2009"/>
      <c r="S2009"/>
    </row>
    <row r="2010" spans="13:19" ht="13.95" customHeight="1">
      <c r="M2010"/>
      <c r="N2010"/>
      <c r="O2010"/>
      <c r="P2010"/>
      <c r="Q2010"/>
      <c r="R2010"/>
      <c r="S2010"/>
    </row>
    <row r="2011" spans="13:19" ht="13.95" customHeight="1">
      <c r="M2011"/>
      <c r="N2011"/>
      <c r="O2011"/>
      <c r="P2011"/>
      <c r="Q2011"/>
      <c r="R2011"/>
      <c r="S2011"/>
    </row>
    <row r="2012" spans="13:19" ht="13.95" customHeight="1">
      <c r="M2012"/>
      <c r="N2012"/>
      <c r="O2012"/>
      <c r="P2012"/>
      <c r="Q2012"/>
      <c r="R2012"/>
      <c r="S2012"/>
    </row>
    <row r="2013" spans="13:19" ht="13.95" customHeight="1">
      <c r="M2013"/>
      <c r="N2013"/>
      <c r="O2013"/>
      <c r="P2013"/>
      <c r="Q2013"/>
      <c r="R2013"/>
      <c r="S2013"/>
    </row>
    <row r="2014" spans="13:19" ht="13.95" customHeight="1">
      <c r="M2014"/>
      <c r="N2014"/>
      <c r="O2014"/>
      <c r="P2014"/>
      <c r="Q2014"/>
      <c r="R2014"/>
      <c r="S2014"/>
    </row>
    <row r="2015" spans="13:19" ht="13.95" customHeight="1">
      <c r="M2015"/>
      <c r="N2015"/>
      <c r="O2015"/>
      <c r="P2015"/>
      <c r="Q2015"/>
      <c r="R2015"/>
      <c r="S2015"/>
    </row>
    <row r="2016" spans="13:19" ht="13.95" customHeight="1">
      <c r="M2016"/>
      <c r="N2016"/>
      <c r="O2016"/>
      <c r="P2016"/>
      <c r="Q2016"/>
      <c r="R2016"/>
      <c r="S2016"/>
    </row>
    <row r="2017" spans="13:19" ht="13.95" customHeight="1">
      <c r="M2017"/>
      <c r="N2017"/>
      <c r="O2017"/>
      <c r="P2017"/>
      <c r="Q2017"/>
      <c r="R2017"/>
      <c r="S2017"/>
    </row>
    <row r="2018" spans="13:19" ht="13.95" customHeight="1">
      <c r="M2018"/>
      <c r="N2018"/>
      <c r="O2018"/>
      <c r="P2018"/>
      <c r="Q2018"/>
      <c r="R2018"/>
      <c r="S2018"/>
    </row>
    <row r="2019" spans="13:19" ht="13.95" customHeight="1">
      <c r="M2019"/>
      <c r="N2019"/>
      <c r="O2019"/>
      <c r="P2019"/>
      <c r="Q2019"/>
      <c r="R2019"/>
      <c r="S2019"/>
    </row>
    <row r="2020" spans="13:19" ht="13.95" customHeight="1">
      <c r="M2020"/>
      <c r="N2020"/>
      <c r="O2020"/>
      <c r="P2020"/>
      <c r="Q2020"/>
      <c r="R2020"/>
      <c r="S2020"/>
    </row>
    <row r="2021" spans="13:19" ht="13.95" customHeight="1">
      <c r="M2021"/>
      <c r="N2021"/>
      <c r="O2021"/>
      <c r="P2021"/>
      <c r="Q2021"/>
      <c r="R2021"/>
      <c r="S2021"/>
    </row>
    <row r="2022" spans="13:19" ht="13.95" customHeight="1">
      <c r="M2022"/>
      <c r="N2022"/>
      <c r="O2022"/>
      <c r="P2022"/>
      <c r="Q2022"/>
      <c r="R2022"/>
      <c r="S2022"/>
    </row>
    <row r="2023" spans="13:19" ht="13.95" customHeight="1">
      <c r="M2023"/>
      <c r="N2023"/>
      <c r="O2023"/>
      <c r="P2023"/>
      <c r="Q2023"/>
      <c r="R2023"/>
      <c r="S2023"/>
    </row>
    <row r="2024" spans="13:19" ht="13.95" customHeight="1">
      <c r="M2024"/>
      <c r="N2024"/>
      <c r="O2024"/>
      <c r="P2024"/>
      <c r="Q2024"/>
      <c r="R2024"/>
      <c r="S2024"/>
    </row>
    <row r="2025" spans="13:19" ht="13.95" customHeight="1">
      <c r="M2025"/>
      <c r="N2025"/>
      <c r="O2025"/>
      <c r="P2025"/>
      <c r="Q2025"/>
      <c r="R2025"/>
      <c r="S2025"/>
    </row>
    <row r="2026" spans="13:19" ht="13.95" customHeight="1">
      <c r="M2026"/>
      <c r="N2026"/>
      <c r="O2026"/>
      <c r="P2026"/>
      <c r="Q2026"/>
      <c r="R2026"/>
      <c r="S2026"/>
    </row>
    <row r="2027" spans="13:19" ht="13.95" customHeight="1">
      <c r="M2027"/>
      <c r="N2027"/>
      <c r="O2027"/>
      <c r="P2027"/>
      <c r="Q2027"/>
      <c r="R2027"/>
      <c r="S2027"/>
    </row>
    <row r="2028" spans="13:19" ht="13.95" customHeight="1">
      <c r="M2028"/>
      <c r="N2028"/>
      <c r="O2028"/>
      <c r="P2028"/>
      <c r="Q2028"/>
      <c r="R2028"/>
      <c r="S2028"/>
    </row>
    <row r="2029" spans="13:19" ht="13.95" customHeight="1">
      <c r="M2029"/>
      <c r="N2029"/>
      <c r="O2029"/>
      <c r="P2029"/>
      <c r="Q2029"/>
      <c r="R2029"/>
      <c r="S2029"/>
    </row>
    <row r="2030" spans="13:19" ht="13.95" customHeight="1">
      <c r="M2030"/>
      <c r="N2030"/>
      <c r="O2030"/>
      <c r="P2030"/>
      <c r="Q2030"/>
      <c r="R2030"/>
      <c r="S2030"/>
    </row>
    <row r="2031" spans="13:19" ht="13.95" customHeight="1">
      <c r="M2031"/>
      <c r="N2031"/>
      <c r="O2031"/>
      <c r="P2031"/>
      <c r="Q2031"/>
      <c r="R2031"/>
      <c r="S2031"/>
    </row>
    <row r="2032" spans="13:19" ht="13.95" customHeight="1">
      <c r="M2032"/>
      <c r="N2032"/>
      <c r="O2032"/>
      <c r="P2032"/>
      <c r="Q2032"/>
      <c r="R2032"/>
      <c r="S2032"/>
    </row>
    <row r="2033" spans="13:19" ht="13.95" customHeight="1">
      <c r="M2033"/>
      <c r="N2033"/>
      <c r="O2033"/>
      <c r="P2033"/>
      <c r="Q2033"/>
      <c r="R2033"/>
      <c r="S2033"/>
    </row>
    <row r="2034" spans="13:19" ht="13.95" customHeight="1">
      <c r="M2034"/>
      <c r="N2034"/>
      <c r="O2034"/>
      <c r="P2034"/>
      <c r="Q2034"/>
      <c r="R2034"/>
      <c r="S2034"/>
    </row>
    <row r="2035" spans="13:19" ht="13.95" customHeight="1">
      <c r="M2035"/>
      <c r="N2035"/>
      <c r="O2035"/>
      <c r="P2035"/>
      <c r="Q2035"/>
      <c r="R2035"/>
      <c r="S2035"/>
    </row>
    <row r="2036" spans="13:19" ht="13.95" customHeight="1">
      <c r="M2036"/>
      <c r="N2036"/>
      <c r="O2036"/>
      <c r="P2036"/>
      <c r="Q2036"/>
      <c r="R2036"/>
      <c r="S2036"/>
    </row>
    <row r="2037" spans="13:19" ht="13.95" customHeight="1">
      <c r="M2037"/>
      <c r="N2037"/>
      <c r="O2037"/>
      <c r="P2037"/>
      <c r="Q2037"/>
      <c r="R2037"/>
      <c r="S2037"/>
    </row>
    <row r="2038" spans="13:19" ht="13.95" customHeight="1">
      <c r="M2038"/>
      <c r="N2038"/>
      <c r="O2038"/>
      <c r="P2038"/>
      <c r="Q2038"/>
      <c r="R2038"/>
      <c r="S2038"/>
    </row>
    <row r="2039" spans="13:19" ht="13.95" customHeight="1">
      <c r="M2039"/>
      <c r="N2039"/>
      <c r="O2039"/>
      <c r="P2039"/>
      <c r="Q2039"/>
      <c r="R2039"/>
      <c r="S2039"/>
    </row>
    <row r="2040" spans="13:19" ht="13.95" customHeight="1">
      <c r="M2040"/>
      <c r="N2040"/>
      <c r="O2040"/>
      <c r="P2040"/>
      <c r="Q2040"/>
      <c r="R2040"/>
      <c r="S2040"/>
    </row>
    <row r="2041" spans="13:19" ht="13.95" customHeight="1">
      <c r="M2041"/>
      <c r="N2041"/>
      <c r="O2041"/>
      <c r="P2041"/>
      <c r="Q2041"/>
      <c r="R2041"/>
      <c r="S2041"/>
    </row>
    <row r="2042" spans="13:19" ht="13.95" customHeight="1">
      <c r="M2042"/>
      <c r="N2042"/>
      <c r="O2042"/>
      <c r="P2042"/>
      <c r="Q2042"/>
      <c r="R2042"/>
      <c r="S2042"/>
    </row>
    <row r="2043" spans="13:19" ht="13.95" customHeight="1">
      <c r="M2043"/>
      <c r="N2043"/>
      <c r="O2043"/>
      <c r="P2043"/>
      <c r="Q2043"/>
      <c r="R2043"/>
      <c r="S2043"/>
    </row>
    <row r="2044" spans="13:19" ht="13.95" customHeight="1">
      <c r="M2044"/>
      <c r="N2044"/>
      <c r="O2044"/>
      <c r="P2044"/>
      <c r="Q2044"/>
      <c r="R2044"/>
      <c r="S2044"/>
    </row>
    <row r="2045" spans="13:19" ht="13.95" customHeight="1">
      <c r="M2045"/>
      <c r="N2045"/>
      <c r="O2045"/>
      <c r="P2045"/>
      <c r="Q2045"/>
      <c r="R2045"/>
      <c r="S2045"/>
    </row>
    <row r="2046" spans="13:19" ht="13.95" customHeight="1">
      <c r="M2046"/>
      <c r="N2046"/>
      <c r="O2046"/>
      <c r="P2046"/>
      <c r="Q2046"/>
      <c r="R2046"/>
      <c r="S2046"/>
    </row>
    <row r="2047" spans="13:19" ht="13.95" customHeight="1">
      <c r="M2047"/>
      <c r="N2047"/>
      <c r="O2047"/>
      <c r="P2047"/>
      <c r="Q2047"/>
      <c r="R2047"/>
      <c r="S2047"/>
    </row>
    <row r="2048" spans="13:19" ht="13.95" customHeight="1">
      <c r="M2048"/>
      <c r="N2048"/>
      <c r="O2048"/>
      <c r="P2048"/>
      <c r="Q2048"/>
      <c r="R2048"/>
      <c r="S2048"/>
    </row>
    <row r="2049" spans="13:19" ht="13.95" customHeight="1">
      <c r="M2049"/>
      <c r="N2049"/>
      <c r="O2049"/>
      <c r="P2049"/>
      <c r="Q2049"/>
      <c r="R2049"/>
      <c r="S2049"/>
    </row>
    <row r="2050" spans="13:19" ht="13.95" customHeight="1">
      <c r="M2050"/>
      <c r="N2050"/>
      <c r="O2050"/>
      <c r="P2050"/>
      <c r="Q2050"/>
      <c r="R2050"/>
      <c r="S2050"/>
    </row>
    <row r="2051" spans="13:19" ht="13.95" customHeight="1">
      <c r="M2051"/>
      <c r="N2051"/>
      <c r="O2051"/>
      <c r="P2051"/>
      <c r="Q2051"/>
      <c r="R2051"/>
      <c r="S2051"/>
    </row>
    <row r="2052" spans="13:19" ht="13.95" customHeight="1">
      <c r="M2052"/>
      <c r="N2052"/>
      <c r="O2052"/>
      <c r="P2052"/>
      <c r="Q2052"/>
      <c r="R2052"/>
      <c r="S2052"/>
    </row>
    <row r="2053" spans="13:19" ht="13.95" customHeight="1">
      <c r="M2053"/>
      <c r="N2053"/>
      <c r="O2053"/>
      <c r="P2053"/>
      <c r="Q2053"/>
      <c r="R2053"/>
      <c r="S2053"/>
    </row>
    <row r="2054" spans="13:19" ht="13.95" customHeight="1">
      <c r="M2054"/>
      <c r="N2054"/>
      <c r="O2054"/>
      <c r="P2054"/>
      <c r="Q2054"/>
      <c r="R2054"/>
      <c r="S2054"/>
    </row>
    <row r="2055" spans="13:19" ht="13.95" customHeight="1">
      <c r="M2055"/>
      <c r="N2055"/>
      <c r="O2055"/>
      <c r="P2055"/>
      <c r="Q2055"/>
      <c r="R2055"/>
      <c r="S2055"/>
    </row>
    <row r="2056" spans="13:19" ht="13.95" customHeight="1">
      <c r="M2056"/>
      <c r="N2056"/>
      <c r="O2056"/>
      <c r="P2056"/>
      <c r="Q2056"/>
      <c r="R2056"/>
      <c r="S2056"/>
    </row>
    <row r="2057" spans="13:19" ht="13.95" customHeight="1">
      <c r="M2057"/>
      <c r="N2057"/>
      <c r="O2057"/>
      <c r="P2057"/>
      <c r="Q2057"/>
      <c r="R2057"/>
      <c r="S2057"/>
    </row>
    <row r="2058" spans="13:19" ht="13.95" customHeight="1">
      <c r="M2058"/>
      <c r="N2058"/>
      <c r="O2058"/>
      <c r="P2058"/>
      <c r="Q2058"/>
      <c r="R2058"/>
      <c r="S2058"/>
    </row>
    <row r="2059" spans="13:19" ht="13.95" customHeight="1">
      <c r="M2059"/>
      <c r="N2059"/>
      <c r="O2059"/>
      <c r="P2059"/>
      <c r="Q2059"/>
      <c r="R2059"/>
      <c r="S2059"/>
    </row>
    <row r="2060" spans="13:19" ht="13.95" customHeight="1">
      <c r="M2060"/>
      <c r="N2060"/>
      <c r="O2060"/>
      <c r="P2060"/>
      <c r="Q2060"/>
      <c r="R2060"/>
      <c r="S2060"/>
    </row>
    <row r="2061" spans="13:19" ht="13.95" customHeight="1">
      <c r="M2061"/>
      <c r="N2061"/>
      <c r="O2061"/>
      <c r="P2061"/>
      <c r="Q2061"/>
      <c r="R2061"/>
      <c r="S2061"/>
    </row>
    <row r="2062" spans="13:19" ht="13.95" customHeight="1">
      <c r="M2062"/>
      <c r="N2062"/>
      <c r="O2062"/>
      <c r="P2062"/>
      <c r="Q2062"/>
      <c r="R2062"/>
      <c r="S2062"/>
    </row>
    <row r="2063" spans="13:19" ht="13.95" customHeight="1">
      <c r="M2063"/>
      <c r="N2063"/>
      <c r="O2063"/>
      <c r="P2063"/>
      <c r="Q2063"/>
      <c r="R2063"/>
      <c r="S2063"/>
    </row>
    <row r="2064" spans="13:19" ht="13.95" customHeight="1">
      <c r="M2064"/>
      <c r="N2064"/>
      <c r="O2064"/>
      <c r="P2064"/>
      <c r="Q2064"/>
      <c r="R2064"/>
      <c r="S2064"/>
    </row>
    <row r="2065" spans="13:19" ht="13.95" customHeight="1">
      <c r="M2065"/>
      <c r="N2065"/>
      <c r="O2065"/>
      <c r="P2065"/>
      <c r="Q2065"/>
      <c r="R2065"/>
      <c r="S2065"/>
    </row>
    <row r="2066" spans="13:19" ht="13.95" customHeight="1">
      <c r="M2066"/>
      <c r="N2066"/>
      <c r="O2066"/>
      <c r="P2066"/>
      <c r="Q2066"/>
      <c r="R2066"/>
      <c r="S2066"/>
    </row>
    <row r="2067" spans="13:19" ht="13.95" customHeight="1">
      <c r="M2067"/>
      <c r="N2067"/>
      <c r="O2067"/>
      <c r="P2067"/>
      <c r="Q2067"/>
      <c r="R2067"/>
      <c r="S2067"/>
    </row>
    <row r="2068" spans="13:19" ht="13.95" customHeight="1">
      <c r="M2068"/>
      <c r="N2068"/>
      <c r="O2068"/>
      <c r="P2068"/>
      <c r="Q2068"/>
      <c r="R2068"/>
      <c r="S2068"/>
    </row>
    <row r="2069" spans="13:19" ht="13.95" customHeight="1">
      <c r="M2069"/>
      <c r="N2069"/>
      <c r="O2069"/>
      <c r="P2069"/>
      <c r="Q2069"/>
      <c r="R2069"/>
      <c r="S2069"/>
    </row>
    <row r="2070" spans="13:19" ht="13.95" customHeight="1">
      <c r="M2070"/>
      <c r="N2070"/>
      <c r="O2070"/>
      <c r="P2070"/>
      <c r="Q2070"/>
      <c r="R2070"/>
      <c r="S2070"/>
    </row>
    <row r="2071" spans="13:19" ht="13.95" customHeight="1">
      <c r="M2071"/>
      <c r="N2071"/>
      <c r="O2071"/>
      <c r="P2071"/>
      <c r="Q2071"/>
      <c r="R2071"/>
      <c r="S2071"/>
    </row>
    <row r="2072" spans="13:19" ht="13.95" customHeight="1">
      <c r="M2072"/>
      <c r="N2072"/>
      <c r="O2072"/>
      <c r="P2072"/>
      <c r="Q2072"/>
      <c r="R2072"/>
      <c r="S2072"/>
    </row>
    <row r="2073" spans="13:19" ht="13.95" customHeight="1">
      <c r="M2073"/>
      <c r="N2073"/>
      <c r="O2073"/>
      <c r="P2073"/>
      <c r="Q2073"/>
      <c r="R2073"/>
      <c r="S2073"/>
    </row>
    <row r="2074" spans="13:19" ht="13.95" customHeight="1">
      <c r="M2074"/>
      <c r="N2074"/>
      <c r="O2074"/>
      <c r="P2074"/>
      <c r="Q2074"/>
      <c r="R2074"/>
      <c r="S2074"/>
    </row>
    <row r="2075" spans="13:19" ht="13.95" customHeight="1">
      <c r="M2075"/>
      <c r="N2075"/>
      <c r="O2075"/>
      <c r="P2075"/>
      <c r="Q2075"/>
      <c r="R2075"/>
      <c r="S2075"/>
    </row>
    <row r="2076" spans="13:19" ht="13.95" customHeight="1">
      <c r="M2076"/>
      <c r="N2076"/>
      <c r="O2076"/>
      <c r="P2076"/>
      <c r="Q2076"/>
      <c r="R2076"/>
      <c r="S2076"/>
    </row>
    <row r="2077" spans="13:19" ht="13.95" customHeight="1">
      <c r="M2077"/>
      <c r="N2077"/>
      <c r="O2077"/>
      <c r="P2077"/>
      <c r="Q2077"/>
      <c r="R2077"/>
      <c r="S2077"/>
    </row>
    <row r="2078" spans="13:19" ht="13.95" customHeight="1">
      <c r="M2078"/>
      <c r="N2078"/>
      <c r="O2078"/>
      <c r="P2078"/>
      <c r="Q2078"/>
      <c r="R2078"/>
      <c r="S2078"/>
    </row>
    <row r="2079" spans="13:19" ht="13.95" customHeight="1">
      <c r="M2079"/>
      <c r="N2079"/>
      <c r="O2079"/>
      <c r="P2079"/>
      <c r="Q2079"/>
      <c r="R2079"/>
      <c r="S2079"/>
    </row>
    <row r="2080" spans="13:19" ht="13.95" customHeight="1">
      <c r="M2080"/>
      <c r="N2080"/>
      <c r="O2080"/>
      <c r="P2080"/>
      <c r="Q2080"/>
      <c r="R2080"/>
      <c r="S2080"/>
    </row>
    <row r="2081" spans="13:19" ht="13.95" customHeight="1">
      <c r="M2081"/>
      <c r="N2081"/>
      <c r="O2081"/>
      <c r="P2081"/>
      <c r="Q2081"/>
      <c r="R2081"/>
      <c r="S2081"/>
    </row>
    <row r="2082" spans="13:19" ht="13.95" customHeight="1">
      <c r="M2082"/>
      <c r="N2082"/>
      <c r="O2082"/>
      <c r="P2082"/>
      <c r="Q2082"/>
      <c r="R2082"/>
      <c r="S2082"/>
    </row>
    <row r="2083" spans="13:19" ht="13.95" customHeight="1">
      <c r="M2083"/>
      <c r="N2083"/>
      <c r="O2083"/>
      <c r="P2083"/>
      <c r="Q2083"/>
      <c r="R2083"/>
      <c r="S2083"/>
    </row>
    <row r="2084" spans="13:19" ht="13.95" customHeight="1">
      <c r="M2084"/>
      <c r="N2084"/>
      <c r="O2084"/>
      <c r="P2084"/>
      <c r="Q2084"/>
      <c r="R2084"/>
      <c r="S2084"/>
    </row>
    <row r="2085" spans="13:19" ht="13.95" customHeight="1">
      <c r="M2085"/>
      <c r="N2085"/>
      <c r="O2085"/>
      <c r="P2085"/>
      <c r="Q2085"/>
      <c r="R2085"/>
      <c r="S2085"/>
    </row>
    <row r="2086" spans="13:19" ht="13.95" customHeight="1">
      <c r="M2086"/>
      <c r="N2086"/>
      <c r="O2086"/>
      <c r="P2086"/>
      <c r="Q2086"/>
      <c r="R2086"/>
      <c r="S2086"/>
    </row>
    <row r="2087" spans="13:19" ht="13.95" customHeight="1">
      <c r="M2087"/>
      <c r="N2087"/>
      <c r="O2087"/>
      <c r="P2087"/>
      <c r="Q2087"/>
      <c r="R2087"/>
      <c r="S2087"/>
    </row>
    <row r="2088" spans="13:19" ht="13.95" customHeight="1">
      <c r="M2088"/>
      <c r="N2088"/>
      <c r="O2088"/>
      <c r="P2088"/>
      <c r="Q2088"/>
      <c r="R2088"/>
      <c r="S2088"/>
    </row>
    <row r="2089" spans="13:19" ht="13.95" customHeight="1">
      <c r="M2089"/>
      <c r="N2089"/>
      <c r="O2089"/>
      <c r="P2089"/>
      <c r="Q2089"/>
      <c r="R2089"/>
      <c r="S2089"/>
    </row>
    <row r="2090" spans="13:19" ht="13.95" customHeight="1">
      <c r="M2090"/>
      <c r="N2090"/>
      <c r="O2090"/>
      <c r="P2090"/>
      <c r="Q2090"/>
      <c r="R2090"/>
      <c r="S2090"/>
    </row>
    <row r="2091" spans="13:19" ht="13.95" customHeight="1">
      <c r="M2091"/>
      <c r="N2091"/>
      <c r="O2091"/>
      <c r="P2091"/>
      <c r="Q2091"/>
      <c r="R2091"/>
      <c r="S2091"/>
    </row>
    <row r="2092" spans="13:19" ht="13.95" customHeight="1">
      <c r="M2092"/>
      <c r="N2092"/>
      <c r="O2092"/>
      <c r="P2092"/>
      <c r="Q2092"/>
      <c r="R2092"/>
      <c r="S2092"/>
    </row>
    <row r="2093" spans="13:19" ht="13.95" customHeight="1">
      <c r="M2093"/>
      <c r="N2093"/>
      <c r="O2093"/>
      <c r="P2093"/>
      <c r="Q2093"/>
      <c r="R2093"/>
      <c r="S2093"/>
    </row>
    <row r="2094" spans="13:19" ht="13.95" customHeight="1">
      <c r="M2094"/>
      <c r="N2094"/>
      <c r="O2094"/>
      <c r="P2094"/>
      <c r="Q2094"/>
      <c r="R2094"/>
      <c r="S2094"/>
    </row>
    <row r="2095" spans="13:19" ht="13.95" customHeight="1">
      <c r="M2095"/>
      <c r="N2095"/>
      <c r="O2095"/>
      <c r="P2095"/>
      <c r="Q2095"/>
      <c r="R2095"/>
      <c r="S2095"/>
    </row>
    <row r="2096" spans="13:19" ht="13.95" customHeight="1">
      <c r="M2096"/>
      <c r="N2096"/>
      <c r="O2096"/>
      <c r="P2096"/>
      <c r="Q2096"/>
      <c r="R2096"/>
      <c r="S2096"/>
    </row>
    <row r="2097" spans="13:19" ht="13.95" customHeight="1">
      <c r="M2097"/>
      <c r="N2097"/>
      <c r="O2097"/>
      <c r="P2097"/>
      <c r="Q2097"/>
      <c r="R2097"/>
      <c r="S2097"/>
    </row>
    <row r="2098" spans="13:19" ht="13.95" customHeight="1">
      <c r="M2098"/>
      <c r="N2098"/>
      <c r="O2098"/>
      <c r="P2098"/>
      <c r="Q2098"/>
      <c r="R2098"/>
      <c r="S2098"/>
    </row>
    <row r="2099" spans="13:19" ht="13.95" customHeight="1">
      <c r="M2099"/>
      <c r="N2099"/>
      <c r="O2099"/>
      <c r="P2099"/>
      <c r="Q2099"/>
      <c r="R2099"/>
      <c r="S2099"/>
    </row>
    <row r="2100" spans="13:19" ht="13.95" customHeight="1">
      <c r="M2100"/>
      <c r="N2100"/>
      <c r="O2100"/>
      <c r="P2100"/>
      <c r="Q2100"/>
      <c r="R2100"/>
      <c r="S2100"/>
    </row>
    <row r="2101" spans="13:19" ht="13.95" customHeight="1">
      <c r="M2101"/>
      <c r="N2101"/>
      <c r="O2101"/>
      <c r="P2101"/>
      <c r="Q2101"/>
      <c r="R2101"/>
      <c r="S2101"/>
    </row>
    <row r="2102" spans="13:19" ht="13.95" customHeight="1">
      <c r="M2102"/>
      <c r="N2102"/>
      <c r="O2102"/>
      <c r="P2102"/>
      <c r="Q2102"/>
      <c r="R2102"/>
      <c r="S2102"/>
    </row>
    <row r="2103" spans="13:19" ht="13.95" customHeight="1">
      <c r="M2103"/>
      <c r="N2103"/>
      <c r="O2103"/>
      <c r="P2103"/>
      <c r="Q2103"/>
      <c r="R2103"/>
      <c r="S2103"/>
    </row>
    <row r="2104" spans="13:19" ht="13.95" customHeight="1">
      <c r="M2104"/>
      <c r="N2104"/>
      <c r="O2104"/>
      <c r="P2104"/>
      <c r="Q2104"/>
      <c r="R2104"/>
      <c r="S2104"/>
    </row>
    <row r="2105" spans="13:19" ht="13.95" customHeight="1">
      <c r="M2105"/>
      <c r="N2105"/>
      <c r="O2105"/>
      <c r="P2105"/>
      <c r="Q2105"/>
      <c r="R2105"/>
      <c r="S2105"/>
    </row>
    <row r="2106" spans="13:19" ht="13.95" customHeight="1">
      <c r="M2106"/>
      <c r="N2106"/>
      <c r="O2106"/>
      <c r="P2106"/>
      <c r="Q2106"/>
      <c r="R2106"/>
      <c r="S2106"/>
    </row>
    <row r="2107" spans="13:19" ht="13.95" customHeight="1">
      <c r="M2107"/>
      <c r="N2107"/>
      <c r="O2107"/>
      <c r="P2107"/>
      <c r="Q2107"/>
      <c r="R2107"/>
      <c r="S2107"/>
    </row>
    <row r="2108" spans="13:19" ht="13.95" customHeight="1">
      <c r="M2108"/>
      <c r="N2108"/>
      <c r="O2108"/>
      <c r="P2108"/>
      <c r="Q2108"/>
      <c r="R2108"/>
      <c r="S2108"/>
    </row>
    <row r="2109" spans="13:19" ht="13.95" customHeight="1">
      <c r="M2109"/>
      <c r="N2109"/>
      <c r="O2109"/>
      <c r="P2109"/>
      <c r="Q2109"/>
      <c r="R2109"/>
      <c r="S2109"/>
    </row>
    <row r="2110" spans="13:19" ht="13.95" customHeight="1">
      <c r="M2110"/>
      <c r="N2110"/>
      <c r="O2110"/>
      <c r="P2110"/>
      <c r="Q2110"/>
      <c r="R2110"/>
      <c r="S2110"/>
    </row>
    <row r="2111" spans="13:19" ht="13.95" customHeight="1">
      <c r="M2111"/>
      <c r="N2111"/>
      <c r="O2111"/>
      <c r="P2111"/>
      <c r="Q2111"/>
      <c r="R2111"/>
      <c r="S2111"/>
    </row>
    <row r="2112" spans="13:19" ht="13.95" customHeight="1">
      <c r="M2112"/>
      <c r="N2112"/>
      <c r="O2112"/>
      <c r="P2112"/>
      <c r="Q2112"/>
      <c r="R2112"/>
      <c r="S2112"/>
    </row>
    <row r="2113" spans="13:19" ht="13.95" customHeight="1">
      <c r="M2113"/>
      <c r="N2113"/>
      <c r="O2113"/>
      <c r="P2113"/>
      <c r="Q2113"/>
      <c r="R2113"/>
      <c r="S2113"/>
    </row>
    <row r="2114" spans="13:19" ht="13.95" customHeight="1">
      <c r="M2114"/>
      <c r="N2114"/>
      <c r="O2114"/>
      <c r="P2114"/>
      <c r="Q2114"/>
      <c r="R2114"/>
      <c r="S2114"/>
    </row>
    <row r="2115" spans="13:19" ht="13.95" customHeight="1">
      <c r="M2115"/>
      <c r="N2115"/>
      <c r="O2115"/>
      <c r="P2115"/>
      <c r="Q2115"/>
      <c r="R2115"/>
      <c r="S2115"/>
    </row>
    <row r="2116" spans="13:19" ht="13.95" customHeight="1">
      <c r="M2116"/>
      <c r="N2116"/>
      <c r="O2116"/>
      <c r="P2116"/>
      <c r="Q2116"/>
      <c r="R2116"/>
      <c r="S2116"/>
    </row>
    <row r="2117" spans="13:19" ht="13.95" customHeight="1">
      <c r="M2117"/>
      <c r="N2117"/>
      <c r="O2117"/>
      <c r="P2117"/>
      <c r="Q2117"/>
      <c r="R2117"/>
      <c r="S2117"/>
    </row>
    <row r="2118" spans="13:19" ht="13.95" customHeight="1">
      <c r="M2118"/>
      <c r="N2118"/>
      <c r="O2118"/>
      <c r="P2118"/>
      <c r="Q2118"/>
      <c r="R2118"/>
      <c r="S2118"/>
    </row>
    <row r="2119" spans="13:19" ht="13.95" customHeight="1">
      <c r="M2119"/>
      <c r="N2119"/>
      <c r="O2119"/>
      <c r="P2119"/>
      <c r="Q2119"/>
      <c r="R2119"/>
      <c r="S2119"/>
    </row>
    <row r="2120" spans="13:19" ht="13.95" customHeight="1">
      <c r="M2120"/>
      <c r="N2120"/>
      <c r="O2120"/>
      <c r="P2120"/>
      <c r="Q2120"/>
      <c r="R2120"/>
      <c r="S2120"/>
    </row>
    <row r="2121" spans="13:19" ht="13.95" customHeight="1">
      <c r="M2121"/>
      <c r="N2121"/>
      <c r="O2121"/>
      <c r="P2121"/>
      <c r="Q2121"/>
      <c r="R2121"/>
      <c r="S2121"/>
    </row>
    <row r="2122" spans="13:19" ht="13.95" customHeight="1">
      <c r="M2122"/>
      <c r="N2122"/>
      <c r="O2122"/>
      <c r="P2122"/>
      <c r="Q2122"/>
      <c r="R2122"/>
      <c r="S2122"/>
    </row>
    <row r="2123" spans="13:19" ht="13.95" customHeight="1">
      <c r="M2123"/>
      <c r="N2123"/>
      <c r="O2123"/>
      <c r="P2123"/>
      <c r="Q2123"/>
      <c r="R2123"/>
      <c r="S2123"/>
    </row>
    <row r="2124" spans="13:19" ht="13.95" customHeight="1">
      <c r="M2124"/>
      <c r="N2124"/>
      <c r="O2124"/>
      <c r="P2124"/>
      <c r="Q2124"/>
      <c r="R2124"/>
      <c r="S2124"/>
    </row>
    <row r="2125" spans="13:19" ht="13.95" customHeight="1">
      <c r="M2125"/>
      <c r="N2125"/>
      <c r="O2125"/>
      <c r="P2125"/>
      <c r="Q2125"/>
      <c r="R2125"/>
      <c r="S2125"/>
    </row>
    <row r="2126" spans="13:19" ht="13.95" customHeight="1">
      <c r="M2126"/>
      <c r="N2126"/>
      <c r="O2126"/>
      <c r="P2126"/>
      <c r="Q2126"/>
      <c r="R2126"/>
      <c r="S2126"/>
    </row>
    <row r="2127" spans="13:19" ht="13.95" customHeight="1">
      <c r="M2127"/>
      <c r="N2127"/>
      <c r="O2127"/>
      <c r="P2127"/>
      <c r="Q2127"/>
      <c r="R2127"/>
      <c r="S2127"/>
    </row>
    <row r="2128" spans="13:19" ht="13.95" customHeight="1">
      <c r="M2128"/>
      <c r="N2128"/>
      <c r="O2128"/>
      <c r="P2128"/>
      <c r="Q2128"/>
      <c r="R2128"/>
      <c r="S2128"/>
    </row>
    <row r="2129" spans="13:19" ht="13.95" customHeight="1">
      <c r="M2129"/>
      <c r="N2129"/>
      <c r="O2129"/>
      <c r="P2129"/>
      <c r="Q2129"/>
      <c r="R2129"/>
      <c r="S2129"/>
    </row>
    <row r="2130" spans="13:19" ht="13.95" customHeight="1">
      <c r="M2130"/>
      <c r="N2130"/>
      <c r="O2130"/>
      <c r="P2130"/>
      <c r="Q2130"/>
      <c r="R2130"/>
      <c r="S2130"/>
    </row>
    <row r="2131" spans="13:19" ht="13.95" customHeight="1">
      <c r="M2131"/>
      <c r="N2131"/>
      <c r="O2131"/>
      <c r="P2131"/>
      <c r="Q2131"/>
      <c r="R2131"/>
      <c r="S2131"/>
    </row>
    <row r="2132" spans="13:19" ht="13.95" customHeight="1">
      <c r="M2132"/>
      <c r="N2132"/>
      <c r="O2132"/>
      <c r="P2132"/>
      <c r="Q2132"/>
      <c r="R2132"/>
      <c r="S2132"/>
    </row>
    <row r="2133" spans="13:19" ht="13.95" customHeight="1">
      <c r="M2133"/>
      <c r="N2133"/>
      <c r="O2133"/>
      <c r="P2133"/>
      <c r="Q2133"/>
      <c r="R2133"/>
      <c r="S2133"/>
    </row>
    <row r="2134" spans="13:19" ht="13.95" customHeight="1">
      <c r="M2134"/>
      <c r="N2134"/>
      <c r="O2134"/>
      <c r="P2134"/>
      <c r="Q2134"/>
      <c r="R2134"/>
      <c r="S2134"/>
    </row>
    <row r="2135" spans="13:19" ht="13.95" customHeight="1">
      <c r="M2135"/>
      <c r="N2135"/>
      <c r="O2135"/>
      <c r="P2135"/>
      <c r="Q2135"/>
      <c r="R2135"/>
      <c r="S2135"/>
    </row>
    <row r="2136" spans="13:19" ht="13.95" customHeight="1">
      <c r="M2136"/>
      <c r="N2136"/>
      <c r="O2136"/>
      <c r="P2136"/>
      <c r="Q2136"/>
      <c r="R2136"/>
      <c r="S2136"/>
    </row>
    <row r="2137" spans="13:19" ht="13.95" customHeight="1">
      <c r="M2137"/>
      <c r="N2137"/>
      <c r="O2137"/>
      <c r="P2137"/>
      <c r="Q2137"/>
      <c r="R2137"/>
      <c r="S2137"/>
    </row>
    <row r="2138" spans="13:19" ht="13.95" customHeight="1">
      <c r="M2138"/>
      <c r="N2138"/>
      <c r="O2138"/>
      <c r="P2138"/>
      <c r="Q2138"/>
      <c r="R2138"/>
      <c r="S2138"/>
    </row>
    <row r="2139" spans="13:19" ht="13.95" customHeight="1">
      <c r="M2139"/>
      <c r="N2139"/>
      <c r="O2139"/>
      <c r="P2139"/>
      <c r="Q2139"/>
      <c r="R2139"/>
      <c r="S2139"/>
    </row>
    <row r="2140" spans="13:19" ht="13.95" customHeight="1">
      <c r="M2140"/>
      <c r="N2140"/>
      <c r="O2140"/>
      <c r="P2140"/>
      <c r="Q2140"/>
      <c r="R2140"/>
      <c r="S2140"/>
    </row>
    <row r="2141" spans="13:19" ht="13.95" customHeight="1">
      <c r="M2141"/>
      <c r="N2141"/>
      <c r="O2141"/>
      <c r="P2141"/>
      <c r="Q2141"/>
      <c r="R2141"/>
      <c r="S2141"/>
    </row>
    <row r="2142" spans="13:19" ht="13.95" customHeight="1">
      <c r="M2142"/>
      <c r="N2142"/>
      <c r="O2142"/>
      <c r="P2142"/>
      <c r="Q2142"/>
      <c r="R2142"/>
      <c r="S2142"/>
    </row>
    <row r="2143" spans="13:19" ht="13.95" customHeight="1">
      <c r="M2143"/>
      <c r="N2143"/>
      <c r="O2143"/>
      <c r="P2143"/>
      <c r="Q2143"/>
      <c r="R2143"/>
      <c r="S2143"/>
    </row>
    <row r="2144" spans="13:19" ht="13.95" customHeight="1">
      <c r="M2144"/>
      <c r="N2144"/>
      <c r="O2144"/>
      <c r="P2144"/>
      <c r="Q2144"/>
      <c r="R2144"/>
      <c r="S2144"/>
    </row>
    <row r="2145" spans="13:19" ht="13.95" customHeight="1">
      <c r="M2145"/>
      <c r="N2145"/>
      <c r="O2145"/>
      <c r="P2145"/>
      <c r="Q2145"/>
      <c r="R2145"/>
      <c r="S2145"/>
    </row>
    <row r="2146" spans="13:19" ht="13.95" customHeight="1">
      <c r="M2146"/>
      <c r="N2146"/>
      <c r="O2146"/>
      <c r="P2146"/>
      <c r="Q2146"/>
      <c r="R2146"/>
      <c r="S2146"/>
    </row>
    <row r="2147" spans="13:19" ht="13.95" customHeight="1">
      <c r="M2147"/>
      <c r="N2147"/>
      <c r="O2147"/>
      <c r="P2147"/>
      <c r="Q2147"/>
      <c r="R2147"/>
      <c r="S2147"/>
    </row>
    <row r="2148" spans="13:19" ht="13.95" customHeight="1">
      <c r="M2148"/>
      <c r="N2148"/>
      <c r="O2148"/>
      <c r="P2148"/>
      <c r="Q2148"/>
      <c r="R2148"/>
      <c r="S2148"/>
    </row>
    <row r="2149" spans="13:19" ht="13.95" customHeight="1">
      <c r="M2149"/>
      <c r="N2149"/>
      <c r="O2149"/>
      <c r="P2149"/>
      <c r="Q2149"/>
      <c r="R2149"/>
      <c r="S2149"/>
    </row>
    <row r="2150" spans="13:19" ht="13.95" customHeight="1">
      <c r="M2150"/>
      <c r="N2150"/>
      <c r="O2150"/>
      <c r="P2150"/>
      <c r="Q2150"/>
      <c r="R2150"/>
      <c r="S2150"/>
    </row>
    <row r="2151" spans="13:19" ht="13.95" customHeight="1">
      <c r="M2151"/>
      <c r="N2151"/>
      <c r="O2151"/>
      <c r="P2151"/>
      <c r="Q2151"/>
      <c r="R2151"/>
      <c r="S2151"/>
    </row>
    <row r="2152" spans="13:19" ht="13.95" customHeight="1">
      <c r="M2152"/>
      <c r="N2152"/>
      <c r="O2152"/>
      <c r="P2152"/>
      <c r="Q2152"/>
      <c r="R2152"/>
      <c r="S2152"/>
    </row>
    <row r="2153" spans="13:19" ht="13.95" customHeight="1">
      <c r="M2153"/>
      <c r="N2153"/>
      <c r="O2153"/>
      <c r="P2153"/>
      <c r="Q2153"/>
      <c r="R2153"/>
      <c r="S2153"/>
    </row>
    <row r="2154" spans="13:19" ht="13.95" customHeight="1">
      <c r="M2154"/>
      <c r="N2154"/>
      <c r="O2154"/>
      <c r="P2154"/>
      <c r="Q2154"/>
      <c r="R2154"/>
      <c r="S2154"/>
    </row>
    <row r="2155" spans="13:19" ht="13.95" customHeight="1">
      <c r="M2155"/>
      <c r="N2155"/>
      <c r="O2155"/>
      <c r="P2155"/>
      <c r="Q2155"/>
      <c r="R2155"/>
      <c r="S2155"/>
    </row>
    <row r="2156" spans="13:19" ht="13.95" customHeight="1">
      <c r="M2156"/>
      <c r="N2156"/>
      <c r="O2156"/>
      <c r="P2156"/>
      <c r="Q2156"/>
      <c r="R2156"/>
      <c r="S2156"/>
    </row>
    <row r="2157" spans="13:19" ht="13.95" customHeight="1">
      <c r="M2157"/>
      <c r="N2157"/>
      <c r="O2157"/>
      <c r="P2157"/>
      <c r="Q2157"/>
      <c r="R2157"/>
      <c r="S2157"/>
    </row>
    <row r="2158" spans="13:19" ht="13.95" customHeight="1">
      <c r="M2158"/>
      <c r="N2158"/>
      <c r="O2158"/>
      <c r="P2158"/>
      <c r="Q2158"/>
      <c r="R2158"/>
      <c r="S2158"/>
    </row>
    <row r="2159" spans="13:19" ht="13.95" customHeight="1">
      <c r="M2159"/>
      <c r="N2159"/>
      <c r="O2159"/>
      <c r="P2159"/>
      <c r="Q2159"/>
      <c r="R2159"/>
      <c r="S2159"/>
    </row>
    <row r="2160" spans="13:19" ht="13.95" customHeight="1">
      <c r="M2160"/>
      <c r="N2160"/>
      <c r="O2160"/>
      <c r="P2160"/>
      <c r="Q2160"/>
      <c r="R2160"/>
      <c r="S2160"/>
    </row>
    <row r="2161" spans="13:19" ht="13.95" customHeight="1">
      <c r="M2161"/>
      <c r="N2161"/>
      <c r="O2161"/>
      <c r="P2161"/>
      <c r="Q2161"/>
      <c r="R2161"/>
      <c r="S2161"/>
    </row>
    <row r="2162" spans="13:19" ht="13.95" customHeight="1">
      <c r="M2162"/>
      <c r="N2162"/>
      <c r="O2162"/>
      <c r="P2162"/>
      <c r="Q2162"/>
      <c r="R2162"/>
      <c r="S2162"/>
    </row>
    <row r="2163" spans="13:19" ht="13.95" customHeight="1">
      <c r="M2163"/>
      <c r="N2163"/>
      <c r="O2163"/>
      <c r="P2163"/>
      <c r="Q2163"/>
      <c r="R2163"/>
      <c r="S2163"/>
    </row>
    <row r="2164" spans="13:19" ht="13.95" customHeight="1">
      <c r="M2164"/>
      <c r="N2164"/>
      <c r="O2164"/>
      <c r="P2164"/>
      <c r="Q2164"/>
      <c r="R2164"/>
      <c r="S2164"/>
    </row>
    <row r="2165" spans="13:19" ht="13.95" customHeight="1">
      <c r="M2165"/>
      <c r="N2165"/>
      <c r="O2165"/>
      <c r="P2165"/>
      <c r="Q2165"/>
      <c r="R2165"/>
      <c r="S2165"/>
    </row>
    <row r="2166" spans="13:19" ht="13.95" customHeight="1">
      <c r="M2166"/>
      <c r="N2166"/>
      <c r="O2166"/>
      <c r="P2166"/>
      <c r="Q2166"/>
      <c r="R2166"/>
      <c r="S2166"/>
    </row>
    <row r="2167" spans="13:19" ht="13.95" customHeight="1">
      <c r="M2167"/>
      <c r="N2167"/>
      <c r="O2167"/>
      <c r="P2167"/>
      <c r="Q2167"/>
      <c r="R2167"/>
      <c r="S2167"/>
    </row>
    <row r="2168" spans="13:19" ht="13.95" customHeight="1">
      <c r="M2168"/>
      <c r="N2168"/>
      <c r="O2168"/>
      <c r="P2168"/>
      <c r="Q2168"/>
      <c r="R2168"/>
      <c r="S2168"/>
    </row>
    <row r="2169" spans="13:19" ht="13.95" customHeight="1">
      <c r="M2169"/>
      <c r="N2169"/>
      <c r="O2169"/>
      <c r="P2169"/>
      <c r="Q2169"/>
      <c r="R2169"/>
      <c r="S2169"/>
    </row>
    <row r="2170" spans="13:19" ht="13.95" customHeight="1">
      <c r="M2170"/>
      <c r="N2170"/>
      <c r="O2170"/>
      <c r="P2170"/>
      <c r="Q2170"/>
      <c r="R2170"/>
      <c r="S2170"/>
    </row>
    <row r="2171" spans="13:19" ht="13.95" customHeight="1">
      <c r="M2171"/>
      <c r="N2171"/>
      <c r="O2171"/>
      <c r="P2171"/>
      <c r="Q2171"/>
      <c r="R2171"/>
      <c r="S2171"/>
    </row>
    <row r="2172" spans="13:19" ht="13.95" customHeight="1">
      <c r="M2172"/>
      <c r="N2172"/>
      <c r="O2172"/>
      <c r="P2172"/>
      <c r="Q2172"/>
      <c r="R2172"/>
      <c r="S2172"/>
    </row>
    <row r="2173" spans="13:19" ht="13.95" customHeight="1">
      <c r="M2173"/>
      <c r="N2173"/>
      <c r="O2173"/>
      <c r="P2173"/>
      <c r="Q2173"/>
      <c r="R2173"/>
      <c r="S2173"/>
    </row>
    <row r="2174" spans="13:19" ht="13.95" customHeight="1">
      <c r="M2174"/>
      <c r="N2174"/>
      <c r="O2174"/>
      <c r="P2174"/>
      <c r="Q2174"/>
      <c r="R2174"/>
      <c r="S2174"/>
    </row>
    <row r="2175" spans="13:19" ht="13.95" customHeight="1">
      <c r="M2175"/>
      <c r="N2175"/>
      <c r="O2175"/>
      <c r="P2175"/>
      <c r="Q2175"/>
      <c r="R2175"/>
      <c r="S2175"/>
    </row>
    <row r="2176" spans="13:19" ht="13.95" customHeight="1">
      <c r="M2176"/>
      <c r="N2176"/>
      <c r="O2176"/>
      <c r="P2176"/>
      <c r="Q2176"/>
      <c r="R2176"/>
      <c r="S2176"/>
    </row>
    <row r="2177" spans="13:19" ht="13.95" customHeight="1">
      <c r="M2177"/>
      <c r="N2177"/>
      <c r="O2177"/>
      <c r="P2177"/>
      <c r="Q2177"/>
      <c r="R2177"/>
      <c r="S2177"/>
    </row>
    <row r="2178" spans="13:19" ht="13.95" customHeight="1">
      <c r="M2178"/>
      <c r="N2178"/>
      <c r="O2178"/>
      <c r="P2178"/>
      <c r="Q2178"/>
      <c r="R2178"/>
      <c r="S2178"/>
    </row>
    <row r="2179" spans="13:19" ht="13.95" customHeight="1">
      <c r="M2179"/>
      <c r="N2179"/>
      <c r="O2179"/>
      <c r="P2179"/>
      <c r="Q2179"/>
      <c r="R2179"/>
      <c r="S2179"/>
    </row>
    <row r="2180" spans="13:19" ht="13.95" customHeight="1">
      <c r="M2180"/>
      <c r="N2180"/>
      <c r="O2180"/>
      <c r="P2180"/>
      <c r="Q2180"/>
      <c r="R2180"/>
      <c r="S2180"/>
    </row>
    <row r="2181" spans="13:19" ht="13.95" customHeight="1">
      <c r="M2181"/>
      <c r="N2181"/>
      <c r="O2181"/>
      <c r="P2181"/>
      <c r="Q2181"/>
      <c r="R2181"/>
      <c r="S2181"/>
    </row>
    <row r="2182" spans="13:19" ht="13.95" customHeight="1">
      <c r="M2182"/>
      <c r="N2182"/>
      <c r="O2182"/>
      <c r="P2182"/>
      <c r="Q2182"/>
      <c r="R2182"/>
      <c r="S2182"/>
    </row>
    <row r="2183" spans="13:19" ht="13.95" customHeight="1">
      <c r="M2183"/>
      <c r="N2183"/>
      <c r="O2183"/>
      <c r="P2183"/>
      <c r="Q2183"/>
      <c r="R2183"/>
      <c r="S2183"/>
    </row>
    <row r="2184" spans="13:19" ht="13.95" customHeight="1">
      <c r="M2184"/>
      <c r="N2184"/>
      <c r="O2184"/>
      <c r="P2184"/>
      <c r="Q2184"/>
      <c r="R2184"/>
      <c r="S2184"/>
    </row>
    <row r="2185" spans="13:19" ht="13.95" customHeight="1">
      <c r="M2185"/>
      <c r="N2185"/>
      <c r="O2185"/>
      <c r="P2185"/>
      <c r="Q2185"/>
      <c r="R2185"/>
      <c r="S2185"/>
    </row>
    <row r="2186" spans="13:19" ht="13.95" customHeight="1">
      <c r="M2186"/>
      <c r="N2186"/>
      <c r="O2186"/>
      <c r="P2186"/>
      <c r="Q2186"/>
      <c r="R2186"/>
      <c r="S2186"/>
    </row>
    <row r="2187" spans="13:19" ht="13.95" customHeight="1">
      <c r="M2187"/>
      <c r="N2187"/>
      <c r="O2187"/>
      <c r="P2187"/>
      <c r="Q2187"/>
      <c r="R2187"/>
      <c r="S2187"/>
    </row>
    <row r="2188" spans="13:19" ht="13.95" customHeight="1">
      <c r="M2188"/>
      <c r="N2188"/>
      <c r="O2188"/>
      <c r="P2188"/>
      <c r="Q2188"/>
      <c r="R2188"/>
      <c r="S2188"/>
    </row>
    <row r="2189" spans="13:19" ht="13.95" customHeight="1">
      <c r="M2189"/>
      <c r="N2189"/>
      <c r="O2189"/>
      <c r="P2189"/>
      <c r="Q2189"/>
      <c r="R2189"/>
      <c r="S2189"/>
    </row>
    <row r="2190" spans="13:19" ht="13.95" customHeight="1">
      <c r="M2190"/>
      <c r="N2190"/>
      <c r="O2190"/>
      <c r="P2190"/>
      <c r="Q2190"/>
      <c r="R2190"/>
      <c r="S2190"/>
    </row>
    <row r="2191" spans="13:19" ht="13.95" customHeight="1">
      <c r="M2191"/>
      <c r="N2191"/>
      <c r="O2191"/>
      <c r="P2191"/>
      <c r="Q2191"/>
      <c r="R2191"/>
      <c r="S2191"/>
    </row>
    <row r="2192" spans="13:19" ht="13.95" customHeight="1">
      <c r="M2192"/>
      <c r="N2192"/>
      <c r="O2192"/>
      <c r="P2192"/>
      <c r="Q2192"/>
      <c r="R2192"/>
      <c r="S2192"/>
    </row>
    <row r="2193" spans="13:19" ht="13.95" customHeight="1">
      <c r="M2193"/>
      <c r="N2193"/>
      <c r="O2193"/>
      <c r="P2193"/>
      <c r="Q2193"/>
      <c r="R2193"/>
      <c r="S2193"/>
    </row>
    <row r="2194" spans="13:19" ht="13.95" customHeight="1">
      <c r="M2194"/>
      <c r="N2194"/>
      <c r="O2194"/>
      <c r="P2194"/>
      <c r="Q2194"/>
      <c r="R2194"/>
      <c r="S2194"/>
    </row>
    <row r="2195" spans="13:19" ht="13.95" customHeight="1">
      <c r="M2195"/>
      <c r="N2195"/>
      <c r="O2195"/>
      <c r="P2195"/>
      <c r="Q2195"/>
      <c r="R2195"/>
      <c r="S2195"/>
    </row>
    <row r="2196" spans="13:19" ht="13.95" customHeight="1">
      <c r="M2196"/>
      <c r="N2196"/>
      <c r="O2196"/>
      <c r="P2196"/>
      <c r="Q2196"/>
      <c r="R2196"/>
      <c r="S2196"/>
    </row>
    <row r="2197" spans="13:19" ht="13.95" customHeight="1">
      <c r="M2197"/>
      <c r="N2197"/>
      <c r="O2197"/>
      <c r="P2197"/>
      <c r="Q2197"/>
      <c r="R2197"/>
      <c r="S2197"/>
    </row>
    <row r="2198" spans="13:19" ht="13.95" customHeight="1">
      <c r="M2198"/>
      <c r="N2198"/>
      <c r="O2198"/>
      <c r="P2198"/>
      <c r="Q2198"/>
      <c r="R2198"/>
      <c r="S2198"/>
    </row>
    <row r="2199" spans="13:19" ht="13.95" customHeight="1">
      <c r="M2199"/>
      <c r="N2199"/>
      <c r="O2199"/>
      <c r="P2199"/>
      <c r="Q2199"/>
      <c r="R2199"/>
      <c r="S2199"/>
    </row>
    <row r="2200" spans="13:19" ht="13.95" customHeight="1">
      <c r="M2200"/>
      <c r="N2200"/>
      <c r="O2200"/>
      <c r="P2200"/>
      <c r="Q2200"/>
      <c r="R2200"/>
      <c r="S2200"/>
    </row>
    <row r="2201" spans="13:19" ht="13.95" customHeight="1">
      <c r="M2201"/>
      <c r="N2201"/>
      <c r="O2201"/>
      <c r="P2201"/>
      <c r="Q2201"/>
      <c r="R2201"/>
      <c r="S2201"/>
    </row>
    <row r="2202" spans="13:19" ht="13.95" customHeight="1">
      <c r="M2202"/>
      <c r="N2202"/>
      <c r="O2202"/>
      <c r="P2202"/>
      <c r="Q2202"/>
      <c r="R2202"/>
      <c r="S2202"/>
    </row>
    <row r="2203" spans="13:19" ht="13.95" customHeight="1">
      <c r="M2203"/>
      <c r="N2203"/>
      <c r="O2203"/>
      <c r="P2203"/>
      <c r="Q2203"/>
      <c r="R2203"/>
      <c r="S2203"/>
    </row>
    <row r="2204" spans="13:19" ht="13.95" customHeight="1">
      <c r="M2204"/>
      <c r="N2204"/>
      <c r="O2204"/>
      <c r="P2204"/>
      <c r="Q2204"/>
      <c r="R2204"/>
      <c r="S2204"/>
    </row>
    <row r="2205" spans="13:19" ht="13.95" customHeight="1">
      <c r="M2205"/>
      <c r="N2205"/>
      <c r="O2205"/>
      <c r="P2205"/>
      <c r="Q2205"/>
      <c r="R2205"/>
      <c r="S2205"/>
    </row>
    <row r="2206" spans="13:19" ht="13.95" customHeight="1">
      <c r="M2206"/>
      <c r="N2206"/>
      <c r="O2206"/>
      <c r="P2206"/>
      <c r="Q2206"/>
      <c r="R2206"/>
      <c r="S2206"/>
    </row>
    <row r="2207" spans="13:19" ht="13.95" customHeight="1">
      <c r="M2207"/>
      <c r="N2207"/>
      <c r="O2207"/>
      <c r="P2207"/>
      <c r="Q2207"/>
      <c r="R2207"/>
      <c r="S2207"/>
    </row>
    <row r="2208" spans="13:19" ht="13.95" customHeight="1">
      <c r="M2208"/>
      <c r="N2208"/>
      <c r="O2208"/>
      <c r="P2208"/>
      <c r="Q2208"/>
      <c r="R2208"/>
      <c r="S2208"/>
    </row>
    <row r="2209" spans="13:19" ht="13.95" customHeight="1">
      <c r="M2209"/>
      <c r="N2209"/>
      <c r="O2209"/>
      <c r="P2209"/>
      <c r="Q2209"/>
      <c r="R2209"/>
      <c r="S2209"/>
    </row>
    <row r="2210" spans="13:19" ht="13.95" customHeight="1">
      <c r="M2210"/>
      <c r="N2210"/>
      <c r="O2210"/>
      <c r="P2210"/>
      <c r="Q2210"/>
      <c r="R2210"/>
      <c r="S2210"/>
    </row>
    <row r="2211" spans="13:19" ht="13.95" customHeight="1">
      <c r="M2211"/>
      <c r="N2211"/>
      <c r="O2211"/>
      <c r="P2211"/>
      <c r="Q2211"/>
      <c r="R2211"/>
      <c r="S2211"/>
    </row>
    <row r="2212" spans="13:19" ht="13.95" customHeight="1">
      <c r="M2212"/>
      <c r="N2212"/>
      <c r="O2212"/>
      <c r="P2212"/>
      <c r="Q2212"/>
      <c r="R2212"/>
      <c r="S2212"/>
    </row>
    <row r="2213" spans="13:19" ht="13.95" customHeight="1">
      <c r="M2213"/>
      <c r="N2213"/>
      <c r="O2213"/>
      <c r="P2213"/>
      <c r="Q2213"/>
      <c r="R2213"/>
      <c r="S2213"/>
    </row>
    <row r="2214" spans="13:19" ht="13.95" customHeight="1">
      <c r="M2214"/>
      <c r="N2214"/>
      <c r="O2214"/>
      <c r="P2214"/>
      <c r="Q2214"/>
      <c r="R2214"/>
      <c r="S2214"/>
    </row>
    <row r="2215" spans="13:19" ht="13.95" customHeight="1">
      <c r="M2215"/>
      <c r="N2215"/>
      <c r="O2215"/>
      <c r="P2215"/>
      <c r="Q2215"/>
      <c r="R2215"/>
      <c r="S2215"/>
    </row>
    <row r="2216" spans="13:19" ht="13.95" customHeight="1">
      <c r="M2216"/>
      <c r="N2216"/>
      <c r="O2216"/>
      <c r="P2216"/>
      <c r="Q2216"/>
      <c r="R2216"/>
      <c r="S2216"/>
    </row>
    <row r="2217" spans="13:19" ht="13.95" customHeight="1">
      <c r="M2217"/>
      <c r="N2217"/>
      <c r="O2217"/>
      <c r="P2217"/>
      <c r="Q2217"/>
      <c r="R2217"/>
      <c r="S2217"/>
    </row>
    <row r="2218" spans="13:19" ht="13.95" customHeight="1">
      <c r="M2218"/>
      <c r="N2218"/>
      <c r="O2218"/>
      <c r="P2218"/>
      <c r="Q2218"/>
      <c r="R2218"/>
      <c r="S2218"/>
    </row>
    <row r="2219" spans="13:19" ht="13.95" customHeight="1">
      <c r="M2219"/>
      <c r="N2219"/>
      <c r="O2219"/>
      <c r="P2219"/>
      <c r="Q2219"/>
      <c r="R2219"/>
      <c r="S2219"/>
    </row>
    <row r="2220" spans="13:19" ht="13.95" customHeight="1">
      <c r="M2220"/>
      <c r="N2220"/>
      <c r="O2220"/>
      <c r="P2220"/>
      <c r="Q2220"/>
      <c r="R2220"/>
      <c r="S2220"/>
    </row>
    <row r="2221" spans="13:19" ht="13.95" customHeight="1">
      <c r="M2221"/>
      <c r="N2221"/>
      <c r="O2221"/>
      <c r="P2221"/>
      <c r="Q2221"/>
      <c r="R2221"/>
      <c r="S2221"/>
    </row>
    <row r="2222" spans="13:19" ht="13.95" customHeight="1">
      <c r="M2222"/>
      <c r="N2222"/>
      <c r="O2222"/>
      <c r="P2222"/>
      <c r="Q2222"/>
      <c r="R2222"/>
      <c r="S2222"/>
    </row>
    <row r="2223" spans="13:19" ht="13.95" customHeight="1">
      <c r="M2223"/>
      <c r="N2223"/>
      <c r="O2223"/>
      <c r="P2223"/>
      <c r="Q2223"/>
      <c r="R2223"/>
      <c r="S2223"/>
    </row>
    <row r="2224" spans="13:19" ht="13.95" customHeight="1">
      <c r="M2224"/>
      <c r="N2224"/>
      <c r="O2224"/>
      <c r="P2224"/>
      <c r="Q2224"/>
      <c r="R2224"/>
      <c r="S2224"/>
    </row>
    <row r="2225" spans="13:19" ht="13.95" customHeight="1">
      <c r="M2225"/>
      <c r="N2225"/>
      <c r="O2225"/>
      <c r="P2225"/>
      <c r="Q2225"/>
      <c r="R2225"/>
      <c r="S2225"/>
    </row>
    <row r="2226" spans="13:19" ht="13.95" customHeight="1">
      <c r="M2226"/>
      <c r="N2226"/>
      <c r="O2226"/>
      <c r="P2226"/>
      <c r="Q2226"/>
      <c r="R2226"/>
      <c r="S2226"/>
    </row>
    <row r="2227" spans="13:19" ht="13.95" customHeight="1">
      <c r="M2227"/>
      <c r="N2227"/>
      <c r="O2227"/>
      <c r="P2227"/>
      <c r="Q2227"/>
      <c r="R2227"/>
      <c r="S2227"/>
    </row>
    <row r="2228" spans="13:19" ht="13.95" customHeight="1">
      <c r="M2228"/>
      <c r="N2228"/>
      <c r="O2228"/>
      <c r="P2228"/>
      <c r="Q2228"/>
      <c r="R2228"/>
      <c r="S2228"/>
    </row>
    <row r="2229" spans="13:19" ht="13.95" customHeight="1">
      <c r="M2229"/>
      <c r="N2229"/>
      <c r="O2229"/>
      <c r="P2229"/>
      <c r="Q2229"/>
      <c r="R2229"/>
      <c r="S2229"/>
    </row>
    <row r="2230" spans="13:19" ht="13.95" customHeight="1">
      <c r="M2230"/>
      <c r="N2230"/>
      <c r="O2230"/>
      <c r="P2230"/>
      <c r="Q2230"/>
      <c r="R2230"/>
      <c r="S2230"/>
    </row>
    <row r="2231" spans="13:19" ht="13.95" customHeight="1">
      <c r="M2231"/>
      <c r="N2231"/>
      <c r="O2231"/>
      <c r="P2231"/>
      <c r="Q2231"/>
      <c r="R2231"/>
      <c r="S2231"/>
    </row>
    <row r="2232" spans="13:19" ht="13.95" customHeight="1">
      <c r="M2232"/>
      <c r="N2232"/>
      <c r="O2232"/>
      <c r="P2232"/>
      <c r="Q2232"/>
      <c r="R2232"/>
      <c r="S2232"/>
    </row>
    <row r="2233" spans="13:19" ht="13.95" customHeight="1">
      <c r="M2233"/>
      <c r="N2233"/>
      <c r="O2233"/>
      <c r="P2233"/>
      <c r="Q2233"/>
      <c r="R2233"/>
      <c r="S2233"/>
    </row>
    <row r="2234" spans="13:19" ht="13.95" customHeight="1">
      <c r="M2234"/>
      <c r="N2234"/>
      <c r="O2234"/>
      <c r="P2234"/>
      <c r="Q2234"/>
      <c r="R2234"/>
      <c r="S2234"/>
    </row>
    <row r="2235" spans="13:19" ht="13.95" customHeight="1">
      <c r="M2235"/>
      <c r="N2235"/>
      <c r="O2235"/>
      <c r="P2235"/>
      <c r="Q2235"/>
      <c r="R2235"/>
      <c r="S2235"/>
    </row>
    <row r="2236" spans="13:19" ht="13.95" customHeight="1">
      <c r="M2236"/>
      <c r="N2236"/>
      <c r="O2236"/>
      <c r="P2236"/>
      <c r="Q2236"/>
      <c r="R2236"/>
      <c r="S2236"/>
    </row>
    <row r="2237" spans="13:19" ht="13.95" customHeight="1">
      <c r="M2237"/>
      <c r="N2237"/>
      <c r="O2237"/>
      <c r="P2237"/>
      <c r="Q2237"/>
      <c r="R2237"/>
      <c r="S2237"/>
    </row>
    <row r="2238" spans="13:19" ht="13.95" customHeight="1">
      <c r="M2238"/>
      <c r="N2238"/>
      <c r="O2238"/>
      <c r="P2238"/>
      <c r="Q2238"/>
      <c r="R2238"/>
      <c r="S2238"/>
    </row>
    <row r="2239" spans="13:19" ht="13.95" customHeight="1">
      <c r="M2239"/>
      <c r="N2239"/>
      <c r="O2239"/>
      <c r="P2239"/>
      <c r="Q2239"/>
      <c r="R2239"/>
      <c r="S2239"/>
    </row>
    <row r="2240" spans="13:19" ht="13.95" customHeight="1">
      <c r="M2240"/>
      <c r="N2240"/>
      <c r="O2240"/>
      <c r="P2240"/>
      <c r="Q2240"/>
      <c r="R2240"/>
      <c r="S2240"/>
    </row>
    <row r="2241" spans="13:19" ht="13.95" customHeight="1">
      <c r="M2241"/>
      <c r="N2241"/>
      <c r="O2241"/>
      <c r="P2241"/>
      <c r="Q2241"/>
      <c r="R2241"/>
      <c r="S2241"/>
    </row>
    <row r="2242" spans="13:19" ht="13.95" customHeight="1">
      <c r="M2242"/>
      <c r="N2242"/>
      <c r="O2242"/>
      <c r="P2242"/>
      <c r="Q2242"/>
      <c r="R2242"/>
      <c r="S2242"/>
    </row>
    <row r="2243" spans="13:19" ht="13.95" customHeight="1">
      <c r="M2243"/>
      <c r="N2243"/>
      <c r="O2243"/>
      <c r="P2243"/>
      <c r="Q2243"/>
      <c r="R2243"/>
      <c r="S2243"/>
    </row>
    <row r="2244" spans="13:19" ht="13.95" customHeight="1">
      <c r="M2244"/>
      <c r="N2244"/>
      <c r="O2244"/>
      <c r="P2244"/>
      <c r="Q2244"/>
      <c r="R2244"/>
      <c r="S2244"/>
    </row>
    <row r="2245" spans="13:19" ht="13.95" customHeight="1">
      <c r="M2245"/>
      <c r="N2245"/>
      <c r="O2245"/>
      <c r="P2245"/>
      <c r="Q2245"/>
      <c r="R2245"/>
      <c r="S2245"/>
    </row>
    <row r="2246" spans="13:19" ht="13.95" customHeight="1">
      <c r="M2246"/>
      <c r="N2246"/>
      <c r="O2246"/>
      <c r="P2246"/>
      <c r="Q2246"/>
      <c r="R2246"/>
      <c r="S2246"/>
    </row>
    <row r="2247" spans="13:19" ht="13.95" customHeight="1">
      <c r="M2247"/>
      <c r="N2247"/>
      <c r="O2247"/>
      <c r="P2247"/>
      <c r="Q2247"/>
      <c r="R2247"/>
      <c r="S2247"/>
    </row>
    <row r="2248" spans="13:19" ht="13.95" customHeight="1">
      <c r="M2248"/>
      <c r="N2248"/>
      <c r="O2248"/>
      <c r="P2248"/>
      <c r="Q2248"/>
      <c r="R2248"/>
      <c r="S2248"/>
    </row>
    <row r="2249" spans="13:19" ht="13.95" customHeight="1">
      <c r="M2249"/>
      <c r="N2249"/>
      <c r="O2249"/>
      <c r="P2249"/>
      <c r="Q2249"/>
      <c r="R2249"/>
      <c r="S2249"/>
    </row>
    <row r="2250" spans="13:19" ht="13.95" customHeight="1">
      <c r="M2250"/>
      <c r="N2250"/>
      <c r="O2250"/>
      <c r="P2250"/>
      <c r="Q2250"/>
      <c r="R2250"/>
      <c r="S2250"/>
    </row>
    <row r="2251" spans="13:19" ht="13.95" customHeight="1">
      <c r="M2251"/>
      <c r="N2251"/>
      <c r="O2251"/>
      <c r="P2251"/>
      <c r="Q2251"/>
      <c r="R2251"/>
      <c r="S2251"/>
    </row>
    <row r="2252" spans="13:19" ht="13.95" customHeight="1">
      <c r="M2252"/>
      <c r="N2252"/>
      <c r="O2252"/>
      <c r="P2252"/>
      <c r="Q2252"/>
      <c r="R2252"/>
      <c r="S2252"/>
    </row>
    <row r="2253" spans="13:19" ht="13.95" customHeight="1">
      <c r="M2253"/>
      <c r="N2253"/>
      <c r="O2253"/>
      <c r="P2253"/>
      <c r="Q2253"/>
      <c r="R2253"/>
      <c r="S2253"/>
    </row>
    <row r="2254" spans="13:19" ht="13.95" customHeight="1">
      <c r="M2254"/>
      <c r="N2254"/>
      <c r="O2254"/>
      <c r="P2254"/>
      <c r="Q2254"/>
      <c r="R2254"/>
      <c r="S2254"/>
    </row>
    <row r="2255" spans="13:19" ht="13.95" customHeight="1">
      <c r="M2255"/>
      <c r="N2255"/>
      <c r="O2255"/>
      <c r="P2255"/>
      <c r="Q2255"/>
      <c r="R2255"/>
      <c r="S2255"/>
    </row>
    <row r="2256" spans="13:19" ht="13.95" customHeight="1">
      <c r="M2256"/>
      <c r="N2256"/>
      <c r="O2256"/>
      <c r="P2256"/>
      <c r="Q2256"/>
      <c r="R2256"/>
      <c r="S2256"/>
    </row>
    <row r="2257" spans="13:19" ht="13.95" customHeight="1">
      <c r="M2257"/>
      <c r="N2257"/>
      <c r="O2257"/>
      <c r="P2257"/>
      <c r="Q2257"/>
      <c r="R2257"/>
      <c r="S2257"/>
    </row>
    <row r="2258" spans="13:19" ht="13.95" customHeight="1">
      <c r="M2258"/>
      <c r="N2258"/>
      <c r="O2258"/>
      <c r="P2258"/>
      <c r="Q2258"/>
      <c r="R2258"/>
      <c r="S2258"/>
    </row>
    <row r="2259" spans="13:19" ht="13.95" customHeight="1">
      <c r="M2259"/>
      <c r="N2259"/>
      <c r="O2259"/>
      <c r="P2259"/>
      <c r="Q2259"/>
      <c r="R2259"/>
      <c r="S2259"/>
    </row>
    <row r="2260" spans="13:19" ht="13.95" customHeight="1">
      <c r="M2260"/>
      <c r="N2260"/>
      <c r="O2260"/>
      <c r="P2260"/>
      <c r="Q2260"/>
      <c r="R2260"/>
      <c r="S2260"/>
    </row>
    <row r="2261" spans="13:19" ht="13.95" customHeight="1">
      <c r="M2261"/>
      <c r="N2261"/>
      <c r="O2261"/>
      <c r="P2261"/>
      <c r="Q2261"/>
      <c r="R2261"/>
      <c r="S2261"/>
    </row>
    <row r="2262" spans="13:19" ht="13.95" customHeight="1">
      <c r="M2262"/>
      <c r="N2262"/>
      <c r="O2262"/>
      <c r="P2262"/>
      <c r="Q2262"/>
      <c r="R2262"/>
      <c r="S2262"/>
    </row>
    <row r="2263" spans="13:19" ht="13.95" customHeight="1">
      <c r="M2263"/>
      <c r="N2263"/>
      <c r="O2263"/>
      <c r="P2263"/>
      <c r="Q2263"/>
      <c r="R2263"/>
      <c r="S2263"/>
    </row>
    <row r="2264" spans="13:19" ht="13.95" customHeight="1">
      <c r="M2264"/>
      <c r="N2264"/>
      <c r="O2264"/>
      <c r="P2264"/>
      <c r="Q2264"/>
      <c r="R2264"/>
      <c r="S2264"/>
    </row>
    <row r="2265" spans="13:19" ht="13.95" customHeight="1">
      <c r="M2265"/>
      <c r="N2265"/>
      <c r="O2265"/>
      <c r="P2265"/>
      <c r="Q2265"/>
      <c r="R2265"/>
      <c r="S2265"/>
    </row>
    <row r="2266" spans="13:19" ht="13.95" customHeight="1">
      <c r="M2266"/>
      <c r="N2266"/>
      <c r="O2266"/>
      <c r="P2266"/>
      <c r="Q2266"/>
      <c r="R2266"/>
      <c r="S2266"/>
    </row>
    <row r="2267" spans="13:19" ht="13.95" customHeight="1">
      <c r="M2267"/>
      <c r="N2267"/>
      <c r="O2267"/>
      <c r="P2267"/>
      <c r="Q2267"/>
      <c r="R2267"/>
      <c r="S2267"/>
    </row>
    <row r="2268" spans="13:19" ht="13.95" customHeight="1">
      <c r="M2268"/>
      <c r="N2268"/>
      <c r="O2268"/>
      <c r="P2268"/>
      <c r="Q2268"/>
      <c r="R2268"/>
      <c r="S2268"/>
    </row>
    <row r="2269" spans="13:19" ht="13.95" customHeight="1">
      <c r="M2269"/>
      <c r="N2269"/>
      <c r="O2269"/>
      <c r="P2269"/>
      <c r="Q2269"/>
      <c r="R2269"/>
      <c r="S2269"/>
    </row>
    <row r="2270" spans="13:19" ht="13.95" customHeight="1">
      <c r="M2270"/>
      <c r="N2270"/>
      <c r="O2270"/>
      <c r="P2270"/>
      <c r="Q2270"/>
      <c r="R2270"/>
      <c r="S2270"/>
    </row>
    <row r="2271" spans="13:19" ht="13.95" customHeight="1">
      <c r="M2271"/>
      <c r="N2271"/>
      <c r="O2271"/>
      <c r="P2271"/>
      <c r="Q2271"/>
      <c r="R2271"/>
      <c r="S2271"/>
    </row>
    <row r="2272" spans="13:19" ht="13.95" customHeight="1">
      <c r="M2272"/>
      <c r="N2272"/>
      <c r="O2272"/>
      <c r="P2272"/>
      <c r="Q2272"/>
      <c r="R2272"/>
      <c r="S2272"/>
    </row>
    <row r="2273" spans="13:19" ht="13.95" customHeight="1">
      <c r="M2273"/>
      <c r="N2273"/>
      <c r="O2273"/>
      <c r="P2273"/>
      <c r="Q2273"/>
      <c r="R2273"/>
      <c r="S2273"/>
    </row>
    <row r="2274" spans="13:19" ht="13.95" customHeight="1">
      <c r="M2274"/>
      <c r="N2274"/>
      <c r="O2274"/>
      <c r="P2274"/>
      <c r="Q2274"/>
      <c r="R2274"/>
      <c r="S2274"/>
    </row>
    <row r="2275" spans="13:19" ht="13.95" customHeight="1">
      <c r="M2275"/>
      <c r="N2275"/>
      <c r="O2275"/>
      <c r="P2275"/>
      <c r="Q2275"/>
      <c r="R2275"/>
      <c r="S2275"/>
    </row>
    <row r="2276" spans="13:19" ht="13.95" customHeight="1">
      <c r="M2276"/>
      <c r="N2276"/>
      <c r="O2276"/>
      <c r="P2276"/>
      <c r="Q2276"/>
      <c r="R2276"/>
      <c r="S2276"/>
    </row>
    <row r="2277" spans="13:19" ht="13.95" customHeight="1">
      <c r="M2277"/>
      <c r="N2277"/>
      <c r="O2277"/>
      <c r="P2277"/>
      <c r="Q2277"/>
      <c r="R2277"/>
      <c r="S2277"/>
    </row>
    <row r="2278" spans="13:19" ht="13.95" customHeight="1">
      <c r="M2278"/>
      <c r="N2278"/>
      <c r="O2278"/>
      <c r="P2278"/>
      <c r="Q2278"/>
      <c r="R2278"/>
      <c r="S2278"/>
    </row>
    <row r="2279" spans="13:19" ht="13.95" customHeight="1">
      <c r="M2279"/>
      <c r="N2279"/>
      <c r="O2279"/>
      <c r="P2279"/>
      <c r="Q2279"/>
      <c r="R2279"/>
      <c r="S2279"/>
    </row>
    <row r="2280" spans="13:19" ht="13.95" customHeight="1">
      <c r="M2280"/>
      <c r="N2280"/>
      <c r="O2280"/>
      <c r="P2280"/>
      <c r="Q2280"/>
      <c r="R2280"/>
      <c r="S2280"/>
    </row>
    <row r="2281" spans="13:19" ht="13.95" customHeight="1">
      <c r="M2281"/>
      <c r="N2281"/>
      <c r="O2281"/>
      <c r="P2281"/>
      <c r="Q2281"/>
      <c r="R2281"/>
      <c r="S2281"/>
    </row>
    <row r="2282" spans="13:19" ht="13.95" customHeight="1">
      <c r="M2282"/>
      <c r="N2282"/>
      <c r="O2282"/>
      <c r="P2282"/>
      <c r="Q2282"/>
      <c r="R2282"/>
      <c r="S2282"/>
    </row>
    <row r="2283" spans="13:19" ht="13.95" customHeight="1">
      <c r="M2283"/>
      <c r="N2283"/>
      <c r="O2283"/>
      <c r="P2283"/>
      <c r="Q2283"/>
      <c r="R2283"/>
      <c r="S2283"/>
    </row>
    <row r="2284" spans="13:19" ht="13.95" customHeight="1">
      <c r="M2284"/>
      <c r="N2284"/>
      <c r="O2284"/>
      <c r="P2284"/>
      <c r="Q2284"/>
      <c r="R2284"/>
      <c r="S2284"/>
    </row>
    <row r="2285" spans="13:19" ht="13.95" customHeight="1">
      <c r="M2285"/>
      <c r="N2285"/>
      <c r="O2285"/>
      <c r="P2285"/>
      <c r="Q2285"/>
      <c r="R2285"/>
      <c r="S2285"/>
    </row>
    <row r="2286" spans="13:19" ht="13.95" customHeight="1">
      <c r="M2286"/>
      <c r="N2286"/>
      <c r="O2286"/>
      <c r="P2286"/>
      <c r="Q2286"/>
      <c r="R2286"/>
      <c r="S2286"/>
    </row>
    <row r="2287" spans="13:19" ht="13.95" customHeight="1">
      <c r="M2287"/>
      <c r="N2287"/>
      <c r="O2287"/>
      <c r="P2287"/>
      <c r="Q2287"/>
      <c r="R2287"/>
      <c r="S2287"/>
    </row>
    <row r="2288" spans="13:19" ht="13.95" customHeight="1">
      <c r="M2288"/>
      <c r="N2288"/>
      <c r="O2288"/>
      <c r="P2288"/>
      <c r="Q2288"/>
      <c r="R2288"/>
      <c r="S2288"/>
    </row>
    <row r="2289" spans="13:19" ht="13.95" customHeight="1">
      <c r="M2289"/>
      <c r="N2289"/>
      <c r="O2289"/>
      <c r="P2289"/>
      <c r="Q2289"/>
      <c r="R2289"/>
      <c r="S2289"/>
    </row>
    <row r="2290" spans="13:19" ht="13.95" customHeight="1">
      <c r="M2290"/>
      <c r="N2290"/>
      <c r="O2290"/>
      <c r="P2290"/>
      <c r="Q2290"/>
      <c r="R2290"/>
      <c r="S2290"/>
    </row>
    <row r="2291" spans="13:19" ht="13.95" customHeight="1">
      <c r="M2291"/>
      <c r="N2291"/>
      <c r="O2291"/>
      <c r="P2291"/>
      <c r="Q2291"/>
      <c r="R2291"/>
      <c r="S2291"/>
    </row>
    <row r="2292" spans="13:19" ht="13.95" customHeight="1">
      <c r="M2292"/>
      <c r="N2292"/>
      <c r="O2292"/>
      <c r="P2292"/>
      <c r="Q2292"/>
      <c r="R2292"/>
      <c r="S2292"/>
    </row>
    <row r="2293" spans="13:19" ht="13.95" customHeight="1">
      <c r="M2293"/>
      <c r="N2293"/>
      <c r="O2293"/>
      <c r="P2293"/>
      <c r="Q2293"/>
      <c r="R2293"/>
      <c r="S2293"/>
    </row>
    <row r="2294" spans="13:19" ht="13.95" customHeight="1">
      <c r="M2294"/>
      <c r="N2294"/>
      <c r="O2294"/>
      <c r="P2294"/>
      <c r="Q2294"/>
      <c r="R2294"/>
      <c r="S2294"/>
    </row>
    <row r="2295" spans="13:19" ht="13.95" customHeight="1">
      <c r="M2295"/>
      <c r="N2295"/>
      <c r="O2295"/>
      <c r="P2295"/>
      <c r="Q2295"/>
      <c r="R2295"/>
      <c r="S2295"/>
    </row>
    <row r="2296" spans="13:19" ht="13.95" customHeight="1">
      <c r="M2296"/>
      <c r="N2296"/>
      <c r="O2296"/>
      <c r="P2296"/>
      <c r="Q2296"/>
      <c r="R2296"/>
      <c r="S2296"/>
    </row>
    <row r="2297" spans="13:19" ht="13.95" customHeight="1">
      <c r="M2297"/>
      <c r="N2297"/>
      <c r="O2297"/>
      <c r="P2297"/>
      <c r="Q2297"/>
      <c r="R2297"/>
      <c r="S2297"/>
    </row>
    <row r="2298" spans="13:19" ht="13.95" customHeight="1">
      <c r="M2298"/>
      <c r="N2298"/>
      <c r="O2298"/>
      <c r="P2298"/>
      <c r="Q2298"/>
      <c r="R2298"/>
      <c r="S2298"/>
    </row>
    <row r="2299" spans="13:19" ht="13.95" customHeight="1">
      <c r="M2299"/>
      <c r="N2299"/>
      <c r="O2299"/>
      <c r="P2299"/>
      <c r="Q2299"/>
      <c r="R2299"/>
      <c r="S2299"/>
    </row>
    <row r="2300" spans="13:19" ht="13.95" customHeight="1">
      <c r="M2300"/>
      <c r="N2300"/>
      <c r="O2300"/>
      <c r="P2300"/>
      <c r="Q2300"/>
      <c r="R2300"/>
      <c r="S2300"/>
    </row>
    <row r="2301" spans="13:19" ht="13.95" customHeight="1">
      <c r="M2301"/>
      <c r="N2301"/>
      <c r="O2301"/>
      <c r="P2301"/>
      <c r="Q2301"/>
      <c r="R2301"/>
      <c r="S2301"/>
    </row>
    <row r="2302" spans="13:19" ht="13.95" customHeight="1">
      <c r="M2302"/>
      <c r="N2302"/>
      <c r="O2302"/>
      <c r="P2302"/>
      <c r="Q2302"/>
      <c r="R2302"/>
      <c r="S2302"/>
    </row>
    <row r="2303" spans="13:19" ht="13.95" customHeight="1">
      <c r="M2303"/>
      <c r="N2303"/>
      <c r="O2303"/>
      <c r="P2303"/>
      <c r="Q2303"/>
      <c r="R2303"/>
      <c r="S2303"/>
    </row>
    <row r="2304" spans="13:19" ht="13.95" customHeight="1">
      <c r="M2304"/>
      <c r="N2304"/>
      <c r="O2304"/>
      <c r="P2304"/>
      <c r="Q2304"/>
      <c r="R2304"/>
      <c r="S2304"/>
    </row>
    <row r="2305" spans="13:19" ht="13.95" customHeight="1">
      <c r="M2305"/>
      <c r="N2305"/>
      <c r="O2305"/>
      <c r="P2305"/>
      <c r="Q2305"/>
      <c r="R2305"/>
      <c r="S2305"/>
    </row>
    <row r="2306" spans="13:19" ht="13.95" customHeight="1">
      <c r="M2306"/>
      <c r="N2306"/>
      <c r="O2306"/>
      <c r="P2306"/>
      <c r="Q2306"/>
      <c r="R2306"/>
      <c r="S2306"/>
    </row>
    <row r="2307" spans="13:19" ht="13.95" customHeight="1">
      <c r="M2307"/>
      <c r="N2307"/>
      <c r="O2307"/>
      <c r="P2307"/>
      <c r="Q2307"/>
      <c r="R2307"/>
      <c r="S2307"/>
    </row>
    <row r="2308" spans="13:19" ht="13.95" customHeight="1">
      <c r="M2308"/>
      <c r="N2308"/>
      <c r="O2308"/>
      <c r="P2308"/>
      <c r="Q2308"/>
      <c r="R2308"/>
      <c r="S2308"/>
    </row>
    <row r="2309" spans="13:19" ht="13.95" customHeight="1">
      <c r="M2309"/>
      <c r="N2309"/>
      <c r="O2309"/>
      <c r="P2309"/>
      <c r="Q2309"/>
      <c r="R2309"/>
      <c r="S2309"/>
    </row>
    <row r="2310" spans="13:19" ht="13.95" customHeight="1">
      <c r="M2310"/>
      <c r="N2310"/>
      <c r="O2310"/>
      <c r="P2310"/>
      <c r="Q2310"/>
      <c r="R2310"/>
      <c r="S2310"/>
    </row>
    <row r="2311" spans="13:19" ht="13.95" customHeight="1">
      <c r="M2311"/>
      <c r="N2311"/>
      <c r="O2311"/>
      <c r="P2311"/>
      <c r="Q2311"/>
      <c r="R2311"/>
      <c r="S2311"/>
    </row>
    <row r="2312" spans="13:19" ht="13.95" customHeight="1">
      <c r="M2312"/>
      <c r="N2312"/>
      <c r="O2312"/>
      <c r="P2312"/>
      <c r="Q2312"/>
      <c r="R2312"/>
      <c r="S2312"/>
    </row>
    <row r="2313" spans="13:19" ht="13.95" customHeight="1">
      <c r="M2313"/>
      <c r="N2313"/>
      <c r="O2313"/>
      <c r="P2313"/>
      <c r="Q2313"/>
      <c r="R2313"/>
      <c r="S2313"/>
    </row>
    <row r="2314" spans="13:19" ht="13.95" customHeight="1">
      <c r="M2314"/>
      <c r="N2314"/>
      <c r="O2314"/>
      <c r="P2314"/>
      <c r="Q2314"/>
      <c r="R2314"/>
      <c r="S2314"/>
    </row>
    <row r="2315" spans="13:19" ht="13.95" customHeight="1">
      <c r="M2315"/>
      <c r="N2315"/>
      <c r="O2315"/>
      <c r="P2315"/>
      <c r="Q2315"/>
      <c r="R2315"/>
      <c r="S2315"/>
    </row>
    <row r="2316" spans="13:19" ht="13.95" customHeight="1">
      <c r="M2316"/>
      <c r="N2316"/>
      <c r="O2316"/>
      <c r="P2316"/>
      <c r="Q2316"/>
      <c r="R2316"/>
      <c r="S2316"/>
    </row>
    <row r="2317" spans="13:19" ht="13.95" customHeight="1">
      <c r="M2317"/>
      <c r="N2317"/>
      <c r="O2317"/>
      <c r="P2317"/>
      <c r="Q2317"/>
      <c r="R2317"/>
      <c r="S2317"/>
    </row>
    <row r="2318" spans="13:19" ht="13.95" customHeight="1">
      <c r="M2318"/>
      <c r="N2318"/>
      <c r="O2318"/>
      <c r="P2318"/>
      <c r="Q2318"/>
      <c r="R2318"/>
      <c r="S2318"/>
    </row>
    <row r="2319" spans="13:19" ht="13.95" customHeight="1">
      <c r="M2319"/>
      <c r="N2319"/>
      <c r="O2319"/>
      <c r="P2319"/>
      <c r="Q2319"/>
      <c r="R2319"/>
      <c r="S2319"/>
    </row>
    <row r="2320" spans="13:19" ht="13.95" customHeight="1">
      <c r="M2320"/>
      <c r="N2320"/>
      <c r="O2320"/>
      <c r="P2320"/>
      <c r="Q2320"/>
      <c r="R2320"/>
      <c r="S2320"/>
    </row>
    <row r="2321" spans="13:19" ht="13.95" customHeight="1">
      <c r="M2321"/>
      <c r="N2321"/>
      <c r="O2321"/>
      <c r="P2321"/>
      <c r="Q2321"/>
      <c r="R2321"/>
      <c r="S2321"/>
    </row>
    <row r="2322" spans="13:19" ht="13.95" customHeight="1">
      <c r="M2322"/>
      <c r="N2322"/>
      <c r="O2322"/>
      <c r="P2322"/>
      <c r="Q2322"/>
      <c r="R2322"/>
      <c r="S2322"/>
    </row>
    <row r="2323" spans="13:19" ht="13.95" customHeight="1">
      <c r="M2323"/>
      <c r="N2323"/>
      <c r="O2323"/>
      <c r="P2323"/>
      <c r="Q2323"/>
      <c r="R2323"/>
      <c r="S2323"/>
    </row>
    <row r="2324" spans="13:19" ht="13.95" customHeight="1">
      <c r="M2324"/>
      <c r="N2324"/>
      <c r="O2324"/>
      <c r="P2324"/>
      <c r="Q2324"/>
      <c r="R2324"/>
      <c r="S2324"/>
    </row>
    <row r="2325" spans="13:19" ht="13.95" customHeight="1">
      <c r="M2325"/>
      <c r="N2325"/>
      <c r="O2325"/>
      <c r="P2325"/>
      <c r="Q2325"/>
      <c r="R2325"/>
      <c r="S2325"/>
    </row>
    <row r="2326" spans="13:19" ht="13.95" customHeight="1">
      <c r="M2326"/>
      <c r="N2326"/>
      <c r="O2326"/>
      <c r="P2326"/>
      <c r="Q2326"/>
      <c r="R2326"/>
      <c r="S2326"/>
    </row>
    <row r="2327" spans="13:19" ht="13.95" customHeight="1">
      <c r="M2327"/>
      <c r="N2327"/>
      <c r="O2327"/>
      <c r="P2327"/>
      <c r="Q2327"/>
      <c r="R2327"/>
      <c r="S2327"/>
    </row>
    <row r="2328" spans="13:19" ht="13.95" customHeight="1">
      <c r="M2328"/>
      <c r="N2328"/>
      <c r="O2328"/>
      <c r="P2328"/>
      <c r="Q2328"/>
      <c r="R2328"/>
      <c r="S2328"/>
    </row>
    <row r="2329" spans="13:19" ht="13.95" customHeight="1">
      <c r="M2329"/>
      <c r="N2329"/>
      <c r="O2329"/>
      <c r="P2329"/>
      <c r="Q2329"/>
      <c r="R2329"/>
      <c r="S2329"/>
    </row>
    <row r="2330" spans="13:19" ht="13.95" customHeight="1">
      <c r="M2330"/>
      <c r="N2330"/>
      <c r="O2330"/>
      <c r="P2330"/>
      <c r="Q2330"/>
      <c r="R2330"/>
      <c r="S2330"/>
    </row>
    <row r="2331" spans="13:19" ht="13.95" customHeight="1">
      <c r="M2331"/>
      <c r="N2331"/>
      <c r="O2331"/>
      <c r="P2331"/>
      <c r="Q2331"/>
      <c r="R2331"/>
      <c r="S2331"/>
    </row>
    <row r="2332" spans="13:19" ht="13.95" customHeight="1">
      <c r="M2332"/>
      <c r="N2332"/>
      <c r="O2332"/>
      <c r="P2332"/>
      <c r="Q2332"/>
      <c r="R2332"/>
      <c r="S2332"/>
    </row>
    <row r="2333" spans="13:19" ht="13.95" customHeight="1">
      <c r="M2333"/>
      <c r="N2333"/>
      <c r="O2333"/>
      <c r="P2333"/>
      <c r="Q2333"/>
      <c r="R2333"/>
      <c r="S2333"/>
    </row>
    <row r="2334" spans="13:19" ht="13.95" customHeight="1">
      <c r="M2334"/>
      <c r="N2334"/>
      <c r="O2334"/>
      <c r="P2334"/>
      <c r="Q2334"/>
      <c r="R2334"/>
      <c r="S2334"/>
    </row>
    <row r="2335" spans="13:19" ht="13.95" customHeight="1">
      <c r="M2335"/>
      <c r="N2335"/>
      <c r="O2335"/>
      <c r="P2335"/>
      <c r="Q2335"/>
      <c r="R2335"/>
      <c r="S2335"/>
    </row>
    <row r="2336" spans="13:19" ht="13.95" customHeight="1">
      <c r="M2336"/>
      <c r="N2336"/>
      <c r="O2336"/>
      <c r="P2336"/>
      <c r="Q2336"/>
      <c r="R2336"/>
      <c r="S2336"/>
    </row>
    <row r="2337" spans="13:19" ht="13.95" customHeight="1">
      <c r="M2337"/>
      <c r="N2337"/>
      <c r="O2337"/>
      <c r="P2337"/>
      <c r="Q2337"/>
      <c r="R2337"/>
      <c r="S2337"/>
    </row>
    <row r="2338" spans="13:19" ht="13.95" customHeight="1">
      <c r="M2338"/>
      <c r="N2338"/>
      <c r="O2338"/>
      <c r="P2338"/>
      <c r="Q2338"/>
      <c r="R2338"/>
      <c r="S2338"/>
    </row>
    <row r="2339" spans="13:19" ht="13.95" customHeight="1">
      <c r="M2339"/>
      <c r="N2339"/>
      <c r="O2339"/>
      <c r="P2339"/>
      <c r="Q2339"/>
      <c r="R2339"/>
      <c r="S2339"/>
    </row>
    <row r="2340" spans="13:19" ht="13.95" customHeight="1">
      <c r="M2340"/>
      <c r="N2340"/>
      <c r="O2340"/>
      <c r="P2340"/>
      <c r="Q2340"/>
      <c r="R2340"/>
      <c r="S2340"/>
    </row>
    <row r="2341" spans="13:19" ht="13.95" customHeight="1">
      <c r="M2341"/>
      <c r="N2341"/>
      <c r="O2341"/>
      <c r="P2341"/>
      <c r="Q2341"/>
      <c r="R2341"/>
      <c r="S2341"/>
    </row>
    <row r="2342" spans="13:19" ht="13.95" customHeight="1">
      <c r="M2342"/>
      <c r="N2342"/>
      <c r="O2342"/>
      <c r="P2342"/>
      <c r="Q2342"/>
      <c r="R2342"/>
      <c r="S2342"/>
    </row>
    <row r="2343" spans="13:19" ht="13.95" customHeight="1">
      <c r="M2343"/>
      <c r="N2343"/>
      <c r="O2343"/>
      <c r="P2343"/>
      <c r="Q2343"/>
      <c r="R2343"/>
      <c r="S2343"/>
    </row>
    <row r="2344" spans="13:19" ht="13.95" customHeight="1">
      <c r="M2344"/>
      <c r="N2344"/>
      <c r="O2344"/>
      <c r="P2344"/>
      <c r="Q2344"/>
      <c r="R2344"/>
      <c r="S2344"/>
    </row>
    <row r="2345" spans="13:19" ht="13.95" customHeight="1">
      <c r="M2345"/>
      <c r="N2345"/>
      <c r="O2345"/>
      <c r="P2345"/>
      <c r="Q2345"/>
      <c r="R2345"/>
      <c r="S2345"/>
    </row>
    <row r="2346" spans="13:19" ht="13.95" customHeight="1">
      <c r="M2346"/>
      <c r="N2346"/>
      <c r="O2346"/>
      <c r="P2346"/>
      <c r="Q2346"/>
      <c r="R2346"/>
      <c r="S2346"/>
    </row>
    <row r="2347" spans="13:19" ht="13.95" customHeight="1">
      <c r="M2347"/>
      <c r="N2347"/>
      <c r="O2347"/>
      <c r="P2347"/>
      <c r="Q2347"/>
      <c r="R2347"/>
      <c r="S2347"/>
    </row>
    <row r="2348" spans="13:19" ht="13.95" customHeight="1">
      <c r="M2348"/>
      <c r="N2348"/>
      <c r="O2348"/>
      <c r="P2348"/>
      <c r="Q2348"/>
      <c r="R2348"/>
      <c r="S2348"/>
    </row>
    <row r="2349" spans="13:19" ht="13.95" customHeight="1">
      <c r="M2349"/>
      <c r="N2349"/>
      <c r="O2349"/>
      <c r="P2349"/>
      <c r="Q2349"/>
      <c r="R2349"/>
      <c r="S2349"/>
    </row>
    <row r="2350" spans="13:19" ht="13.95" customHeight="1">
      <c r="M2350"/>
      <c r="N2350"/>
      <c r="O2350"/>
      <c r="P2350"/>
      <c r="Q2350"/>
      <c r="R2350"/>
      <c r="S2350"/>
    </row>
    <row r="2351" spans="13:19" ht="13.95" customHeight="1">
      <c r="M2351"/>
      <c r="N2351"/>
      <c r="O2351"/>
      <c r="P2351"/>
      <c r="Q2351"/>
      <c r="R2351"/>
      <c r="S2351"/>
    </row>
    <row r="2352" spans="13:19" ht="13.95" customHeight="1">
      <c r="M2352"/>
      <c r="N2352"/>
      <c r="O2352"/>
      <c r="P2352"/>
      <c r="Q2352"/>
      <c r="R2352"/>
      <c r="S2352"/>
    </row>
    <row r="2353" spans="13:19" ht="13.95" customHeight="1">
      <c r="M2353"/>
      <c r="N2353"/>
      <c r="O2353"/>
      <c r="P2353"/>
      <c r="Q2353"/>
      <c r="R2353"/>
      <c r="S2353"/>
    </row>
    <row r="2354" spans="13:19" ht="13.95" customHeight="1">
      <c r="M2354"/>
      <c r="N2354"/>
      <c r="O2354"/>
      <c r="P2354"/>
      <c r="Q2354"/>
      <c r="R2354"/>
      <c r="S2354"/>
    </row>
    <row r="2355" spans="13:19" ht="13.95" customHeight="1">
      <c r="M2355"/>
      <c r="N2355"/>
      <c r="O2355"/>
      <c r="P2355"/>
      <c r="Q2355"/>
      <c r="R2355"/>
      <c r="S2355"/>
    </row>
    <row r="2356" spans="13:19" ht="13.95" customHeight="1">
      <c r="M2356"/>
      <c r="N2356"/>
      <c r="O2356"/>
      <c r="P2356"/>
      <c r="Q2356"/>
      <c r="R2356"/>
      <c r="S2356"/>
    </row>
    <row r="2357" spans="13:19" ht="13.95" customHeight="1">
      <c r="M2357"/>
      <c r="N2357"/>
      <c r="O2357"/>
      <c r="P2357"/>
      <c r="Q2357"/>
      <c r="R2357"/>
      <c r="S2357"/>
    </row>
    <row r="2358" spans="13:19" ht="13.95" customHeight="1">
      <c r="M2358"/>
      <c r="N2358"/>
      <c r="O2358"/>
      <c r="P2358"/>
      <c r="Q2358"/>
      <c r="R2358"/>
      <c r="S2358"/>
    </row>
    <row r="2359" spans="13:19" ht="13.95" customHeight="1">
      <c r="M2359"/>
      <c r="N2359"/>
      <c r="O2359"/>
      <c r="P2359"/>
      <c r="Q2359"/>
      <c r="R2359"/>
      <c r="S2359"/>
    </row>
    <row r="2360" spans="13:19" ht="13.95" customHeight="1">
      <c r="M2360"/>
      <c r="N2360"/>
      <c r="O2360"/>
      <c r="P2360"/>
      <c r="Q2360"/>
      <c r="R2360"/>
      <c r="S2360"/>
    </row>
    <row r="2361" spans="13:19" ht="13.95" customHeight="1">
      <c r="M2361"/>
      <c r="N2361"/>
      <c r="O2361"/>
      <c r="P2361"/>
      <c r="Q2361"/>
      <c r="R2361"/>
      <c r="S2361"/>
    </row>
    <row r="2362" spans="13:19" ht="13.95" customHeight="1">
      <c r="M2362"/>
      <c r="N2362"/>
      <c r="O2362"/>
      <c r="P2362"/>
      <c r="Q2362"/>
      <c r="R2362"/>
      <c r="S2362"/>
    </row>
    <row r="2363" spans="13:19" ht="13.95" customHeight="1">
      <c r="M2363"/>
      <c r="N2363"/>
      <c r="O2363"/>
      <c r="P2363"/>
      <c r="Q2363"/>
      <c r="R2363"/>
      <c r="S2363"/>
    </row>
    <row r="2364" spans="13:19" ht="13.95" customHeight="1">
      <c r="M2364"/>
      <c r="N2364"/>
      <c r="O2364"/>
      <c r="P2364"/>
      <c r="Q2364"/>
      <c r="R2364"/>
      <c r="S2364"/>
    </row>
    <row r="2365" spans="13:19" ht="13.95" customHeight="1">
      <c r="M2365"/>
      <c r="N2365"/>
      <c r="O2365"/>
      <c r="P2365"/>
      <c r="Q2365"/>
      <c r="R2365"/>
      <c r="S2365"/>
    </row>
    <row r="2366" spans="13:19" ht="13.95" customHeight="1">
      <c r="M2366"/>
      <c r="N2366"/>
      <c r="O2366"/>
      <c r="P2366"/>
      <c r="Q2366"/>
      <c r="R2366"/>
      <c r="S2366"/>
    </row>
    <row r="2367" spans="13:19" ht="13.95" customHeight="1">
      <c r="M2367"/>
      <c r="N2367"/>
      <c r="O2367"/>
      <c r="P2367"/>
      <c r="Q2367"/>
      <c r="R2367"/>
      <c r="S2367"/>
    </row>
    <row r="2368" spans="13:19" ht="13.95" customHeight="1">
      <c r="M2368"/>
      <c r="N2368"/>
      <c r="O2368"/>
      <c r="P2368"/>
      <c r="Q2368"/>
      <c r="R2368"/>
      <c r="S2368"/>
    </row>
    <row r="2369" spans="13:19" ht="13.95" customHeight="1">
      <c r="M2369"/>
      <c r="N2369"/>
      <c r="O2369"/>
      <c r="P2369"/>
      <c r="Q2369"/>
      <c r="R2369"/>
      <c r="S2369"/>
    </row>
    <row r="2370" spans="13:19" ht="13.95" customHeight="1">
      <c r="M2370"/>
      <c r="N2370"/>
      <c r="O2370"/>
      <c r="P2370"/>
      <c r="Q2370"/>
      <c r="R2370"/>
      <c r="S2370"/>
    </row>
    <row r="2371" spans="13:19" ht="13.95" customHeight="1">
      <c r="M2371"/>
      <c r="N2371"/>
      <c r="O2371"/>
      <c r="P2371"/>
      <c r="Q2371"/>
      <c r="R2371"/>
      <c r="S2371"/>
    </row>
    <row r="2372" spans="13:19" ht="13.95" customHeight="1">
      <c r="M2372"/>
      <c r="N2372"/>
      <c r="O2372"/>
      <c r="P2372"/>
      <c r="Q2372"/>
      <c r="R2372"/>
      <c r="S2372"/>
    </row>
    <row r="2373" spans="13:19" ht="13.95" customHeight="1">
      <c r="M2373"/>
      <c r="N2373"/>
      <c r="O2373"/>
      <c r="P2373"/>
      <c r="Q2373"/>
      <c r="R2373"/>
      <c r="S2373"/>
    </row>
    <row r="2374" spans="13:19" ht="13.95" customHeight="1">
      <c r="M2374"/>
      <c r="N2374"/>
      <c r="O2374"/>
      <c r="P2374"/>
      <c r="Q2374"/>
      <c r="R2374"/>
      <c r="S2374"/>
    </row>
    <row r="2375" spans="13:19" ht="13.95" customHeight="1">
      <c r="M2375"/>
      <c r="N2375"/>
      <c r="O2375"/>
      <c r="P2375"/>
      <c r="Q2375"/>
      <c r="R2375"/>
      <c r="S2375"/>
    </row>
    <row r="2376" spans="13:19" ht="13.95" customHeight="1">
      <c r="M2376"/>
      <c r="N2376"/>
      <c r="O2376"/>
      <c r="P2376"/>
      <c r="Q2376"/>
      <c r="R2376"/>
      <c r="S2376"/>
    </row>
    <row r="2377" spans="13:19" ht="13.95" customHeight="1">
      <c r="M2377"/>
      <c r="N2377"/>
      <c r="O2377"/>
      <c r="P2377"/>
      <c r="Q2377"/>
      <c r="R2377"/>
      <c r="S2377"/>
    </row>
    <row r="2378" spans="13:19" ht="13.95" customHeight="1">
      <c r="M2378"/>
      <c r="N2378"/>
      <c r="O2378"/>
      <c r="P2378"/>
      <c r="Q2378"/>
      <c r="R2378"/>
      <c r="S2378"/>
    </row>
    <row r="2379" spans="13:19" ht="13.95" customHeight="1">
      <c r="M2379"/>
      <c r="N2379"/>
      <c r="O2379"/>
      <c r="P2379"/>
      <c r="Q2379"/>
      <c r="R2379"/>
      <c r="S2379"/>
    </row>
    <row r="2380" spans="13:19" ht="13.95" customHeight="1">
      <c r="M2380"/>
      <c r="N2380"/>
      <c r="O2380"/>
      <c r="P2380"/>
      <c r="Q2380"/>
      <c r="R2380"/>
      <c r="S2380"/>
    </row>
    <row r="2381" spans="13:19" ht="13.95" customHeight="1">
      <c r="M2381"/>
      <c r="N2381"/>
      <c r="O2381"/>
      <c r="P2381"/>
      <c r="Q2381"/>
      <c r="R2381"/>
      <c r="S2381"/>
    </row>
    <row r="2382" spans="13:19" ht="13.95" customHeight="1">
      <c r="M2382"/>
      <c r="N2382"/>
      <c r="O2382"/>
      <c r="P2382"/>
      <c r="Q2382"/>
      <c r="R2382"/>
      <c r="S2382"/>
    </row>
    <row r="2383" spans="13:19" ht="13.95" customHeight="1">
      <c r="M2383"/>
      <c r="N2383"/>
      <c r="O2383"/>
      <c r="P2383"/>
      <c r="Q2383"/>
      <c r="R2383"/>
      <c r="S2383"/>
    </row>
    <row r="2384" spans="13:19" ht="13.95" customHeight="1">
      <c r="M2384"/>
      <c r="N2384"/>
      <c r="O2384"/>
      <c r="P2384"/>
      <c r="Q2384"/>
      <c r="R2384"/>
      <c r="S2384"/>
    </row>
    <row r="2385" spans="13:19" ht="13.95" customHeight="1">
      <c r="M2385"/>
      <c r="N2385"/>
      <c r="O2385"/>
      <c r="P2385"/>
      <c r="Q2385"/>
      <c r="R2385"/>
      <c r="S2385"/>
    </row>
    <row r="2386" spans="13:19" ht="13.95" customHeight="1">
      <c r="M2386"/>
      <c r="N2386"/>
      <c r="O2386"/>
      <c r="P2386"/>
      <c r="Q2386"/>
      <c r="R2386"/>
      <c r="S2386"/>
    </row>
    <row r="2387" spans="13:19" ht="13.95" customHeight="1">
      <c r="M2387"/>
      <c r="N2387"/>
      <c r="O2387"/>
      <c r="P2387"/>
      <c r="Q2387"/>
      <c r="R2387"/>
      <c r="S2387"/>
    </row>
    <row r="2388" spans="13:19" ht="13.95" customHeight="1">
      <c r="M2388"/>
      <c r="N2388"/>
      <c r="O2388"/>
      <c r="P2388"/>
      <c r="Q2388"/>
      <c r="R2388"/>
      <c r="S2388"/>
    </row>
    <row r="2389" spans="13:19" ht="13.95" customHeight="1">
      <c r="M2389"/>
      <c r="N2389"/>
      <c r="O2389"/>
      <c r="P2389"/>
      <c r="Q2389"/>
      <c r="R2389"/>
      <c r="S2389"/>
    </row>
    <row r="2390" spans="13:19" ht="13.95" customHeight="1">
      <c r="M2390"/>
      <c r="N2390"/>
      <c r="O2390"/>
      <c r="P2390"/>
      <c r="Q2390"/>
      <c r="R2390"/>
      <c r="S2390"/>
    </row>
    <row r="2391" spans="13:19" ht="13.95" customHeight="1">
      <c r="M2391"/>
      <c r="N2391"/>
      <c r="O2391"/>
      <c r="P2391"/>
      <c r="Q2391"/>
      <c r="R2391"/>
      <c r="S2391"/>
    </row>
    <row r="2392" spans="13:19" ht="13.95" customHeight="1">
      <c r="M2392"/>
      <c r="N2392"/>
      <c r="O2392"/>
      <c r="P2392"/>
      <c r="Q2392"/>
      <c r="R2392"/>
      <c r="S2392"/>
    </row>
    <row r="2393" spans="13:19" ht="13.95" customHeight="1">
      <c r="M2393"/>
      <c r="N2393"/>
      <c r="O2393"/>
      <c r="P2393"/>
      <c r="Q2393"/>
      <c r="R2393"/>
      <c r="S2393"/>
    </row>
    <row r="2394" spans="13:19" ht="13.95" customHeight="1">
      <c r="M2394"/>
      <c r="N2394"/>
      <c r="O2394"/>
      <c r="P2394"/>
      <c r="Q2394"/>
      <c r="R2394"/>
      <c r="S2394"/>
    </row>
    <row r="2395" spans="13:19" ht="13.95" customHeight="1">
      <c r="M2395"/>
      <c r="N2395"/>
      <c r="O2395"/>
      <c r="P2395"/>
      <c r="Q2395"/>
      <c r="R2395"/>
      <c r="S2395"/>
    </row>
    <row r="2396" spans="13:19" ht="13.95" customHeight="1">
      <c r="M2396"/>
      <c r="N2396"/>
      <c r="O2396"/>
      <c r="P2396"/>
      <c r="Q2396"/>
      <c r="R2396"/>
      <c r="S2396"/>
    </row>
    <row r="2397" spans="13:19" ht="13.95" customHeight="1">
      <c r="M2397"/>
      <c r="N2397"/>
      <c r="O2397"/>
      <c r="P2397"/>
      <c r="Q2397"/>
      <c r="R2397"/>
      <c r="S2397"/>
    </row>
    <row r="2398" spans="13:19" ht="13.95" customHeight="1">
      <c r="M2398"/>
      <c r="N2398"/>
      <c r="O2398"/>
      <c r="P2398"/>
      <c r="Q2398"/>
      <c r="R2398"/>
      <c r="S2398"/>
    </row>
    <row r="2399" spans="13:19" ht="13.95" customHeight="1">
      <c r="M2399"/>
      <c r="N2399"/>
      <c r="O2399"/>
      <c r="P2399"/>
      <c r="Q2399"/>
      <c r="R2399"/>
      <c r="S2399"/>
    </row>
    <row r="2400" spans="13:19" ht="13.95" customHeight="1">
      <c r="M2400"/>
      <c r="N2400"/>
      <c r="O2400"/>
      <c r="P2400"/>
      <c r="Q2400"/>
      <c r="R2400"/>
      <c r="S2400"/>
    </row>
    <row r="2401" spans="13:19" ht="13.95" customHeight="1">
      <c r="M2401"/>
      <c r="N2401"/>
      <c r="O2401"/>
      <c r="P2401"/>
      <c r="Q2401"/>
      <c r="R2401"/>
      <c r="S2401"/>
    </row>
    <row r="2402" spans="13:19" ht="13.95" customHeight="1">
      <c r="M2402"/>
      <c r="N2402"/>
      <c r="O2402"/>
      <c r="P2402"/>
      <c r="Q2402"/>
      <c r="R2402"/>
      <c r="S2402"/>
    </row>
    <row r="2403" spans="13:19" ht="13.95" customHeight="1">
      <c r="M2403"/>
      <c r="N2403"/>
      <c r="O2403"/>
      <c r="P2403"/>
      <c r="Q2403"/>
      <c r="R2403"/>
      <c r="S2403"/>
    </row>
    <row r="2404" spans="13:19" ht="13.95" customHeight="1">
      <c r="M2404"/>
      <c r="N2404"/>
      <c r="O2404"/>
      <c r="P2404"/>
      <c r="Q2404"/>
      <c r="R2404"/>
      <c r="S2404"/>
    </row>
    <row r="2405" spans="13:19" ht="13.95" customHeight="1">
      <c r="M2405"/>
      <c r="N2405"/>
      <c r="O2405"/>
      <c r="P2405"/>
      <c r="Q2405"/>
      <c r="R2405"/>
      <c r="S2405"/>
    </row>
    <row r="2406" spans="13:19" ht="13.95" customHeight="1">
      <c r="M2406"/>
      <c r="N2406"/>
      <c r="O2406"/>
      <c r="P2406"/>
      <c r="Q2406"/>
      <c r="R2406"/>
      <c r="S2406"/>
    </row>
    <row r="2407" spans="13:19" ht="13.95" customHeight="1">
      <c r="M2407"/>
      <c r="N2407"/>
      <c r="O2407"/>
      <c r="P2407"/>
      <c r="Q2407"/>
      <c r="R2407"/>
      <c r="S2407"/>
    </row>
    <row r="2408" spans="13:19" ht="13.95" customHeight="1">
      <c r="M2408"/>
      <c r="N2408"/>
      <c r="O2408"/>
      <c r="P2408"/>
      <c r="Q2408"/>
      <c r="R2408"/>
      <c r="S2408"/>
    </row>
    <row r="2409" spans="13:19" ht="13.95" customHeight="1">
      <c r="M2409"/>
      <c r="N2409"/>
      <c r="O2409"/>
      <c r="P2409"/>
      <c r="Q2409"/>
      <c r="R2409"/>
      <c r="S2409"/>
    </row>
    <row r="2410" spans="13:19" ht="13.95" customHeight="1">
      <c r="M2410"/>
      <c r="N2410"/>
      <c r="O2410"/>
      <c r="P2410"/>
      <c r="Q2410"/>
      <c r="R2410"/>
      <c r="S2410"/>
    </row>
    <row r="2411" spans="13:19" ht="13.95" customHeight="1">
      <c r="M2411"/>
      <c r="N2411"/>
      <c r="O2411"/>
      <c r="P2411"/>
      <c r="Q2411"/>
      <c r="R2411"/>
      <c r="S2411"/>
    </row>
    <row r="2412" spans="13:19" ht="13.95" customHeight="1">
      <c r="M2412"/>
      <c r="N2412"/>
      <c r="O2412"/>
      <c r="P2412"/>
      <c r="Q2412"/>
      <c r="R2412"/>
      <c r="S2412"/>
    </row>
    <row r="2413" spans="13:19" ht="13.95" customHeight="1">
      <c r="M2413"/>
      <c r="N2413"/>
      <c r="O2413"/>
      <c r="P2413"/>
      <c r="Q2413"/>
      <c r="R2413"/>
      <c r="S2413"/>
    </row>
    <row r="2414" spans="13:19" ht="13.95" customHeight="1">
      <c r="M2414"/>
      <c r="N2414"/>
      <c r="O2414"/>
      <c r="P2414"/>
      <c r="Q2414"/>
      <c r="R2414"/>
      <c r="S2414"/>
    </row>
    <row r="2415" spans="13:19" ht="13.95" customHeight="1">
      <c r="M2415"/>
      <c r="N2415"/>
      <c r="O2415"/>
      <c r="P2415"/>
      <c r="Q2415"/>
      <c r="R2415"/>
      <c r="S2415"/>
    </row>
    <row r="2416" spans="13:19" ht="13.95" customHeight="1">
      <c r="M2416"/>
      <c r="N2416"/>
      <c r="O2416"/>
      <c r="P2416"/>
      <c r="Q2416"/>
      <c r="R2416"/>
      <c r="S2416"/>
    </row>
    <row r="2417" spans="13:19" ht="13.95" customHeight="1">
      <c r="M2417"/>
      <c r="N2417"/>
      <c r="O2417"/>
      <c r="P2417"/>
      <c r="Q2417"/>
      <c r="R2417"/>
      <c r="S2417"/>
    </row>
    <row r="2418" spans="13:19" ht="13.95" customHeight="1">
      <c r="M2418"/>
      <c r="N2418"/>
      <c r="O2418"/>
      <c r="P2418"/>
      <c r="Q2418"/>
      <c r="R2418"/>
      <c r="S2418"/>
    </row>
    <row r="2419" spans="13:19" ht="13.95" customHeight="1">
      <c r="M2419"/>
      <c r="N2419"/>
      <c r="O2419"/>
      <c r="P2419"/>
      <c r="Q2419"/>
      <c r="R2419"/>
      <c r="S2419"/>
    </row>
    <row r="2420" spans="13:19" ht="13.95" customHeight="1">
      <c r="M2420"/>
      <c r="N2420"/>
      <c r="O2420"/>
      <c r="P2420"/>
      <c r="Q2420"/>
      <c r="R2420"/>
      <c r="S2420"/>
    </row>
    <row r="2421" spans="13:19" ht="13.95" customHeight="1">
      <c r="M2421"/>
      <c r="N2421"/>
      <c r="O2421"/>
      <c r="P2421"/>
      <c r="Q2421"/>
      <c r="R2421"/>
      <c r="S2421"/>
    </row>
    <row r="2422" spans="13:19" ht="13.95" customHeight="1">
      <c r="M2422"/>
      <c r="N2422"/>
      <c r="O2422"/>
      <c r="P2422"/>
      <c r="Q2422"/>
      <c r="R2422"/>
      <c r="S2422"/>
    </row>
    <row r="2423" spans="13:19" ht="13.95" customHeight="1">
      <c r="M2423"/>
      <c r="N2423"/>
      <c r="O2423"/>
      <c r="P2423"/>
      <c r="Q2423"/>
      <c r="R2423"/>
      <c r="S2423"/>
    </row>
    <row r="2424" spans="13:19" ht="13.95" customHeight="1">
      <c r="M2424"/>
      <c r="N2424"/>
      <c r="O2424"/>
      <c r="P2424"/>
      <c r="Q2424"/>
      <c r="R2424"/>
      <c r="S2424"/>
    </row>
    <row r="2425" spans="13:19" ht="13.95" customHeight="1">
      <c r="M2425"/>
      <c r="N2425"/>
      <c r="O2425"/>
      <c r="P2425"/>
      <c r="Q2425"/>
      <c r="R2425"/>
      <c r="S2425"/>
    </row>
    <row r="2426" spans="13:19" ht="13.95" customHeight="1">
      <c r="M2426"/>
      <c r="N2426"/>
      <c r="O2426"/>
      <c r="P2426"/>
      <c r="Q2426"/>
      <c r="R2426"/>
      <c r="S2426"/>
    </row>
    <row r="2427" spans="13:19" ht="13.95" customHeight="1">
      <c r="M2427"/>
      <c r="N2427"/>
      <c r="O2427"/>
      <c r="P2427"/>
      <c r="Q2427"/>
      <c r="R2427"/>
      <c r="S2427"/>
    </row>
    <row r="2428" spans="13:19" ht="13.95" customHeight="1">
      <c r="M2428"/>
      <c r="N2428"/>
      <c r="O2428"/>
      <c r="P2428"/>
      <c r="Q2428"/>
      <c r="R2428"/>
      <c r="S2428"/>
    </row>
    <row r="2429" spans="13:19" ht="13.95" customHeight="1">
      <c r="M2429"/>
      <c r="N2429"/>
      <c r="O2429"/>
      <c r="P2429"/>
      <c r="Q2429"/>
      <c r="R2429"/>
      <c r="S2429"/>
    </row>
    <row r="2430" spans="13:19" ht="13.95" customHeight="1">
      <c r="M2430"/>
      <c r="N2430"/>
      <c r="O2430"/>
      <c r="P2430"/>
      <c r="Q2430"/>
      <c r="R2430"/>
      <c r="S2430"/>
    </row>
    <row r="2431" spans="13:19" ht="13.95" customHeight="1">
      <c r="M2431"/>
      <c r="N2431"/>
      <c r="O2431"/>
      <c r="P2431"/>
      <c r="Q2431"/>
      <c r="R2431"/>
      <c r="S2431"/>
    </row>
    <row r="2432" spans="13:19" ht="13.95" customHeight="1">
      <c r="M2432"/>
      <c r="N2432"/>
      <c r="O2432"/>
      <c r="P2432"/>
      <c r="Q2432"/>
      <c r="R2432"/>
      <c r="S2432"/>
    </row>
    <row r="2433" spans="13:19" ht="13.95" customHeight="1">
      <c r="M2433"/>
      <c r="N2433"/>
      <c r="O2433"/>
      <c r="P2433"/>
      <c r="Q2433"/>
      <c r="R2433"/>
      <c r="S2433"/>
    </row>
    <row r="2434" spans="13:19" ht="13.95" customHeight="1">
      <c r="M2434"/>
      <c r="N2434"/>
      <c r="O2434"/>
      <c r="P2434"/>
      <c r="Q2434"/>
      <c r="R2434"/>
      <c r="S2434"/>
    </row>
    <row r="2435" spans="13:19" ht="13.95" customHeight="1">
      <c r="M2435"/>
      <c r="N2435"/>
      <c r="O2435"/>
      <c r="P2435"/>
      <c r="Q2435"/>
      <c r="R2435"/>
      <c r="S2435"/>
    </row>
    <row r="2436" spans="13:19" ht="13.95" customHeight="1">
      <c r="M2436"/>
      <c r="N2436"/>
      <c r="O2436"/>
      <c r="P2436"/>
      <c r="Q2436"/>
      <c r="R2436"/>
      <c r="S2436"/>
    </row>
    <row r="2437" spans="13:19" ht="13.95" customHeight="1">
      <c r="M2437"/>
      <c r="N2437"/>
      <c r="O2437"/>
      <c r="P2437"/>
      <c r="Q2437"/>
      <c r="R2437"/>
      <c r="S2437"/>
    </row>
    <row r="2438" spans="13:19" ht="13.95" customHeight="1">
      <c r="M2438"/>
      <c r="N2438"/>
      <c r="O2438"/>
      <c r="P2438"/>
      <c r="Q2438"/>
      <c r="R2438"/>
      <c r="S2438"/>
    </row>
    <row r="2439" spans="13:19" ht="13.95" customHeight="1">
      <c r="M2439"/>
      <c r="N2439"/>
      <c r="O2439"/>
      <c r="P2439"/>
      <c r="Q2439"/>
      <c r="R2439"/>
      <c r="S2439"/>
    </row>
    <row r="2440" spans="13:19" ht="13.95" customHeight="1">
      <c r="M2440"/>
      <c r="N2440"/>
      <c r="O2440"/>
      <c r="P2440"/>
      <c r="Q2440"/>
      <c r="R2440"/>
      <c r="S2440"/>
    </row>
    <row r="2441" spans="13:19" ht="13.95" customHeight="1">
      <c r="M2441"/>
      <c r="N2441"/>
      <c r="O2441"/>
      <c r="P2441"/>
      <c r="Q2441"/>
      <c r="R2441"/>
      <c r="S2441"/>
    </row>
    <row r="2442" spans="13:19" ht="13.95" customHeight="1">
      <c r="M2442"/>
      <c r="N2442"/>
      <c r="O2442"/>
      <c r="P2442"/>
      <c r="Q2442"/>
      <c r="R2442"/>
      <c r="S2442"/>
    </row>
    <row r="2443" spans="13:19" ht="13.95" customHeight="1">
      <c r="M2443"/>
      <c r="N2443"/>
      <c r="O2443"/>
      <c r="P2443"/>
      <c r="Q2443"/>
      <c r="R2443"/>
      <c r="S2443"/>
    </row>
    <row r="2444" spans="13:19" ht="13.95" customHeight="1">
      <c r="M2444"/>
      <c r="N2444"/>
      <c r="O2444"/>
      <c r="P2444"/>
      <c r="Q2444"/>
      <c r="R2444"/>
      <c r="S2444"/>
    </row>
    <row r="2445" spans="13:19" ht="13.95" customHeight="1">
      <c r="M2445"/>
      <c r="N2445"/>
      <c r="O2445"/>
      <c r="P2445"/>
      <c r="Q2445"/>
      <c r="R2445"/>
      <c r="S2445"/>
    </row>
    <row r="2446" spans="13:19" ht="13.95" customHeight="1">
      <c r="M2446"/>
      <c r="N2446"/>
      <c r="O2446"/>
      <c r="P2446"/>
      <c r="Q2446"/>
      <c r="R2446"/>
      <c r="S2446"/>
    </row>
    <row r="2447" spans="13:19" ht="13.95" customHeight="1">
      <c r="M2447"/>
      <c r="N2447"/>
      <c r="O2447"/>
      <c r="P2447"/>
      <c r="Q2447"/>
      <c r="R2447"/>
      <c r="S2447"/>
    </row>
    <row r="2448" spans="13:19" ht="13.95" customHeight="1">
      <c r="M2448"/>
      <c r="N2448"/>
      <c r="O2448"/>
      <c r="P2448"/>
      <c r="Q2448"/>
      <c r="R2448"/>
      <c r="S2448"/>
    </row>
    <row r="2449" spans="13:19" ht="13.95" customHeight="1">
      <c r="M2449"/>
      <c r="N2449"/>
      <c r="O2449"/>
      <c r="P2449"/>
      <c r="Q2449"/>
      <c r="R2449"/>
      <c r="S2449"/>
    </row>
    <row r="2450" spans="13:19" ht="13.95" customHeight="1">
      <c r="M2450"/>
      <c r="N2450"/>
      <c r="O2450"/>
      <c r="P2450"/>
      <c r="Q2450"/>
      <c r="R2450"/>
      <c r="S2450"/>
    </row>
    <row r="2451" spans="13:19" ht="13.95" customHeight="1">
      <c r="M2451"/>
      <c r="N2451"/>
      <c r="O2451"/>
      <c r="P2451"/>
      <c r="Q2451"/>
      <c r="R2451"/>
      <c r="S2451"/>
    </row>
    <row r="2452" spans="13:19" ht="13.95" customHeight="1">
      <c r="M2452"/>
      <c r="N2452"/>
      <c r="O2452"/>
      <c r="P2452"/>
      <c r="Q2452"/>
      <c r="R2452"/>
      <c r="S2452"/>
    </row>
    <row r="2453" spans="13:19" ht="13.95" customHeight="1">
      <c r="M2453"/>
      <c r="N2453"/>
      <c r="O2453"/>
      <c r="P2453"/>
      <c r="Q2453"/>
      <c r="R2453"/>
      <c r="S2453"/>
    </row>
    <row r="2454" spans="13:19" ht="13.95" customHeight="1">
      <c r="M2454"/>
      <c r="N2454"/>
      <c r="O2454"/>
      <c r="P2454"/>
      <c r="Q2454"/>
      <c r="R2454"/>
      <c r="S2454"/>
    </row>
    <row r="2455" spans="13:19" ht="13.95" customHeight="1">
      <c r="M2455"/>
      <c r="N2455"/>
      <c r="O2455"/>
      <c r="P2455"/>
      <c r="Q2455"/>
      <c r="R2455"/>
      <c r="S2455"/>
    </row>
    <row r="2456" spans="13:19" ht="13.95" customHeight="1">
      <c r="M2456"/>
      <c r="N2456"/>
      <c r="O2456"/>
      <c r="P2456"/>
      <c r="Q2456"/>
      <c r="R2456"/>
      <c r="S2456"/>
    </row>
    <row r="2457" spans="13:19" ht="13.95" customHeight="1">
      <c r="M2457"/>
      <c r="N2457"/>
      <c r="O2457"/>
      <c r="P2457"/>
      <c r="Q2457"/>
      <c r="R2457"/>
      <c r="S2457"/>
    </row>
    <row r="2458" spans="13:19" ht="13.95" customHeight="1">
      <c r="M2458"/>
      <c r="N2458"/>
      <c r="O2458"/>
      <c r="P2458"/>
      <c r="Q2458"/>
      <c r="R2458"/>
      <c r="S2458"/>
    </row>
    <row r="2459" spans="13:19" ht="13.95" customHeight="1">
      <c r="M2459"/>
      <c r="N2459"/>
      <c r="O2459"/>
      <c r="P2459"/>
      <c r="Q2459"/>
      <c r="R2459"/>
      <c r="S2459"/>
    </row>
    <row r="2460" spans="13:19" ht="13.95" customHeight="1">
      <c r="M2460"/>
      <c r="N2460"/>
      <c r="O2460"/>
      <c r="P2460"/>
      <c r="Q2460"/>
      <c r="R2460"/>
      <c r="S2460"/>
    </row>
    <row r="2461" spans="13:19" ht="13.95" customHeight="1">
      <c r="M2461"/>
      <c r="N2461"/>
      <c r="O2461"/>
      <c r="P2461"/>
      <c r="Q2461"/>
      <c r="R2461"/>
      <c r="S2461"/>
    </row>
    <row r="2462" spans="13:19" ht="13.95" customHeight="1">
      <c r="M2462"/>
      <c r="N2462"/>
      <c r="O2462"/>
      <c r="P2462"/>
      <c r="Q2462"/>
      <c r="R2462"/>
      <c r="S2462"/>
    </row>
    <row r="2463" spans="13:19" ht="13.95" customHeight="1">
      <c r="M2463"/>
      <c r="N2463"/>
      <c r="O2463"/>
      <c r="P2463"/>
      <c r="Q2463"/>
      <c r="R2463"/>
      <c r="S2463"/>
    </row>
    <row r="2464" spans="13:19" ht="13.95" customHeight="1">
      <c r="M2464"/>
      <c r="N2464"/>
      <c r="O2464"/>
      <c r="P2464"/>
      <c r="Q2464"/>
      <c r="R2464"/>
      <c r="S2464"/>
    </row>
    <row r="2465" spans="13:19" ht="13.95" customHeight="1">
      <c r="M2465"/>
      <c r="N2465"/>
      <c r="O2465"/>
      <c r="P2465"/>
      <c r="Q2465"/>
      <c r="R2465"/>
      <c r="S2465"/>
    </row>
    <row r="2466" spans="13:19" ht="13.95" customHeight="1">
      <c r="M2466"/>
      <c r="N2466"/>
      <c r="O2466"/>
      <c r="P2466"/>
      <c r="Q2466"/>
      <c r="R2466"/>
      <c r="S2466"/>
    </row>
    <row r="2467" spans="13:19" ht="13.95" customHeight="1">
      <c r="M2467"/>
      <c r="N2467"/>
      <c r="O2467"/>
      <c r="P2467"/>
      <c r="Q2467"/>
      <c r="R2467"/>
      <c r="S2467"/>
    </row>
    <row r="2468" spans="13:19" ht="13.95" customHeight="1">
      <c r="M2468"/>
      <c r="N2468"/>
      <c r="O2468"/>
      <c r="P2468"/>
      <c r="Q2468"/>
      <c r="R2468"/>
      <c r="S2468"/>
    </row>
    <row r="2469" spans="13:19" ht="13.95" customHeight="1">
      <c r="M2469"/>
      <c r="N2469"/>
      <c r="O2469"/>
      <c r="P2469"/>
      <c r="Q2469"/>
      <c r="R2469"/>
      <c r="S2469"/>
    </row>
    <row r="2470" spans="13:19" ht="13.95" customHeight="1">
      <c r="M2470"/>
      <c r="N2470"/>
      <c r="O2470"/>
      <c r="P2470"/>
      <c r="Q2470"/>
      <c r="R2470"/>
      <c r="S2470"/>
    </row>
    <row r="2471" spans="13:19" ht="13.95" customHeight="1">
      <c r="M2471"/>
      <c r="N2471"/>
      <c r="O2471"/>
      <c r="P2471"/>
      <c r="Q2471"/>
      <c r="R2471"/>
      <c r="S2471"/>
    </row>
    <row r="2472" spans="13:19" ht="13.95" customHeight="1">
      <c r="M2472"/>
      <c r="N2472"/>
      <c r="O2472"/>
      <c r="P2472"/>
      <c r="Q2472"/>
      <c r="R2472"/>
      <c r="S2472"/>
    </row>
    <row r="2473" spans="13:19" ht="13.95" customHeight="1">
      <c r="M2473"/>
      <c r="N2473"/>
      <c r="O2473"/>
      <c r="P2473"/>
      <c r="Q2473"/>
      <c r="R2473"/>
      <c r="S2473"/>
    </row>
    <row r="2474" spans="13:19" ht="13.95" customHeight="1">
      <c r="M2474"/>
      <c r="N2474"/>
      <c r="O2474"/>
      <c r="P2474"/>
      <c r="Q2474"/>
      <c r="R2474"/>
      <c r="S2474"/>
    </row>
    <row r="2475" spans="13:19" ht="13.95" customHeight="1">
      <c r="M2475"/>
      <c r="N2475"/>
      <c r="O2475"/>
      <c r="P2475"/>
      <c r="Q2475"/>
      <c r="R2475"/>
      <c r="S2475"/>
    </row>
    <row r="2476" spans="13:19" ht="13.95" customHeight="1">
      <c r="M2476"/>
      <c r="N2476"/>
      <c r="O2476"/>
      <c r="P2476"/>
      <c r="Q2476"/>
      <c r="R2476"/>
      <c r="S2476"/>
    </row>
    <row r="2477" spans="13:19" ht="13.95" customHeight="1">
      <c r="M2477"/>
      <c r="N2477"/>
      <c r="O2477"/>
      <c r="P2477"/>
      <c r="Q2477"/>
      <c r="R2477"/>
      <c r="S2477"/>
    </row>
    <row r="2478" spans="13:19" ht="13.95" customHeight="1">
      <c r="M2478"/>
      <c r="N2478"/>
      <c r="O2478"/>
      <c r="P2478"/>
      <c r="Q2478"/>
      <c r="R2478"/>
      <c r="S2478"/>
    </row>
    <row r="2479" spans="13:19" ht="13.95" customHeight="1">
      <c r="M2479"/>
      <c r="N2479"/>
      <c r="O2479"/>
      <c r="P2479"/>
      <c r="Q2479"/>
      <c r="R2479"/>
      <c r="S2479"/>
    </row>
    <row r="2480" spans="13:19" ht="13.95" customHeight="1">
      <c r="M2480"/>
      <c r="N2480"/>
      <c r="O2480"/>
      <c r="P2480"/>
      <c r="Q2480"/>
      <c r="R2480"/>
      <c r="S2480"/>
    </row>
    <row r="2481" spans="13:19" ht="13.95" customHeight="1">
      <c r="M2481"/>
      <c r="N2481"/>
      <c r="O2481"/>
      <c r="P2481"/>
      <c r="Q2481"/>
      <c r="R2481"/>
      <c r="S2481"/>
    </row>
    <row r="2482" spans="13:19" ht="13.95" customHeight="1">
      <c r="M2482"/>
      <c r="N2482"/>
      <c r="O2482"/>
      <c r="P2482"/>
      <c r="Q2482"/>
      <c r="R2482"/>
      <c r="S2482"/>
    </row>
    <row r="2483" spans="13:19" ht="13.95" customHeight="1">
      <c r="M2483"/>
      <c r="N2483"/>
      <c r="O2483"/>
      <c r="P2483"/>
      <c r="Q2483"/>
      <c r="R2483"/>
      <c r="S2483"/>
    </row>
    <row r="2484" spans="13:19" ht="13.95" customHeight="1">
      <c r="M2484"/>
      <c r="N2484"/>
      <c r="O2484"/>
      <c r="P2484"/>
      <c r="Q2484"/>
      <c r="R2484"/>
      <c r="S2484"/>
    </row>
    <row r="2485" spans="13:19" ht="13.95" customHeight="1">
      <c r="M2485"/>
      <c r="N2485"/>
      <c r="O2485"/>
      <c r="P2485"/>
      <c r="Q2485"/>
      <c r="R2485"/>
      <c r="S2485"/>
    </row>
    <row r="2486" spans="13:19" ht="13.95" customHeight="1">
      <c r="M2486"/>
      <c r="N2486"/>
      <c r="O2486"/>
      <c r="P2486"/>
      <c r="Q2486"/>
      <c r="R2486"/>
      <c r="S2486"/>
    </row>
    <row r="2487" spans="13:19" ht="13.95" customHeight="1">
      <c r="M2487"/>
      <c r="N2487"/>
      <c r="O2487"/>
      <c r="P2487"/>
      <c r="Q2487"/>
      <c r="R2487"/>
      <c r="S2487"/>
    </row>
    <row r="2488" spans="13:19" ht="13.95" customHeight="1">
      <c r="M2488"/>
      <c r="N2488"/>
      <c r="O2488"/>
      <c r="P2488"/>
      <c r="Q2488"/>
      <c r="R2488"/>
      <c r="S2488"/>
    </row>
    <row r="2489" spans="13:19" ht="13.95" customHeight="1">
      <c r="M2489"/>
      <c r="N2489"/>
      <c r="O2489"/>
      <c r="P2489"/>
      <c r="Q2489"/>
      <c r="R2489"/>
      <c r="S2489"/>
    </row>
    <row r="2490" spans="13:19" ht="13.95" customHeight="1">
      <c r="M2490"/>
      <c r="N2490"/>
      <c r="O2490"/>
      <c r="P2490"/>
      <c r="Q2490"/>
      <c r="R2490"/>
      <c r="S2490"/>
    </row>
    <row r="2491" spans="13:19" ht="13.95" customHeight="1">
      <c r="M2491"/>
      <c r="N2491"/>
      <c r="O2491"/>
      <c r="P2491"/>
      <c r="Q2491"/>
      <c r="R2491"/>
      <c r="S2491"/>
    </row>
    <row r="2492" spans="13:19" ht="13.95" customHeight="1">
      <c r="M2492"/>
      <c r="N2492"/>
      <c r="O2492"/>
      <c r="P2492"/>
      <c r="Q2492"/>
      <c r="R2492"/>
      <c r="S2492"/>
    </row>
    <row r="2493" spans="13:19" ht="13.95" customHeight="1">
      <c r="M2493"/>
      <c r="N2493"/>
      <c r="O2493"/>
      <c r="P2493"/>
      <c r="Q2493"/>
      <c r="R2493"/>
      <c r="S2493"/>
    </row>
    <row r="2494" spans="13:19" ht="13.95" customHeight="1">
      <c r="M2494"/>
      <c r="N2494"/>
      <c r="O2494"/>
      <c r="P2494"/>
      <c r="Q2494"/>
      <c r="R2494"/>
      <c r="S2494"/>
    </row>
    <row r="2495" spans="13:19" ht="13.95" customHeight="1">
      <c r="M2495"/>
      <c r="N2495"/>
      <c r="O2495"/>
      <c r="P2495"/>
      <c r="Q2495"/>
      <c r="R2495"/>
      <c r="S2495"/>
    </row>
    <row r="2496" spans="13:19" ht="13.95" customHeight="1">
      <c r="M2496"/>
      <c r="N2496"/>
      <c r="O2496"/>
      <c r="P2496"/>
      <c r="Q2496"/>
      <c r="R2496"/>
      <c r="S2496"/>
    </row>
    <row r="2497" spans="13:19" ht="13.95" customHeight="1">
      <c r="M2497"/>
      <c r="N2497"/>
      <c r="O2497"/>
      <c r="P2497"/>
      <c r="Q2497"/>
      <c r="R2497"/>
      <c r="S2497"/>
    </row>
    <row r="2498" spans="13:19" ht="13.95" customHeight="1">
      <c r="M2498"/>
      <c r="N2498"/>
      <c r="O2498"/>
      <c r="P2498"/>
      <c r="Q2498"/>
      <c r="R2498"/>
      <c r="S2498"/>
    </row>
    <row r="2499" spans="13:19" ht="13.95" customHeight="1">
      <c r="M2499"/>
      <c r="N2499"/>
      <c r="O2499"/>
      <c r="P2499"/>
      <c r="Q2499"/>
      <c r="R2499"/>
      <c r="S2499"/>
    </row>
    <row r="2500" spans="13:19" ht="13.95" customHeight="1">
      <c r="M2500"/>
      <c r="N2500"/>
      <c r="O2500"/>
      <c r="P2500"/>
      <c r="Q2500"/>
      <c r="R2500"/>
      <c r="S2500"/>
    </row>
    <row r="2501" spans="13:19" ht="13.95" customHeight="1">
      <c r="M2501"/>
      <c r="N2501"/>
      <c r="O2501"/>
      <c r="P2501"/>
      <c r="Q2501"/>
      <c r="R2501"/>
      <c r="S2501"/>
    </row>
    <row r="2502" spans="13:19" ht="13.95" customHeight="1">
      <c r="M2502"/>
      <c r="N2502"/>
      <c r="O2502"/>
      <c r="P2502"/>
      <c r="Q2502"/>
      <c r="R2502"/>
      <c r="S2502"/>
    </row>
    <row r="2503" spans="13:19" ht="13.95" customHeight="1">
      <c r="M2503"/>
      <c r="N2503"/>
      <c r="O2503"/>
      <c r="P2503"/>
      <c r="Q2503"/>
      <c r="R2503"/>
      <c r="S2503"/>
    </row>
    <row r="2504" spans="13:19" ht="13.95" customHeight="1">
      <c r="M2504"/>
      <c r="N2504"/>
      <c r="O2504"/>
      <c r="P2504"/>
      <c r="Q2504"/>
      <c r="R2504"/>
      <c r="S2504"/>
    </row>
    <row r="2505" spans="13:19" ht="13.95" customHeight="1">
      <c r="M2505"/>
      <c r="N2505"/>
      <c r="O2505"/>
      <c r="P2505"/>
      <c r="Q2505"/>
      <c r="R2505"/>
      <c r="S2505"/>
    </row>
    <row r="2506" spans="13:19" ht="13.95" customHeight="1">
      <c r="M2506"/>
      <c r="N2506"/>
      <c r="O2506"/>
      <c r="P2506"/>
      <c r="Q2506"/>
      <c r="R2506"/>
      <c r="S2506"/>
    </row>
    <row r="2507" spans="13:19" ht="13.95" customHeight="1">
      <c r="M2507"/>
      <c r="N2507"/>
      <c r="O2507"/>
      <c r="P2507"/>
      <c r="Q2507"/>
      <c r="R2507"/>
      <c r="S2507"/>
    </row>
    <row r="2508" spans="13:19" ht="13.95" customHeight="1">
      <c r="M2508"/>
      <c r="N2508"/>
      <c r="O2508"/>
      <c r="P2508"/>
      <c r="Q2508"/>
      <c r="R2508"/>
      <c r="S2508"/>
    </row>
    <row r="2509" spans="13:19" ht="13.95" customHeight="1">
      <c r="M2509"/>
      <c r="N2509"/>
      <c r="O2509"/>
      <c r="P2509"/>
      <c r="Q2509"/>
      <c r="R2509"/>
      <c r="S2509"/>
    </row>
    <row r="2510" spans="13:19" ht="13.95" customHeight="1">
      <c r="M2510"/>
      <c r="N2510"/>
      <c r="O2510"/>
      <c r="P2510"/>
      <c r="Q2510"/>
      <c r="R2510"/>
      <c r="S2510"/>
    </row>
    <row r="2511" spans="13:19" ht="13.95" customHeight="1">
      <c r="M2511"/>
      <c r="N2511"/>
      <c r="O2511"/>
      <c r="P2511"/>
      <c r="Q2511"/>
      <c r="R2511"/>
      <c r="S2511"/>
    </row>
    <row r="2512" spans="13:19" ht="13.95" customHeight="1">
      <c r="M2512"/>
      <c r="N2512"/>
      <c r="O2512"/>
      <c r="P2512"/>
      <c r="Q2512"/>
      <c r="R2512"/>
      <c r="S2512"/>
    </row>
    <row r="2513" spans="13:19" ht="13.95" customHeight="1">
      <c r="M2513"/>
      <c r="N2513"/>
      <c r="O2513"/>
      <c r="P2513"/>
      <c r="Q2513"/>
      <c r="R2513"/>
      <c r="S2513"/>
    </row>
    <row r="2514" spans="13:19" ht="13.95" customHeight="1">
      <c r="M2514"/>
      <c r="N2514"/>
      <c r="O2514"/>
      <c r="P2514"/>
      <c r="Q2514"/>
      <c r="R2514"/>
      <c r="S2514"/>
    </row>
    <row r="2515" spans="13:19" ht="13.95" customHeight="1">
      <c r="M2515"/>
      <c r="N2515"/>
      <c r="O2515"/>
      <c r="P2515"/>
      <c r="Q2515"/>
      <c r="R2515"/>
      <c r="S2515"/>
    </row>
    <row r="2516" spans="13:19" ht="13.95" customHeight="1">
      <c r="M2516"/>
      <c r="N2516"/>
      <c r="O2516"/>
      <c r="P2516"/>
      <c r="Q2516"/>
      <c r="R2516"/>
      <c r="S2516"/>
    </row>
    <row r="2517" spans="13:19" ht="13.95" customHeight="1">
      <c r="M2517"/>
      <c r="N2517"/>
      <c r="O2517"/>
      <c r="P2517"/>
      <c r="Q2517"/>
      <c r="R2517"/>
      <c r="S2517"/>
    </row>
    <row r="2518" spans="13:19" ht="13.95" customHeight="1">
      <c r="M2518"/>
      <c r="N2518"/>
      <c r="O2518"/>
      <c r="P2518"/>
      <c r="Q2518"/>
      <c r="R2518"/>
      <c r="S2518"/>
    </row>
    <row r="2519" spans="13:19" ht="13.95" customHeight="1">
      <c r="M2519"/>
      <c r="N2519"/>
      <c r="O2519"/>
      <c r="P2519"/>
      <c r="Q2519"/>
      <c r="R2519"/>
      <c r="S2519"/>
    </row>
    <row r="2520" spans="13:19" ht="13.95" customHeight="1">
      <c r="M2520"/>
      <c r="N2520"/>
      <c r="O2520"/>
      <c r="P2520"/>
      <c r="Q2520"/>
      <c r="R2520"/>
      <c r="S2520"/>
    </row>
    <row r="2521" spans="13:19" ht="13.95" customHeight="1">
      <c r="M2521"/>
      <c r="N2521"/>
      <c r="O2521"/>
      <c r="P2521"/>
      <c r="Q2521"/>
      <c r="R2521"/>
      <c r="S2521"/>
    </row>
    <row r="2522" spans="13:19" ht="13.95" customHeight="1">
      <c r="M2522"/>
      <c r="N2522"/>
      <c r="O2522"/>
      <c r="P2522"/>
      <c r="Q2522"/>
      <c r="R2522"/>
      <c r="S2522"/>
    </row>
    <row r="2523" spans="13:19" ht="13.95" customHeight="1">
      <c r="M2523"/>
      <c r="N2523"/>
      <c r="O2523"/>
      <c r="P2523"/>
      <c r="Q2523"/>
      <c r="R2523"/>
      <c r="S2523"/>
    </row>
    <row r="2524" spans="13:19" ht="13.95" customHeight="1">
      <c r="M2524"/>
      <c r="N2524"/>
      <c r="O2524"/>
      <c r="P2524"/>
      <c r="Q2524"/>
      <c r="R2524"/>
      <c r="S2524"/>
    </row>
    <row r="2525" spans="13:19" ht="13.95" customHeight="1">
      <c r="M2525"/>
      <c r="N2525"/>
      <c r="O2525"/>
      <c r="P2525"/>
      <c r="Q2525"/>
      <c r="R2525"/>
      <c r="S2525"/>
    </row>
    <row r="2526" spans="13:19" ht="13.95" customHeight="1">
      <c r="M2526"/>
      <c r="N2526"/>
      <c r="O2526"/>
      <c r="P2526"/>
      <c r="Q2526"/>
      <c r="R2526"/>
      <c r="S2526"/>
    </row>
    <row r="2527" spans="13:19" ht="13.95" customHeight="1">
      <c r="M2527"/>
      <c r="N2527"/>
      <c r="O2527"/>
      <c r="P2527"/>
      <c r="Q2527"/>
      <c r="R2527"/>
      <c r="S2527"/>
    </row>
    <row r="2528" spans="13:19" ht="13.95" customHeight="1">
      <c r="M2528"/>
      <c r="N2528"/>
      <c r="O2528"/>
      <c r="P2528"/>
      <c r="Q2528"/>
      <c r="R2528"/>
      <c r="S2528"/>
    </row>
    <row r="2529" spans="13:19" ht="13.95" customHeight="1">
      <c r="M2529"/>
      <c r="N2529"/>
      <c r="O2529"/>
      <c r="P2529"/>
      <c r="Q2529"/>
      <c r="R2529"/>
      <c r="S2529"/>
    </row>
    <row r="2530" spans="13:19" ht="13.95" customHeight="1">
      <c r="M2530"/>
      <c r="N2530"/>
      <c r="O2530"/>
      <c r="P2530"/>
      <c r="Q2530"/>
      <c r="R2530"/>
      <c r="S2530"/>
    </row>
    <row r="2531" spans="13:19" ht="13.95" customHeight="1">
      <c r="M2531"/>
      <c r="N2531"/>
      <c r="O2531"/>
      <c r="P2531"/>
      <c r="Q2531"/>
      <c r="R2531"/>
      <c r="S2531"/>
    </row>
    <row r="2532" spans="13:19" ht="13.95" customHeight="1">
      <c r="M2532"/>
      <c r="N2532"/>
      <c r="O2532"/>
      <c r="P2532"/>
      <c r="Q2532"/>
      <c r="R2532"/>
      <c r="S2532"/>
    </row>
    <row r="2533" spans="13:19" ht="13.95" customHeight="1">
      <c r="M2533"/>
      <c r="N2533"/>
      <c r="O2533"/>
      <c r="P2533"/>
      <c r="Q2533"/>
      <c r="R2533"/>
      <c r="S2533"/>
    </row>
    <row r="2534" spans="13:19" ht="13.95" customHeight="1">
      <c r="M2534"/>
      <c r="N2534"/>
      <c r="O2534"/>
      <c r="P2534"/>
      <c r="Q2534"/>
      <c r="R2534"/>
      <c r="S2534"/>
    </row>
    <row r="2535" spans="13:19" ht="13.95" customHeight="1">
      <c r="M2535"/>
      <c r="N2535"/>
      <c r="O2535"/>
      <c r="P2535"/>
      <c r="Q2535"/>
      <c r="R2535"/>
      <c r="S2535"/>
    </row>
    <row r="2536" spans="13:19" ht="13.95" customHeight="1">
      <c r="M2536"/>
      <c r="N2536"/>
      <c r="O2536"/>
      <c r="P2536"/>
      <c r="Q2536"/>
      <c r="R2536"/>
      <c r="S2536"/>
    </row>
    <row r="2537" spans="13:19" ht="13.95" customHeight="1">
      <c r="M2537"/>
      <c r="N2537"/>
      <c r="O2537"/>
      <c r="P2537"/>
      <c r="Q2537"/>
      <c r="R2537"/>
      <c r="S2537"/>
    </row>
    <row r="2538" spans="13:19" ht="13.95" customHeight="1">
      <c r="M2538"/>
      <c r="N2538"/>
      <c r="O2538"/>
      <c r="P2538"/>
      <c r="Q2538"/>
      <c r="R2538"/>
      <c r="S2538"/>
    </row>
    <row r="2539" spans="13:19" ht="13.95" customHeight="1">
      <c r="M2539"/>
      <c r="N2539"/>
      <c r="O2539"/>
      <c r="P2539"/>
      <c r="Q2539"/>
      <c r="R2539"/>
      <c r="S2539"/>
    </row>
    <row r="2540" spans="13:19" ht="13.95" customHeight="1">
      <c r="M2540"/>
      <c r="N2540"/>
      <c r="O2540"/>
      <c r="P2540"/>
      <c r="Q2540"/>
      <c r="R2540"/>
      <c r="S2540"/>
    </row>
    <row r="2541" spans="13:19" ht="13.95" customHeight="1">
      <c r="M2541"/>
      <c r="N2541"/>
      <c r="O2541"/>
      <c r="P2541"/>
      <c r="Q2541"/>
      <c r="R2541"/>
      <c r="S2541"/>
    </row>
    <row r="2542" spans="13:19" ht="13.95" customHeight="1">
      <c r="M2542"/>
      <c r="N2542"/>
      <c r="O2542"/>
      <c r="P2542"/>
      <c r="Q2542"/>
      <c r="R2542"/>
      <c r="S2542"/>
    </row>
    <row r="2543" spans="13:19" ht="13.95" customHeight="1">
      <c r="M2543"/>
      <c r="N2543"/>
      <c r="O2543"/>
      <c r="P2543"/>
      <c r="Q2543"/>
      <c r="R2543"/>
      <c r="S2543"/>
    </row>
    <row r="2544" spans="13:19" ht="13.95" customHeight="1">
      <c r="M2544"/>
      <c r="N2544"/>
      <c r="O2544"/>
      <c r="P2544"/>
      <c r="Q2544"/>
      <c r="R2544"/>
      <c r="S2544"/>
    </row>
    <row r="2545" spans="13:19" ht="13.95" customHeight="1">
      <c r="M2545"/>
      <c r="N2545"/>
      <c r="O2545"/>
      <c r="P2545"/>
      <c r="Q2545"/>
      <c r="R2545"/>
      <c r="S2545"/>
    </row>
    <row r="2546" spans="13:19" ht="13.95" customHeight="1">
      <c r="M2546"/>
      <c r="N2546"/>
      <c r="O2546"/>
      <c r="P2546"/>
      <c r="Q2546"/>
      <c r="R2546"/>
      <c r="S2546"/>
    </row>
    <row r="2547" spans="13:19" ht="13.95" customHeight="1">
      <c r="M2547"/>
      <c r="N2547"/>
      <c r="O2547"/>
      <c r="P2547"/>
      <c r="Q2547"/>
      <c r="R2547"/>
      <c r="S2547"/>
    </row>
    <row r="2548" spans="13:19" ht="13.95" customHeight="1">
      <c r="M2548"/>
      <c r="N2548"/>
      <c r="O2548"/>
      <c r="P2548"/>
      <c r="Q2548"/>
      <c r="R2548"/>
      <c r="S2548"/>
    </row>
    <row r="2549" spans="13:19" ht="13.95" customHeight="1">
      <c r="M2549"/>
      <c r="N2549"/>
      <c r="O2549"/>
      <c r="P2549"/>
      <c r="Q2549"/>
      <c r="R2549"/>
      <c r="S2549"/>
    </row>
    <row r="2550" spans="13:19" ht="13.95" customHeight="1">
      <c r="M2550"/>
      <c r="N2550"/>
      <c r="O2550"/>
      <c r="P2550"/>
      <c r="Q2550"/>
      <c r="R2550"/>
      <c r="S2550"/>
    </row>
    <row r="2551" spans="13:19" ht="13.95" customHeight="1">
      <c r="M2551"/>
      <c r="N2551"/>
      <c r="O2551"/>
      <c r="P2551"/>
      <c r="Q2551"/>
      <c r="R2551"/>
      <c r="S2551"/>
    </row>
    <row r="2552" spans="13:19" ht="13.95" customHeight="1">
      <c r="M2552"/>
      <c r="N2552"/>
      <c r="O2552"/>
      <c r="P2552"/>
      <c r="Q2552"/>
      <c r="R2552"/>
      <c r="S2552"/>
    </row>
    <row r="2553" spans="13:19" ht="13.95" customHeight="1">
      <c r="M2553"/>
      <c r="N2553"/>
      <c r="O2553"/>
      <c r="P2553"/>
      <c r="Q2553"/>
      <c r="R2553"/>
      <c r="S2553"/>
    </row>
    <row r="2554" spans="13:19" ht="13.95" customHeight="1">
      <c r="M2554"/>
      <c r="N2554"/>
      <c r="O2554"/>
      <c r="P2554"/>
      <c r="Q2554"/>
      <c r="R2554"/>
      <c r="S2554"/>
    </row>
    <row r="2555" spans="13:19" ht="13.95" customHeight="1">
      <c r="M2555"/>
      <c r="N2555"/>
      <c r="O2555"/>
      <c r="P2555"/>
      <c r="Q2555"/>
      <c r="R2555"/>
      <c r="S2555"/>
    </row>
    <row r="2556" spans="13:19" ht="13.95" customHeight="1">
      <c r="M2556"/>
      <c r="N2556"/>
      <c r="O2556"/>
      <c r="P2556"/>
      <c r="Q2556"/>
      <c r="R2556"/>
      <c r="S2556"/>
    </row>
    <row r="2557" spans="13:19" ht="13.95" customHeight="1">
      <c r="M2557"/>
      <c r="N2557"/>
      <c r="O2557"/>
      <c r="P2557"/>
      <c r="Q2557"/>
      <c r="R2557"/>
      <c r="S2557"/>
    </row>
    <row r="2558" spans="13:19" ht="13.95" customHeight="1">
      <c r="M2558"/>
      <c r="N2558"/>
      <c r="O2558"/>
      <c r="P2558"/>
      <c r="Q2558"/>
      <c r="R2558"/>
      <c r="S2558"/>
    </row>
    <row r="2559" spans="13:19" ht="13.95" customHeight="1">
      <c r="M2559"/>
      <c r="N2559"/>
      <c r="O2559"/>
      <c r="P2559"/>
      <c r="Q2559"/>
      <c r="R2559"/>
      <c r="S2559"/>
    </row>
    <row r="2560" spans="13:19" ht="13.95" customHeight="1">
      <c r="M2560"/>
      <c r="N2560"/>
      <c r="O2560"/>
      <c r="P2560"/>
      <c r="Q2560"/>
      <c r="R2560"/>
      <c r="S2560"/>
    </row>
    <row r="2561" spans="13:19" ht="13.95" customHeight="1">
      <c r="M2561"/>
      <c r="N2561"/>
      <c r="O2561"/>
      <c r="P2561"/>
      <c r="Q2561"/>
      <c r="R2561"/>
      <c r="S2561"/>
    </row>
    <row r="2562" spans="13:19" ht="13.95" customHeight="1">
      <c r="M2562"/>
      <c r="N2562"/>
      <c r="O2562"/>
      <c r="P2562"/>
      <c r="Q2562"/>
      <c r="R2562"/>
      <c r="S2562"/>
    </row>
    <row r="2563" spans="13:19" ht="13.95" customHeight="1">
      <c r="M2563"/>
      <c r="N2563"/>
      <c r="O2563"/>
      <c r="P2563"/>
      <c r="Q2563"/>
      <c r="R2563"/>
      <c r="S2563"/>
    </row>
    <row r="2564" spans="13:19" ht="13.95" customHeight="1">
      <c r="M2564"/>
      <c r="N2564"/>
      <c r="O2564"/>
      <c r="P2564"/>
      <c r="Q2564"/>
      <c r="R2564"/>
      <c r="S2564"/>
    </row>
    <row r="2565" spans="13:19" ht="13.95" customHeight="1">
      <c r="M2565"/>
      <c r="N2565"/>
      <c r="O2565"/>
      <c r="P2565"/>
      <c r="Q2565"/>
      <c r="R2565"/>
      <c r="S2565"/>
    </row>
    <row r="2566" spans="13:19" ht="13.95" customHeight="1">
      <c r="M2566"/>
      <c r="N2566"/>
      <c r="O2566"/>
      <c r="P2566"/>
      <c r="Q2566"/>
      <c r="R2566"/>
      <c r="S2566"/>
    </row>
    <row r="2567" spans="13:19" ht="13.95" customHeight="1">
      <c r="M2567"/>
      <c r="N2567"/>
      <c r="O2567"/>
      <c r="P2567"/>
      <c r="Q2567"/>
      <c r="R2567"/>
      <c r="S2567"/>
    </row>
    <row r="2568" spans="13:19" ht="13.95" customHeight="1">
      <c r="M2568"/>
      <c r="N2568"/>
      <c r="O2568"/>
      <c r="P2568"/>
      <c r="Q2568"/>
      <c r="R2568"/>
      <c r="S2568"/>
    </row>
    <row r="2569" spans="13:19" ht="13.95" customHeight="1">
      <c r="M2569"/>
      <c r="N2569"/>
      <c r="O2569"/>
      <c r="P2569"/>
      <c r="Q2569"/>
      <c r="R2569"/>
      <c r="S2569"/>
    </row>
    <row r="2570" spans="13:19" ht="13.95" customHeight="1">
      <c r="M2570"/>
      <c r="N2570"/>
      <c r="O2570"/>
      <c r="P2570"/>
      <c r="Q2570"/>
      <c r="R2570"/>
      <c r="S2570"/>
    </row>
    <row r="2571" spans="13:19" ht="13.95" customHeight="1">
      <c r="M2571"/>
      <c r="N2571"/>
      <c r="O2571"/>
      <c r="P2571"/>
      <c r="Q2571"/>
      <c r="R2571"/>
      <c r="S2571"/>
    </row>
    <row r="2572" spans="13:19" ht="13.95" customHeight="1">
      <c r="M2572"/>
      <c r="N2572"/>
      <c r="O2572"/>
      <c r="P2572"/>
      <c r="Q2572"/>
      <c r="R2572"/>
      <c r="S2572"/>
    </row>
    <row r="2573" spans="13:19" ht="13.95" customHeight="1">
      <c r="M2573"/>
      <c r="N2573"/>
      <c r="O2573"/>
      <c r="P2573"/>
      <c r="Q2573"/>
      <c r="R2573"/>
      <c r="S2573"/>
    </row>
    <row r="2574" spans="13:19" ht="13.95" customHeight="1">
      <c r="M2574"/>
      <c r="N2574"/>
      <c r="O2574"/>
      <c r="P2574"/>
      <c r="Q2574"/>
      <c r="R2574"/>
      <c r="S2574"/>
    </row>
    <row r="2575" spans="13:19" ht="13.95" customHeight="1">
      <c r="M2575"/>
      <c r="N2575"/>
      <c r="O2575"/>
      <c r="P2575"/>
      <c r="Q2575"/>
      <c r="R2575"/>
      <c r="S2575"/>
    </row>
    <row r="2576" spans="13:19" ht="13.95" customHeight="1">
      <c r="M2576"/>
      <c r="N2576"/>
      <c r="O2576"/>
      <c r="P2576"/>
      <c r="Q2576"/>
      <c r="R2576"/>
      <c r="S2576"/>
    </row>
    <row r="2577" spans="13:19" ht="13.95" customHeight="1">
      <c r="M2577"/>
      <c r="N2577"/>
      <c r="O2577"/>
      <c r="P2577"/>
      <c r="Q2577"/>
      <c r="R2577"/>
      <c r="S2577"/>
    </row>
    <row r="2578" spans="13:19" ht="13.95" customHeight="1">
      <c r="M2578"/>
      <c r="N2578"/>
      <c r="O2578"/>
      <c r="P2578"/>
      <c r="Q2578"/>
      <c r="R2578"/>
      <c r="S2578"/>
    </row>
    <row r="2579" spans="13:19" ht="13.95" customHeight="1">
      <c r="M2579"/>
      <c r="N2579"/>
      <c r="O2579"/>
      <c r="P2579"/>
      <c r="Q2579"/>
      <c r="R2579"/>
      <c r="S2579"/>
    </row>
    <row r="2580" spans="13:19" ht="13.95" customHeight="1">
      <c r="M2580"/>
      <c r="N2580"/>
      <c r="O2580"/>
      <c r="P2580"/>
      <c r="Q2580"/>
      <c r="R2580"/>
      <c r="S2580"/>
    </row>
    <row r="2581" spans="13:19" ht="13.95" customHeight="1">
      <c r="M2581"/>
      <c r="N2581"/>
      <c r="O2581"/>
      <c r="P2581"/>
      <c r="Q2581"/>
      <c r="R2581"/>
      <c r="S2581"/>
    </row>
    <row r="2582" spans="13:19" ht="13.95" customHeight="1">
      <c r="M2582"/>
      <c r="N2582"/>
      <c r="O2582"/>
      <c r="P2582"/>
      <c r="Q2582"/>
      <c r="R2582"/>
      <c r="S2582"/>
    </row>
    <row r="2583" spans="13:19" ht="13.95" customHeight="1">
      <c r="M2583"/>
      <c r="N2583"/>
      <c r="O2583"/>
      <c r="P2583"/>
      <c r="Q2583"/>
      <c r="R2583"/>
      <c r="S2583"/>
    </row>
    <row r="2584" spans="13:19" ht="13.95" customHeight="1">
      <c r="M2584"/>
      <c r="N2584"/>
      <c r="O2584"/>
      <c r="P2584"/>
      <c r="Q2584"/>
      <c r="R2584"/>
      <c r="S2584"/>
    </row>
    <row r="2585" spans="13:19" ht="13.95" customHeight="1">
      <c r="M2585"/>
      <c r="N2585"/>
      <c r="O2585"/>
      <c r="P2585"/>
      <c r="Q2585"/>
      <c r="R2585"/>
      <c r="S2585"/>
    </row>
    <row r="2586" spans="13:19" ht="13.95" customHeight="1">
      <c r="M2586"/>
      <c r="N2586"/>
      <c r="O2586"/>
      <c r="P2586"/>
      <c r="Q2586"/>
      <c r="R2586"/>
      <c r="S2586"/>
    </row>
    <row r="2587" spans="13:19" ht="13.95" customHeight="1">
      <c r="M2587"/>
      <c r="N2587"/>
      <c r="O2587"/>
      <c r="P2587"/>
      <c r="Q2587"/>
      <c r="R2587"/>
      <c r="S2587"/>
    </row>
    <row r="2588" spans="13:19" ht="13.95" customHeight="1">
      <c r="M2588"/>
      <c r="N2588"/>
      <c r="O2588"/>
      <c r="P2588"/>
      <c r="Q2588"/>
      <c r="R2588"/>
      <c r="S2588"/>
    </row>
    <row r="2589" spans="13:19" ht="13.95" customHeight="1">
      <c r="M2589"/>
      <c r="N2589"/>
      <c r="O2589"/>
      <c r="P2589"/>
      <c r="Q2589"/>
      <c r="R2589"/>
      <c r="S2589"/>
    </row>
    <row r="2590" spans="13:19" ht="13.95" customHeight="1">
      <c r="M2590"/>
      <c r="N2590"/>
      <c r="O2590"/>
      <c r="P2590"/>
      <c r="Q2590"/>
      <c r="R2590"/>
      <c r="S2590"/>
    </row>
    <row r="2591" spans="13:19" ht="13.95" customHeight="1">
      <c r="M2591"/>
      <c r="N2591"/>
      <c r="O2591"/>
      <c r="P2591"/>
      <c r="Q2591"/>
      <c r="R2591"/>
      <c r="S2591"/>
    </row>
    <row r="2592" spans="13:19" ht="13.95" customHeight="1">
      <c r="M2592"/>
      <c r="N2592"/>
      <c r="O2592"/>
      <c r="P2592"/>
      <c r="Q2592"/>
      <c r="R2592"/>
      <c r="S2592"/>
    </row>
    <row r="2593" spans="13:19" ht="13.95" customHeight="1">
      <c r="M2593"/>
      <c r="N2593"/>
      <c r="O2593"/>
      <c r="P2593"/>
      <c r="Q2593"/>
      <c r="R2593"/>
      <c r="S2593"/>
    </row>
    <row r="2594" spans="13:19" ht="13.95" customHeight="1">
      <c r="M2594"/>
      <c r="N2594"/>
      <c r="O2594"/>
      <c r="P2594"/>
      <c r="Q2594"/>
      <c r="R2594"/>
      <c r="S2594"/>
    </row>
    <row r="2595" spans="13:19" ht="13.95" customHeight="1">
      <c r="M2595"/>
      <c r="N2595"/>
      <c r="O2595"/>
      <c r="P2595"/>
      <c r="Q2595"/>
      <c r="R2595"/>
      <c r="S2595"/>
    </row>
    <row r="2596" spans="13:19" ht="13.95" customHeight="1">
      <c r="M2596"/>
      <c r="N2596"/>
      <c r="O2596"/>
      <c r="P2596"/>
      <c r="Q2596"/>
      <c r="R2596"/>
      <c r="S2596"/>
    </row>
    <row r="2597" spans="13:19" ht="13.95" customHeight="1">
      <c r="M2597"/>
      <c r="N2597"/>
      <c r="O2597"/>
      <c r="P2597"/>
      <c r="Q2597"/>
      <c r="R2597"/>
      <c r="S2597"/>
    </row>
    <row r="2598" spans="13:19" ht="13.95" customHeight="1">
      <c r="M2598"/>
      <c r="N2598"/>
      <c r="O2598"/>
      <c r="P2598"/>
      <c r="Q2598"/>
      <c r="R2598"/>
      <c r="S2598"/>
    </row>
    <row r="2599" spans="13:19" ht="13.95" customHeight="1">
      <c r="M2599"/>
      <c r="N2599"/>
      <c r="O2599"/>
      <c r="P2599"/>
      <c r="Q2599"/>
      <c r="R2599"/>
      <c r="S2599"/>
    </row>
    <row r="2600" spans="13:19" ht="13.95" customHeight="1">
      <c r="M2600"/>
      <c r="N2600"/>
      <c r="O2600"/>
      <c r="P2600"/>
      <c r="Q2600"/>
      <c r="R2600"/>
      <c r="S2600"/>
    </row>
    <row r="2601" spans="13:19" ht="13.95" customHeight="1">
      <c r="M2601"/>
      <c r="N2601"/>
      <c r="O2601"/>
      <c r="P2601"/>
      <c r="Q2601"/>
      <c r="R2601"/>
      <c r="S2601"/>
    </row>
    <row r="2602" spans="13:19" ht="13.95" customHeight="1">
      <c r="M2602"/>
      <c r="N2602"/>
      <c r="O2602"/>
      <c r="P2602"/>
      <c r="Q2602"/>
      <c r="R2602"/>
      <c r="S2602"/>
    </row>
    <row r="2603" spans="13:19" ht="13.95" customHeight="1">
      <c r="M2603"/>
      <c r="N2603"/>
      <c r="O2603"/>
      <c r="P2603"/>
      <c r="Q2603"/>
      <c r="R2603"/>
      <c r="S2603"/>
    </row>
    <row r="2604" spans="13:19" ht="13.95" customHeight="1">
      <c r="M2604"/>
      <c r="N2604"/>
      <c r="O2604"/>
      <c r="P2604"/>
      <c r="Q2604"/>
      <c r="R2604"/>
      <c r="S2604"/>
    </row>
    <row r="2605" spans="13:19" ht="13.95" customHeight="1">
      <c r="M2605"/>
      <c r="N2605"/>
      <c r="O2605"/>
      <c r="P2605"/>
      <c r="Q2605"/>
      <c r="R2605"/>
      <c r="S2605"/>
    </row>
    <row r="2606" spans="13:19" ht="13.95" customHeight="1">
      <c r="M2606"/>
      <c r="N2606"/>
      <c r="O2606"/>
      <c r="P2606"/>
      <c r="Q2606"/>
      <c r="R2606"/>
      <c r="S2606"/>
    </row>
    <row r="2607" spans="13:19" ht="13.95" customHeight="1">
      <c r="M2607"/>
      <c r="N2607"/>
      <c r="O2607"/>
      <c r="P2607"/>
      <c r="Q2607"/>
      <c r="R2607"/>
      <c r="S2607"/>
    </row>
    <row r="2608" spans="13:19" ht="13.95" customHeight="1">
      <c r="M2608"/>
      <c r="N2608"/>
      <c r="O2608"/>
      <c r="P2608"/>
      <c r="Q2608"/>
      <c r="R2608"/>
      <c r="S2608"/>
    </row>
    <row r="2609" spans="13:19" ht="13.95" customHeight="1">
      <c r="M2609"/>
      <c r="N2609"/>
      <c r="O2609"/>
      <c r="P2609"/>
      <c r="Q2609"/>
      <c r="R2609"/>
      <c r="S2609"/>
    </row>
    <row r="2610" spans="13:19" ht="13.95" customHeight="1">
      <c r="M2610"/>
      <c r="N2610"/>
      <c r="O2610"/>
      <c r="P2610"/>
      <c r="Q2610"/>
      <c r="R2610"/>
      <c r="S2610"/>
    </row>
    <row r="2611" spans="13:19" ht="13.95" customHeight="1">
      <c r="M2611"/>
      <c r="N2611"/>
      <c r="O2611"/>
      <c r="P2611"/>
      <c r="Q2611"/>
      <c r="R2611"/>
      <c r="S2611"/>
    </row>
    <row r="2612" spans="13:19" ht="13.95" customHeight="1">
      <c r="M2612"/>
      <c r="N2612"/>
      <c r="O2612"/>
      <c r="P2612"/>
      <c r="Q2612"/>
      <c r="R2612"/>
      <c r="S2612"/>
    </row>
    <row r="2613" spans="13:19" ht="13.95" customHeight="1">
      <c r="M2613"/>
      <c r="N2613"/>
      <c r="O2613"/>
      <c r="P2613"/>
      <c r="Q2613"/>
      <c r="R2613"/>
      <c r="S2613"/>
    </row>
    <row r="2614" spans="13:19" ht="13.95" customHeight="1">
      <c r="M2614"/>
      <c r="N2614"/>
      <c r="O2614"/>
      <c r="P2614"/>
      <c r="Q2614"/>
      <c r="R2614"/>
      <c r="S2614"/>
    </row>
    <row r="2615" spans="13:19" ht="13.95" customHeight="1">
      <c r="M2615"/>
      <c r="N2615"/>
      <c r="O2615"/>
      <c r="P2615"/>
      <c r="Q2615"/>
      <c r="R2615"/>
      <c r="S2615"/>
    </row>
    <row r="2616" spans="13:19" ht="13.95" customHeight="1">
      <c r="M2616"/>
      <c r="N2616"/>
      <c r="O2616"/>
      <c r="P2616"/>
      <c r="Q2616"/>
      <c r="R2616"/>
      <c r="S2616"/>
    </row>
    <row r="2617" spans="13:19" ht="13.95" customHeight="1">
      <c r="M2617"/>
      <c r="N2617"/>
      <c r="O2617"/>
      <c r="P2617"/>
      <c r="Q2617"/>
      <c r="R2617"/>
      <c r="S2617"/>
    </row>
    <row r="2618" spans="13:19" ht="13.95" customHeight="1">
      <c r="M2618"/>
      <c r="N2618"/>
      <c r="O2618"/>
      <c r="P2618"/>
      <c r="Q2618"/>
      <c r="R2618"/>
      <c r="S2618"/>
    </row>
    <row r="2619" spans="13:19" ht="13.95" customHeight="1">
      <c r="M2619"/>
      <c r="N2619"/>
      <c r="O2619"/>
      <c r="P2619"/>
      <c r="Q2619"/>
      <c r="R2619"/>
      <c r="S2619"/>
    </row>
    <row r="2620" spans="13:19" ht="13.95" customHeight="1">
      <c r="M2620"/>
      <c r="N2620"/>
      <c r="O2620"/>
      <c r="P2620"/>
      <c r="Q2620"/>
      <c r="R2620"/>
      <c r="S2620"/>
    </row>
    <row r="2621" spans="13:19" ht="13.95" customHeight="1">
      <c r="M2621"/>
      <c r="N2621"/>
      <c r="O2621"/>
      <c r="P2621"/>
      <c r="Q2621"/>
      <c r="R2621"/>
      <c r="S2621"/>
    </row>
    <row r="2622" spans="13:19" ht="13.95" customHeight="1">
      <c r="M2622"/>
      <c r="N2622"/>
      <c r="O2622"/>
      <c r="P2622"/>
      <c r="Q2622"/>
      <c r="R2622"/>
      <c r="S2622"/>
    </row>
    <row r="2623" spans="13:19" ht="13.95" customHeight="1">
      <c r="M2623"/>
      <c r="N2623"/>
      <c r="O2623"/>
      <c r="P2623"/>
      <c r="Q2623"/>
      <c r="R2623"/>
      <c r="S2623"/>
    </row>
    <row r="2624" spans="13:19" ht="13.95" customHeight="1">
      <c r="M2624"/>
      <c r="N2624"/>
      <c r="O2624"/>
      <c r="P2624"/>
      <c r="Q2624"/>
      <c r="R2624"/>
      <c r="S2624"/>
    </row>
    <row r="2625" spans="13:19" ht="13.95" customHeight="1">
      <c r="M2625"/>
      <c r="N2625"/>
      <c r="O2625"/>
      <c r="P2625"/>
      <c r="Q2625"/>
      <c r="R2625"/>
      <c r="S2625"/>
    </row>
    <row r="2626" spans="13:19" ht="13.95" customHeight="1">
      <c r="M2626"/>
      <c r="N2626"/>
      <c r="O2626"/>
      <c r="P2626"/>
      <c r="Q2626"/>
      <c r="R2626"/>
      <c r="S2626"/>
    </row>
    <row r="2627" spans="13:19" ht="13.95" customHeight="1">
      <c r="M2627"/>
      <c r="N2627"/>
      <c r="O2627"/>
      <c r="P2627"/>
      <c r="Q2627"/>
      <c r="R2627"/>
      <c r="S2627"/>
    </row>
    <row r="2628" spans="13:19" ht="13.95" customHeight="1">
      <c r="M2628"/>
      <c r="N2628"/>
      <c r="O2628"/>
      <c r="P2628"/>
      <c r="Q2628"/>
      <c r="R2628"/>
      <c r="S2628"/>
    </row>
    <row r="2629" spans="13:19" ht="13.95" customHeight="1">
      <c r="M2629"/>
      <c r="N2629"/>
      <c r="O2629"/>
      <c r="P2629"/>
      <c r="Q2629"/>
      <c r="R2629"/>
      <c r="S2629"/>
    </row>
    <row r="2630" spans="13:19" ht="13.95" customHeight="1">
      <c r="M2630"/>
      <c r="N2630"/>
      <c r="O2630"/>
      <c r="P2630"/>
      <c r="Q2630"/>
      <c r="R2630"/>
      <c r="S2630"/>
    </row>
    <row r="2631" spans="13:19" ht="13.95" customHeight="1">
      <c r="M2631"/>
      <c r="N2631"/>
      <c r="O2631"/>
      <c r="P2631"/>
      <c r="Q2631"/>
      <c r="R2631"/>
      <c r="S2631"/>
    </row>
    <row r="2632" spans="13:19" ht="13.95" customHeight="1">
      <c r="M2632"/>
      <c r="N2632"/>
      <c r="O2632"/>
      <c r="P2632"/>
      <c r="Q2632"/>
      <c r="R2632"/>
      <c r="S2632"/>
    </row>
    <row r="2633" spans="13:19" ht="13.95" customHeight="1">
      <c r="M2633"/>
      <c r="N2633"/>
      <c r="O2633"/>
      <c r="P2633"/>
      <c r="Q2633"/>
      <c r="R2633"/>
      <c r="S2633"/>
    </row>
    <row r="2634" spans="13:19" ht="13.95" customHeight="1">
      <c r="M2634"/>
      <c r="N2634"/>
      <c r="O2634"/>
      <c r="P2634"/>
      <c r="Q2634"/>
      <c r="R2634"/>
      <c r="S2634"/>
    </row>
    <row r="2635" spans="13:19" ht="13.95" customHeight="1">
      <c r="M2635"/>
      <c r="N2635"/>
      <c r="O2635"/>
      <c r="P2635"/>
      <c r="Q2635"/>
      <c r="R2635"/>
      <c r="S2635"/>
    </row>
    <row r="2636" spans="13:19" ht="13.95" customHeight="1">
      <c r="M2636"/>
      <c r="N2636"/>
      <c r="O2636"/>
      <c r="P2636"/>
      <c r="Q2636"/>
      <c r="R2636"/>
      <c r="S2636"/>
    </row>
    <row r="2637" spans="13:19" ht="13.95" customHeight="1">
      <c r="M2637"/>
      <c r="N2637"/>
      <c r="O2637"/>
      <c r="P2637"/>
      <c r="Q2637"/>
      <c r="R2637"/>
      <c r="S2637"/>
    </row>
    <row r="2638" spans="13:19" ht="13.95" customHeight="1">
      <c r="M2638"/>
      <c r="N2638"/>
      <c r="O2638"/>
      <c r="P2638"/>
      <c r="Q2638"/>
      <c r="R2638"/>
      <c r="S2638"/>
    </row>
    <row r="2639" spans="13:19" ht="13.95" customHeight="1">
      <c r="M2639"/>
      <c r="N2639"/>
      <c r="O2639"/>
      <c r="P2639"/>
      <c r="Q2639"/>
      <c r="R2639"/>
      <c r="S2639"/>
    </row>
    <row r="2640" spans="13:19" ht="13.95" customHeight="1">
      <c r="M2640"/>
      <c r="N2640"/>
      <c r="O2640"/>
      <c r="P2640"/>
      <c r="Q2640"/>
      <c r="R2640"/>
      <c r="S2640"/>
    </row>
    <row r="2641" spans="13:19" ht="13.95" customHeight="1">
      <c r="M2641"/>
      <c r="N2641"/>
      <c r="O2641"/>
      <c r="P2641"/>
      <c r="Q2641"/>
      <c r="R2641"/>
      <c r="S2641"/>
    </row>
    <row r="2642" spans="13:19" ht="13.95" customHeight="1">
      <c r="M2642"/>
      <c r="N2642"/>
      <c r="O2642"/>
      <c r="P2642"/>
      <c r="Q2642"/>
      <c r="R2642"/>
      <c r="S2642"/>
    </row>
    <row r="2643" spans="13:19" ht="13.95" customHeight="1">
      <c r="M2643"/>
      <c r="N2643"/>
      <c r="O2643"/>
      <c r="P2643"/>
      <c r="Q2643"/>
      <c r="R2643"/>
      <c r="S2643"/>
    </row>
    <row r="2644" spans="13:19" ht="13.95" customHeight="1">
      <c r="M2644"/>
      <c r="N2644"/>
      <c r="O2644"/>
      <c r="P2644"/>
      <c r="Q2644"/>
      <c r="R2644"/>
      <c r="S2644"/>
    </row>
    <row r="2645" spans="13:19" ht="13.95" customHeight="1">
      <c r="M2645"/>
      <c r="N2645"/>
      <c r="O2645"/>
      <c r="P2645"/>
      <c r="Q2645"/>
      <c r="R2645"/>
      <c r="S2645"/>
    </row>
    <row r="2646" spans="13:19" ht="13.95" customHeight="1">
      <c r="M2646"/>
      <c r="N2646"/>
      <c r="O2646"/>
      <c r="P2646"/>
      <c r="Q2646"/>
      <c r="R2646"/>
      <c r="S2646"/>
    </row>
    <row r="2647" spans="13:19" ht="13.95" customHeight="1">
      <c r="M2647"/>
      <c r="N2647"/>
      <c r="O2647"/>
      <c r="P2647"/>
      <c r="Q2647"/>
      <c r="R2647"/>
      <c r="S2647"/>
    </row>
    <row r="2648" spans="13:19" ht="13.95" customHeight="1">
      <c r="M2648"/>
      <c r="N2648"/>
      <c r="O2648"/>
      <c r="P2648"/>
      <c r="Q2648"/>
      <c r="R2648"/>
      <c r="S2648"/>
    </row>
    <row r="2649" spans="13:19" ht="13.95" customHeight="1">
      <c r="M2649"/>
      <c r="N2649"/>
      <c r="O2649"/>
      <c r="P2649"/>
      <c r="Q2649"/>
      <c r="R2649"/>
      <c r="S2649"/>
    </row>
    <row r="2650" spans="13:19" ht="13.95" customHeight="1">
      <c r="M2650"/>
      <c r="N2650"/>
      <c r="O2650"/>
      <c r="P2650"/>
      <c r="Q2650"/>
      <c r="R2650"/>
      <c r="S2650"/>
    </row>
    <row r="2651" spans="13:19" ht="13.95" customHeight="1">
      <c r="M2651"/>
      <c r="N2651"/>
      <c r="O2651"/>
      <c r="P2651"/>
      <c r="Q2651"/>
      <c r="R2651"/>
      <c r="S2651"/>
    </row>
    <row r="2652" spans="13:19" ht="13.95" customHeight="1">
      <c r="M2652"/>
      <c r="N2652"/>
      <c r="O2652"/>
      <c r="P2652"/>
      <c r="Q2652"/>
      <c r="R2652"/>
      <c r="S2652"/>
    </row>
    <row r="2653" spans="13:19" ht="13.95" customHeight="1">
      <c r="M2653"/>
      <c r="N2653"/>
      <c r="O2653"/>
      <c r="P2653"/>
      <c r="Q2653"/>
      <c r="R2653"/>
      <c r="S2653"/>
    </row>
    <row r="2654" spans="13:19" ht="13.95" customHeight="1">
      <c r="M2654"/>
      <c r="N2654"/>
      <c r="O2654"/>
      <c r="P2654"/>
      <c r="Q2654"/>
      <c r="R2654"/>
      <c r="S2654"/>
    </row>
    <row r="2655" spans="13:19" ht="13.95" customHeight="1">
      <c r="M2655"/>
      <c r="N2655"/>
      <c r="O2655"/>
      <c r="P2655"/>
      <c r="Q2655"/>
      <c r="R2655"/>
      <c r="S2655"/>
    </row>
    <row r="2656" spans="13:19" ht="13.95" customHeight="1">
      <c r="M2656"/>
      <c r="N2656"/>
      <c r="O2656"/>
      <c r="P2656"/>
      <c r="Q2656"/>
      <c r="R2656"/>
      <c r="S2656"/>
    </row>
    <row r="2657" spans="13:19" ht="13.95" customHeight="1">
      <c r="M2657"/>
      <c r="N2657"/>
      <c r="O2657"/>
      <c r="P2657"/>
      <c r="Q2657"/>
      <c r="R2657"/>
      <c r="S2657"/>
    </row>
    <row r="2658" spans="13:19" ht="13.95" customHeight="1">
      <c r="M2658"/>
      <c r="N2658"/>
      <c r="O2658"/>
      <c r="P2658"/>
      <c r="Q2658"/>
      <c r="R2658"/>
      <c r="S2658"/>
    </row>
    <row r="2659" spans="13:19" ht="13.95" customHeight="1">
      <c r="M2659"/>
      <c r="N2659"/>
      <c r="O2659"/>
      <c r="P2659"/>
      <c r="Q2659"/>
      <c r="R2659"/>
      <c r="S2659"/>
    </row>
    <row r="2660" spans="13:19" ht="13.95" customHeight="1">
      <c r="M2660"/>
      <c r="N2660"/>
      <c r="O2660"/>
      <c r="P2660"/>
      <c r="Q2660"/>
      <c r="R2660"/>
      <c r="S2660"/>
    </row>
    <row r="2661" spans="13:19" ht="13.95" customHeight="1">
      <c r="M2661"/>
      <c r="N2661"/>
      <c r="O2661"/>
      <c r="P2661"/>
      <c r="Q2661"/>
      <c r="R2661"/>
      <c r="S2661"/>
    </row>
    <row r="2662" spans="13:19" ht="13.95" customHeight="1">
      <c r="M2662"/>
      <c r="N2662"/>
      <c r="O2662"/>
      <c r="P2662"/>
      <c r="Q2662"/>
      <c r="R2662"/>
      <c r="S2662"/>
    </row>
    <row r="2663" spans="13:19" ht="13.95" customHeight="1">
      <c r="M2663"/>
      <c r="N2663"/>
      <c r="O2663"/>
      <c r="P2663"/>
      <c r="Q2663"/>
      <c r="R2663"/>
      <c r="S2663"/>
    </row>
    <row r="2664" spans="13:19" ht="13.95" customHeight="1">
      <c r="M2664"/>
      <c r="N2664"/>
      <c r="O2664"/>
      <c r="P2664"/>
      <c r="Q2664"/>
      <c r="R2664"/>
      <c r="S2664"/>
    </row>
    <row r="2665" spans="13:19" ht="13.95" customHeight="1">
      <c r="M2665"/>
      <c r="N2665"/>
      <c r="O2665"/>
      <c r="P2665"/>
      <c r="Q2665"/>
      <c r="R2665"/>
      <c r="S2665"/>
    </row>
    <row r="2666" spans="13:19" ht="13.95" customHeight="1">
      <c r="M2666"/>
      <c r="N2666"/>
      <c r="O2666"/>
      <c r="P2666"/>
      <c r="Q2666"/>
      <c r="R2666"/>
      <c r="S2666"/>
    </row>
    <row r="2667" spans="13:19" ht="13.95" customHeight="1">
      <c r="M2667"/>
      <c r="N2667"/>
      <c r="O2667"/>
      <c r="P2667"/>
      <c r="Q2667"/>
      <c r="R2667"/>
      <c r="S2667"/>
    </row>
    <row r="2668" spans="13:19" ht="13.95" customHeight="1">
      <c r="M2668"/>
      <c r="N2668"/>
      <c r="O2668"/>
      <c r="P2668"/>
      <c r="Q2668"/>
      <c r="R2668"/>
      <c r="S2668"/>
    </row>
    <row r="2669" spans="13:19" ht="13.95" customHeight="1">
      <c r="M2669"/>
      <c r="N2669"/>
      <c r="O2669"/>
      <c r="P2669"/>
      <c r="Q2669"/>
      <c r="R2669"/>
      <c r="S2669"/>
    </row>
    <row r="2670" spans="13:19" ht="13.95" customHeight="1">
      <c r="M2670"/>
      <c r="N2670"/>
      <c r="O2670"/>
      <c r="P2670"/>
      <c r="Q2670"/>
      <c r="R2670"/>
      <c r="S2670"/>
    </row>
    <row r="2671" spans="13:19" ht="13.95" customHeight="1">
      <c r="M2671"/>
      <c r="N2671"/>
      <c r="O2671"/>
      <c r="P2671"/>
      <c r="Q2671"/>
      <c r="R2671"/>
      <c r="S2671"/>
    </row>
    <row r="2672" spans="13:19" ht="13.95" customHeight="1">
      <c r="M2672"/>
      <c r="N2672"/>
      <c r="O2672"/>
      <c r="P2672"/>
      <c r="Q2672"/>
      <c r="R2672"/>
      <c r="S2672"/>
    </row>
    <row r="2673" spans="13:19" ht="13.95" customHeight="1">
      <c r="M2673"/>
      <c r="N2673"/>
      <c r="O2673"/>
      <c r="P2673"/>
      <c r="Q2673"/>
      <c r="R2673"/>
      <c r="S2673"/>
    </row>
    <row r="2674" spans="13:19" ht="13.95" customHeight="1">
      <c r="M2674"/>
      <c r="N2674"/>
      <c r="O2674"/>
      <c r="P2674"/>
      <c r="Q2674"/>
      <c r="R2674"/>
      <c r="S2674"/>
    </row>
    <row r="2675" spans="13:19" ht="13.95" customHeight="1">
      <c r="M2675"/>
      <c r="N2675"/>
      <c r="O2675"/>
      <c r="P2675"/>
      <c r="Q2675"/>
      <c r="R2675"/>
      <c r="S2675"/>
    </row>
    <row r="2676" spans="13:19" ht="13.95" customHeight="1">
      <c r="M2676"/>
      <c r="N2676"/>
      <c r="O2676"/>
      <c r="P2676"/>
      <c r="Q2676"/>
      <c r="R2676"/>
      <c r="S2676"/>
    </row>
    <row r="2677" spans="13:19" ht="13.95" customHeight="1">
      <c r="M2677"/>
      <c r="N2677"/>
      <c r="O2677"/>
      <c r="P2677"/>
      <c r="Q2677"/>
      <c r="R2677"/>
      <c r="S2677"/>
    </row>
    <row r="2678" spans="13:19" ht="13.95" customHeight="1">
      <c r="M2678"/>
      <c r="N2678"/>
      <c r="O2678"/>
      <c r="P2678"/>
      <c r="Q2678"/>
      <c r="R2678"/>
      <c r="S2678"/>
    </row>
    <row r="2679" spans="13:19" ht="13.95" customHeight="1">
      <c r="M2679"/>
      <c r="N2679"/>
      <c r="O2679"/>
      <c r="P2679"/>
      <c r="Q2679"/>
      <c r="R2679"/>
      <c r="S2679"/>
    </row>
    <row r="2680" spans="13:19" ht="13.95" customHeight="1">
      <c r="M2680"/>
      <c r="N2680"/>
      <c r="O2680"/>
      <c r="P2680"/>
      <c r="Q2680"/>
      <c r="R2680"/>
      <c r="S2680"/>
    </row>
    <row r="2681" spans="13:19" ht="13.95" customHeight="1">
      <c r="M2681"/>
      <c r="N2681"/>
      <c r="O2681"/>
      <c r="P2681"/>
      <c r="Q2681"/>
      <c r="R2681"/>
      <c r="S2681"/>
    </row>
    <row r="2682" spans="13:19" ht="13.95" customHeight="1">
      <c r="M2682"/>
      <c r="N2682"/>
      <c r="O2682"/>
      <c r="P2682"/>
      <c r="Q2682"/>
      <c r="R2682"/>
      <c r="S2682"/>
    </row>
    <row r="2683" spans="13:19" ht="13.95" customHeight="1">
      <c r="M2683"/>
      <c r="N2683"/>
      <c r="O2683"/>
      <c r="P2683"/>
      <c r="Q2683"/>
      <c r="R2683"/>
      <c r="S2683"/>
    </row>
    <row r="2684" spans="13:19" ht="13.95" customHeight="1">
      <c r="M2684"/>
      <c r="N2684"/>
      <c r="O2684"/>
      <c r="P2684"/>
      <c r="Q2684"/>
      <c r="R2684"/>
      <c r="S2684"/>
    </row>
    <row r="2685" spans="13:19" ht="13.95" customHeight="1">
      <c r="M2685"/>
      <c r="N2685"/>
      <c r="O2685"/>
      <c r="P2685"/>
      <c r="Q2685"/>
      <c r="R2685"/>
      <c r="S2685"/>
    </row>
    <row r="2686" spans="13:19" ht="13.95" customHeight="1">
      <c r="M2686"/>
      <c r="N2686"/>
      <c r="O2686"/>
      <c r="P2686"/>
      <c r="Q2686"/>
      <c r="R2686"/>
      <c r="S2686"/>
    </row>
    <row r="2687" spans="13:19" ht="13.95" customHeight="1">
      <c r="M2687"/>
      <c r="N2687"/>
      <c r="O2687"/>
      <c r="P2687"/>
      <c r="Q2687"/>
      <c r="R2687"/>
      <c r="S2687"/>
    </row>
    <row r="2688" spans="13:19" ht="13.95" customHeight="1">
      <c r="M2688"/>
      <c r="N2688"/>
      <c r="O2688"/>
      <c r="P2688"/>
      <c r="Q2688"/>
      <c r="R2688"/>
      <c r="S2688"/>
    </row>
    <row r="2689" spans="13:19" ht="13.95" customHeight="1">
      <c r="M2689"/>
      <c r="N2689"/>
      <c r="O2689"/>
      <c r="P2689"/>
      <c r="Q2689"/>
      <c r="R2689"/>
      <c r="S2689"/>
    </row>
    <row r="2690" spans="13:19" ht="13.95" customHeight="1">
      <c r="M2690"/>
      <c r="N2690"/>
      <c r="O2690"/>
      <c r="P2690"/>
      <c r="Q2690"/>
      <c r="R2690"/>
      <c r="S2690"/>
    </row>
    <row r="2691" spans="13:19" ht="13.95" customHeight="1">
      <c r="M2691"/>
      <c r="N2691"/>
      <c r="O2691"/>
      <c r="P2691"/>
      <c r="Q2691"/>
      <c r="R2691"/>
      <c r="S2691"/>
    </row>
    <row r="2692" spans="13:19" ht="13.95" customHeight="1">
      <c r="M2692"/>
      <c r="N2692"/>
      <c r="O2692"/>
      <c r="P2692"/>
      <c r="Q2692"/>
      <c r="R2692"/>
      <c r="S2692"/>
    </row>
    <row r="2693" spans="13:19" ht="13.95" customHeight="1">
      <c r="M2693"/>
      <c r="N2693"/>
      <c r="O2693"/>
      <c r="P2693"/>
      <c r="Q2693"/>
      <c r="R2693"/>
      <c r="S2693"/>
    </row>
    <row r="2694" spans="13:19" ht="13.95" customHeight="1">
      <c r="M2694"/>
      <c r="N2694"/>
      <c r="O2694"/>
      <c r="P2694"/>
      <c r="Q2694"/>
      <c r="R2694"/>
      <c r="S2694"/>
    </row>
    <row r="2695" spans="13:19" ht="13.95" customHeight="1">
      <c r="M2695"/>
      <c r="N2695"/>
      <c r="O2695"/>
      <c r="P2695"/>
      <c r="Q2695"/>
      <c r="R2695"/>
      <c r="S2695"/>
    </row>
    <row r="2696" spans="13:19" ht="13.95" customHeight="1">
      <c r="M2696"/>
      <c r="N2696"/>
      <c r="O2696"/>
      <c r="P2696"/>
      <c r="Q2696"/>
      <c r="R2696"/>
      <c r="S2696"/>
    </row>
    <row r="2697" spans="13:19" ht="13.95" customHeight="1">
      <c r="M2697"/>
      <c r="N2697"/>
      <c r="O2697"/>
      <c r="P2697"/>
      <c r="Q2697"/>
      <c r="R2697"/>
      <c r="S2697"/>
    </row>
    <row r="2698" spans="13:19" ht="13.95" customHeight="1">
      <c r="M2698"/>
      <c r="N2698"/>
      <c r="O2698"/>
      <c r="P2698"/>
      <c r="Q2698"/>
      <c r="R2698"/>
      <c r="S2698"/>
    </row>
    <row r="2699" spans="13:19" ht="13.95" customHeight="1">
      <c r="M2699"/>
      <c r="N2699"/>
      <c r="O2699"/>
      <c r="P2699"/>
      <c r="Q2699"/>
      <c r="R2699"/>
      <c r="S2699"/>
    </row>
    <row r="2700" spans="13:19" ht="13.95" customHeight="1">
      <c r="M2700"/>
      <c r="N2700"/>
      <c r="O2700"/>
      <c r="P2700"/>
      <c r="Q2700"/>
      <c r="R2700"/>
      <c r="S2700"/>
    </row>
    <row r="2701" spans="13:19" ht="13.95" customHeight="1">
      <c r="M2701"/>
      <c r="N2701"/>
      <c r="O2701"/>
      <c r="P2701"/>
      <c r="Q2701"/>
      <c r="R2701"/>
      <c r="S2701"/>
    </row>
    <row r="2702" spans="13:19" ht="13.95" customHeight="1">
      <c r="M2702"/>
      <c r="N2702"/>
      <c r="O2702"/>
      <c r="P2702"/>
      <c r="Q2702"/>
      <c r="R2702"/>
      <c r="S2702"/>
    </row>
    <row r="2703" spans="13:19" ht="13.95" customHeight="1">
      <c r="M2703"/>
      <c r="N2703"/>
      <c r="O2703"/>
      <c r="P2703"/>
      <c r="Q2703"/>
      <c r="R2703"/>
      <c r="S2703"/>
    </row>
    <row r="2704" spans="13:19" ht="13.95" customHeight="1">
      <c r="M2704"/>
      <c r="N2704"/>
      <c r="O2704"/>
      <c r="P2704"/>
      <c r="Q2704"/>
      <c r="R2704"/>
      <c r="S2704"/>
    </row>
    <row r="2705" spans="13:19" ht="13.95" customHeight="1">
      <c r="M2705"/>
      <c r="N2705"/>
      <c r="O2705"/>
      <c r="P2705"/>
      <c r="Q2705"/>
      <c r="R2705"/>
      <c r="S2705"/>
    </row>
    <row r="2706" spans="13:19" ht="13.95" customHeight="1">
      <c r="M2706"/>
      <c r="N2706"/>
      <c r="O2706"/>
      <c r="P2706"/>
      <c r="Q2706"/>
      <c r="R2706"/>
      <c r="S2706"/>
    </row>
    <row r="2707" spans="13:19" ht="13.95" customHeight="1">
      <c r="M2707"/>
      <c r="N2707"/>
      <c r="O2707"/>
      <c r="P2707"/>
      <c r="Q2707"/>
      <c r="R2707"/>
      <c r="S2707"/>
    </row>
    <row r="2708" spans="13:19" ht="13.95" customHeight="1">
      <c r="M2708"/>
      <c r="N2708"/>
      <c r="O2708"/>
      <c r="P2708"/>
      <c r="Q2708"/>
      <c r="R2708"/>
      <c r="S2708"/>
    </row>
    <row r="2709" spans="13:19" ht="13.95" customHeight="1">
      <c r="M2709"/>
      <c r="N2709"/>
      <c r="O2709"/>
      <c r="P2709"/>
      <c r="Q2709"/>
      <c r="R2709"/>
      <c r="S2709"/>
    </row>
    <row r="2710" spans="13:19" ht="13.95" customHeight="1">
      <c r="M2710"/>
      <c r="N2710"/>
      <c r="O2710"/>
      <c r="P2710"/>
      <c r="Q2710"/>
      <c r="R2710"/>
      <c r="S2710"/>
    </row>
    <row r="2711" spans="13:19" ht="13.95" customHeight="1">
      <c r="M2711"/>
      <c r="N2711"/>
      <c r="O2711"/>
      <c r="P2711"/>
      <c r="Q2711"/>
      <c r="R2711"/>
      <c r="S2711"/>
    </row>
    <row r="2712" spans="13:19" ht="13.95" customHeight="1">
      <c r="M2712"/>
      <c r="N2712"/>
      <c r="O2712"/>
      <c r="P2712"/>
      <c r="Q2712"/>
      <c r="R2712"/>
      <c r="S2712"/>
    </row>
    <row r="2713" spans="13:19" ht="13.95" customHeight="1">
      <c r="M2713"/>
      <c r="N2713"/>
      <c r="O2713"/>
      <c r="P2713"/>
      <c r="Q2713"/>
      <c r="R2713"/>
      <c r="S2713"/>
    </row>
    <row r="2714" spans="13:19" ht="13.95" customHeight="1">
      <c r="M2714"/>
      <c r="N2714"/>
      <c r="O2714"/>
      <c r="P2714"/>
      <c r="Q2714"/>
      <c r="R2714"/>
      <c r="S2714"/>
    </row>
    <row r="2715" spans="13:19" ht="13.95" customHeight="1">
      <c r="M2715"/>
      <c r="N2715"/>
      <c r="O2715"/>
      <c r="P2715"/>
      <c r="Q2715"/>
      <c r="R2715"/>
      <c r="S2715"/>
    </row>
    <row r="2716" spans="13:19" ht="13.95" customHeight="1">
      <c r="M2716"/>
      <c r="N2716"/>
      <c r="O2716"/>
      <c r="P2716"/>
      <c r="Q2716"/>
      <c r="R2716"/>
      <c r="S2716"/>
    </row>
    <row r="2717" spans="13:19" ht="13.95" customHeight="1">
      <c r="M2717"/>
      <c r="N2717"/>
      <c r="O2717"/>
      <c r="P2717"/>
      <c r="Q2717"/>
      <c r="R2717"/>
      <c r="S2717"/>
    </row>
    <row r="2718" spans="13:19" ht="13.95" customHeight="1">
      <c r="M2718"/>
      <c r="N2718"/>
      <c r="O2718"/>
      <c r="P2718"/>
      <c r="Q2718"/>
      <c r="R2718"/>
      <c r="S2718"/>
    </row>
    <row r="2719" spans="13:19" ht="13.95" customHeight="1">
      <c r="M2719"/>
      <c r="N2719"/>
      <c r="O2719"/>
      <c r="P2719"/>
      <c r="Q2719"/>
      <c r="R2719"/>
      <c r="S2719"/>
    </row>
    <row r="2720" spans="13:19" ht="13.95" customHeight="1">
      <c r="M2720"/>
      <c r="N2720"/>
      <c r="O2720"/>
      <c r="P2720"/>
      <c r="Q2720"/>
      <c r="R2720"/>
      <c r="S2720"/>
    </row>
    <row r="2721" spans="13:19" ht="13.95" customHeight="1">
      <c r="M2721"/>
      <c r="N2721"/>
      <c r="O2721"/>
      <c r="P2721"/>
      <c r="Q2721"/>
      <c r="R2721"/>
      <c r="S2721"/>
    </row>
    <row r="2722" spans="13:19" ht="13.95" customHeight="1">
      <c r="M2722"/>
      <c r="N2722"/>
      <c r="O2722"/>
      <c r="P2722"/>
      <c r="Q2722"/>
      <c r="R2722"/>
      <c r="S2722"/>
    </row>
    <row r="2723" spans="13:19" ht="13.95" customHeight="1">
      <c r="M2723"/>
      <c r="N2723"/>
      <c r="O2723"/>
      <c r="P2723"/>
      <c r="Q2723"/>
      <c r="R2723"/>
      <c r="S2723"/>
    </row>
    <row r="2724" spans="13:19" ht="13.95" customHeight="1">
      <c r="M2724"/>
      <c r="N2724"/>
      <c r="O2724"/>
      <c r="P2724"/>
      <c r="Q2724"/>
      <c r="R2724"/>
      <c r="S2724"/>
    </row>
    <row r="2725" spans="13:19" ht="13.95" customHeight="1">
      <c r="M2725"/>
      <c r="N2725"/>
      <c r="O2725"/>
      <c r="P2725"/>
      <c r="Q2725"/>
      <c r="R2725"/>
      <c r="S2725"/>
    </row>
    <row r="2726" spans="13:19" ht="13.95" customHeight="1">
      <c r="M2726"/>
      <c r="N2726"/>
      <c r="O2726"/>
      <c r="P2726"/>
      <c r="Q2726"/>
      <c r="R2726"/>
      <c r="S2726"/>
    </row>
    <row r="2727" spans="13:19" ht="13.95" customHeight="1">
      <c r="M2727"/>
      <c r="N2727"/>
      <c r="O2727"/>
      <c r="P2727"/>
      <c r="Q2727"/>
      <c r="R2727"/>
      <c r="S2727"/>
    </row>
    <row r="2728" spans="13:19" ht="13.95" customHeight="1">
      <c r="M2728"/>
      <c r="N2728"/>
      <c r="O2728"/>
      <c r="P2728"/>
      <c r="Q2728"/>
      <c r="R2728"/>
      <c r="S2728"/>
    </row>
    <row r="2729" spans="13:19" ht="13.95" customHeight="1">
      <c r="M2729"/>
      <c r="N2729"/>
      <c r="O2729"/>
      <c r="P2729"/>
      <c r="Q2729"/>
      <c r="R2729"/>
      <c r="S2729"/>
    </row>
    <row r="2730" spans="13:19" ht="13.95" customHeight="1">
      <c r="M2730"/>
      <c r="N2730"/>
      <c r="O2730"/>
      <c r="P2730"/>
      <c r="Q2730"/>
      <c r="R2730"/>
      <c r="S2730"/>
    </row>
    <row r="2731" spans="13:19" ht="13.95" customHeight="1">
      <c r="M2731"/>
      <c r="N2731"/>
      <c r="O2731"/>
      <c r="P2731"/>
      <c r="Q2731"/>
      <c r="R2731"/>
      <c r="S2731"/>
    </row>
    <row r="2732" spans="13:19" ht="13.95" customHeight="1">
      <c r="M2732"/>
      <c r="N2732"/>
      <c r="O2732"/>
      <c r="P2732"/>
      <c r="Q2732"/>
      <c r="R2732"/>
      <c r="S2732"/>
    </row>
    <row r="2733" spans="13:19" ht="13.95" customHeight="1">
      <c r="M2733"/>
      <c r="N2733"/>
      <c r="O2733"/>
      <c r="P2733"/>
      <c r="Q2733"/>
      <c r="R2733"/>
      <c r="S2733"/>
    </row>
    <row r="2734" spans="13:19" ht="13.95" customHeight="1">
      <c r="M2734"/>
      <c r="N2734"/>
      <c r="O2734"/>
      <c r="P2734"/>
      <c r="Q2734"/>
      <c r="R2734"/>
      <c r="S2734"/>
    </row>
    <row r="2735" spans="13:19" ht="13.95" customHeight="1">
      <c r="M2735"/>
      <c r="N2735"/>
      <c r="O2735"/>
      <c r="P2735"/>
      <c r="Q2735"/>
      <c r="R2735"/>
      <c r="S2735"/>
    </row>
    <row r="2736" spans="13:19" ht="13.95" customHeight="1">
      <c r="M2736"/>
      <c r="N2736"/>
      <c r="O2736"/>
      <c r="P2736"/>
      <c r="Q2736"/>
      <c r="R2736"/>
      <c r="S2736"/>
    </row>
    <row r="2737" spans="13:19" ht="13.95" customHeight="1">
      <c r="M2737"/>
      <c r="N2737"/>
      <c r="O2737"/>
      <c r="P2737"/>
      <c r="Q2737"/>
      <c r="R2737"/>
      <c r="S2737"/>
    </row>
    <row r="2738" spans="13:19" ht="13.95" customHeight="1">
      <c r="M2738"/>
      <c r="N2738"/>
      <c r="O2738"/>
      <c r="P2738"/>
      <c r="Q2738"/>
      <c r="R2738"/>
      <c r="S2738"/>
    </row>
    <row r="2739" spans="13:19" ht="13.95" customHeight="1">
      <c r="M2739"/>
      <c r="N2739"/>
      <c r="O2739"/>
      <c r="P2739"/>
      <c r="Q2739"/>
      <c r="R2739"/>
      <c r="S2739"/>
    </row>
    <row r="2740" spans="13:19" ht="13.95" customHeight="1">
      <c r="M2740"/>
      <c r="N2740"/>
      <c r="O2740"/>
      <c r="P2740"/>
      <c r="Q2740"/>
      <c r="R2740"/>
      <c r="S2740"/>
    </row>
    <row r="2741" spans="13:19" ht="13.95" customHeight="1">
      <c r="M2741"/>
      <c r="N2741"/>
      <c r="O2741"/>
      <c r="P2741"/>
      <c r="Q2741"/>
      <c r="R2741"/>
      <c r="S2741"/>
    </row>
    <row r="2742" spans="13:19" ht="13.95" customHeight="1">
      <c r="M2742"/>
      <c r="N2742"/>
      <c r="O2742"/>
      <c r="P2742"/>
      <c r="Q2742"/>
      <c r="R2742"/>
      <c r="S2742"/>
    </row>
    <row r="2743" spans="13:19" ht="13.95" customHeight="1">
      <c r="M2743"/>
      <c r="N2743"/>
      <c r="O2743"/>
      <c r="P2743"/>
      <c r="Q2743"/>
      <c r="R2743"/>
      <c r="S2743"/>
    </row>
    <row r="2744" spans="13:19" ht="13.95" customHeight="1">
      <c r="M2744"/>
      <c r="N2744"/>
      <c r="O2744"/>
      <c r="P2744"/>
      <c r="Q2744"/>
      <c r="R2744"/>
      <c r="S2744"/>
    </row>
    <row r="2745" spans="13:19" ht="13.95" customHeight="1">
      <c r="M2745"/>
      <c r="N2745"/>
      <c r="O2745"/>
      <c r="P2745"/>
      <c r="Q2745"/>
      <c r="R2745"/>
      <c r="S2745"/>
    </row>
    <row r="2746" spans="13:19" ht="13.95" customHeight="1">
      <c r="M2746"/>
      <c r="N2746"/>
      <c r="O2746"/>
      <c r="P2746"/>
      <c r="Q2746"/>
      <c r="R2746"/>
      <c r="S2746"/>
    </row>
    <row r="2747" spans="13:19" ht="13.95" customHeight="1">
      <c r="M2747"/>
      <c r="N2747"/>
      <c r="O2747"/>
      <c r="P2747"/>
      <c r="Q2747"/>
      <c r="R2747"/>
      <c r="S2747"/>
    </row>
    <row r="2748" spans="13:19" ht="13.95" customHeight="1">
      <c r="M2748"/>
      <c r="N2748"/>
      <c r="O2748"/>
      <c r="P2748"/>
      <c r="Q2748"/>
      <c r="R2748"/>
      <c r="S2748"/>
    </row>
    <row r="2749" spans="13:19" ht="13.95" customHeight="1">
      <c r="M2749"/>
      <c r="N2749"/>
      <c r="O2749"/>
      <c r="P2749"/>
      <c r="Q2749"/>
      <c r="R2749"/>
      <c r="S2749"/>
    </row>
    <row r="2750" spans="13:19" ht="13.95" customHeight="1">
      <c r="M2750"/>
      <c r="N2750"/>
      <c r="O2750"/>
      <c r="P2750"/>
      <c r="Q2750"/>
      <c r="R2750"/>
      <c r="S2750"/>
    </row>
    <row r="2751" spans="13:19" ht="13.95" customHeight="1">
      <c r="M2751"/>
      <c r="N2751"/>
      <c r="O2751"/>
      <c r="P2751"/>
      <c r="Q2751"/>
      <c r="R2751"/>
      <c r="S2751"/>
    </row>
    <row r="2752" spans="13:19" ht="13.95" customHeight="1">
      <c r="M2752"/>
      <c r="N2752"/>
      <c r="O2752"/>
      <c r="P2752"/>
      <c r="Q2752"/>
      <c r="R2752"/>
      <c r="S2752"/>
    </row>
    <row r="2753" spans="13:19" ht="13.95" customHeight="1">
      <c r="M2753"/>
      <c r="N2753"/>
      <c r="O2753"/>
      <c r="P2753"/>
      <c r="Q2753"/>
      <c r="R2753"/>
      <c r="S2753"/>
    </row>
    <row r="2754" spans="13:19" ht="13.95" customHeight="1">
      <c r="M2754"/>
      <c r="N2754"/>
      <c r="O2754"/>
      <c r="P2754"/>
      <c r="Q2754"/>
      <c r="R2754"/>
      <c r="S2754"/>
    </row>
    <row r="2755" spans="13:19" ht="13.95" customHeight="1">
      <c r="M2755"/>
      <c r="N2755"/>
      <c r="O2755"/>
      <c r="P2755"/>
      <c r="Q2755"/>
      <c r="R2755"/>
      <c r="S2755"/>
    </row>
    <row r="2756" spans="13:19" ht="13.95" customHeight="1">
      <c r="M2756"/>
      <c r="N2756"/>
      <c r="O2756"/>
      <c r="P2756"/>
      <c r="Q2756"/>
      <c r="R2756"/>
      <c r="S2756"/>
    </row>
    <row r="2757" spans="13:19" ht="13.95" customHeight="1">
      <c r="M2757"/>
      <c r="N2757"/>
      <c r="O2757"/>
      <c r="P2757"/>
      <c r="Q2757"/>
      <c r="R2757"/>
      <c r="S2757"/>
    </row>
    <row r="2758" spans="13:19" ht="13.95" customHeight="1">
      <c r="M2758"/>
      <c r="N2758"/>
      <c r="O2758"/>
      <c r="P2758"/>
      <c r="Q2758"/>
      <c r="R2758"/>
      <c r="S2758"/>
    </row>
    <row r="2759" spans="13:19" ht="13.95" customHeight="1">
      <c r="M2759"/>
      <c r="N2759"/>
      <c r="O2759"/>
      <c r="P2759"/>
      <c r="Q2759"/>
      <c r="R2759"/>
      <c r="S2759"/>
    </row>
    <row r="2760" spans="13:19" ht="13.95" customHeight="1">
      <c r="M2760"/>
      <c r="N2760"/>
      <c r="O2760"/>
      <c r="P2760"/>
      <c r="Q2760"/>
      <c r="R2760"/>
      <c r="S2760"/>
    </row>
    <row r="2761" spans="13:19" ht="13.95" customHeight="1">
      <c r="M2761"/>
      <c r="N2761"/>
      <c r="O2761"/>
      <c r="P2761"/>
      <c r="Q2761"/>
      <c r="R2761"/>
      <c r="S2761"/>
    </row>
    <row r="2762" spans="13:19" ht="13.95" customHeight="1">
      <c r="M2762"/>
      <c r="N2762"/>
      <c r="O2762"/>
      <c r="P2762"/>
      <c r="Q2762"/>
      <c r="R2762"/>
      <c r="S2762"/>
    </row>
    <row r="2763" spans="13:19" ht="13.95" customHeight="1">
      <c r="M2763"/>
      <c r="N2763"/>
      <c r="O2763"/>
      <c r="P2763"/>
      <c r="Q2763"/>
      <c r="R2763"/>
      <c r="S2763"/>
    </row>
    <row r="2764" spans="13:19" ht="13.95" customHeight="1">
      <c r="M2764"/>
      <c r="N2764"/>
      <c r="O2764"/>
      <c r="P2764"/>
      <c r="Q2764"/>
      <c r="R2764"/>
      <c r="S2764"/>
    </row>
    <row r="2765" spans="13:19" ht="13.95" customHeight="1">
      <c r="M2765"/>
      <c r="N2765"/>
      <c r="O2765"/>
      <c r="P2765"/>
      <c r="Q2765"/>
      <c r="R2765"/>
      <c r="S2765"/>
    </row>
    <row r="2766" spans="13:19" ht="13.95" customHeight="1">
      <c r="M2766"/>
      <c r="N2766"/>
      <c r="O2766"/>
      <c r="P2766"/>
      <c r="Q2766"/>
      <c r="R2766"/>
      <c r="S2766"/>
    </row>
    <row r="2767" spans="13:19" ht="13.95" customHeight="1">
      <c r="M2767"/>
      <c r="N2767"/>
      <c r="O2767"/>
      <c r="P2767"/>
      <c r="Q2767"/>
      <c r="R2767"/>
      <c r="S2767"/>
    </row>
    <row r="2768" spans="13:19" ht="13.95" customHeight="1">
      <c r="M2768"/>
      <c r="N2768"/>
      <c r="O2768"/>
      <c r="P2768"/>
      <c r="Q2768"/>
      <c r="R2768"/>
      <c r="S2768"/>
    </row>
    <row r="2769" spans="13:19" ht="13.95" customHeight="1">
      <c r="M2769"/>
      <c r="N2769"/>
      <c r="O2769"/>
      <c r="P2769"/>
      <c r="Q2769"/>
      <c r="R2769"/>
      <c r="S2769"/>
    </row>
    <row r="2770" spans="13:19" ht="13.95" customHeight="1">
      <c r="M2770"/>
      <c r="N2770"/>
      <c r="O2770"/>
      <c r="P2770"/>
      <c r="Q2770"/>
      <c r="R2770"/>
      <c r="S2770"/>
    </row>
    <row r="2771" spans="13:19" ht="13.95" customHeight="1">
      <c r="M2771"/>
      <c r="N2771"/>
      <c r="O2771"/>
      <c r="P2771"/>
      <c r="Q2771"/>
      <c r="R2771"/>
      <c r="S2771"/>
    </row>
    <row r="2772" spans="13:19" ht="13.95" customHeight="1">
      <c r="M2772"/>
      <c r="N2772"/>
      <c r="O2772"/>
      <c r="P2772"/>
      <c r="Q2772"/>
      <c r="R2772"/>
      <c r="S2772"/>
    </row>
    <row r="2773" spans="13:19" ht="13.95" customHeight="1">
      <c r="M2773"/>
      <c r="N2773"/>
      <c r="O2773"/>
      <c r="P2773"/>
      <c r="Q2773"/>
      <c r="R2773"/>
      <c r="S2773"/>
    </row>
    <row r="2774" spans="13:19" ht="13.95" customHeight="1">
      <c r="M2774"/>
      <c r="N2774"/>
      <c r="O2774"/>
      <c r="P2774"/>
      <c r="Q2774"/>
      <c r="R2774"/>
      <c r="S2774"/>
    </row>
    <row r="2775" spans="13:19" ht="13.95" customHeight="1">
      <c r="M2775"/>
      <c r="N2775"/>
      <c r="O2775"/>
      <c r="P2775"/>
      <c r="Q2775"/>
      <c r="R2775"/>
      <c r="S2775"/>
    </row>
    <row r="2776" spans="13:19" ht="13.95" customHeight="1">
      <c r="M2776"/>
      <c r="N2776"/>
      <c r="O2776"/>
      <c r="P2776"/>
      <c r="Q2776"/>
      <c r="R2776"/>
      <c r="S2776"/>
    </row>
    <row r="2777" spans="13:19" ht="13.95" customHeight="1">
      <c r="M2777"/>
      <c r="N2777"/>
      <c r="O2777"/>
      <c r="P2777"/>
      <c r="Q2777"/>
      <c r="R2777"/>
      <c r="S2777"/>
    </row>
    <row r="2778" spans="13:19" ht="13.95" customHeight="1">
      <c r="M2778"/>
      <c r="N2778"/>
      <c r="O2778"/>
      <c r="P2778"/>
      <c r="Q2778"/>
      <c r="R2778"/>
      <c r="S2778"/>
    </row>
    <row r="2779" spans="13:19" ht="13.95" customHeight="1">
      <c r="M2779"/>
      <c r="N2779"/>
      <c r="O2779"/>
      <c r="P2779"/>
      <c r="Q2779"/>
      <c r="R2779"/>
      <c r="S2779"/>
    </row>
    <row r="2780" spans="13:19" ht="13.95" customHeight="1">
      <c r="M2780"/>
      <c r="N2780"/>
      <c r="O2780"/>
      <c r="P2780"/>
      <c r="Q2780"/>
      <c r="R2780"/>
      <c r="S2780"/>
    </row>
    <row r="2781" spans="13:19" ht="13.95" customHeight="1">
      <c r="M2781"/>
      <c r="N2781"/>
      <c r="O2781"/>
      <c r="P2781"/>
      <c r="Q2781"/>
      <c r="R2781"/>
      <c r="S2781"/>
    </row>
    <row r="2782" spans="13:19" ht="13.95" customHeight="1">
      <c r="M2782"/>
      <c r="N2782"/>
      <c r="O2782"/>
      <c r="P2782"/>
      <c r="Q2782"/>
      <c r="R2782"/>
      <c r="S2782"/>
    </row>
    <row r="2783" spans="13:19" ht="13.95" customHeight="1">
      <c r="M2783"/>
      <c r="N2783"/>
      <c r="O2783"/>
      <c r="P2783"/>
      <c r="Q2783"/>
      <c r="R2783"/>
      <c r="S2783"/>
    </row>
    <row r="2784" spans="13:19" ht="13.95" customHeight="1">
      <c r="M2784"/>
      <c r="N2784"/>
      <c r="O2784"/>
      <c r="P2784"/>
      <c r="Q2784"/>
      <c r="R2784"/>
      <c r="S2784"/>
    </row>
    <row r="2785" spans="13:19" ht="13.95" customHeight="1">
      <c r="M2785"/>
      <c r="N2785"/>
      <c r="O2785"/>
      <c r="P2785"/>
      <c r="Q2785"/>
      <c r="R2785"/>
      <c r="S2785"/>
    </row>
    <row r="2786" spans="13:19" ht="13.95" customHeight="1">
      <c r="M2786"/>
      <c r="N2786"/>
      <c r="O2786"/>
      <c r="P2786"/>
      <c r="Q2786"/>
      <c r="R2786"/>
      <c r="S2786"/>
    </row>
    <row r="2787" spans="13:19" ht="13.95" customHeight="1">
      <c r="M2787"/>
      <c r="N2787"/>
      <c r="O2787"/>
      <c r="P2787"/>
      <c r="Q2787"/>
      <c r="R2787"/>
      <c r="S2787"/>
    </row>
    <row r="2788" spans="13:19" ht="13.95" customHeight="1">
      <c r="M2788"/>
      <c r="N2788"/>
      <c r="O2788"/>
      <c r="P2788"/>
      <c r="Q2788"/>
      <c r="R2788"/>
      <c r="S2788"/>
    </row>
    <row r="2789" spans="13:19" ht="13.95" customHeight="1">
      <c r="M2789"/>
      <c r="N2789"/>
      <c r="O2789"/>
      <c r="P2789"/>
      <c r="Q2789"/>
      <c r="R2789"/>
      <c r="S2789"/>
    </row>
    <row r="2790" spans="13:19" ht="13.95" customHeight="1">
      <c r="M2790"/>
      <c r="N2790"/>
      <c r="O2790"/>
      <c r="P2790"/>
      <c r="Q2790"/>
      <c r="R2790"/>
      <c r="S2790"/>
    </row>
    <row r="2791" spans="13:19" ht="13.95" customHeight="1">
      <c r="M2791"/>
      <c r="N2791"/>
      <c r="O2791"/>
      <c r="P2791"/>
      <c r="Q2791"/>
      <c r="R2791"/>
      <c r="S2791"/>
    </row>
    <row r="2792" spans="13:19" ht="13.95" customHeight="1">
      <c r="M2792"/>
      <c r="N2792"/>
      <c r="O2792"/>
      <c r="P2792"/>
      <c r="Q2792"/>
      <c r="R2792"/>
      <c r="S2792"/>
    </row>
    <row r="2793" spans="13:19" ht="13.95" customHeight="1">
      <c r="M2793"/>
      <c r="N2793"/>
      <c r="O2793"/>
      <c r="P2793"/>
      <c r="Q2793"/>
      <c r="R2793"/>
      <c r="S2793"/>
    </row>
    <row r="2794" spans="13:19" ht="13.95" customHeight="1">
      <c r="M2794"/>
      <c r="N2794"/>
      <c r="O2794"/>
      <c r="P2794"/>
      <c r="Q2794"/>
      <c r="R2794"/>
      <c r="S2794"/>
    </row>
    <row r="2795" spans="13:19" ht="13.95" customHeight="1">
      <c r="M2795"/>
      <c r="N2795"/>
      <c r="O2795"/>
      <c r="P2795"/>
      <c r="Q2795"/>
      <c r="R2795"/>
      <c r="S2795"/>
    </row>
    <row r="2796" spans="13:19" ht="13.95" customHeight="1">
      <c r="M2796"/>
      <c r="N2796"/>
      <c r="O2796"/>
      <c r="P2796"/>
      <c r="Q2796"/>
      <c r="R2796"/>
      <c r="S2796"/>
    </row>
    <row r="2797" spans="13:19" ht="13.95" customHeight="1">
      <c r="M2797"/>
      <c r="N2797"/>
      <c r="O2797"/>
      <c r="P2797"/>
      <c r="Q2797"/>
      <c r="R2797"/>
      <c r="S2797"/>
    </row>
    <row r="2798" spans="13:19" ht="13.95" customHeight="1">
      <c r="M2798"/>
      <c r="N2798"/>
      <c r="O2798"/>
      <c r="P2798"/>
      <c r="Q2798"/>
      <c r="R2798"/>
      <c r="S2798"/>
    </row>
    <row r="2799" spans="13:19" ht="13.95" customHeight="1">
      <c r="M2799"/>
      <c r="N2799"/>
      <c r="O2799"/>
      <c r="P2799"/>
      <c r="Q2799"/>
      <c r="R2799"/>
      <c r="S2799"/>
    </row>
    <row r="2800" spans="13:19" ht="13.95" customHeight="1">
      <c r="M2800"/>
      <c r="N2800"/>
      <c r="O2800"/>
      <c r="P2800"/>
      <c r="Q2800"/>
      <c r="R2800"/>
      <c r="S2800"/>
    </row>
    <row r="2801" spans="13:19" ht="13.95" customHeight="1">
      <c r="M2801"/>
      <c r="N2801"/>
      <c r="O2801"/>
      <c r="P2801"/>
      <c r="Q2801"/>
      <c r="R2801"/>
      <c r="S2801"/>
    </row>
    <row r="2802" spans="13:19" ht="13.95" customHeight="1">
      <c r="M2802"/>
      <c r="N2802"/>
      <c r="O2802"/>
      <c r="P2802"/>
      <c r="Q2802"/>
      <c r="R2802"/>
      <c r="S2802"/>
    </row>
    <row r="2803" spans="13:19" ht="13.95" customHeight="1">
      <c r="M2803"/>
      <c r="N2803"/>
      <c r="O2803"/>
      <c r="P2803"/>
      <c r="Q2803"/>
      <c r="R2803"/>
      <c r="S2803"/>
    </row>
    <row r="2804" spans="13:19" ht="13.95" customHeight="1">
      <c r="M2804"/>
      <c r="N2804"/>
      <c r="O2804"/>
      <c r="P2804"/>
      <c r="Q2804"/>
      <c r="R2804"/>
      <c r="S2804"/>
    </row>
    <row r="2805" spans="13:19" ht="13.95" customHeight="1">
      <c r="M2805"/>
      <c r="N2805"/>
      <c r="O2805"/>
      <c r="P2805"/>
      <c r="Q2805"/>
      <c r="R2805"/>
      <c r="S2805"/>
    </row>
    <row r="2806" spans="13:19" ht="13.95" customHeight="1">
      <c r="M2806"/>
      <c r="N2806"/>
      <c r="O2806"/>
      <c r="P2806"/>
      <c r="Q2806"/>
      <c r="R2806"/>
      <c r="S2806"/>
    </row>
    <row r="2807" spans="13:19" ht="13.95" customHeight="1">
      <c r="M2807"/>
      <c r="N2807"/>
      <c r="O2807"/>
      <c r="P2807"/>
      <c r="Q2807"/>
      <c r="R2807"/>
      <c r="S2807"/>
    </row>
    <row r="2808" spans="13:19" ht="13.95" customHeight="1">
      <c r="M2808"/>
      <c r="N2808"/>
      <c r="O2808"/>
      <c r="P2808"/>
      <c r="Q2808"/>
      <c r="R2808"/>
      <c r="S2808"/>
    </row>
    <row r="2809" spans="13:19" ht="13.95" customHeight="1">
      <c r="M2809"/>
      <c r="N2809"/>
      <c r="O2809"/>
      <c r="P2809"/>
      <c r="Q2809"/>
      <c r="R2809"/>
      <c r="S2809"/>
    </row>
    <row r="2810" spans="13:19" ht="13.95" customHeight="1">
      <c r="M2810"/>
      <c r="N2810"/>
      <c r="O2810"/>
      <c r="P2810"/>
      <c r="Q2810"/>
      <c r="R2810"/>
      <c r="S2810"/>
    </row>
    <row r="2811" spans="13:19" ht="13.95" customHeight="1">
      <c r="M2811"/>
      <c r="N2811"/>
      <c r="O2811"/>
      <c r="P2811"/>
      <c r="Q2811"/>
      <c r="R2811"/>
      <c r="S2811"/>
    </row>
    <row r="2812" spans="13:19" ht="13.95" customHeight="1">
      <c r="M2812"/>
      <c r="N2812"/>
      <c r="O2812"/>
      <c r="P2812"/>
      <c r="Q2812"/>
      <c r="R2812"/>
      <c r="S2812"/>
    </row>
    <row r="2813" spans="13:19" ht="13.95" customHeight="1">
      <c r="M2813"/>
      <c r="N2813"/>
      <c r="O2813"/>
      <c r="P2813"/>
      <c r="Q2813"/>
      <c r="R2813"/>
      <c r="S2813"/>
    </row>
    <row r="2814" spans="13:19" ht="13.95" customHeight="1">
      <c r="M2814"/>
      <c r="N2814"/>
      <c r="O2814"/>
      <c r="P2814"/>
      <c r="Q2814"/>
      <c r="R2814"/>
      <c r="S2814"/>
    </row>
    <row r="2815" spans="13:19" ht="13.95" customHeight="1">
      <c r="M2815"/>
      <c r="N2815"/>
      <c r="O2815"/>
      <c r="P2815"/>
      <c r="Q2815"/>
      <c r="R2815"/>
      <c r="S2815"/>
    </row>
    <row r="2816" spans="13:19" ht="13.95" customHeight="1">
      <c r="M2816"/>
      <c r="N2816"/>
      <c r="O2816"/>
      <c r="P2816"/>
      <c r="Q2816"/>
      <c r="R2816"/>
      <c r="S2816"/>
    </row>
    <row r="2817" spans="13:19" ht="13.95" customHeight="1">
      <c r="M2817"/>
      <c r="N2817"/>
      <c r="O2817"/>
      <c r="P2817"/>
      <c r="Q2817"/>
      <c r="R2817"/>
      <c r="S2817"/>
    </row>
    <row r="2818" spans="13:19" ht="13.95" customHeight="1">
      <c r="M2818"/>
      <c r="N2818"/>
      <c r="O2818"/>
      <c r="P2818"/>
      <c r="Q2818"/>
      <c r="R2818"/>
      <c r="S2818"/>
    </row>
    <row r="2819" spans="13:19" ht="13.95" customHeight="1">
      <c r="M2819"/>
      <c r="N2819"/>
      <c r="O2819"/>
      <c r="P2819"/>
      <c r="Q2819"/>
      <c r="R2819"/>
      <c r="S2819"/>
    </row>
    <row r="2820" spans="13:19" ht="13.95" customHeight="1">
      <c r="M2820"/>
      <c r="N2820"/>
      <c r="O2820"/>
      <c r="P2820"/>
      <c r="Q2820"/>
      <c r="R2820"/>
      <c r="S2820"/>
    </row>
    <row r="2821" spans="13:19" ht="13.95" customHeight="1">
      <c r="M2821"/>
      <c r="N2821"/>
      <c r="O2821"/>
      <c r="P2821"/>
      <c r="Q2821"/>
      <c r="R2821"/>
      <c r="S2821"/>
    </row>
    <row r="2822" spans="13:19" ht="13.95" customHeight="1">
      <c r="M2822"/>
      <c r="N2822"/>
      <c r="O2822"/>
      <c r="P2822"/>
      <c r="Q2822"/>
      <c r="R2822"/>
      <c r="S2822"/>
    </row>
    <row r="2823" spans="13:19" ht="13.95" customHeight="1">
      <c r="M2823"/>
      <c r="N2823"/>
      <c r="O2823"/>
      <c r="P2823"/>
      <c r="Q2823"/>
      <c r="R2823"/>
      <c r="S2823"/>
    </row>
    <row r="2824" spans="13:19" ht="13.95" customHeight="1">
      <c r="M2824"/>
      <c r="N2824"/>
      <c r="O2824"/>
      <c r="P2824"/>
      <c r="Q2824"/>
      <c r="R2824"/>
      <c r="S2824"/>
    </row>
    <row r="2825" spans="13:19" ht="13.95" customHeight="1">
      <c r="M2825"/>
      <c r="N2825"/>
      <c r="O2825"/>
      <c r="P2825"/>
      <c r="Q2825"/>
      <c r="R2825"/>
      <c r="S2825"/>
    </row>
    <row r="2826" spans="13:19" ht="13.95" customHeight="1">
      <c r="M2826"/>
      <c r="N2826"/>
      <c r="O2826"/>
      <c r="P2826"/>
      <c r="Q2826"/>
      <c r="R2826"/>
      <c r="S2826"/>
    </row>
    <row r="2827" spans="13:19" ht="13.95" customHeight="1">
      <c r="M2827"/>
      <c r="N2827"/>
      <c r="O2827"/>
      <c r="P2827"/>
      <c r="Q2827"/>
      <c r="R2827"/>
      <c r="S2827"/>
    </row>
    <row r="2828" spans="13:19" ht="13.95" customHeight="1">
      <c r="M2828"/>
      <c r="N2828"/>
      <c r="O2828"/>
      <c r="P2828"/>
      <c r="Q2828"/>
      <c r="R2828"/>
      <c r="S2828"/>
    </row>
    <row r="2829" spans="13:19" ht="13.95" customHeight="1">
      <c r="M2829"/>
      <c r="N2829"/>
      <c r="O2829"/>
      <c r="P2829"/>
      <c r="Q2829"/>
      <c r="R2829"/>
      <c r="S2829"/>
    </row>
    <row r="2830" spans="13:19" ht="13.95" customHeight="1">
      <c r="M2830"/>
      <c r="N2830"/>
      <c r="O2830"/>
      <c r="P2830"/>
      <c r="Q2830"/>
      <c r="R2830"/>
      <c r="S2830"/>
    </row>
    <row r="2831" spans="13:19" ht="13.95" customHeight="1">
      <c r="M2831"/>
      <c r="N2831"/>
      <c r="O2831"/>
      <c r="P2831"/>
      <c r="Q2831"/>
      <c r="R2831"/>
      <c r="S2831"/>
    </row>
    <row r="2832" spans="13:19" ht="13.95" customHeight="1">
      <c r="M2832"/>
      <c r="N2832"/>
      <c r="O2832"/>
      <c r="P2832"/>
      <c r="Q2832"/>
      <c r="R2832"/>
      <c r="S2832"/>
    </row>
    <row r="2833" spans="13:19" ht="13.95" customHeight="1">
      <c r="M2833"/>
      <c r="N2833"/>
      <c r="O2833"/>
      <c r="P2833"/>
      <c r="Q2833"/>
      <c r="R2833"/>
      <c r="S2833"/>
    </row>
    <row r="2834" spans="13:19" ht="13.95" customHeight="1">
      <c r="M2834"/>
      <c r="N2834"/>
      <c r="O2834"/>
      <c r="P2834"/>
      <c r="Q2834"/>
      <c r="R2834"/>
      <c r="S2834"/>
    </row>
    <row r="2835" spans="13:19" ht="13.95" customHeight="1">
      <c r="M2835"/>
      <c r="N2835"/>
      <c r="O2835"/>
      <c r="P2835"/>
      <c r="Q2835"/>
      <c r="R2835"/>
      <c r="S2835"/>
    </row>
    <row r="2836" spans="13:19" ht="13.95" customHeight="1">
      <c r="M2836"/>
      <c r="N2836"/>
      <c r="O2836"/>
      <c r="P2836"/>
      <c r="Q2836"/>
      <c r="R2836"/>
      <c r="S2836"/>
    </row>
    <row r="2837" spans="13:19" ht="13.95" customHeight="1">
      <c r="M2837"/>
      <c r="N2837"/>
      <c r="O2837"/>
      <c r="P2837"/>
      <c r="Q2837"/>
      <c r="R2837"/>
      <c r="S2837"/>
    </row>
    <row r="2838" spans="13:19" ht="13.95" customHeight="1">
      <c r="M2838"/>
      <c r="N2838"/>
      <c r="O2838"/>
      <c r="P2838"/>
      <c r="Q2838"/>
      <c r="R2838"/>
      <c r="S2838"/>
    </row>
    <row r="2839" spans="13:19" ht="13.95" customHeight="1">
      <c r="M2839"/>
      <c r="N2839"/>
      <c r="O2839"/>
      <c r="P2839"/>
      <c r="Q2839"/>
      <c r="R2839"/>
      <c r="S2839"/>
    </row>
    <row r="2840" spans="13:19" ht="13.95" customHeight="1">
      <c r="M2840"/>
      <c r="N2840"/>
      <c r="O2840"/>
      <c r="P2840"/>
      <c r="Q2840"/>
      <c r="R2840"/>
      <c r="S2840"/>
    </row>
    <row r="2841" spans="13:19" ht="13.95" customHeight="1">
      <c r="M2841"/>
      <c r="N2841"/>
      <c r="O2841"/>
      <c r="P2841"/>
      <c r="Q2841"/>
      <c r="R2841"/>
      <c r="S2841"/>
    </row>
    <row r="2842" spans="13:19" ht="13.95" customHeight="1">
      <c r="M2842"/>
      <c r="N2842"/>
      <c r="O2842"/>
      <c r="P2842"/>
      <c r="Q2842"/>
      <c r="R2842"/>
      <c r="S2842"/>
    </row>
    <row r="2843" spans="13:19" ht="13.95" customHeight="1">
      <c r="M2843"/>
      <c r="N2843"/>
      <c r="O2843"/>
      <c r="P2843"/>
      <c r="Q2843"/>
      <c r="R2843"/>
      <c r="S2843"/>
    </row>
    <row r="2844" spans="13:19" ht="13.95" customHeight="1">
      <c r="M2844"/>
      <c r="N2844"/>
      <c r="O2844"/>
      <c r="P2844"/>
      <c r="Q2844"/>
      <c r="R2844"/>
      <c r="S2844"/>
    </row>
    <row r="2845" spans="13:19" ht="13.95" customHeight="1">
      <c r="M2845"/>
      <c r="N2845"/>
      <c r="O2845"/>
      <c r="P2845"/>
      <c r="Q2845"/>
      <c r="R2845"/>
      <c r="S2845"/>
    </row>
    <row r="2846" spans="13:19" ht="13.95" customHeight="1">
      <c r="M2846"/>
      <c r="N2846"/>
      <c r="O2846"/>
      <c r="P2846"/>
      <c r="Q2846"/>
      <c r="R2846"/>
      <c r="S2846"/>
    </row>
    <row r="2847" spans="13:19" ht="13.95" customHeight="1">
      <c r="M2847"/>
      <c r="N2847"/>
      <c r="O2847"/>
      <c r="P2847"/>
      <c r="Q2847"/>
      <c r="R2847"/>
      <c r="S2847"/>
    </row>
    <row r="2848" spans="13:19" ht="13.95" customHeight="1">
      <c r="M2848"/>
      <c r="N2848"/>
      <c r="O2848"/>
      <c r="P2848"/>
      <c r="Q2848"/>
      <c r="R2848"/>
      <c r="S2848"/>
    </row>
    <row r="2849" spans="13:19" ht="13.95" customHeight="1">
      <c r="M2849"/>
      <c r="N2849"/>
      <c r="O2849"/>
      <c r="P2849"/>
      <c r="Q2849"/>
      <c r="R2849"/>
      <c r="S2849"/>
    </row>
    <row r="2850" spans="13:19" ht="13.95" customHeight="1">
      <c r="M2850"/>
      <c r="N2850"/>
      <c r="O2850"/>
      <c r="P2850"/>
      <c r="Q2850"/>
      <c r="R2850"/>
      <c r="S2850"/>
    </row>
    <row r="2851" spans="13:19" ht="13.95" customHeight="1">
      <c r="M2851"/>
      <c r="N2851"/>
      <c r="O2851"/>
      <c r="P2851"/>
      <c r="Q2851"/>
      <c r="R2851"/>
      <c r="S2851"/>
    </row>
    <row r="2852" spans="13:19" ht="13.95" customHeight="1">
      <c r="M2852"/>
      <c r="N2852"/>
      <c r="O2852"/>
      <c r="P2852"/>
      <c r="Q2852"/>
      <c r="R2852"/>
      <c r="S2852"/>
    </row>
    <row r="2853" spans="13:19" ht="13.95" customHeight="1">
      <c r="M2853"/>
      <c r="N2853"/>
      <c r="O2853"/>
      <c r="P2853"/>
      <c r="Q2853"/>
      <c r="R2853"/>
      <c r="S2853"/>
    </row>
    <row r="2854" spans="13:19" ht="13.95" customHeight="1">
      <c r="M2854"/>
      <c r="N2854"/>
      <c r="O2854"/>
      <c r="P2854"/>
      <c r="Q2854"/>
      <c r="R2854"/>
      <c r="S2854"/>
    </row>
    <row r="2855" spans="13:19" ht="13.95" customHeight="1">
      <c r="M2855"/>
      <c r="N2855"/>
      <c r="O2855"/>
      <c r="P2855"/>
      <c r="Q2855"/>
      <c r="R2855"/>
      <c r="S2855"/>
    </row>
    <row r="2856" spans="13:19" ht="13.95" customHeight="1">
      <c r="M2856"/>
      <c r="N2856"/>
      <c r="O2856"/>
      <c r="P2856"/>
      <c r="Q2856"/>
      <c r="R2856"/>
      <c r="S2856"/>
    </row>
    <row r="2857" spans="13:19" ht="13.95" customHeight="1">
      <c r="M2857"/>
      <c r="N2857"/>
      <c r="O2857"/>
      <c r="P2857"/>
      <c r="Q2857"/>
      <c r="R2857"/>
      <c r="S2857"/>
    </row>
    <row r="2858" spans="13:19" ht="13.95" customHeight="1">
      <c r="M2858"/>
      <c r="N2858"/>
      <c r="O2858"/>
      <c r="P2858"/>
      <c r="Q2858"/>
      <c r="R2858"/>
      <c r="S2858"/>
    </row>
    <row r="2859" spans="13:19" ht="13.95" customHeight="1">
      <c r="M2859"/>
      <c r="N2859"/>
      <c r="O2859"/>
      <c r="P2859"/>
      <c r="Q2859"/>
      <c r="R2859"/>
      <c r="S2859"/>
    </row>
    <row r="2860" spans="13:19" ht="13.95" customHeight="1">
      <c r="M2860"/>
      <c r="N2860"/>
      <c r="O2860"/>
      <c r="P2860"/>
      <c r="Q2860"/>
      <c r="R2860"/>
      <c r="S2860"/>
    </row>
    <row r="2861" spans="13:19" ht="13.95" customHeight="1">
      <c r="M2861"/>
      <c r="N2861"/>
      <c r="O2861"/>
      <c r="P2861"/>
      <c r="Q2861"/>
      <c r="R2861"/>
      <c r="S2861"/>
    </row>
    <row r="2862" spans="13:19" ht="13.95" customHeight="1">
      <c r="M2862"/>
      <c r="N2862"/>
      <c r="O2862"/>
      <c r="P2862"/>
      <c r="Q2862"/>
      <c r="R2862"/>
      <c r="S2862"/>
    </row>
    <row r="2863" spans="13:19" ht="13.95" customHeight="1">
      <c r="M2863"/>
      <c r="N2863"/>
      <c r="O2863"/>
      <c r="P2863"/>
      <c r="Q2863"/>
      <c r="R2863"/>
      <c r="S2863"/>
    </row>
    <row r="2864" spans="13:19" ht="13.95" customHeight="1">
      <c r="M2864"/>
      <c r="N2864"/>
      <c r="O2864"/>
      <c r="P2864"/>
      <c r="Q2864"/>
      <c r="R2864"/>
      <c r="S2864"/>
    </row>
    <row r="2865" spans="13:19" ht="13.95" customHeight="1">
      <c r="M2865"/>
      <c r="N2865"/>
      <c r="O2865"/>
      <c r="P2865"/>
      <c r="Q2865"/>
      <c r="R2865"/>
      <c r="S2865"/>
    </row>
    <row r="2866" spans="13:19" ht="13.95" customHeight="1">
      <c r="M2866"/>
      <c r="N2866"/>
      <c r="O2866"/>
      <c r="P2866"/>
      <c r="Q2866"/>
      <c r="R2866"/>
      <c r="S2866"/>
    </row>
    <row r="2867" spans="13:19" ht="13.95" customHeight="1">
      <c r="M2867"/>
      <c r="N2867"/>
      <c r="O2867"/>
      <c r="P2867"/>
      <c r="Q2867"/>
      <c r="R2867"/>
      <c r="S2867"/>
    </row>
    <row r="2868" spans="13:19" ht="13.95" customHeight="1">
      <c r="M2868"/>
      <c r="N2868"/>
      <c r="O2868"/>
      <c r="P2868"/>
      <c r="Q2868"/>
      <c r="R2868"/>
      <c r="S2868"/>
    </row>
    <row r="2869" spans="13:19" ht="13.95" customHeight="1">
      <c r="M2869"/>
      <c r="N2869"/>
      <c r="O2869"/>
      <c r="P2869"/>
      <c r="Q2869"/>
      <c r="R2869"/>
      <c r="S2869"/>
    </row>
    <row r="2870" spans="13:19" ht="13.95" customHeight="1">
      <c r="M2870"/>
      <c r="N2870"/>
      <c r="O2870"/>
      <c r="P2870"/>
      <c r="Q2870"/>
      <c r="R2870"/>
      <c r="S2870"/>
    </row>
    <row r="2871" spans="13:19" ht="13.95" customHeight="1">
      <c r="M2871"/>
      <c r="N2871"/>
      <c r="O2871"/>
      <c r="P2871"/>
      <c r="Q2871"/>
      <c r="R2871"/>
      <c r="S2871"/>
    </row>
    <row r="2872" spans="13:19" ht="13.95" customHeight="1">
      <c r="M2872"/>
      <c r="N2872"/>
      <c r="O2872"/>
      <c r="P2872"/>
      <c r="Q2872"/>
      <c r="R2872"/>
      <c r="S2872"/>
    </row>
    <row r="2873" spans="13:19" ht="13.95" customHeight="1">
      <c r="M2873"/>
      <c r="N2873"/>
      <c r="O2873"/>
      <c r="P2873"/>
      <c r="Q2873"/>
      <c r="R2873"/>
      <c r="S2873"/>
    </row>
    <row r="2874" spans="13:19" ht="13.95" customHeight="1">
      <c r="M2874"/>
      <c r="N2874"/>
      <c r="O2874"/>
      <c r="P2874"/>
      <c r="Q2874"/>
      <c r="R2874"/>
      <c r="S2874"/>
    </row>
    <row r="2875" spans="13:19" ht="13.95" customHeight="1">
      <c r="M2875"/>
      <c r="N2875"/>
      <c r="O2875"/>
      <c r="P2875"/>
      <c r="Q2875"/>
      <c r="R2875"/>
      <c r="S2875"/>
    </row>
    <row r="2876" spans="13:19" ht="13.95" customHeight="1">
      <c r="M2876"/>
      <c r="N2876"/>
      <c r="O2876"/>
      <c r="P2876"/>
      <c r="Q2876"/>
      <c r="R2876"/>
      <c r="S2876"/>
    </row>
    <row r="2877" spans="13:19" ht="13.95" customHeight="1">
      <c r="M2877"/>
      <c r="N2877"/>
      <c r="O2877"/>
      <c r="P2877"/>
      <c r="Q2877"/>
      <c r="R2877"/>
      <c r="S2877"/>
    </row>
    <row r="2878" spans="13:19" ht="13.95" customHeight="1">
      <c r="M2878"/>
      <c r="N2878"/>
      <c r="O2878"/>
      <c r="P2878"/>
      <c r="Q2878"/>
      <c r="R2878"/>
      <c r="S2878"/>
    </row>
    <row r="2879" spans="13:19" ht="13.95" customHeight="1">
      <c r="M2879"/>
      <c r="N2879"/>
      <c r="O2879"/>
      <c r="P2879"/>
      <c r="Q2879"/>
      <c r="R2879"/>
      <c r="S2879"/>
    </row>
    <row r="2880" spans="13:19" ht="13.95" customHeight="1">
      <c r="M2880"/>
      <c r="N2880"/>
      <c r="O2880"/>
      <c r="P2880"/>
      <c r="Q2880"/>
      <c r="R2880"/>
      <c r="S2880"/>
    </row>
    <row r="2881" spans="13:19" ht="13.95" customHeight="1">
      <c r="M2881"/>
      <c r="N2881"/>
      <c r="O2881"/>
      <c r="P2881"/>
      <c r="Q2881"/>
      <c r="R2881"/>
      <c r="S2881"/>
    </row>
    <row r="2882" spans="13:19" ht="13.95" customHeight="1">
      <c r="M2882"/>
      <c r="N2882"/>
      <c r="O2882"/>
      <c r="P2882"/>
      <c r="Q2882"/>
      <c r="R2882"/>
      <c r="S2882"/>
    </row>
    <row r="2883" spans="13:19" ht="13.95" customHeight="1">
      <c r="M2883"/>
      <c r="N2883"/>
      <c r="O2883"/>
      <c r="P2883"/>
      <c r="Q2883"/>
      <c r="R2883"/>
      <c r="S2883"/>
    </row>
    <row r="2884" spans="13:19" ht="13.95" customHeight="1">
      <c r="M2884"/>
      <c r="N2884"/>
      <c r="O2884"/>
      <c r="P2884"/>
      <c r="Q2884"/>
      <c r="R2884"/>
      <c r="S2884"/>
    </row>
    <row r="2885" spans="13:19" ht="13.95" customHeight="1">
      <c r="M2885"/>
      <c r="N2885"/>
      <c r="O2885"/>
      <c r="P2885"/>
      <c r="Q2885"/>
      <c r="R2885"/>
      <c r="S2885"/>
    </row>
    <row r="2886" spans="13:19" ht="13.95" customHeight="1">
      <c r="M2886"/>
      <c r="N2886"/>
      <c r="O2886"/>
      <c r="P2886"/>
      <c r="Q2886"/>
      <c r="R2886"/>
      <c r="S2886"/>
    </row>
    <row r="2887" spans="13:19" ht="13.95" customHeight="1">
      <c r="M2887"/>
      <c r="N2887"/>
      <c r="O2887"/>
      <c r="P2887"/>
      <c r="Q2887"/>
      <c r="R2887"/>
      <c r="S2887"/>
    </row>
    <row r="2888" spans="13:19" ht="13.95" customHeight="1">
      <c r="M2888"/>
      <c r="N2888"/>
      <c r="O2888"/>
      <c r="P2888"/>
      <c r="Q2888"/>
      <c r="R2888"/>
      <c r="S2888"/>
    </row>
    <row r="2889" spans="13:19" ht="13.95" customHeight="1">
      <c r="M2889"/>
      <c r="N2889"/>
      <c r="O2889"/>
      <c r="P2889"/>
      <c r="Q2889"/>
      <c r="R2889"/>
      <c r="S2889"/>
    </row>
    <row r="2890" spans="13:19" ht="13.95" customHeight="1">
      <c r="M2890"/>
      <c r="N2890"/>
      <c r="O2890"/>
      <c r="P2890"/>
      <c r="Q2890"/>
      <c r="R2890"/>
      <c r="S2890"/>
    </row>
    <row r="2891" spans="13:19" ht="13.95" customHeight="1">
      <c r="M2891"/>
      <c r="N2891"/>
      <c r="O2891"/>
      <c r="P2891"/>
      <c r="Q2891"/>
      <c r="R2891"/>
      <c r="S2891"/>
    </row>
    <row r="2892" spans="13:19" ht="13.95" customHeight="1">
      <c r="M2892"/>
      <c r="N2892"/>
      <c r="O2892"/>
      <c r="P2892"/>
      <c r="Q2892"/>
      <c r="R2892"/>
      <c r="S2892"/>
    </row>
    <row r="2893" spans="13:19" ht="13.95" customHeight="1">
      <c r="M2893"/>
      <c r="N2893"/>
      <c r="O2893"/>
      <c r="P2893"/>
      <c r="Q2893"/>
      <c r="R2893"/>
      <c r="S2893"/>
    </row>
    <row r="2894" spans="13:19" ht="13.95" customHeight="1">
      <c r="M2894"/>
      <c r="N2894"/>
      <c r="O2894"/>
      <c r="P2894"/>
      <c r="Q2894"/>
      <c r="R2894"/>
      <c r="S2894"/>
    </row>
    <row r="2895" spans="13:19" ht="13.95" customHeight="1">
      <c r="M2895"/>
      <c r="N2895"/>
      <c r="O2895"/>
      <c r="P2895"/>
      <c r="Q2895"/>
      <c r="R2895"/>
      <c r="S2895"/>
    </row>
    <row r="2896" spans="13:19" ht="13.95" customHeight="1">
      <c r="M2896"/>
      <c r="N2896"/>
      <c r="O2896"/>
      <c r="P2896"/>
      <c r="Q2896"/>
      <c r="R2896"/>
      <c r="S2896"/>
    </row>
    <row r="2897" spans="13:19" ht="13.95" customHeight="1">
      <c r="M2897"/>
      <c r="N2897"/>
      <c r="O2897"/>
      <c r="P2897"/>
      <c r="Q2897"/>
      <c r="R2897"/>
      <c r="S2897"/>
    </row>
    <row r="2898" spans="13:19" ht="13.95" customHeight="1">
      <c r="M2898"/>
      <c r="N2898"/>
      <c r="O2898"/>
      <c r="P2898"/>
      <c r="Q2898"/>
      <c r="R2898"/>
      <c r="S2898"/>
    </row>
    <row r="2899" spans="13:19" ht="13.95" customHeight="1">
      <c r="M2899"/>
      <c r="N2899"/>
      <c r="O2899"/>
      <c r="P2899"/>
      <c r="Q2899"/>
      <c r="R2899"/>
      <c r="S2899"/>
    </row>
    <row r="2900" spans="13:19" ht="13.95" customHeight="1">
      <c r="M2900"/>
      <c r="N2900"/>
      <c r="O2900"/>
      <c r="P2900"/>
      <c r="Q2900"/>
      <c r="R2900"/>
      <c r="S2900"/>
    </row>
    <row r="2901" spans="13:19" ht="13.95" customHeight="1">
      <c r="M2901"/>
      <c r="N2901"/>
      <c r="O2901"/>
      <c r="P2901"/>
      <c r="Q2901"/>
      <c r="R2901"/>
      <c r="S2901"/>
    </row>
    <row r="2902" spans="13:19" ht="13.95" customHeight="1">
      <c r="M2902"/>
      <c r="N2902"/>
      <c r="O2902"/>
      <c r="P2902"/>
      <c r="Q2902"/>
      <c r="R2902"/>
      <c r="S2902"/>
    </row>
    <row r="2903" spans="13:19" ht="13.95" customHeight="1">
      <c r="M2903"/>
      <c r="N2903"/>
      <c r="O2903"/>
      <c r="P2903"/>
      <c r="Q2903"/>
      <c r="R2903"/>
      <c r="S2903"/>
    </row>
    <row r="2904" spans="13:19" ht="13.95" customHeight="1">
      <c r="M2904"/>
      <c r="N2904"/>
      <c r="O2904"/>
      <c r="P2904"/>
      <c r="Q2904"/>
      <c r="R2904"/>
      <c r="S2904"/>
    </row>
    <row r="2905" spans="13:19" ht="13.95" customHeight="1">
      <c r="M2905"/>
      <c r="N2905"/>
      <c r="O2905"/>
      <c r="P2905"/>
      <c r="Q2905"/>
      <c r="R2905"/>
      <c r="S2905"/>
    </row>
    <row r="2906" spans="13:19" ht="13.95" customHeight="1">
      <c r="M2906"/>
      <c r="N2906"/>
      <c r="O2906"/>
      <c r="P2906"/>
      <c r="Q2906"/>
      <c r="R2906"/>
      <c r="S2906"/>
    </row>
    <row r="2907" spans="13:19" ht="13.95" customHeight="1">
      <c r="M2907"/>
      <c r="N2907"/>
      <c r="O2907"/>
      <c r="P2907"/>
      <c r="Q2907"/>
      <c r="R2907"/>
      <c r="S2907"/>
    </row>
    <row r="2908" spans="13:19" ht="13.95" customHeight="1">
      <c r="M2908"/>
      <c r="N2908"/>
      <c r="O2908"/>
      <c r="P2908"/>
      <c r="Q2908"/>
      <c r="R2908"/>
      <c r="S2908"/>
    </row>
    <row r="2909" spans="13:19" ht="13.95" customHeight="1">
      <c r="M2909"/>
      <c r="N2909"/>
      <c r="O2909"/>
      <c r="P2909"/>
      <c r="Q2909"/>
      <c r="R2909"/>
      <c r="S2909"/>
    </row>
    <row r="2910" spans="13:19" ht="13.95" customHeight="1">
      <c r="M2910"/>
      <c r="N2910"/>
      <c r="O2910"/>
      <c r="P2910"/>
      <c r="Q2910"/>
      <c r="R2910"/>
      <c r="S2910"/>
    </row>
    <row r="2911" spans="13:19" ht="13.95" customHeight="1">
      <c r="M2911"/>
      <c r="N2911"/>
      <c r="O2911"/>
      <c r="P2911"/>
      <c r="Q2911"/>
      <c r="R2911"/>
      <c r="S2911"/>
    </row>
    <row r="2912" spans="13:19" ht="13.95" customHeight="1">
      <c r="M2912"/>
      <c r="N2912"/>
      <c r="O2912"/>
      <c r="P2912"/>
      <c r="Q2912"/>
      <c r="R2912"/>
      <c r="S2912"/>
    </row>
    <row r="2913" spans="13:19" ht="13.95" customHeight="1">
      <c r="M2913"/>
      <c r="N2913"/>
      <c r="O2913"/>
      <c r="P2913"/>
      <c r="Q2913"/>
      <c r="R2913"/>
      <c r="S2913"/>
    </row>
    <row r="2914" spans="13:19" ht="13.95" customHeight="1">
      <c r="M2914"/>
      <c r="N2914"/>
      <c r="O2914"/>
      <c r="P2914"/>
      <c r="Q2914"/>
      <c r="R2914"/>
      <c r="S2914"/>
    </row>
    <row r="2915" spans="13:19" ht="13.95" customHeight="1">
      <c r="M2915"/>
      <c r="N2915"/>
      <c r="O2915"/>
      <c r="P2915"/>
      <c r="Q2915"/>
      <c r="R2915"/>
      <c r="S2915"/>
    </row>
    <row r="2916" spans="13:19" ht="13.95" customHeight="1">
      <c r="M2916"/>
      <c r="N2916"/>
      <c r="O2916"/>
      <c r="P2916"/>
      <c r="Q2916"/>
      <c r="R2916"/>
      <c r="S2916"/>
    </row>
    <row r="2917" spans="13:19" ht="13.95" customHeight="1">
      <c r="M2917"/>
      <c r="N2917"/>
      <c r="O2917"/>
      <c r="P2917"/>
      <c r="Q2917"/>
      <c r="R2917"/>
      <c r="S2917"/>
    </row>
    <row r="2918" spans="13:19" ht="13.95" customHeight="1">
      <c r="M2918"/>
      <c r="N2918"/>
      <c r="O2918"/>
      <c r="P2918"/>
      <c r="Q2918"/>
      <c r="R2918"/>
      <c r="S2918"/>
    </row>
    <row r="2919" spans="13:19" ht="13.95" customHeight="1">
      <c r="M2919"/>
      <c r="N2919"/>
      <c r="O2919"/>
      <c r="P2919"/>
      <c r="Q2919"/>
      <c r="R2919"/>
      <c r="S2919"/>
    </row>
    <row r="2920" spans="13:19" ht="13.95" customHeight="1">
      <c r="M2920"/>
      <c r="N2920"/>
      <c r="O2920"/>
      <c r="P2920"/>
      <c r="Q2920"/>
      <c r="R2920"/>
      <c r="S2920"/>
    </row>
    <row r="2921" spans="13:19" ht="13.95" customHeight="1">
      <c r="M2921"/>
      <c r="N2921"/>
      <c r="O2921"/>
      <c r="P2921"/>
      <c r="Q2921"/>
      <c r="R2921"/>
      <c r="S2921"/>
    </row>
    <row r="2922" spans="13:19" ht="13.95" customHeight="1">
      <c r="M2922"/>
      <c r="N2922"/>
      <c r="O2922"/>
      <c r="P2922"/>
      <c r="Q2922"/>
      <c r="R2922"/>
      <c r="S2922"/>
    </row>
    <row r="2923" spans="13:19" ht="13.95" customHeight="1">
      <c r="M2923"/>
      <c r="N2923"/>
      <c r="O2923"/>
      <c r="P2923"/>
      <c r="Q2923"/>
      <c r="R2923"/>
      <c r="S2923"/>
    </row>
    <row r="2924" spans="13:19" ht="13.95" customHeight="1">
      <c r="M2924"/>
      <c r="N2924"/>
      <c r="O2924"/>
      <c r="P2924"/>
      <c r="Q2924"/>
      <c r="R2924"/>
      <c r="S2924"/>
    </row>
    <row r="2925" spans="13:19" ht="13.95" customHeight="1">
      <c r="M2925"/>
      <c r="N2925"/>
      <c r="O2925"/>
      <c r="P2925"/>
      <c r="Q2925"/>
      <c r="R2925"/>
      <c r="S2925"/>
    </row>
    <row r="2926" spans="13:19" ht="13.95" customHeight="1">
      <c r="M2926"/>
      <c r="N2926"/>
      <c r="O2926"/>
      <c r="P2926"/>
      <c r="Q2926"/>
      <c r="R2926"/>
      <c r="S2926"/>
    </row>
    <row r="2927" spans="13:19" ht="13.95" customHeight="1">
      <c r="M2927"/>
      <c r="N2927"/>
      <c r="O2927"/>
      <c r="P2927"/>
      <c r="Q2927"/>
      <c r="R2927"/>
      <c r="S2927"/>
    </row>
    <row r="2928" spans="13:19" ht="13.95" customHeight="1">
      <c r="M2928"/>
      <c r="N2928"/>
      <c r="O2928"/>
      <c r="P2928"/>
      <c r="Q2928"/>
      <c r="R2928"/>
      <c r="S2928"/>
    </row>
    <row r="2929" spans="13:19" ht="13.95" customHeight="1">
      <c r="M2929"/>
      <c r="N2929"/>
      <c r="O2929"/>
      <c r="P2929"/>
      <c r="Q2929"/>
      <c r="R2929"/>
      <c r="S2929"/>
    </row>
    <row r="2930" spans="13:19" ht="13.95" customHeight="1">
      <c r="M2930"/>
      <c r="N2930"/>
      <c r="O2930"/>
      <c r="P2930"/>
      <c r="Q2930"/>
      <c r="R2930"/>
      <c r="S2930"/>
    </row>
    <row r="2931" spans="13:19" ht="13.95" customHeight="1">
      <c r="M2931"/>
      <c r="N2931"/>
      <c r="O2931"/>
      <c r="P2931"/>
      <c r="Q2931"/>
      <c r="R2931"/>
      <c r="S2931"/>
    </row>
    <row r="2932" spans="13:19" ht="13.95" customHeight="1">
      <c r="M2932"/>
      <c r="N2932"/>
      <c r="O2932"/>
      <c r="P2932"/>
      <c r="Q2932"/>
      <c r="R2932"/>
      <c r="S2932"/>
    </row>
    <row r="2933" spans="13:19" ht="13.95" customHeight="1">
      <c r="M2933"/>
      <c r="N2933"/>
      <c r="O2933"/>
      <c r="P2933"/>
      <c r="Q2933"/>
      <c r="R2933"/>
      <c r="S2933"/>
    </row>
    <row r="2934" spans="13:19" ht="13.95" customHeight="1">
      <c r="M2934"/>
      <c r="N2934"/>
      <c r="O2934"/>
      <c r="P2934"/>
      <c r="Q2934"/>
      <c r="R2934"/>
      <c r="S2934"/>
    </row>
    <row r="2935" spans="13:19" ht="13.95" customHeight="1">
      <c r="M2935"/>
      <c r="N2935"/>
      <c r="O2935"/>
      <c r="P2935"/>
      <c r="Q2935"/>
      <c r="R2935"/>
      <c r="S2935"/>
    </row>
    <row r="2936" spans="13:19" ht="13.95" customHeight="1">
      <c r="M2936"/>
      <c r="N2936"/>
      <c r="O2936"/>
      <c r="P2936"/>
      <c r="Q2936"/>
      <c r="R2936"/>
      <c r="S2936"/>
    </row>
    <row r="2937" spans="13:19" ht="13.95" customHeight="1">
      <c r="M2937"/>
      <c r="N2937"/>
      <c r="O2937"/>
      <c r="P2937"/>
      <c r="Q2937"/>
      <c r="R2937"/>
      <c r="S2937"/>
    </row>
    <row r="2938" spans="13:19" ht="13.95" customHeight="1">
      <c r="M2938"/>
      <c r="N2938"/>
      <c r="O2938"/>
      <c r="P2938"/>
      <c r="Q2938"/>
      <c r="R2938"/>
      <c r="S2938"/>
    </row>
    <row r="2939" spans="13:19" ht="13.95" customHeight="1">
      <c r="M2939"/>
      <c r="N2939"/>
      <c r="O2939"/>
      <c r="P2939"/>
      <c r="Q2939"/>
      <c r="R2939"/>
      <c r="S2939"/>
    </row>
    <row r="2940" spans="13:19" ht="13.95" customHeight="1">
      <c r="M2940"/>
      <c r="N2940"/>
      <c r="O2940"/>
      <c r="P2940"/>
      <c r="Q2940"/>
      <c r="R2940"/>
      <c r="S2940"/>
    </row>
    <row r="2941" spans="13:19" ht="13.95" customHeight="1">
      <c r="M2941"/>
      <c r="N2941"/>
      <c r="O2941"/>
      <c r="P2941"/>
      <c r="Q2941"/>
      <c r="R2941"/>
      <c r="S2941"/>
    </row>
    <row r="2942" spans="13:19" ht="13.95" customHeight="1">
      <c r="M2942"/>
      <c r="N2942"/>
      <c r="O2942"/>
      <c r="P2942"/>
      <c r="Q2942"/>
      <c r="R2942"/>
      <c r="S2942"/>
    </row>
    <row r="2943" spans="13:19" ht="13.95" customHeight="1">
      <c r="M2943"/>
      <c r="N2943"/>
      <c r="O2943"/>
      <c r="P2943"/>
      <c r="Q2943"/>
      <c r="R2943"/>
      <c r="S2943"/>
    </row>
    <row r="2944" spans="13:19" ht="13.95" customHeight="1">
      <c r="M2944"/>
      <c r="N2944"/>
      <c r="O2944"/>
      <c r="P2944"/>
      <c r="Q2944"/>
      <c r="R2944"/>
      <c r="S2944"/>
    </row>
    <row r="2945" spans="13:19" ht="13.95" customHeight="1">
      <c r="M2945"/>
      <c r="N2945"/>
      <c r="O2945"/>
      <c r="P2945"/>
      <c r="Q2945"/>
      <c r="R2945"/>
      <c r="S2945"/>
    </row>
    <row r="2946" spans="13:19" ht="13.95" customHeight="1">
      <c r="M2946"/>
      <c r="N2946"/>
      <c r="O2946"/>
      <c r="P2946"/>
      <c r="Q2946"/>
      <c r="R2946"/>
      <c r="S2946"/>
    </row>
    <row r="2947" spans="13:19" ht="13.95" customHeight="1">
      <c r="M2947"/>
      <c r="N2947"/>
      <c r="O2947"/>
      <c r="P2947"/>
      <c r="Q2947"/>
      <c r="R2947"/>
      <c r="S2947"/>
    </row>
    <row r="2948" spans="13:19" ht="13.95" customHeight="1">
      <c r="M2948"/>
      <c r="N2948"/>
      <c r="O2948"/>
      <c r="P2948"/>
      <c r="Q2948"/>
      <c r="R2948"/>
      <c r="S2948"/>
    </row>
    <row r="2949" spans="13:19" ht="13.95" customHeight="1">
      <c r="M2949"/>
      <c r="N2949"/>
      <c r="O2949"/>
      <c r="P2949"/>
      <c r="Q2949"/>
      <c r="R2949"/>
      <c r="S2949"/>
    </row>
    <row r="2950" spans="13:19" ht="13.95" customHeight="1">
      <c r="M2950"/>
      <c r="N2950"/>
      <c r="O2950"/>
      <c r="P2950"/>
      <c r="Q2950"/>
      <c r="R2950"/>
      <c r="S2950"/>
    </row>
    <row r="2951" spans="13:19" ht="13.95" customHeight="1">
      <c r="M2951"/>
      <c r="N2951"/>
      <c r="O2951"/>
      <c r="P2951"/>
      <c r="Q2951"/>
      <c r="R2951"/>
      <c r="S2951"/>
    </row>
    <row r="2952" spans="13:19" ht="13.95" customHeight="1">
      <c r="M2952"/>
      <c r="N2952"/>
      <c r="O2952"/>
      <c r="P2952"/>
      <c r="Q2952"/>
      <c r="R2952"/>
      <c r="S2952"/>
    </row>
    <row r="2953" spans="13:19" ht="13.95" customHeight="1">
      <c r="M2953"/>
      <c r="N2953"/>
      <c r="O2953"/>
      <c r="P2953"/>
      <c r="Q2953"/>
      <c r="R2953"/>
      <c r="S2953"/>
    </row>
    <row r="2954" spans="13:19" ht="13.95" customHeight="1">
      <c r="M2954"/>
      <c r="N2954"/>
      <c r="O2954"/>
      <c r="P2954"/>
      <c r="Q2954"/>
      <c r="R2954"/>
      <c r="S2954"/>
    </row>
    <row r="2955" spans="13:19" ht="13.95" customHeight="1">
      <c r="M2955"/>
      <c r="N2955"/>
      <c r="O2955"/>
      <c r="P2955"/>
      <c r="Q2955"/>
      <c r="R2955"/>
      <c r="S2955"/>
    </row>
    <row r="2956" spans="13:19" ht="13.95" customHeight="1">
      <c r="M2956"/>
      <c r="N2956"/>
      <c r="O2956"/>
      <c r="P2956"/>
      <c r="Q2956"/>
      <c r="R2956"/>
      <c r="S2956"/>
    </row>
    <row r="2957" spans="13:19" ht="13.95" customHeight="1">
      <c r="M2957"/>
      <c r="N2957"/>
      <c r="O2957"/>
      <c r="P2957"/>
      <c r="Q2957"/>
      <c r="R2957"/>
      <c r="S2957"/>
    </row>
    <row r="2958" spans="13:19" ht="13.95" customHeight="1">
      <c r="M2958"/>
      <c r="N2958"/>
      <c r="O2958"/>
      <c r="P2958"/>
      <c r="Q2958"/>
      <c r="R2958"/>
      <c r="S2958"/>
    </row>
    <row r="2959" spans="13:19" ht="13.95" customHeight="1">
      <c r="M2959"/>
      <c r="N2959"/>
      <c r="O2959"/>
      <c r="P2959"/>
      <c r="Q2959"/>
      <c r="R2959"/>
      <c r="S2959"/>
    </row>
    <row r="2960" spans="13:19" ht="13.95" customHeight="1">
      <c r="M2960"/>
      <c r="N2960"/>
      <c r="O2960"/>
      <c r="P2960"/>
      <c r="Q2960"/>
      <c r="R2960"/>
      <c r="S2960"/>
    </row>
    <row r="2961" spans="13:19" ht="13.95" customHeight="1">
      <c r="M2961"/>
      <c r="N2961"/>
      <c r="O2961"/>
      <c r="P2961"/>
      <c r="Q2961"/>
      <c r="R2961"/>
      <c r="S2961"/>
    </row>
    <row r="2962" spans="13:19" ht="13.95" customHeight="1">
      <c r="M2962"/>
      <c r="N2962"/>
      <c r="O2962"/>
      <c r="P2962"/>
      <c r="Q2962"/>
      <c r="R2962"/>
      <c r="S2962"/>
    </row>
    <row r="2963" spans="13:19" ht="13.95" customHeight="1">
      <c r="M2963"/>
      <c r="N2963"/>
      <c r="O2963"/>
      <c r="P2963"/>
      <c r="Q2963"/>
      <c r="R2963"/>
      <c r="S2963"/>
    </row>
    <row r="2964" spans="13:19" ht="13.95" customHeight="1">
      <c r="M2964"/>
      <c r="N2964"/>
      <c r="O2964"/>
      <c r="P2964"/>
      <c r="Q2964"/>
      <c r="R2964"/>
      <c r="S2964"/>
    </row>
    <row r="2965" spans="13:19" ht="13.95" customHeight="1">
      <c r="M2965"/>
      <c r="N2965"/>
      <c r="O2965"/>
      <c r="P2965"/>
      <c r="Q2965"/>
      <c r="R2965"/>
      <c r="S2965"/>
    </row>
    <row r="2966" spans="13:19" ht="13.95" customHeight="1">
      <c r="M2966"/>
      <c r="N2966"/>
      <c r="O2966"/>
      <c r="P2966"/>
      <c r="Q2966"/>
      <c r="R2966"/>
      <c r="S2966"/>
    </row>
    <row r="2967" spans="13:19" ht="13.95" customHeight="1">
      <c r="M2967"/>
      <c r="N2967"/>
      <c r="O2967"/>
      <c r="P2967"/>
      <c r="Q2967"/>
      <c r="R2967"/>
      <c r="S2967"/>
    </row>
    <row r="2968" spans="13:19" ht="13.95" customHeight="1">
      <c r="M2968"/>
      <c r="N2968"/>
      <c r="O2968"/>
      <c r="P2968"/>
      <c r="Q2968"/>
      <c r="R2968"/>
      <c r="S2968"/>
    </row>
    <row r="2969" spans="13:19" ht="13.95" customHeight="1">
      <c r="M2969"/>
      <c r="N2969"/>
      <c r="O2969"/>
      <c r="P2969"/>
      <c r="Q2969"/>
      <c r="R2969"/>
      <c r="S2969"/>
    </row>
    <row r="2970" spans="13:19" ht="13.95" customHeight="1">
      <c r="M2970"/>
      <c r="N2970"/>
      <c r="O2970"/>
      <c r="P2970"/>
      <c r="Q2970"/>
      <c r="R2970"/>
      <c r="S2970"/>
    </row>
    <row r="2971" spans="13:19" ht="13.95" customHeight="1">
      <c r="M2971"/>
      <c r="N2971"/>
      <c r="O2971"/>
      <c r="P2971"/>
      <c r="Q2971"/>
      <c r="R2971"/>
      <c r="S2971"/>
    </row>
    <row r="2972" spans="13:19" ht="13.95" customHeight="1">
      <c r="M2972"/>
      <c r="N2972"/>
      <c r="O2972"/>
      <c r="P2972"/>
      <c r="Q2972"/>
      <c r="R2972"/>
      <c r="S2972"/>
    </row>
    <row r="2973" spans="13:19" ht="13.95" customHeight="1">
      <c r="M2973"/>
      <c r="N2973"/>
      <c r="O2973"/>
      <c r="P2973"/>
      <c r="Q2973"/>
      <c r="R2973"/>
      <c r="S2973"/>
    </row>
    <row r="2974" spans="13:19" ht="13.95" customHeight="1">
      <c r="M2974"/>
      <c r="N2974"/>
      <c r="O2974"/>
      <c r="P2974"/>
      <c r="Q2974"/>
      <c r="R2974"/>
      <c r="S2974"/>
    </row>
    <row r="2975" spans="13:19" ht="13.95" customHeight="1">
      <c r="M2975"/>
      <c r="N2975"/>
      <c r="O2975"/>
      <c r="P2975"/>
      <c r="Q2975"/>
      <c r="R2975"/>
      <c r="S2975"/>
    </row>
    <row r="2976" spans="13:19" ht="13.95" customHeight="1">
      <c r="M2976"/>
      <c r="N2976"/>
      <c r="O2976"/>
      <c r="P2976"/>
      <c r="Q2976"/>
      <c r="R2976"/>
      <c r="S2976"/>
    </row>
    <row r="2977" spans="13:19" ht="13.95" customHeight="1">
      <c r="M2977"/>
      <c r="N2977"/>
      <c r="O2977"/>
      <c r="P2977"/>
      <c r="Q2977"/>
      <c r="R2977"/>
      <c r="S2977"/>
    </row>
    <row r="2978" spans="13:19" ht="13.95" customHeight="1">
      <c r="M2978"/>
      <c r="N2978"/>
      <c r="O2978"/>
      <c r="P2978"/>
      <c r="Q2978"/>
      <c r="R2978"/>
      <c r="S2978"/>
    </row>
    <row r="2979" spans="13:19" ht="13.95" customHeight="1">
      <c r="M2979"/>
      <c r="N2979"/>
      <c r="O2979"/>
      <c r="P2979"/>
      <c r="Q2979"/>
      <c r="R2979"/>
      <c r="S2979"/>
    </row>
    <row r="2980" spans="13:19" ht="13.95" customHeight="1">
      <c r="M2980"/>
      <c r="N2980"/>
      <c r="O2980"/>
      <c r="P2980"/>
      <c r="Q2980"/>
      <c r="R2980"/>
      <c r="S2980"/>
    </row>
    <row r="2981" spans="13:19" ht="13.95" customHeight="1">
      <c r="M2981"/>
      <c r="N2981"/>
      <c r="O2981"/>
      <c r="P2981"/>
      <c r="Q2981"/>
      <c r="R2981"/>
      <c r="S2981"/>
    </row>
    <row r="2982" spans="13:19" ht="13.95" customHeight="1">
      <c r="M2982"/>
      <c r="N2982"/>
      <c r="O2982"/>
      <c r="P2982"/>
      <c r="Q2982"/>
      <c r="R2982"/>
      <c r="S2982"/>
    </row>
    <row r="2983" spans="13:19" ht="13.95" customHeight="1">
      <c r="M2983"/>
      <c r="N2983"/>
      <c r="O2983"/>
      <c r="P2983"/>
      <c r="Q2983"/>
      <c r="R2983"/>
      <c r="S2983"/>
    </row>
    <row r="2984" spans="13:19" ht="13.95" customHeight="1">
      <c r="M2984"/>
      <c r="N2984"/>
      <c r="O2984"/>
      <c r="P2984"/>
      <c r="Q2984"/>
      <c r="R2984"/>
      <c r="S2984"/>
    </row>
    <row r="2985" spans="13:19" ht="13.95" customHeight="1">
      <c r="M2985"/>
      <c r="N2985"/>
      <c r="O2985"/>
      <c r="P2985"/>
      <c r="Q2985"/>
      <c r="R2985"/>
      <c r="S2985"/>
    </row>
    <row r="2986" spans="13:19" ht="13.95" customHeight="1">
      <c r="M2986"/>
      <c r="N2986"/>
      <c r="O2986"/>
      <c r="P2986"/>
      <c r="Q2986"/>
      <c r="R2986"/>
      <c r="S2986"/>
    </row>
    <row r="2987" spans="13:19" ht="13.95" customHeight="1">
      <c r="M2987"/>
      <c r="N2987"/>
      <c r="O2987"/>
      <c r="P2987"/>
      <c r="Q2987"/>
      <c r="R2987"/>
      <c r="S2987"/>
    </row>
    <row r="2988" spans="13:19" ht="13.95" customHeight="1">
      <c r="M2988"/>
      <c r="N2988"/>
      <c r="O2988"/>
      <c r="P2988"/>
      <c r="Q2988"/>
      <c r="R2988"/>
      <c r="S2988"/>
    </row>
    <row r="2989" spans="13:19" ht="13.95" customHeight="1">
      <c r="M2989"/>
      <c r="N2989"/>
      <c r="O2989"/>
      <c r="P2989"/>
      <c r="Q2989"/>
      <c r="R2989"/>
      <c r="S2989"/>
    </row>
    <row r="2990" spans="13:19" ht="13.95" customHeight="1">
      <c r="M2990"/>
      <c r="N2990"/>
      <c r="O2990"/>
      <c r="P2990"/>
      <c r="Q2990"/>
      <c r="R2990"/>
      <c r="S2990"/>
    </row>
    <row r="2991" spans="13:19" ht="13.95" customHeight="1">
      <c r="M2991"/>
      <c r="N2991"/>
      <c r="O2991"/>
      <c r="P2991"/>
      <c r="Q2991"/>
      <c r="R2991"/>
      <c r="S2991"/>
    </row>
    <row r="2992" spans="13:19" ht="13.95" customHeight="1">
      <c r="M2992"/>
      <c r="N2992"/>
      <c r="O2992"/>
      <c r="P2992"/>
      <c r="Q2992"/>
      <c r="R2992"/>
      <c r="S2992"/>
    </row>
    <row r="2993" spans="13:19" ht="13.95" customHeight="1">
      <c r="M2993"/>
      <c r="N2993"/>
      <c r="O2993"/>
      <c r="P2993"/>
      <c r="Q2993"/>
      <c r="R2993"/>
      <c r="S2993"/>
    </row>
    <row r="2994" spans="13:19" ht="13.95" customHeight="1">
      <c r="M2994"/>
      <c r="N2994"/>
      <c r="O2994"/>
      <c r="P2994"/>
      <c r="Q2994"/>
      <c r="R2994"/>
      <c r="S2994"/>
    </row>
    <row r="2995" spans="13:19" ht="13.95" customHeight="1">
      <c r="M2995"/>
      <c r="N2995"/>
      <c r="O2995"/>
      <c r="P2995"/>
      <c r="Q2995"/>
      <c r="R2995"/>
      <c r="S2995"/>
    </row>
    <row r="2996" spans="13:19" ht="13.95" customHeight="1">
      <c r="M2996"/>
      <c r="N2996"/>
      <c r="O2996"/>
      <c r="P2996"/>
      <c r="Q2996"/>
      <c r="R2996"/>
      <c r="S2996"/>
    </row>
    <row r="2997" spans="13:19" ht="13.95" customHeight="1">
      <c r="M2997"/>
      <c r="N2997"/>
      <c r="O2997"/>
      <c r="P2997"/>
      <c r="Q2997"/>
      <c r="R2997"/>
      <c r="S2997"/>
    </row>
    <row r="2998" spans="13:19" ht="13.95" customHeight="1">
      <c r="M2998"/>
      <c r="N2998"/>
      <c r="O2998"/>
      <c r="P2998"/>
      <c r="Q2998"/>
      <c r="R2998"/>
      <c r="S2998"/>
    </row>
    <row r="2999" spans="13:19" ht="13.95" customHeight="1">
      <c r="M2999"/>
      <c r="N2999"/>
      <c r="O2999"/>
      <c r="P2999"/>
      <c r="Q2999"/>
      <c r="R2999"/>
      <c r="S2999"/>
    </row>
    <row r="3000" spans="13:19" ht="13.95" customHeight="1">
      <c r="M3000"/>
      <c r="N3000"/>
      <c r="O3000"/>
      <c r="P3000"/>
      <c r="Q3000"/>
      <c r="R3000"/>
      <c r="S3000"/>
    </row>
    <row r="3001" spans="13:19" ht="13.95" customHeight="1">
      <c r="M3001"/>
      <c r="N3001"/>
      <c r="O3001"/>
      <c r="P3001"/>
      <c r="Q3001"/>
      <c r="R3001"/>
      <c r="S3001"/>
    </row>
    <row r="3002" spans="13:19" ht="13.95" customHeight="1">
      <c r="M3002"/>
      <c r="N3002"/>
      <c r="O3002"/>
      <c r="P3002"/>
      <c r="Q3002"/>
      <c r="R3002"/>
      <c r="S3002"/>
    </row>
    <row r="3003" spans="13:19" ht="13.95" customHeight="1">
      <c r="M3003"/>
      <c r="N3003"/>
      <c r="O3003"/>
      <c r="P3003"/>
      <c r="Q3003"/>
      <c r="R3003"/>
      <c r="S3003"/>
    </row>
    <row r="3004" spans="13:19" ht="13.95" customHeight="1">
      <c r="M3004"/>
      <c r="N3004"/>
      <c r="O3004"/>
      <c r="P3004"/>
      <c r="Q3004"/>
      <c r="R3004"/>
      <c r="S3004"/>
    </row>
    <row r="3005" spans="13:19" ht="13.95" customHeight="1">
      <c r="M3005"/>
      <c r="N3005"/>
      <c r="O3005"/>
      <c r="P3005"/>
      <c r="Q3005"/>
      <c r="R3005"/>
      <c r="S3005"/>
    </row>
    <row r="3006" spans="13:19" ht="13.95" customHeight="1">
      <c r="M3006"/>
      <c r="N3006"/>
      <c r="O3006"/>
      <c r="P3006"/>
      <c r="Q3006"/>
      <c r="R3006"/>
      <c r="S3006"/>
    </row>
    <row r="3007" spans="13:19" ht="13.95" customHeight="1">
      <c r="M3007"/>
      <c r="N3007"/>
      <c r="O3007"/>
      <c r="P3007"/>
      <c r="Q3007"/>
      <c r="R3007"/>
      <c r="S3007"/>
    </row>
    <row r="3008" spans="13:19" ht="13.95" customHeight="1">
      <c r="M3008"/>
      <c r="N3008"/>
      <c r="O3008"/>
      <c r="P3008"/>
      <c r="Q3008"/>
      <c r="R3008"/>
      <c r="S3008"/>
    </row>
    <row r="3009" spans="13:19" ht="13.95" customHeight="1">
      <c r="M3009"/>
      <c r="N3009"/>
      <c r="O3009"/>
      <c r="P3009"/>
      <c r="Q3009"/>
      <c r="R3009"/>
      <c r="S3009"/>
    </row>
    <row r="3010" spans="13:19" ht="13.95" customHeight="1">
      <c r="M3010"/>
      <c r="N3010"/>
      <c r="O3010"/>
      <c r="P3010"/>
      <c r="Q3010"/>
      <c r="R3010"/>
      <c r="S3010"/>
    </row>
    <row r="3011" spans="13:19" ht="13.95" customHeight="1">
      <c r="M3011"/>
      <c r="N3011"/>
      <c r="O3011"/>
      <c r="P3011"/>
      <c r="Q3011"/>
      <c r="R3011"/>
      <c r="S3011"/>
    </row>
    <row r="3012" spans="13:19" ht="13.95" customHeight="1">
      <c r="M3012"/>
      <c r="N3012"/>
      <c r="O3012"/>
      <c r="P3012"/>
      <c r="Q3012"/>
      <c r="R3012"/>
      <c r="S3012"/>
    </row>
    <row r="3013" spans="13:19" ht="13.95" customHeight="1">
      <c r="M3013"/>
      <c r="N3013"/>
      <c r="O3013"/>
      <c r="P3013"/>
      <c r="Q3013"/>
      <c r="R3013"/>
      <c r="S3013"/>
    </row>
    <row r="3014" spans="13:19" ht="13.95" customHeight="1">
      <c r="M3014"/>
      <c r="N3014"/>
      <c r="O3014"/>
      <c r="P3014"/>
      <c r="Q3014"/>
      <c r="R3014"/>
      <c r="S3014"/>
    </row>
    <row r="3015" spans="13:19" ht="13.95" customHeight="1">
      <c r="M3015"/>
      <c r="N3015"/>
      <c r="O3015"/>
      <c r="P3015"/>
      <c r="Q3015"/>
      <c r="R3015"/>
      <c r="S3015"/>
    </row>
    <row r="3016" spans="13:19" ht="13.95" customHeight="1">
      <c r="M3016"/>
      <c r="N3016"/>
      <c r="O3016"/>
      <c r="P3016"/>
      <c r="Q3016"/>
      <c r="R3016"/>
      <c r="S3016"/>
    </row>
    <row r="3017" spans="13:19" ht="13.95" customHeight="1">
      <c r="M3017"/>
      <c r="N3017"/>
      <c r="O3017"/>
      <c r="P3017"/>
      <c r="Q3017"/>
      <c r="R3017"/>
      <c r="S3017"/>
    </row>
    <row r="3018" spans="13:19" ht="13.95" customHeight="1">
      <c r="M3018"/>
      <c r="N3018"/>
      <c r="O3018"/>
      <c r="P3018"/>
      <c r="Q3018"/>
      <c r="R3018"/>
      <c r="S3018"/>
    </row>
    <row r="3019" spans="13:19" ht="13.95" customHeight="1">
      <c r="M3019"/>
      <c r="N3019"/>
      <c r="O3019"/>
      <c r="P3019"/>
      <c r="Q3019"/>
      <c r="R3019"/>
      <c r="S3019"/>
    </row>
    <row r="3020" spans="13:19" ht="13.95" customHeight="1">
      <c r="M3020"/>
      <c r="N3020"/>
      <c r="O3020"/>
      <c r="P3020"/>
      <c r="Q3020"/>
      <c r="R3020"/>
      <c r="S3020"/>
    </row>
    <row r="3021" spans="13:19" ht="13.95" customHeight="1">
      <c r="M3021"/>
      <c r="N3021"/>
      <c r="O3021"/>
      <c r="P3021"/>
      <c r="Q3021"/>
      <c r="R3021"/>
      <c r="S3021"/>
    </row>
    <row r="3022" spans="13:19" ht="13.95" customHeight="1">
      <c r="M3022"/>
      <c r="N3022"/>
      <c r="O3022"/>
      <c r="P3022"/>
      <c r="Q3022"/>
      <c r="R3022"/>
      <c r="S3022"/>
    </row>
    <row r="3023" spans="13:19" ht="13.95" customHeight="1">
      <c r="M3023"/>
      <c r="N3023"/>
      <c r="O3023"/>
      <c r="P3023"/>
      <c r="Q3023"/>
      <c r="R3023"/>
      <c r="S3023"/>
    </row>
    <row r="3024" spans="13:19" ht="13.95" customHeight="1">
      <c r="M3024"/>
      <c r="N3024"/>
      <c r="O3024"/>
      <c r="P3024"/>
      <c r="Q3024"/>
      <c r="R3024"/>
      <c r="S3024"/>
    </row>
    <row r="3025" spans="13:19" ht="13.95" customHeight="1">
      <c r="M3025"/>
      <c r="N3025"/>
      <c r="O3025"/>
      <c r="P3025"/>
      <c r="Q3025"/>
      <c r="R3025"/>
      <c r="S3025"/>
    </row>
    <row r="3026" spans="13:19" ht="13.95" customHeight="1">
      <c r="M3026"/>
      <c r="N3026"/>
      <c r="O3026"/>
      <c r="P3026"/>
      <c r="Q3026"/>
      <c r="R3026"/>
      <c r="S3026"/>
    </row>
    <row r="3027" spans="13:19" ht="13.95" customHeight="1">
      <c r="M3027"/>
      <c r="N3027"/>
      <c r="O3027"/>
      <c r="P3027"/>
      <c r="Q3027"/>
      <c r="R3027"/>
      <c r="S3027"/>
    </row>
    <row r="3028" spans="13:19" ht="13.95" customHeight="1">
      <c r="M3028"/>
      <c r="N3028"/>
      <c r="O3028"/>
      <c r="P3028"/>
      <c r="Q3028"/>
      <c r="R3028"/>
      <c r="S3028"/>
    </row>
    <row r="3029" spans="13:19" ht="13.95" customHeight="1">
      <c r="M3029"/>
      <c r="N3029"/>
      <c r="O3029"/>
      <c r="P3029"/>
      <c r="Q3029"/>
      <c r="R3029"/>
      <c r="S3029"/>
    </row>
    <row r="3030" spans="13:19" ht="13.95" customHeight="1">
      <c r="M3030"/>
      <c r="N3030"/>
      <c r="O3030"/>
      <c r="P3030"/>
      <c r="Q3030"/>
      <c r="R3030"/>
      <c r="S3030"/>
    </row>
    <row r="3031" spans="13:19" ht="13.95" customHeight="1">
      <c r="M3031"/>
      <c r="N3031"/>
      <c r="O3031"/>
      <c r="P3031"/>
      <c r="Q3031"/>
      <c r="R3031"/>
      <c r="S3031"/>
    </row>
    <row r="3032" spans="13:19" ht="13.95" customHeight="1">
      <c r="M3032"/>
      <c r="N3032"/>
      <c r="O3032"/>
      <c r="P3032"/>
      <c r="Q3032"/>
      <c r="R3032"/>
      <c r="S3032"/>
    </row>
    <row r="3033" spans="13:19" ht="13.95" customHeight="1">
      <c r="M3033"/>
      <c r="N3033"/>
      <c r="O3033"/>
      <c r="P3033"/>
      <c r="Q3033"/>
      <c r="R3033"/>
      <c r="S3033"/>
    </row>
    <row r="3034" spans="13:19" ht="13.95" customHeight="1">
      <c r="M3034"/>
      <c r="N3034"/>
      <c r="O3034"/>
      <c r="P3034"/>
      <c r="Q3034"/>
      <c r="R3034"/>
      <c r="S3034"/>
    </row>
    <row r="3035" spans="13:19" ht="13.95" customHeight="1">
      <c r="M3035"/>
      <c r="N3035"/>
      <c r="O3035"/>
      <c r="P3035"/>
      <c r="Q3035"/>
      <c r="R3035"/>
      <c r="S3035"/>
    </row>
    <row r="3036" spans="13:19" ht="13.95" customHeight="1">
      <c r="M3036"/>
      <c r="N3036"/>
      <c r="O3036"/>
      <c r="P3036"/>
      <c r="Q3036"/>
      <c r="R3036"/>
      <c r="S3036"/>
    </row>
    <row r="3037" spans="13:19" ht="13.95" customHeight="1">
      <c r="M3037"/>
      <c r="N3037"/>
      <c r="O3037"/>
      <c r="P3037"/>
      <c r="Q3037"/>
      <c r="R3037"/>
      <c r="S3037"/>
    </row>
    <row r="3038" spans="13:19" ht="13.95" customHeight="1">
      <c r="M3038"/>
      <c r="N3038"/>
      <c r="O3038"/>
      <c r="P3038"/>
      <c r="Q3038"/>
      <c r="R3038"/>
      <c r="S3038"/>
    </row>
    <row r="3039" spans="13:19" ht="13.95" customHeight="1">
      <c r="M3039"/>
      <c r="N3039"/>
      <c r="O3039"/>
      <c r="P3039"/>
      <c r="Q3039"/>
      <c r="R3039"/>
      <c r="S3039"/>
    </row>
    <row r="3040" spans="13:19" ht="13.95" customHeight="1">
      <c r="M3040"/>
      <c r="N3040"/>
      <c r="O3040"/>
      <c r="P3040"/>
      <c r="Q3040"/>
      <c r="R3040"/>
      <c r="S3040"/>
    </row>
    <row r="3041" spans="13:19" ht="13.95" customHeight="1">
      <c r="M3041"/>
      <c r="N3041"/>
      <c r="O3041"/>
      <c r="P3041"/>
      <c r="Q3041"/>
      <c r="R3041"/>
      <c r="S3041"/>
    </row>
    <row r="3042" spans="13:19" ht="13.95" customHeight="1">
      <c r="M3042"/>
      <c r="N3042"/>
      <c r="O3042"/>
      <c r="P3042"/>
      <c r="Q3042"/>
      <c r="R3042"/>
      <c r="S3042"/>
    </row>
    <row r="3043" spans="13:19" ht="13.95" customHeight="1">
      <c r="M3043"/>
      <c r="N3043"/>
      <c r="O3043"/>
      <c r="P3043"/>
      <c r="Q3043"/>
      <c r="R3043"/>
      <c r="S3043"/>
    </row>
    <row r="3044" spans="13:19" ht="13.95" customHeight="1">
      <c r="M3044"/>
      <c r="N3044"/>
      <c r="O3044"/>
      <c r="P3044"/>
      <c r="Q3044"/>
      <c r="R3044"/>
      <c r="S3044"/>
    </row>
    <row r="3045" spans="13:19" ht="13.95" customHeight="1">
      <c r="M3045"/>
      <c r="N3045"/>
      <c r="O3045"/>
      <c r="P3045"/>
      <c r="Q3045"/>
      <c r="R3045"/>
      <c r="S3045"/>
    </row>
    <row r="3046" spans="13:19" ht="13.95" customHeight="1">
      <c r="M3046"/>
      <c r="N3046"/>
      <c r="O3046"/>
      <c r="P3046"/>
      <c r="Q3046"/>
      <c r="R3046"/>
      <c r="S3046"/>
    </row>
    <row r="3047" spans="13:19" ht="13.95" customHeight="1">
      <c r="M3047"/>
      <c r="N3047"/>
      <c r="O3047"/>
      <c r="P3047"/>
      <c r="Q3047"/>
      <c r="R3047"/>
      <c r="S3047"/>
    </row>
    <row r="3048" spans="13:19" ht="13.95" customHeight="1">
      <c r="M3048"/>
      <c r="N3048"/>
      <c r="O3048"/>
      <c r="P3048"/>
      <c r="Q3048"/>
      <c r="R3048"/>
      <c r="S3048"/>
    </row>
    <row r="3049" spans="13:19" ht="13.95" customHeight="1">
      <c r="M3049"/>
      <c r="N3049"/>
      <c r="O3049"/>
      <c r="P3049"/>
      <c r="Q3049"/>
      <c r="R3049"/>
      <c r="S3049"/>
    </row>
    <row r="3050" spans="13:19" ht="13.95" customHeight="1">
      <c r="M3050"/>
      <c r="N3050"/>
      <c r="O3050"/>
      <c r="P3050"/>
      <c r="Q3050"/>
      <c r="R3050"/>
      <c r="S3050"/>
    </row>
    <row r="3051" spans="13:19" ht="13.95" customHeight="1">
      <c r="M3051"/>
      <c r="N3051"/>
      <c r="O3051"/>
      <c r="P3051"/>
      <c r="Q3051"/>
      <c r="R3051"/>
      <c r="S3051"/>
    </row>
    <row r="3052" spans="13:19" ht="13.95" customHeight="1">
      <c r="M3052"/>
      <c r="N3052"/>
      <c r="O3052"/>
      <c r="P3052"/>
      <c r="Q3052"/>
      <c r="R3052"/>
      <c r="S3052"/>
    </row>
    <row r="3053" spans="13:19" ht="13.95" customHeight="1">
      <c r="M3053"/>
      <c r="N3053"/>
      <c r="O3053"/>
      <c r="P3053"/>
      <c r="Q3053"/>
      <c r="R3053"/>
      <c r="S3053"/>
    </row>
    <row r="3054" spans="13:19" ht="13.95" customHeight="1">
      <c r="M3054"/>
      <c r="N3054"/>
      <c r="O3054"/>
      <c r="P3054"/>
      <c r="Q3054"/>
      <c r="R3054"/>
      <c r="S3054"/>
    </row>
    <row r="3055" spans="13:19" ht="13.95" customHeight="1">
      <c r="M3055"/>
      <c r="N3055"/>
      <c r="O3055"/>
      <c r="P3055"/>
      <c r="Q3055"/>
      <c r="R3055"/>
      <c r="S3055"/>
    </row>
    <row r="3056" spans="13:19" ht="13.95" customHeight="1">
      <c r="M3056"/>
      <c r="N3056"/>
      <c r="O3056"/>
      <c r="P3056"/>
      <c r="Q3056"/>
      <c r="R3056"/>
      <c r="S3056"/>
    </row>
    <row r="3057" spans="13:19" ht="13.95" customHeight="1">
      <c r="M3057"/>
      <c r="N3057"/>
      <c r="O3057"/>
      <c r="P3057"/>
      <c r="Q3057"/>
      <c r="R3057"/>
      <c r="S3057"/>
    </row>
    <row r="3058" spans="13:19" ht="13.95" customHeight="1">
      <c r="M3058"/>
      <c r="N3058"/>
      <c r="O3058"/>
      <c r="P3058"/>
      <c r="Q3058"/>
      <c r="R3058"/>
      <c r="S3058"/>
    </row>
    <row r="3059" spans="13:19" ht="13.95" customHeight="1">
      <c r="M3059"/>
      <c r="N3059"/>
      <c r="O3059"/>
      <c r="P3059"/>
      <c r="Q3059"/>
      <c r="R3059"/>
      <c r="S3059"/>
    </row>
    <row r="3060" spans="13:19" ht="13.95" customHeight="1">
      <c r="M3060"/>
      <c r="N3060"/>
      <c r="O3060"/>
      <c r="P3060"/>
      <c r="Q3060"/>
      <c r="R3060"/>
      <c r="S3060"/>
    </row>
    <row r="3061" spans="13:19" ht="13.95" customHeight="1">
      <c r="M3061"/>
      <c r="N3061"/>
      <c r="O3061"/>
      <c r="P3061"/>
      <c r="Q3061"/>
      <c r="R3061"/>
      <c r="S3061"/>
    </row>
    <row r="3062" spans="13:19" ht="13.95" customHeight="1">
      <c r="M3062"/>
      <c r="N3062"/>
      <c r="O3062"/>
      <c r="P3062"/>
      <c r="Q3062"/>
      <c r="R3062"/>
      <c r="S3062"/>
    </row>
    <row r="3063" spans="13:19" ht="13.95" customHeight="1">
      <c r="M3063"/>
      <c r="N3063"/>
      <c r="O3063"/>
      <c r="P3063"/>
      <c r="Q3063"/>
      <c r="R3063"/>
      <c r="S3063"/>
    </row>
    <row r="3064" spans="13:19" ht="13.95" customHeight="1">
      <c r="M3064"/>
      <c r="N3064"/>
      <c r="O3064"/>
      <c r="P3064"/>
      <c r="Q3064"/>
      <c r="R3064"/>
      <c r="S3064"/>
    </row>
    <row r="3065" spans="13:19" ht="13.95" customHeight="1">
      <c r="M3065"/>
      <c r="N3065"/>
      <c r="O3065"/>
      <c r="P3065"/>
      <c r="Q3065"/>
      <c r="R3065"/>
      <c r="S3065"/>
    </row>
    <row r="3066" spans="13:19" ht="13.95" customHeight="1">
      <c r="M3066"/>
      <c r="N3066"/>
      <c r="O3066"/>
      <c r="P3066"/>
      <c r="Q3066"/>
      <c r="R3066"/>
      <c r="S3066"/>
    </row>
    <row r="3067" spans="13:19" ht="13.95" customHeight="1">
      <c r="M3067"/>
      <c r="N3067"/>
      <c r="O3067"/>
      <c r="P3067"/>
      <c r="Q3067"/>
      <c r="R3067"/>
      <c r="S3067"/>
    </row>
    <row r="3068" spans="13:19" ht="13.95" customHeight="1">
      <c r="M3068"/>
      <c r="N3068"/>
      <c r="O3068"/>
      <c r="P3068"/>
      <c r="Q3068"/>
      <c r="R3068"/>
      <c r="S3068"/>
    </row>
    <row r="3069" spans="13:19" ht="13.95" customHeight="1">
      <c r="M3069"/>
      <c r="N3069"/>
      <c r="O3069"/>
      <c r="P3069"/>
      <c r="Q3069"/>
      <c r="R3069"/>
      <c r="S3069"/>
    </row>
    <row r="3070" spans="13:19" ht="13.95" customHeight="1">
      <c r="M3070"/>
      <c r="N3070"/>
      <c r="O3070"/>
      <c r="P3070"/>
      <c r="Q3070"/>
      <c r="R3070"/>
      <c r="S3070"/>
    </row>
    <row r="3071" spans="13:19" ht="13.95" customHeight="1">
      <c r="M3071"/>
      <c r="N3071"/>
      <c r="O3071"/>
      <c r="P3071"/>
      <c r="Q3071"/>
      <c r="R3071"/>
      <c r="S3071"/>
    </row>
    <row r="3072" spans="13:19" ht="13.95" customHeight="1">
      <c r="M3072"/>
      <c r="N3072"/>
      <c r="O3072"/>
      <c r="P3072"/>
      <c r="Q3072"/>
      <c r="R3072"/>
      <c r="S3072"/>
    </row>
    <row r="3073" spans="13:19" ht="13.95" customHeight="1">
      <c r="M3073"/>
      <c r="N3073"/>
      <c r="O3073"/>
      <c r="P3073"/>
      <c r="Q3073"/>
      <c r="R3073"/>
      <c r="S3073"/>
    </row>
    <row r="3074" spans="13:19" ht="13.95" customHeight="1">
      <c r="M3074"/>
      <c r="N3074"/>
      <c r="O3074"/>
      <c r="P3074"/>
      <c r="Q3074"/>
      <c r="R3074"/>
      <c r="S3074"/>
    </row>
    <row r="3075" spans="13:19" ht="13.95" customHeight="1">
      <c r="M3075"/>
      <c r="N3075"/>
      <c r="O3075"/>
      <c r="P3075"/>
      <c r="Q3075"/>
      <c r="R3075"/>
      <c r="S3075"/>
    </row>
    <row r="3076" spans="13:19" ht="13.95" customHeight="1">
      <c r="M3076"/>
      <c r="N3076"/>
      <c r="O3076"/>
      <c r="P3076"/>
      <c r="Q3076"/>
      <c r="R3076"/>
      <c r="S3076"/>
    </row>
    <row r="3077" spans="13:19" ht="13.95" customHeight="1">
      <c r="M3077"/>
      <c r="N3077"/>
      <c r="O3077"/>
      <c r="P3077"/>
      <c r="Q3077"/>
      <c r="R3077"/>
      <c r="S3077"/>
    </row>
    <row r="3078" spans="13:19" ht="13.95" customHeight="1">
      <c r="M3078"/>
      <c r="N3078"/>
      <c r="O3078"/>
      <c r="P3078"/>
      <c r="Q3078"/>
      <c r="R3078"/>
      <c r="S3078"/>
    </row>
    <row r="3079" spans="13:19" ht="13.95" customHeight="1">
      <c r="M3079"/>
      <c r="N3079"/>
      <c r="O3079"/>
      <c r="P3079"/>
      <c r="Q3079"/>
      <c r="R3079"/>
      <c r="S3079"/>
    </row>
    <row r="3080" spans="13:19" ht="13.95" customHeight="1">
      <c r="M3080"/>
      <c r="N3080"/>
      <c r="O3080"/>
      <c r="P3080"/>
      <c r="Q3080"/>
      <c r="R3080"/>
      <c r="S3080"/>
    </row>
    <row r="3081" spans="13:19" ht="13.95" customHeight="1">
      <c r="M3081"/>
      <c r="N3081"/>
      <c r="O3081"/>
      <c r="P3081"/>
      <c r="Q3081"/>
      <c r="R3081"/>
      <c r="S3081"/>
    </row>
    <row r="3082" spans="13:19" ht="13.95" customHeight="1">
      <c r="M3082"/>
      <c r="N3082"/>
      <c r="O3082"/>
      <c r="P3082"/>
      <c r="Q3082"/>
      <c r="R3082"/>
      <c r="S3082"/>
    </row>
    <row r="3083" spans="13:19" ht="13.95" customHeight="1">
      <c r="M3083"/>
      <c r="N3083"/>
      <c r="O3083"/>
      <c r="P3083"/>
      <c r="Q3083"/>
      <c r="R3083"/>
      <c r="S3083"/>
    </row>
    <row r="3084" spans="13:19" ht="13.95" customHeight="1">
      <c r="M3084"/>
      <c r="N3084"/>
      <c r="O3084"/>
      <c r="P3084"/>
      <c r="Q3084"/>
      <c r="R3084"/>
      <c r="S3084"/>
    </row>
    <row r="3085" spans="13:19" ht="13.95" customHeight="1">
      <c r="M3085"/>
      <c r="N3085"/>
      <c r="O3085"/>
      <c r="P3085"/>
      <c r="Q3085"/>
      <c r="R3085"/>
      <c r="S3085"/>
    </row>
    <row r="3086" spans="13:19" ht="13.95" customHeight="1">
      <c r="M3086"/>
      <c r="N3086"/>
      <c r="O3086"/>
      <c r="P3086"/>
      <c r="Q3086"/>
      <c r="R3086"/>
      <c r="S3086"/>
    </row>
    <row r="3087" spans="13:19" ht="13.95" customHeight="1">
      <c r="M3087"/>
      <c r="N3087"/>
      <c r="O3087"/>
      <c r="P3087"/>
      <c r="Q3087"/>
      <c r="R3087"/>
      <c r="S3087"/>
    </row>
    <row r="3088" spans="13:19" ht="13.95" customHeight="1">
      <c r="M3088"/>
      <c r="N3088"/>
      <c r="O3088"/>
      <c r="P3088"/>
      <c r="Q3088"/>
      <c r="R3088"/>
      <c r="S3088"/>
    </row>
    <row r="3089" spans="13:19" ht="13.95" customHeight="1">
      <c r="M3089"/>
      <c r="N3089"/>
      <c r="O3089"/>
      <c r="P3089"/>
      <c r="Q3089"/>
      <c r="R3089"/>
      <c r="S3089"/>
    </row>
    <row r="3090" spans="13:19" ht="13.95" customHeight="1">
      <c r="M3090"/>
      <c r="N3090"/>
      <c r="O3090"/>
      <c r="P3090"/>
      <c r="Q3090"/>
      <c r="R3090"/>
      <c r="S3090"/>
    </row>
    <row r="3091" spans="13:19" ht="13.95" customHeight="1">
      <c r="M3091"/>
      <c r="N3091"/>
      <c r="O3091"/>
      <c r="P3091"/>
      <c r="Q3091"/>
      <c r="R3091"/>
      <c r="S3091"/>
    </row>
    <row r="3092" spans="13:19" ht="13.95" customHeight="1">
      <c r="M3092"/>
      <c r="N3092"/>
      <c r="O3092"/>
      <c r="P3092"/>
      <c r="Q3092"/>
      <c r="R3092"/>
      <c r="S3092"/>
    </row>
    <row r="3093" spans="13:19" ht="13.95" customHeight="1">
      <c r="M3093"/>
      <c r="N3093"/>
      <c r="O3093"/>
      <c r="P3093"/>
      <c r="Q3093"/>
      <c r="R3093"/>
      <c r="S3093"/>
    </row>
    <row r="3094" spans="13:19" ht="13.95" customHeight="1">
      <c r="M3094"/>
      <c r="N3094"/>
      <c r="O3094"/>
      <c r="P3094"/>
      <c r="Q3094"/>
      <c r="R3094"/>
      <c r="S3094"/>
    </row>
    <row r="3095" spans="13:19" ht="13.95" customHeight="1">
      <c r="M3095"/>
      <c r="N3095"/>
      <c r="O3095"/>
      <c r="P3095"/>
      <c r="Q3095"/>
      <c r="R3095"/>
      <c r="S3095"/>
    </row>
    <row r="3096" spans="13:19" ht="13.95" customHeight="1">
      <c r="M3096"/>
      <c r="N3096"/>
      <c r="O3096"/>
      <c r="P3096"/>
      <c r="Q3096"/>
      <c r="R3096"/>
      <c r="S3096"/>
    </row>
    <row r="3097" spans="13:19" ht="13.95" customHeight="1">
      <c r="M3097"/>
      <c r="N3097"/>
      <c r="O3097"/>
      <c r="P3097"/>
      <c r="Q3097"/>
      <c r="R3097"/>
      <c r="S3097"/>
    </row>
    <row r="3098" spans="13:19" ht="13.95" customHeight="1">
      <c r="M3098"/>
      <c r="N3098"/>
      <c r="O3098"/>
      <c r="P3098"/>
      <c r="Q3098"/>
      <c r="R3098"/>
      <c r="S3098"/>
    </row>
    <row r="3099" spans="13:19" ht="13.95" customHeight="1">
      <c r="M3099"/>
      <c r="N3099"/>
      <c r="O3099"/>
      <c r="P3099"/>
      <c r="Q3099"/>
      <c r="R3099"/>
      <c r="S3099"/>
    </row>
    <row r="3100" spans="13:19" ht="13.95" customHeight="1">
      <c r="M3100"/>
      <c r="N3100"/>
      <c r="O3100"/>
      <c r="P3100"/>
      <c r="Q3100"/>
      <c r="R3100"/>
      <c r="S3100"/>
    </row>
    <row r="3101" spans="13:19" ht="13.95" customHeight="1">
      <c r="M3101"/>
      <c r="N3101"/>
      <c r="O3101"/>
      <c r="P3101"/>
      <c r="Q3101"/>
      <c r="R3101"/>
      <c r="S3101"/>
    </row>
    <row r="3102" spans="13:19" ht="13.95" customHeight="1">
      <c r="M3102"/>
      <c r="N3102"/>
      <c r="O3102"/>
      <c r="P3102"/>
      <c r="Q3102"/>
      <c r="R3102"/>
      <c r="S3102"/>
    </row>
    <row r="3103" spans="13:19" ht="13.95" customHeight="1">
      <c r="M3103"/>
      <c r="N3103"/>
      <c r="O3103"/>
      <c r="P3103"/>
      <c r="Q3103"/>
      <c r="R3103"/>
      <c r="S3103"/>
    </row>
    <row r="3104" spans="13:19" ht="13.95" customHeight="1">
      <c r="M3104"/>
      <c r="N3104"/>
      <c r="O3104"/>
      <c r="P3104"/>
      <c r="Q3104"/>
      <c r="R3104"/>
      <c r="S3104"/>
    </row>
    <row r="3105" spans="13:19" ht="13.95" customHeight="1">
      <c r="M3105"/>
      <c r="N3105"/>
      <c r="O3105"/>
      <c r="P3105"/>
      <c r="Q3105"/>
      <c r="R3105"/>
      <c r="S3105"/>
    </row>
    <row r="3106" spans="13:19" ht="13.95" customHeight="1">
      <c r="M3106"/>
      <c r="N3106"/>
      <c r="O3106"/>
      <c r="P3106"/>
      <c r="Q3106"/>
      <c r="R3106"/>
      <c r="S3106"/>
    </row>
    <row r="3107" spans="13:19" ht="13.95" customHeight="1">
      <c r="M3107"/>
      <c r="N3107"/>
      <c r="O3107"/>
      <c r="P3107"/>
      <c r="Q3107"/>
      <c r="R3107"/>
      <c r="S3107"/>
    </row>
    <row r="3108" spans="13:19" ht="13.95" customHeight="1">
      <c r="M3108"/>
      <c r="N3108"/>
      <c r="O3108"/>
      <c r="P3108"/>
      <c r="Q3108"/>
      <c r="R3108"/>
      <c r="S3108"/>
    </row>
    <row r="3109" spans="13:19" ht="13.95" customHeight="1">
      <c r="M3109"/>
      <c r="N3109"/>
      <c r="O3109"/>
      <c r="P3109"/>
      <c r="Q3109"/>
      <c r="R3109"/>
      <c r="S3109"/>
    </row>
    <row r="3110" spans="13:19" ht="13.95" customHeight="1">
      <c r="M3110"/>
      <c r="N3110"/>
      <c r="O3110"/>
      <c r="P3110"/>
      <c r="Q3110"/>
      <c r="R3110"/>
      <c r="S3110"/>
    </row>
    <row r="3111" spans="13:19" ht="13.95" customHeight="1">
      <c r="M3111"/>
      <c r="N3111"/>
      <c r="O3111"/>
      <c r="P3111"/>
      <c r="Q3111"/>
      <c r="R3111"/>
      <c r="S3111"/>
    </row>
    <row r="3112" spans="13:19" ht="13.95" customHeight="1">
      <c r="M3112"/>
      <c r="N3112"/>
      <c r="O3112"/>
      <c r="P3112"/>
      <c r="Q3112"/>
      <c r="R3112"/>
      <c r="S3112"/>
    </row>
    <row r="3113" spans="13:19" ht="13.95" customHeight="1">
      <c r="M3113"/>
      <c r="N3113"/>
      <c r="O3113"/>
      <c r="P3113"/>
      <c r="Q3113"/>
      <c r="R3113"/>
      <c r="S3113"/>
    </row>
    <row r="3114" spans="13:19" ht="13.95" customHeight="1">
      <c r="M3114"/>
      <c r="N3114"/>
      <c r="O3114"/>
      <c r="P3114"/>
      <c r="Q3114"/>
      <c r="R3114"/>
      <c r="S3114"/>
    </row>
    <row r="3115" spans="13:19" ht="13.95" customHeight="1">
      <c r="M3115"/>
      <c r="N3115"/>
      <c r="O3115"/>
      <c r="P3115"/>
      <c r="Q3115"/>
      <c r="R3115"/>
      <c r="S3115"/>
    </row>
    <row r="3116" spans="13:19" ht="13.95" customHeight="1">
      <c r="M3116"/>
      <c r="N3116"/>
      <c r="O3116"/>
      <c r="P3116"/>
      <c r="Q3116"/>
      <c r="R3116"/>
      <c r="S3116"/>
    </row>
    <row r="3117" spans="13:19" ht="13.95" customHeight="1">
      <c r="M3117"/>
      <c r="N3117"/>
      <c r="O3117"/>
      <c r="P3117"/>
      <c r="Q3117"/>
      <c r="R3117"/>
      <c r="S3117"/>
    </row>
    <row r="3118" spans="13:19" ht="13.95" customHeight="1">
      <c r="M3118"/>
      <c r="N3118"/>
      <c r="O3118"/>
      <c r="P3118"/>
      <c r="Q3118"/>
      <c r="R3118"/>
      <c r="S3118"/>
    </row>
    <row r="3119" spans="13:19" ht="13.95" customHeight="1">
      <c r="M3119"/>
      <c r="N3119"/>
      <c r="O3119"/>
      <c r="P3119"/>
      <c r="Q3119"/>
      <c r="R3119"/>
      <c r="S3119"/>
    </row>
    <row r="3120" spans="13:19" ht="13.95" customHeight="1">
      <c r="M3120"/>
      <c r="N3120"/>
      <c r="O3120"/>
      <c r="P3120"/>
      <c r="Q3120"/>
      <c r="R3120"/>
      <c r="S3120"/>
    </row>
    <row r="3121" spans="13:19" ht="13.95" customHeight="1">
      <c r="M3121"/>
      <c r="N3121"/>
      <c r="O3121"/>
      <c r="P3121"/>
      <c r="Q3121"/>
      <c r="R3121"/>
      <c r="S3121"/>
    </row>
    <row r="3122" spans="13:19" ht="13.95" customHeight="1">
      <c r="M3122"/>
      <c r="N3122"/>
      <c r="O3122"/>
      <c r="P3122"/>
      <c r="Q3122"/>
      <c r="R3122"/>
      <c r="S3122"/>
    </row>
    <row r="3123" spans="13:19" ht="13.95" customHeight="1">
      <c r="M3123"/>
      <c r="N3123"/>
      <c r="O3123"/>
      <c r="P3123"/>
      <c r="Q3123"/>
      <c r="R3123"/>
      <c r="S3123"/>
    </row>
    <row r="3124" spans="13:19" ht="13.95" customHeight="1">
      <c r="M3124"/>
      <c r="N3124"/>
      <c r="O3124"/>
      <c r="P3124"/>
      <c r="Q3124"/>
      <c r="R3124"/>
      <c r="S3124"/>
    </row>
    <row r="3125" spans="13:19" ht="13.95" customHeight="1">
      <c r="M3125"/>
      <c r="N3125"/>
      <c r="O3125"/>
      <c r="P3125"/>
      <c r="Q3125"/>
      <c r="R3125"/>
      <c r="S3125"/>
    </row>
    <row r="3126" spans="13:19" ht="13.95" customHeight="1">
      <c r="M3126"/>
      <c r="N3126"/>
      <c r="O3126"/>
      <c r="P3126"/>
      <c r="Q3126"/>
      <c r="R3126"/>
      <c r="S3126"/>
    </row>
    <row r="3127" spans="13:19" ht="13.95" customHeight="1">
      <c r="M3127"/>
      <c r="N3127"/>
      <c r="O3127"/>
      <c r="P3127"/>
      <c r="Q3127"/>
      <c r="R3127"/>
      <c r="S3127"/>
    </row>
    <row r="3128" spans="13:19" ht="13.95" customHeight="1">
      <c r="M3128"/>
      <c r="N3128"/>
      <c r="O3128"/>
      <c r="P3128"/>
      <c r="Q3128"/>
      <c r="R3128"/>
      <c r="S3128"/>
    </row>
    <row r="3129" spans="13:19" ht="13.95" customHeight="1">
      <c r="M3129"/>
      <c r="N3129"/>
      <c r="O3129"/>
      <c r="P3129"/>
      <c r="Q3129"/>
      <c r="R3129"/>
      <c r="S3129"/>
    </row>
    <row r="3130" spans="13:19" ht="13.95" customHeight="1">
      <c r="M3130"/>
      <c r="N3130"/>
      <c r="O3130"/>
      <c r="P3130"/>
      <c r="Q3130"/>
      <c r="R3130"/>
      <c r="S3130"/>
    </row>
    <row r="3131" spans="13:19" ht="13.95" customHeight="1">
      <c r="M3131"/>
      <c r="N3131"/>
      <c r="O3131"/>
      <c r="P3131"/>
      <c r="Q3131"/>
      <c r="R3131"/>
      <c r="S3131"/>
    </row>
    <row r="3132" spans="13:19" ht="13.95" customHeight="1">
      <c r="M3132"/>
      <c r="N3132"/>
      <c r="O3132"/>
      <c r="P3132"/>
      <c r="Q3132"/>
      <c r="R3132"/>
      <c r="S3132"/>
    </row>
    <row r="3133" spans="13:19" ht="13.95" customHeight="1">
      <c r="M3133"/>
      <c r="N3133"/>
      <c r="O3133"/>
      <c r="P3133"/>
      <c r="Q3133"/>
      <c r="R3133"/>
      <c r="S3133"/>
    </row>
    <row r="3134" spans="13:19" ht="13.95" customHeight="1">
      <c r="M3134"/>
      <c r="N3134"/>
      <c r="O3134"/>
      <c r="P3134"/>
      <c r="Q3134"/>
      <c r="R3134"/>
      <c r="S3134"/>
    </row>
    <row r="3135" spans="13:19" ht="13.95" customHeight="1">
      <c r="M3135"/>
      <c r="N3135"/>
      <c r="O3135"/>
      <c r="P3135"/>
      <c r="Q3135"/>
      <c r="R3135"/>
      <c r="S3135"/>
    </row>
    <row r="3136" spans="13:19" ht="13.95" customHeight="1">
      <c r="M3136"/>
      <c r="N3136"/>
      <c r="O3136"/>
      <c r="P3136"/>
      <c r="Q3136"/>
      <c r="R3136"/>
      <c r="S3136"/>
    </row>
    <row r="3137" spans="13:19" ht="13.95" customHeight="1">
      <c r="M3137"/>
      <c r="N3137"/>
      <c r="O3137"/>
      <c r="P3137"/>
      <c r="Q3137"/>
      <c r="R3137"/>
      <c r="S3137"/>
    </row>
    <row r="3138" spans="13:19" ht="13.95" customHeight="1">
      <c r="M3138"/>
      <c r="N3138"/>
      <c r="O3138"/>
      <c r="P3138"/>
      <c r="Q3138"/>
      <c r="R3138"/>
      <c r="S3138"/>
    </row>
    <row r="3139" spans="13:19" ht="13.95" customHeight="1">
      <c r="M3139"/>
      <c r="N3139"/>
      <c r="O3139"/>
      <c r="P3139"/>
      <c r="Q3139"/>
      <c r="R3139"/>
      <c r="S3139"/>
    </row>
    <row r="3140" spans="13:19" ht="13.95" customHeight="1">
      <c r="M3140"/>
      <c r="N3140"/>
      <c r="O3140"/>
      <c r="P3140"/>
      <c r="Q3140"/>
      <c r="R3140"/>
      <c r="S3140"/>
    </row>
    <row r="3141" spans="13:19" ht="13.95" customHeight="1">
      <c r="M3141"/>
      <c r="N3141"/>
      <c r="O3141"/>
      <c r="P3141"/>
      <c r="Q3141"/>
      <c r="R3141"/>
      <c r="S3141"/>
    </row>
    <row r="3142" spans="13:19" ht="13.95" customHeight="1">
      <c r="M3142"/>
      <c r="N3142"/>
      <c r="O3142"/>
      <c r="P3142"/>
      <c r="Q3142"/>
      <c r="R3142"/>
      <c r="S3142"/>
    </row>
    <row r="3143" spans="13:19" ht="13.95" customHeight="1">
      <c r="M3143"/>
      <c r="N3143"/>
      <c r="O3143"/>
      <c r="P3143"/>
      <c r="Q3143"/>
      <c r="R3143"/>
      <c r="S3143"/>
    </row>
    <row r="3144" spans="13:19" ht="13.95" customHeight="1">
      <c r="M3144"/>
      <c r="N3144"/>
      <c r="O3144"/>
      <c r="P3144"/>
      <c r="Q3144"/>
      <c r="R3144"/>
      <c r="S3144"/>
    </row>
    <row r="3145" spans="13:19" ht="13.95" customHeight="1">
      <c r="M3145"/>
      <c r="N3145"/>
      <c r="O3145"/>
      <c r="P3145"/>
      <c r="Q3145"/>
      <c r="R3145"/>
      <c r="S3145"/>
    </row>
    <row r="3146" spans="13:19" ht="13.95" customHeight="1">
      <c r="M3146"/>
      <c r="N3146"/>
      <c r="O3146"/>
      <c r="P3146"/>
      <c r="Q3146"/>
      <c r="R3146"/>
      <c r="S3146"/>
    </row>
    <row r="3147" spans="13:19" ht="13.95" customHeight="1">
      <c r="M3147"/>
      <c r="N3147"/>
      <c r="O3147"/>
      <c r="P3147"/>
      <c r="Q3147"/>
      <c r="R3147"/>
      <c r="S3147"/>
    </row>
    <row r="3148" spans="13:19" ht="13.95" customHeight="1">
      <c r="M3148"/>
      <c r="N3148"/>
      <c r="O3148"/>
      <c r="P3148"/>
      <c r="Q3148"/>
      <c r="R3148"/>
      <c r="S3148"/>
    </row>
    <row r="3149" spans="13:19" ht="13.95" customHeight="1">
      <c r="M3149"/>
      <c r="N3149"/>
      <c r="O3149"/>
      <c r="P3149"/>
      <c r="Q3149"/>
      <c r="R3149"/>
      <c r="S3149"/>
    </row>
    <row r="3150" spans="13:19" ht="13.95" customHeight="1">
      <c r="M3150"/>
      <c r="N3150"/>
      <c r="O3150"/>
      <c r="P3150"/>
      <c r="Q3150"/>
      <c r="R3150"/>
      <c r="S3150"/>
    </row>
    <row r="3151" spans="13:19" ht="13.95" customHeight="1">
      <c r="M3151"/>
      <c r="N3151"/>
      <c r="O3151"/>
      <c r="P3151"/>
      <c r="Q3151"/>
      <c r="R3151"/>
      <c r="S3151"/>
    </row>
    <row r="3152" spans="13:19" ht="13.95" customHeight="1">
      <c r="M3152"/>
      <c r="N3152"/>
      <c r="O3152"/>
      <c r="P3152"/>
      <c r="Q3152"/>
      <c r="R3152"/>
      <c r="S3152"/>
    </row>
    <row r="3153" spans="13:19" ht="13.95" customHeight="1">
      <c r="M3153"/>
      <c r="N3153"/>
      <c r="O3153"/>
      <c r="P3153"/>
      <c r="Q3153"/>
      <c r="R3153"/>
      <c r="S3153"/>
    </row>
    <row r="3154" spans="13:19" ht="13.95" customHeight="1">
      <c r="M3154"/>
      <c r="N3154"/>
      <c r="O3154"/>
      <c r="P3154"/>
      <c r="Q3154"/>
      <c r="R3154"/>
      <c r="S3154"/>
    </row>
    <row r="3155" spans="13:19" ht="13.95" customHeight="1">
      <c r="M3155"/>
      <c r="N3155"/>
      <c r="O3155"/>
      <c r="P3155"/>
      <c r="Q3155"/>
      <c r="R3155"/>
      <c r="S3155"/>
    </row>
    <row r="3156" spans="13:19" ht="13.95" customHeight="1">
      <c r="M3156"/>
      <c r="N3156"/>
      <c r="O3156"/>
      <c r="P3156"/>
      <c r="Q3156"/>
      <c r="R3156"/>
      <c r="S3156"/>
    </row>
    <row r="3157" spans="13:19" ht="13.95" customHeight="1">
      <c r="M3157"/>
      <c r="N3157"/>
      <c r="O3157"/>
      <c r="P3157"/>
      <c r="Q3157"/>
      <c r="R3157"/>
      <c r="S3157"/>
    </row>
    <row r="3158" spans="13:19" ht="13.95" customHeight="1">
      <c r="M3158"/>
      <c r="N3158"/>
      <c r="O3158"/>
      <c r="P3158"/>
      <c r="Q3158"/>
      <c r="R3158"/>
      <c r="S3158"/>
    </row>
    <row r="3159" spans="13:19" ht="13.95" customHeight="1">
      <c r="M3159"/>
      <c r="N3159"/>
      <c r="O3159"/>
      <c r="P3159"/>
      <c r="Q3159"/>
      <c r="R3159"/>
      <c r="S3159"/>
    </row>
    <row r="3160" spans="13:19" ht="13.95" customHeight="1">
      <c r="M3160"/>
      <c r="N3160"/>
      <c r="O3160"/>
      <c r="P3160"/>
      <c r="Q3160"/>
      <c r="R3160"/>
      <c r="S3160"/>
    </row>
    <row r="3161" spans="13:19" ht="13.95" customHeight="1">
      <c r="M3161"/>
      <c r="N3161"/>
      <c r="O3161"/>
      <c r="P3161"/>
      <c r="Q3161"/>
      <c r="R3161"/>
      <c r="S3161"/>
    </row>
    <row r="3162" spans="13:19" ht="13.95" customHeight="1">
      <c r="M3162"/>
      <c r="N3162"/>
      <c r="O3162"/>
      <c r="P3162"/>
      <c r="Q3162"/>
      <c r="R3162"/>
      <c r="S3162"/>
    </row>
    <row r="3163" spans="13:19" ht="13.95" customHeight="1">
      <c r="M3163"/>
      <c r="N3163"/>
      <c r="O3163"/>
      <c r="P3163"/>
      <c r="Q3163"/>
      <c r="R3163"/>
      <c r="S3163"/>
    </row>
    <row r="3164" spans="13:19" ht="13.95" customHeight="1">
      <c r="M3164"/>
      <c r="N3164"/>
      <c r="O3164"/>
      <c r="P3164"/>
      <c r="Q3164"/>
      <c r="R3164"/>
      <c r="S3164"/>
    </row>
    <row r="3165" spans="13:19" ht="13.95" customHeight="1">
      <c r="M3165"/>
      <c r="N3165"/>
      <c r="O3165"/>
      <c r="P3165"/>
      <c r="Q3165"/>
      <c r="R3165"/>
      <c r="S3165"/>
    </row>
    <row r="3166" spans="13:19" ht="13.95" customHeight="1">
      <c r="M3166"/>
      <c r="N3166"/>
      <c r="O3166"/>
      <c r="P3166"/>
      <c r="Q3166"/>
      <c r="R3166"/>
      <c r="S3166"/>
    </row>
    <row r="3167" spans="13:19" ht="13.95" customHeight="1">
      <c r="M3167"/>
      <c r="N3167"/>
      <c r="O3167"/>
      <c r="P3167"/>
      <c r="Q3167"/>
      <c r="R3167"/>
      <c r="S3167"/>
    </row>
    <row r="3168" spans="13:19" ht="13.95" customHeight="1">
      <c r="M3168"/>
      <c r="N3168"/>
      <c r="O3168"/>
      <c r="P3168"/>
      <c r="Q3168"/>
      <c r="R3168"/>
      <c r="S3168"/>
    </row>
    <row r="3169" spans="13:19" ht="13.95" customHeight="1">
      <c r="M3169"/>
      <c r="N3169"/>
      <c r="O3169"/>
      <c r="P3169"/>
      <c r="Q3169"/>
      <c r="R3169"/>
      <c r="S3169"/>
    </row>
    <row r="3170" spans="13:19" ht="13.95" customHeight="1">
      <c r="M3170"/>
      <c r="N3170"/>
      <c r="O3170"/>
      <c r="P3170"/>
      <c r="Q3170"/>
      <c r="R3170"/>
      <c r="S3170"/>
    </row>
    <row r="3171" spans="13:19" ht="13.95" customHeight="1">
      <c r="M3171"/>
      <c r="N3171"/>
      <c r="O3171"/>
      <c r="P3171"/>
      <c r="Q3171"/>
      <c r="R3171"/>
      <c r="S3171"/>
    </row>
    <row r="3172" spans="13:19" ht="13.95" customHeight="1">
      <c r="M3172"/>
      <c r="N3172"/>
      <c r="O3172"/>
      <c r="P3172"/>
      <c r="Q3172"/>
      <c r="R3172"/>
      <c r="S3172"/>
    </row>
    <row r="3173" spans="13:19" ht="13.95" customHeight="1">
      <c r="M3173"/>
      <c r="N3173"/>
      <c r="O3173"/>
      <c r="P3173"/>
      <c r="Q3173"/>
      <c r="R3173"/>
      <c r="S3173"/>
    </row>
    <row r="3174" spans="13:19" ht="13.95" customHeight="1">
      <c r="M3174"/>
      <c r="N3174"/>
      <c r="O3174"/>
      <c r="P3174"/>
      <c r="Q3174"/>
      <c r="R3174"/>
      <c r="S3174"/>
    </row>
    <row r="3175" spans="13:19" ht="13.95" customHeight="1">
      <c r="M3175"/>
      <c r="N3175"/>
      <c r="O3175"/>
      <c r="P3175"/>
      <c r="Q3175"/>
      <c r="R3175"/>
      <c r="S3175"/>
    </row>
    <row r="3176" spans="13:19" ht="13.95" customHeight="1">
      <c r="M3176"/>
      <c r="N3176"/>
      <c r="O3176"/>
      <c r="P3176"/>
      <c r="Q3176"/>
      <c r="R3176"/>
      <c r="S3176"/>
    </row>
    <row r="3177" spans="13:19" ht="13.95" customHeight="1">
      <c r="M3177"/>
      <c r="N3177"/>
      <c r="O3177"/>
      <c r="P3177"/>
      <c r="Q3177"/>
      <c r="R3177"/>
      <c r="S3177"/>
    </row>
    <row r="3178" spans="13:19" ht="13.95" customHeight="1">
      <c r="M3178"/>
      <c r="N3178"/>
      <c r="O3178"/>
      <c r="P3178"/>
      <c r="Q3178"/>
      <c r="R3178"/>
      <c r="S3178"/>
    </row>
    <row r="3179" spans="13:19" ht="13.95" customHeight="1">
      <c r="M3179"/>
      <c r="N3179"/>
      <c r="O3179"/>
      <c r="P3179"/>
      <c r="Q3179"/>
      <c r="R3179"/>
      <c r="S3179"/>
    </row>
    <row r="3180" spans="13:19" ht="13.95" customHeight="1">
      <c r="M3180"/>
      <c r="N3180"/>
      <c r="O3180"/>
      <c r="P3180"/>
      <c r="Q3180"/>
      <c r="R3180"/>
      <c r="S3180"/>
    </row>
    <row r="3181" spans="13:19" ht="13.95" customHeight="1">
      <c r="M3181"/>
      <c r="N3181"/>
      <c r="O3181"/>
      <c r="P3181"/>
      <c r="Q3181"/>
      <c r="R3181"/>
      <c r="S3181"/>
    </row>
    <row r="3182" spans="13:19" ht="13.95" customHeight="1">
      <c r="M3182"/>
      <c r="N3182"/>
      <c r="O3182"/>
      <c r="P3182"/>
      <c r="Q3182"/>
      <c r="R3182"/>
      <c r="S3182"/>
    </row>
    <row r="3183" spans="13:19" ht="13.95" customHeight="1">
      <c r="M3183"/>
      <c r="N3183"/>
      <c r="O3183"/>
      <c r="P3183"/>
      <c r="Q3183"/>
      <c r="R3183"/>
      <c r="S3183"/>
    </row>
    <row r="3184" spans="13:19" ht="13.95" customHeight="1">
      <c r="M3184"/>
      <c r="N3184"/>
      <c r="O3184"/>
      <c r="P3184"/>
      <c r="Q3184"/>
      <c r="R3184"/>
      <c r="S3184"/>
    </row>
    <row r="3185" spans="13:19" ht="13.95" customHeight="1">
      <c r="M3185"/>
      <c r="N3185"/>
      <c r="O3185"/>
      <c r="P3185"/>
      <c r="Q3185"/>
      <c r="R3185"/>
      <c r="S3185"/>
    </row>
    <row r="3186" spans="13:19" ht="13.95" customHeight="1">
      <c r="M3186"/>
      <c r="N3186"/>
      <c r="O3186"/>
      <c r="P3186"/>
      <c r="Q3186"/>
      <c r="R3186"/>
      <c r="S3186"/>
    </row>
    <row r="3187" spans="13:19" ht="13.95" customHeight="1">
      <c r="M3187"/>
      <c r="N3187"/>
      <c r="O3187"/>
      <c r="P3187"/>
      <c r="Q3187"/>
      <c r="R3187"/>
      <c r="S3187"/>
    </row>
    <row r="3188" spans="13:19" ht="13.95" customHeight="1">
      <c r="M3188"/>
      <c r="N3188"/>
      <c r="O3188"/>
      <c r="P3188"/>
      <c r="Q3188"/>
      <c r="R3188"/>
      <c r="S3188"/>
    </row>
    <row r="3189" spans="13:19" ht="13.95" customHeight="1">
      <c r="M3189"/>
      <c r="N3189"/>
      <c r="O3189"/>
      <c r="P3189"/>
      <c r="Q3189"/>
      <c r="R3189"/>
      <c r="S3189"/>
    </row>
    <row r="3190" spans="13:19" ht="13.95" customHeight="1">
      <c r="M3190"/>
      <c r="N3190"/>
      <c r="O3190"/>
      <c r="P3190"/>
      <c r="Q3190"/>
      <c r="R3190"/>
      <c r="S3190"/>
    </row>
    <row r="3191" spans="13:19" ht="13.95" customHeight="1">
      <c r="M3191"/>
      <c r="N3191"/>
      <c r="O3191"/>
      <c r="P3191"/>
      <c r="Q3191"/>
      <c r="R3191"/>
      <c r="S3191"/>
    </row>
    <row r="3192" spans="13:19" ht="13.95" customHeight="1">
      <c r="M3192"/>
      <c r="N3192"/>
      <c r="O3192"/>
      <c r="P3192"/>
      <c r="Q3192"/>
      <c r="R3192"/>
      <c r="S3192"/>
    </row>
    <row r="3193" spans="13:19" ht="13.95" customHeight="1">
      <c r="M3193"/>
      <c r="N3193"/>
      <c r="O3193"/>
      <c r="P3193"/>
      <c r="Q3193"/>
      <c r="R3193"/>
      <c r="S3193"/>
    </row>
    <row r="3194" spans="13:19" ht="13.95" customHeight="1">
      <c r="M3194"/>
      <c r="N3194"/>
      <c r="O3194"/>
      <c r="P3194"/>
      <c r="Q3194"/>
      <c r="R3194"/>
      <c r="S3194"/>
    </row>
    <row r="3195" spans="13:19" ht="13.95" customHeight="1">
      <c r="M3195"/>
      <c r="N3195"/>
      <c r="O3195"/>
      <c r="P3195"/>
      <c r="Q3195"/>
      <c r="R3195"/>
      <c r="S3195"/>
    </row>
    <row r="3196" spans="13:19" ht="13.95" customHeight="1">
      <c r="M3196"/>
      <c r="N3196"/>
      <c r="O3196"/>
      <c r="P3196"/>
      <c r="Q3196"/>
      <c r="R3196"/>
      <c r="S3196"/>
    </row>
    <row r="3197" spans="13:19" ht="13.95" customHeight="1">
      <c r="M3197"/>
      <c r="N3197"/>
      <c r="O3197"/>
      <c r="P3197"/>
      <c r="Q3197"/>
      <c r="R3197"/>
      <c r="S3197"/>
    </row>
    <row r="3198" spans="13:19" ht="13.95" customHeight="1">
      <c r="M3198"/>
      <c r="N3198"/>
      <c r="O3198"/>
      <c r="P3198"/>
      <c r="Q3198"/>
      <c r="R3198"/>
      <c r="S3198"/>
    </row>
    <row r="3199" spans="13:19" ht="13.95" customHeight="1">
      <c r="M3199"/>
      <c r="N3199"/>
      <c r="O3199"/>
      <c r="P3199"/>
      <c r="Q3199"/>
      <c r="R3199"/>
      <c r="S3199"/>
    </row>
    <row r="3200" spans="13:19" ht="13.95" customHeight="1">
      <c r="M3200"/>
      <c r="N3200"/>
      <c r="O3200"/>
      <c r="P3200"/>
      <c r="Q3200"/>
      <c r="R3200"/>
      <c r="S3200"/>
    </row>
    <row r="3201" spans="13:19" ht="13.95" customHeight="1">
      <c r="M3201"/>
      <c r="N3201"/>
      <c r="O3201"/>
      <c r="P3201"/>
      <c r="Q3201"/>
      <c r="R3201"/>
      <c r="S3201"/>
    </row>
    <row r="3202" spans="13:19" ht="13.95" customHeight="1">
      <c r="M3202"/>
      <c r="N3202"/>
      <c r="O3202"/>
      <c r="P3202"/>
      <c r="Q3202"/>
      <c r="R3202"/>
      <c r="S3202"/>
    </row>
    <row r="3203" spans="13:19" ht="13.95" customHeight="1">
      <c r="M3203"/>
      <c r="N3203"/>
      <c r="O3203"/>
      <c r="P3203"/>
      <c r="Q3203"/>
      <c r="R3203"/>
      <c r="S3203"/>
    </row>
    <row r="3204" spans="13:19" ht="13.95" customHeight="1">
      <c r="M3204"/>
      <c r="N3204"/>
      <c r="O3204"/>
      <c r="P3204"/>
      <c r="Q3204"/>
      <c r="R3204"/>
      <c r="S3204"/>
    </row>
    <row r="3205" spans="13:19" ht="13.95" customHeight="1">
      <c r="M3205"/>
      <c r="N3205"/>
      <c r="O3205"/>
      <c r="P3205"/>
      <c r="Q3205"/>
      <c r="R3205"/>
      <c r="S3205"/>
    </row>
    <row r="3206" spans="13:19" ht="13.95" customHeight="1">
      <c r="M3206"/>
      <c r="N3206"/>
      <c r="O3206"/>
      <c r="P3206"/>
      <c r="Q3206"/>
      <c r="R3206"/>
      <c r="S3206"/>
    </row>
    <row r="3207" spans="13:19" ht="13.95" customHeight="1">
      <c r="M3207"/>
      <c r="N3207"/>
      <c r="O3207"/>
      <c r="P3207"/>
      <c r="Q3207"/>
      <c r="R3207"/>
      <c r="S3207"/>
    </row>
    <row r="3208" spans="13:19" ht="13.95" customHeight="1">
      <c r="M3208"/>
      <c r="N3208"/>
      <c r="O3208"/>
      <c r="P3208"/>
      <c r="Q3208"/>
      <c r="R3208"/>
      <c r="S3208"/>
    </row>
    <row r="3209" spans="13:19" ht="13.95" customHeight="1">
      <c r="M3209"/>
      <c r="N3209"/>
      <c r="O3209"/>
      <c r="P3209"/>
      <c r="Q3209"/>
      <c r="R3209"/>
      <c r="S3209"/>
    </row>
    <row r="3210" spans="13:19" ht="13.95" customHeight="1">
      <c r="M3210"/>
      <c r="N3210"/>
      <c r="O3210"/>
      <c r="P3210"/>
      <c r="Q3210"/>
      <c r="R3210"/>
      <c r="S3210"/>
    </row>
    <row r="3211" spans="13:19" ht="13.95" customHeight="1">
      <c r="M3211"/>
      <c r="N3211"/>
      <c r="O3211"/>
      <c r="P3211"/>
      <c r="Q3211"/>
      <c r="R3211"/>
      <c r="S3211"/>
    </row>
    <row r="3212" spans="13:19" ht="13.95" customHeight="1">
      <c r="M3212"/>
      <c r="N3212"/>
      <c r="O3212"/>
      <c r="P3212"/>
      <c r="Q3212"/>
      <c r="R3212"/>
      <c r="S3212"/>
    </row>
    <row r="3213" spans="13:19" ht="13.95" customHeight="1">
      <c r="M3213"/>
      <c r="N3213"/>
      <c r="O3213"/>
      <c r="P3213"/>
      <c r="Q3213"/>
      <c r="R3213"/>
      <c r="S3213"/>
    </row>
    <row r="3214" spans="13:19" ht="13.95" customHeight="1">
      <c r="M3214"/>
      <c r="N3214"/>
      <c r="O3214"/>
      <c r="P3214"/>
      <c r="Q3214"/>
      <c r="R3214"/>
      <c r="S3214"/>
    </row>
    <row r="3215" spans="13:19" ht="13.95" customHeight="1">
      <c r="M3215"/>
      <c r="N3215"/>
      <c r="O3215"/>
      <c r="P3215"/>
      <c r="Q3215"/>
      <c r="R3215"/>
      <c r="S3215"/>
    </row>
    <row r="3216" spans="13:19" ht="13.95" customHeight="1">
      <c r="M3216"/>
      <c r="N3216"/>
      <c r="O3216"/>
      <c r="P3216"/>
      <c r="Q3216"/>
      <c r="R3216"/>
      <c r="S3216"/>
    </row>
    <row r="3217" spans="13:19" ht="13.95" customHeight="1">
      <c r="M3217"/>
      <c r="N3217"/>
      <c r="O3217"/>
      <c r="P3217"/>
      <c r="Q3217"/>
      <c r="R3217"/>
      <c r="S3217"/>
    </row>
    <row r="3218" spans="13:19" ht="13.95" customHeight="1">
      <c r="M3218"/>
      <c r="N3218"/>
      <c r="O3218"/>
      <c r="P3218"/>
      <c r="Q3218"/>
      <c r="R3218"/>
      <c r="S3218"/>
    </row>
    <row r="3219" spans="13:19" ht="13.95" customHeight="1">
      <c r="M3219"/>
      <c r="N3219"/>
      <c r="O3219"/>
      <c r="P3219"/>
      <c r="Q3219"/>
      <c r="R3219"/>
      <c r="S3219"/>
    </row>
    <row r="3220" spans="13:19" ht="13.95" customHeight="1">
      <c r="M3220"/>
      <c r="N3220"/>
      <c r="O3220"/>
      <c r="P3220"/>
      <c r="Q3220"/>
      <c r="R3220"/>
      <c r="S3220"/>
    </row>
    <row r="3221" spans="13:19" ht="13.95" customHeight="1">
      <c r="M3221"/>
      <c r="N3221"/>
      <c r="O3221"/>
      <c r="P3221"/>
      <c r="Q3221"/>
      <c r="R3221"/>
      <c r="S3221"/>
    </row>
    <row r="3222" spans="13:19" ht="13.95" customHeight="1">
      <c r="M3222"/>
      <c r="N3222"/>
      <c r="O3222"/>
      <c r="P3222"/>
      <c r="Q3222"/>
      <c r="R3222"/>
      <c r="S3222"/>
    </row>
    <row r="3223" spans="13:19" ht="13.95" customHeight="1">
      <c r="M3223"/>
      <c r="N3223"/>
      <c r="O3223"/>
      <c r="P3223"/>
      <c r="Q3223"/>
      <c r="R3223"/>
      <c r="S3223"/>
    </row>
    <row r="3224" spans="13:19" ht="13.95" customHeight="1">
      <c r="M3224"/>
      <c r="N3224"/>
      <c r="O3224"/>
      <c r="P3224"/>
      <c r="Q3224"/>
      <c r="R3224"/>
      <c r="S3224"/>
    </row>
    <row r="3225" spans="13:19" ht="13.95" customHeight="1">
      <c r="M3225"/>
      <c r="N3225"/>
      <c r="O3225"/>
      <c r="P3225"/>
      <c r="Q3225"/>
      <c r="R3225"/>
      <c r="S3225"/>
    </row>
    <row r="3226" spans="13:19" ht="13.95" customHeight="1">
      <c r="M3226"/>
      <c r="N3226"/>
      <c r="O3226"/>
      <c r="P3226"/>
      <c r="Q3226"/>
      <c r="R3226"/>
      <c r="S3226"/>
    </row>
    <row r="3227" spans="13:19" ht="13.95" customHeight="1">
      <c r="M3227"/>
      <c r="N3227"/>
      <c r="O3227"/>
      <c r="P3227"/>
      <c r="Q3227"/>
      <c r="R3227"/>
      <c r="S3227"/>
    </row>
    <row r="3228" spans="13:19" ht="13.95" customHeight="1">
      <c r="M3228"/>
      <c r="N3228"/>
      <c r="O3228"/>
      <c r="P3228"/>
      <c r="Q3228"/>
      <c r="R3228"/>
      <c r="S3228"/>
    </row>
    <row r="3229" spans="13:19" ht="13.95" customHeight="1">
      <c r="M3229"/>
      <c r="N3229"/>
      <c r="O3229"/>
      <c r="P3229"/>
      <c r="Q3229"/>
      <c r="R3229"/>
      <c r="S3229"/>
    </row>
    <row r="3230" spans="13:19" ht="13.95" customHeight="1">
      <c r="M3230"/>
      <c r="N3230"/>
      <c r="O3230"/>
      <c r="P3230"/>
      <c r="Q3230"/>
      <c r="R3230"/>
      <c r="S3230"/>
    </row>
    <row r="3231" spans="13:19" ht="13.95" customHeight="1">
      <c r="M3231"/>
      <c r="N3231"/>
      <c r="O3231"/>
      <c r="P3231"/>
      <c r="Q3231"/>
      <c r="R3231"/>
      <c r="S3231"/>
    </row>
    <row r="3232" spans="13:19" ht="13.95" customHeight="1">
      <c r="M3232"/>
      <c r="N3232"/>
      <c r="O3232"/>
      <c r="P3232"/>
      <c r="Q3232"/>
      <c r="R3232"/>
      <c r="S3232"/>
    </row>
    <row r="3233" spans="13:19" ht="13.95" customHeight="1">
      <c r="M3233"/>
      <c r="N3233"/>
      <c r="O3233"/>
      <c r="P3233"/>
      <c r="Q3233"/>
      <c r="R3233"/>
      <c r="S3233"/>
    </row>
    <row r="3234" spans="13:19" ht="13.95" customHeight="1">
      <c r="M3234"/>
      <c r="N3234"/>
      <c r="O3234"/>
      <c r="P3234"/>
      <c r="Q3234"/>
      <c r="R3234"/>
      <c r="S3234"/>
    </row>
    <row r="3235" spans="13:19" ht="13.95" customHeight="1">
      <c r="M3235"/>
      <c r="N3235"/>
      <c r="O3235"/>
      <c r="P3235"/>
      <c r="Q3235"/>
      <c r="R3235"/>
      <c r="S3235"/>
    </row>
    <row r="3236" spans="13:19" ht="13.95" customHeight="1">
      <c r="M3236"/>
      <c r="N3236"/>
      <c r="O3236"/>
      <c r="P3236"/>
      <c r="Q3236"/>
      <c r="R3236"/>
      <c r="S3236"/>
    </row>
    <row r="3237" spans="13:19" ht="13.95" customHeight="1">
      <c r="M3237"/>
      <c r="N3237"/>
      <c r="O3237"/>
      <c r="P3237"/>
      <c r="Q3237"/>
      <c r="R3237"/>
      <c r="S3237"/>
    </row>
    <row r="3238" spans="13:19" ht="13.95" customHeight="1">
      <c r="M3238"/>
      <c r="N3238"/>
      <c r="O3238"/>
      <c r="P3238"/>
      <c r="Q3238"/>
      <c r="R3238"/>
      <c r="S3238"/>
    </row>
    <row r="3239" spans="13:19" ht="13.95" customHeight="1">
      <c r="M3239"/>
      <c r="N3239"/>
      <c r="O3239"/>
      <c r="P3239"/>
      <c r="Q3239"/>
      <c r="R3239"/>
      <c r="S3239"/>
    </row>
    <row r="3240" spans="13:19" ht="13.95" customHeight="1">
      <c r="M3240"/>
      <c r="N3240"/>
      <c r="O3240"/>
      <c r="P3240"/>
      <c r="Q3240"/>
      <c r="R3240"/>
      <c r="S3240"/>
    </row>
    <row r="3241" spans="13:19" ht="13.95" customHeight="1">
      <c r="M3241"/>
      <c r="N3241"/>
      <c r="O3241"/>
      <c r="P3241"/>
      <c r="Q3241"/>
      <c r="R3241"/>
      <c r="S3241"/>
    </row>
    <row r="3242" spans="13:19" ht="13.95" customHeight="1">
      <c r="M3242"/>
      <c r="N3242"/>
      <c r="O3242"/>
      <c r="P3242"/>
      <c r="Q3242"/>
      <c r="R3242"/>
      <c r="S3242"/>
    </row>
    <row r="3243" spans="13:19" ht="13.95" customHeight="1">
      <c r="M3243"/>
      <c r="N3243"/>
      <c r="O3243"/>
      <c r="P3243"/>
      <c r="Q3243"/>
      <c r="R3243"/>
      <c r="S3243"/>
    </row>
    <row r="3244" spans="13:19" ht="13.95" customHeight="1">
      <c r="M3244"/>
      <c r="N3244"/>
      <c r="O3244"/>
      <c r="P3244"/>
      <c r="Q3244"/>
      <c r="R3244"/>
      <c r="S3244"/>
    </row>
    <row r="3245" spans="13:19" ht="13.95" customHeight="1">
      <c r="M3245"/>
      <c r="N3245"/>
      <c r="O3245"/>
      <c r="P3245"/>
      <c r="Q3245"/>
      <c r="R3245"/>
      <c r="S3245"/>
    </row>
    <row r="3246" spans="13:19" ht="13.95" customHeight="1">
      <c r="M3246"/>
      <c r="N3246"/>
      <c r="O3246"/>
      <c r="P3246"/>
      <c r="Q3246"/>
      <c r="R3246"/>
      <c r="S3246"/>
    </row>
    <row r="3247" spans="13:19" ht="13.95" customHeight="1">
      <c r="M3247"/>
      <c r="N3247"/>
      <c r="O3247"/>
      <c r="P3247"/>
      <c r="Q3247"/>
      <c r="R3247"/>
      <c r="S3247"/>
    </row>
    <row r="3248" spans="13:19" ht="13.95" customHeight="1">
      <c r="M3248"/>
      <c r="N3248"/>
      <c r="O3248"/>
      <c r="P3248"/>
      <c r="Q3248"/>
      <c r="R3248"/>
      <c r="S3248"/>
    </row>
    <row r="3249" spans="13:19" ht="13.95" customHeight="1">
      <c r="M3249"/>
      <c r="N3249"/>
      <c r="O3249"/>
      <c r="P3249"/>
      <c r="Q3249"/>
      <c r="R3249"/>
      <c r="S3249"/>
    </row>
    <row r="3250" spans="13:19" ht="13.95" customHeight="1">
      <c r="M3250"/>
      <c r="N3250"/>
      <c r="O3250"/>
      <c r="P3250"/>
      <c r="Q3250"/>
      <c r="R3250"/>
      <c r="S3250"/>
    </row>
    <row r="3251" spans="13:19" ht="13.95" customHeight="1">
      <c r="M3251"/>
      <c r="N3251"/>
      <c r="O3251"/>
      <c r="P3251"/>
      <c r="Q3251"/>
      <c r="R3251"/>
      <c r="S3251"/>
    </row>
    <row r="3252" spans="13:19" ht="13.95" customHeight="1">
      <c r="M3252"/>
      <c r="N3252"/>
      <c r="O3252"/>
      <c r="P3252"/>
      <c r="Q3252"/>
      <c r="R3252"/>
      <c r="S3252"/>
    </row>
    <row r="3253" spans="13:19" ht="13.95" customHeight="1">
      <c r="M3253"/>
      <c r="N3253"/>
      <c r="O3253"/>
      <c r="P3253"/>
      <c r="Q3253"/>
      <c r="R3253"/>
      <c r="S3253"/>
    </row>
    <row r="3254" spans="13:19" ht="13.95" customHeight="1">
      <c r="M3254"/>
      <c r="N3254"/>
      <c r="O3254"/>
      <c r="P3254"/>
      <c r="Q3254"/>
      <c r="R3254"/>
      <c r="S3254"/>
    </row>
    <row r="3255" spans="13:19" ht="13.95" customHeight="1">
      <c r="M3255"/>
      <c r="N3255"/>
      <c r="O3255"/>
      <c r="P3255"/>
      <c r="Q3255"/>
      <c r="R3255"/>
      <c r="S3255"/>
    </row>
    <row r="3256" spans="13:19" ht="13.95" customHeight="1">
      <c r="M3256"/>
      <c r="N3256"/>
      <c r="O3256"/>
      <c r="P3256"/>
      <c r="Q3256"/>
      <c r="R3256"/>
      <c r="S3256"/>
    </row>
    <row r="3257" spans="13:19" ht="13.95" customHeight="1">
      <c r="M3257"/>
      <c r="N3257"/>
      <c r="O3257"/>
      <c r="P3257"/>
      <c r="Q3257"/>
      <c r="R3257"/>
      <c r="S3257"/>
    </row>
    <row r="3258" spans="13:19" ht="13.95" customHeight="1">
      <c r="M3258"/>
      <c r="N3258"/>
      <c r="O3258"/>
      <c r="P3258"/>
      <c r="Q3258"/>
      <c r="R3258"/>
      <c r="S3258"/>
    </row>
    <row r="3259" spans="13:19" ht="13.95" customHeight="1">
      <c r="M3259"/>
      <c r="N3259"/>
      <c r="O3259"/>
      <c r="P3259"/>
      <c r="Q3259"/>
      <c r="R3259"/>
      <c r="S3259"/>
    </row>
    <row r="3260" spans="13:19" ht="13.95" customHeight="1">
      <c r="M3260"/>
      <c r="N3260"/>
      <c r="O3260"/>
      <c r="P3260"/>
      <c r="Q3260"/>
      <c r="R3260"/>
      <c r="S3260"/>
    </row>
    <row r="3261" spans="13:19" ht="13.95" customHeight="1">
      <c r="M3261"/>
      <c r="N3261"/>
      <c r="O3261"/>
      <c r="P3261"/>
      <c r="Q3261"/>
      <c r="R3261"/>
      <c r="S3261"/>
    </row>
    <row r="3262" spans="13:19" ht="13.95" customHeight="1">
      <c r="M3262"/>
      <c r="N3262"/>
      <c r="O3262"/>
      <c r="P3262"/>
      <c r="Q3262"/>
      <c r="R3262"/>
      <c r="S3262"/>
    </row>
    <row r="3263" spans="13:19" ht="13.95" customHeight="1">
      <c r="M3263"/>
      <c r="N3263"/>
      <c r="O3263"/>
      <c r="P3263"/>
      <c r="Q3263"/>
      <c r="R3263"/>
      <c r="S3263"/>
    </row>
    <row r="3264" spans="13:19" ht="13.95" customHeight="1">
      <c r="M3264"/>
      <c r="N3264"/>
      <c r="O3264"/>
      <c r="P3264"/>
      <c r="Q3264"/>
      <c r="R3264"/>
      <c r="S3264"/>
    </row>
    <row r="3265" spans="13:19" ht="13.95" customHeight="1">
      <c r="M3265"/>
      <c r="N3265"/>
      <c r="O3265"/>
      <c r="P3265"/>
      <c r="Q3265"/>
      <c r="R3265"/>
      <c r="S3265"/>
    </row>
    <row r="3266" spans="13:19" ht="13.95" customHeight="1">
      <c r="M3266"/>
      <c r="N3266"/>
      <c r="O3266"/>
      <c r="P3266"/>
      <c r="Q3266"/>
      <c r="R3266"/>
      <c r="S3266"/>
    </row>
    <row r="3267" spans="13:19" ht="13.95" customHeight="1">
      <c r="M3267"/>
      <c r="N3267"/>
      <c r="O3267"/>
      <c r="P3267"/>
      <c r="Q3267"/>
      <c r="R3267"/>
      <c r="S3267"/>
    </row>
    <row r="3268" spans="13:19" ht="13.95" customHeight="1">
      <c r="M3268"/>
      <c r="N3268"/>
      <c r="O3268"/>
      <c r="P3268"/>
      <c r="Q3268"/>
      <c r="R3268"/>
      <c r="S3268"/>
    </row>
    <row r="3269" spans="13:19" ht="13.95" customHeight="1">
      <c r="M3269"/>
      <c r="N3269"/>
      <c r="O3269"/>
      <c r="P3269"/>
      <c r="Q3269"/>
      <c r="R3269"/>
      <c r="S3269"/>
    </row>
    <row r="3270" spans="13:19" ht="13.95" customHeight="1">
      <c r="M3270"/>
      <c r="N3270"/>
      <c r="O3270"/>
      <c r="P3270"/>
      <c r="Q3270"/>
      <c r="R3270"/>
      <c r="S3270"/>
    </row>
    <row r="3271" spans="13:19" ht="13.95" customHeight="1">
      <c r="M3271"/>
      <c r="N3271"/>
      <c r="O3271"/>
      <c r="P3271"/>
      <c r="Q3271"/>
      <c r="R3271"/>
      <c r="S3271"/>
    </row>
    <row r="3272" spans="13:19" ht="13.95" customHeight="1">
      <c r="M3272"/>
      <c r="N3272"/>
      <c r="O3272"/>
      <c r="P3272"/>
      <c r="Q3272"/>
      <c r="R3272"/>
      <c r="S3272"/>
    </row>
    <row r="3273" spans="13:19" ht="13.95" customHeight="1">
      <c r="M3273"/>
      <c r="N3273"/>
      <c r="O3273"/>
      <c r="P3273"/>
      <c r="Q3273"/>
      <c r="R3273"/>
      <c r="S3273"/>
    </row>
    <row r="3274" spans="13:19" ht="13.95" customHeight="1">
      <c r="M3274"/>
      <c r="N3274"/>
      <c r="O3274"/>
      <c r="P3274"/>
      <c r="Q3274"/>
      <c r="R3274"/>
      <c r="S3274"/>
    </row>
    <row r="3275" spans="13:19" ht="13.95" customHeight="1">
      <c r="M3275"/>
      <c r="N3275"/>
      <c r="O3275"/>
      <c r="P3275"/>
      <c r="Q3275"/>
      <c r="R3275"/>
      <c r="S3275"/>
    </row>
    <row r="3276" spans="13:19" ht="13.95" customHeight="1">
      <c r="M3276"/>
      <c r="N3276"/>
      <c r="O3276"/>
      <c r="P3276"/>
      <c r="Q3276"/>
      <c r="R3276"/>
      <c r="S3276"/>
    </row>
    <row r="3277" spans="13:19" ht="13.95" customHeight="1">
      <c r="M3277"/>
      <c r="N3277"/>
      <c r="O3277"/>
      <c r="P3277"/>
      <c r="Q3277"/>
      <c r="R3277"/>
      <c r="S3277"/>
    </row>
    <row r="3278" spans="13:19" ht="13.95" customHeight="1">
      <c r="M3278"/>
      <c r="N3278"/>
      <c r="O3278"/>
      <c r="P3278"/>
      <c r="Q3278"/>
      <c r="R3278"/>
      <c r="S3278"/>
    </row>
    <row r="3279" spans="13:19" ht="13.95" customHeight="1">
      <c r="M3279"/>
      <c r="N3279"/>
      <c r="O3279"/>
      <c r="P3279"/>
      <c r="Q3279"/>
      <c r="R3279"/>
      <c r="S3279"/>
    </row>
    <row r="3280" spans="13:19" ht="13.95" customHeight="1">
      <c r="M3280"/>
      <c r="N3280"/>
      <c r="O3280"/>
      <c r="P3280"/>
      <c r="Q3280"/>
      <c r="R3280"/>
      <c r="S3280"/>
    </row>
    <row r="3281" spans="13:19" ht="13.95" customHeight="1">
      <c r="M3281"/>
      <c r="N3281"/>
      <c r="O3281"/>
      <c r="P3281"/>
      <c r="Q3281"/>
      <c r="R3281"/>
      <c r="S3281"/>
    </row>
    <row r="3282" spans="13:19" ht="13.95" customHeight="1">
      <c r="M3282"/>
      <c r="N3282"/>
      <c r="O3282"/>
      <c r="P3282"/>
      <c r="Q3282"/>
      <c r="R3282"/>
      <c r="S3282"/>
    </row>
    <row r="3283" spans="13:19" ht="13.95" customHeight="1">
      <c r="M3283"/>
      <c r="N3283"/>
      <c r="O3283"/>
      <c r="P3283"/>
      <c r="Q3283"/>
      <c r="R3283"/>
      <c r="S3283"/>
    </row>
    <row r="3284" spans="13:19" ht="13.95" customHeight="1">
      <c r="M3284"/>
      <c r="N3284"/>
      <c r="O3284"/>
      <c r="P3284"/>
      <c r="Q3284"/>
      <c r="R3284"/>
      <c r="S3284"/>
    </row>
    <row r="3285" spans="13:19" ht="13.95" customHeight="1">
      <c r="M3285"/>
      <c r="N3285"/>
      <c r="O3285"/>
      <c r="P3285"/>
      <c r="Q3285"/>
      <c r="R3285"/>
      <c r="S3285"/>
    </row>
    <row r="3286" spans="13:19" ht="13.95" customHeight="1">
      <c r="M3286"/>
      <c r="N3286"/>
      <c r="O3286"/>
      <c r="P3286"/>
      <c r="Q3286"/>
      <c r="R3286"/>
      <c r="S3286"/>
    </row>
    <row r="3287" spans="13:19" ht="13.95" customHeight="1">
      <c r="M3287"/>
      <c r="N3287"/>
      <c r="O3287"/>
      <c r="P3287"/>
      <c r="Q3287"/>
      <c r="R3287"/>
      <c r="S3287"/>
    </row>
    <row r="3288" spans="13:19" ht="13.95" customHeight="1">
      <c r="M3288"/>
      <c r="N3288"/>
      <c r="O3288"/>
      <c r="P3288"/>
      <c r="Q3288"/>
      <c r="R3288"/>
      <c r="S3288"/>
    </row>
    <row r="3289" spans="13:19" ht="13.95" customHeight="1">
      <c r="M3289"/>
      <c r="N3289"/>
      <c r="O3289"/>
      <c r="P3289"/>
      <c r="Q3289"/>
      <c r="R3289"/>
      <c r="S3289"/>
    </row>
    <row r="3290" spans="13:19" ht="13.95" customHeight="1">
      <c r="M3290"/>
      <c r="N3290"/>
      <c r="O3290"/>
      <c r="P3290"/>
      <c r="Q3290"/>
      <c r="R3290"/>
      <c r="S3290"/>
    </row>
    <row r="3291" spans="13:19" ht="13.95" customHeight="1">
      <c r="M3291"/>
      <c r="N3291"/>
      <c r="O3291"/>
      <c r="P3291"/>
      <c r="Q3291"/>
      <c r="R3291"/>
      <c r="S3291"/>
    </row>
    <row r="3292" spans="13:19" ht="13.95" customHeight="1">
      <c r="M3292"/>
      <c r="N3292"/>
      <c r="O3292"/>
      <c r="P3292"/>
      <c r="Q3292"/>
      <c r="R3292"/>
      <c r="S3292"/>
    </row>
    <row r="3293" spans="13:19" ht="13.95" customHeight="1">
      <c r="M3293"/>
      <c r="N3293"/>
      <c r="O3293"/>
      <c r="P3293"/>
      <c r="Q3293"/>
      <c r="R3293"/>
      <c r="S3293"/>
    </row>
    <row r="3294" spans="13:19" ht="13.95" customHeight="1">
      <c r="M3294"/>
      <c r="N3294"/>
      <c r="O3294"/>
      <c r="P3294"/>
      <c r="Q3294"/>
      <c r="R3294"/>
      <c r="S3294"/>
    </row>
    <row r="3295" spans="13:19" ht="13.95" customHeight="1">
      <c r="M3295"/>
      <c r="N3295"/>
      <c r="O3295"/>
      <c r="P3295"/>
      <c r="Q3295"/>
      <c r="R3295"/>
      <c r="S3295"/>
    </row>
    <row r="3296" spans="13:19" ht="13.95" customHeight="1">
      <c r="M3296"/>
      <c r="N3296"/>
      <c r="O3296"/>
      <c r="P3296"/>
      <c r="Q3296"/>
      <c r="R3296"/>
      <c r="S3296"/>
    </row>
    <row r="3297" spans="13:19" ht="13.95" customHeight="1">
      <c r="M3297"/>
      <c r="N3297"/>
      <c r="O3297"/>
      <c r="P3297"/>
      <c r="Q3297"/>
      <c r="R3297"/>
      <c r="S3297"/>
    </row>
    <row r="3298" spans="13:19" ht="13.95" customHeight="1">
      <c r="M3298"/>
      <c r="N3298"/>
      <c r="O3298"/>
      <c r="P3298"/>
      <c r="Q3298"/>
      <c r="R3298"/>
      <c r="S3298"/>
    </row>
    <row r="3299" spans="13:19" ht="13.95" customHeight="1">
      <c r="M3299"/>
      <c r="N3299"/>
      <c r="O3299"/>
      <c r="P3299"/>
      <c r="Q3299"/>
      <c r="R3299"/>
      <c r="S3299"/>
    </row>
    <row r="3300" spans="13:19" ht="13.95" customHeight="1">
      <c r="M3300"/>
      <c r="N3300"/>
      <c r="O3300"/>
      <c r="P3300"/>
      <c r="Q3300"/>
      <c r="R3300"/>
      <c r="S3300"/>
    </row>
    <row r="3301" spans="13:19" ht="13.95" customHeight="1">
      <c r="M3301"/>
      <c r="N3301"/>
      <c r="O3301"/>
      <c r="P3301"/>
      <c r="Q3301"/>
      <c r="R3301"/>
      <c r="S3301"/>
    </row>
    <row r="3302" spans="13:19" ht="13.95" customHeight="1">
      <c r="M3302"/>
      <c r="N3302"/>
      <c r="O3302"/>
      <c r="P3302"/>
      <c r="Q3302"/>
      <c r="R3302"/>
      <c r="S3302"/>
    </row>
    <row r="3303" spans="13:19" ht="13.95" customHeight="1">
      <c r="M3303"/>
      <c r="N3303"/>
      <c r="O3303"/>
      <c r="P3303"/>
      <c r="Q3303"/>
      <c r="R3303"/>
      <c r="S3303"/>
    </row>
    <row r="3304" spans="13:19" ht="13.95" customHeight="1">
      <c r="M3304"/>
      <c r="N3304"/>
      <c r="O3304"/>
      <c r="P3304"/>
      <c r="Q3304"/>
      <c r="R3304"/>
      <c r="S3304"/>
    </row>
    <row r="3305" spans="13:19" ht="13.95" customHeight="1">
      <c r="M3305"/>
      <c r="N3305"/>
      <c r="O3305"/>
      <c r="P3305"/>
      <c r="Q3305"/>
      <c r="R3305"/>
      <c r="S3305"/>
    </row>
    <row r="3306" spans="13:19" ht="13.95" customHeight="1">
      <c r="M3306"/>
      <c r="N3306"/>
      <c r="O3306"/>
      <c r="P3306"/>
      <c r="Q3306"/>
      <c r="R3306"/>
      <c r="S3306"/>
    </row>
    <row r="3307" spans="13:19" ht="13.95" customHeight="1">
      <c r="M3307"/>
      <c r="N3307"/>
      <c r="O3307"/>
      <c r="P3307"/>
      <c r="Q3307"/>
      <c r="R3307"/>
      <c r="S3307"/>
    </row>
    <row r="3308" spans="13:19" ht="13.95" customHeight="1">
      <c r="M3308"/>
      <c r="N3308"/>
      <c r="O3308"/>
      <c r="P3308"/>
      <c r="Q3308"/>
      <c r="R3308"/>
      <c r="S3308"/>
    </row>
    <row r="3309" spans="13:19" ht="13.95" customHeight="1">
      <c r="M3309"/>
      <c r="N3309"/>
      <c r="O3309"/>
      <c r="P3309"/>
      <c r="Q3309"/>
      <c r="R3309"/>
      <c r="S3309"/>
    </row>
    <row r="3310" spans="13:19" ht="13.95" customHeight="1">
      <c r="M3310"/>
      <c r="N3310"/>
      <c r="O3310"/>
      <c r="P3310"/>
      <c r="Q3310"/>
      <c r="R3310"/>
      <c r="S3310"/>
    </row>
    <row r="3311" spans="13:19" ht="13.95" customHeight="1">
      <c r="M3311"/>
      <c r="N3311"/>
      <c r="O3311"/>
      <c r="P3311"/>
      <c r="Q3311"/>
      <c r="R3311"/>
      <c r="S3311"/>
    </row>
    <row r="3312" spans="13:19" ht="13.95" customHeight="1">
      <c r="M3312"/>
      <c r="N3312"/>
      <c r="O3312"/>
      <c r="P3312"/>
      <c r="Q3312"/>
      <c r="R3312"/>
      <c r="S3312"/>
    </row>
    <row r="3313" spans="13:19" ht="13.95" customHeight="1">
      <c r="M3313"/>
      <c r="N3313"/>
      <c r="O3313"/>
      <c r="P3313"/>
      <c r="Q3313"/>
      <c r="R3313"/>
      <c r="S3313"/>
    </row>
    <row r="3314" spans="13:19" ht="13.95" customHeight="1">
      <c r="M3314"/>
      <c r="N3314"/>
      <c r="O3314"/>
      <c r="P3314"/>
      <c r="Q3314"/>
      <c r="R3314"/>
      <c r="S3314"/>
    </row>
    <row r="3315" spans="13:19" ht="13.95" customHeight="1">
      <c r="M3315"/>
      <c r="N3315"/>
      <c r="O3315"/>
      <c r="P3315"/>
      <c r="Q3315"/>
      <c r="R3315"/>
      <c r="S3315"/>
    </row>
    <row r="3316" spans="13:19" ht="13.95" customHeight="1">
      <c r="M3316"/>
      <c r="N3316"/>
      <c r="O3316"/>
      <c r="P3316"/>
      <c r="Q3316"/>
      <c r="R3316"/>
      <c r="S3316"/>
    </row>
    <row r="3317" spans="13:19" ht="13.95" customHeight="1">
      <c r="M3317"/>
      <c r="N3317"/>
      <c r="O3317"/>
      <c r="P3317"/>
      <c r="Q3317"/>
      <c r="R3317"/>
      <c r="S3317"/>
    </row>
    <row r="3318" spans="13:19" ht="13.95" customHeight="1">
      <c r="M3318"/>
      <c r="N3318"/>
      <c r="O3318"/>
      <c r="P3318"/>
      <c r="Q3318"/>
      <c r="R3318"/>
      <c r="S3318"/>
    </row>
    <row r="3319" spans="13:19" ht="13.95" customHeight="1">
      <c r="M3319"/>
      <c r="N3319"/>
      <c r="O3319"/>
      <c r="P3319"/>
      <c r="Q3319"/>
      <c r="R3319"/>
      <c r="S3319"/>
    </row>
    <row r="3320" spans="13:19" ht="13.95" customHeight="1">
      <c r="M3320"/>
      <c r="N3320"/>
      <c r="O3320"/>
      <c r="P3320"/>
      <c r="Q3320"/>
      <c r="R3320"/>
      <c r="S3320"/>
    </row>
    <row r="3321" spans="13:19" ht="13.95" customHeight="1">
      <c r="M3321"/>
      <c r="N3321"/>
      <c r="O3321"/>
      <c r="P3321"/>
      <c r="Q3321"/>
      <c r="R3321"/>
      <c r="S3321"/>
    </row>
    <row r="3322" spans="13:19" ht="13.95" customHeight="1">
      <c r="M3322"/>
      <c r="N3322"/>
      <c r="O3322"/>
      <c r="P3322"/>
      <c r="Q3322"/>
      <c r="R3322"/>
      <c r="S3322"/>
    </row>
    <row r="3323" spans="13:19" ht="13.95" customHeight="1">
      <c r="M3323"/>
      <c r="N3323"/>
      <c r="O3323"/>
      <c r="P3323"/>
      <c r="Q3323"/>
      <c r="R3323"/>
      <c r="S3323"/>
    </row>
    <row r="3324" spans="13:19" ht="13.95" customHeight="1">
      <c r="M3324"/>
      <c r="N3324"/>
      <c r="O3324"/>
      <c r="P3324"/>
      <c r="Q3324"/>
      <c r="R3324"/>
      <c r="S3324"/>
    </row>
    <row r="3325" spans="13:19" ht="13.95" customHeight="1">
      <c r="M3325"/>
      <c r="N3325"/>
      <c r="O3325"/>
      <c r="P3325"/>
      <c r="Q3325"/>
      <c r="R3325"/>
      <c r="S3325"/>
    </row>
    <row r="3326" spans="13:19" ht="13.95" customHeight="1">
      <c r="M3326"/>
      <c r="N3326"/>
      <c r="O3326"/>
      <c r="P3326"/>
      <c r="Q3326"/>
      <c r="R3326"/>
      <c r="S3326"/>
    </row>
    <row r="3327" spans="13:19" ht="13.95" customHeight="1">
      <c r="M3327"/>
      <c r="N3327"/>
      <c r="O3327"/>
      <c r="P3327"/>
      <c r="Q3327"/>
      <c r="R3327"/>
      <c r="S3327"/>
    </row>
    <row r="3328" spans="13:19" ht="13.95" customHeight="1">
      <c r="M3328"/>
      <c r="N3328"/>
      <c r="O3328"/>
      <c r="P3328"/>
      <c r="Q3328"/>
      <c r="R3328"/>
      <c r="S3328"/>
    </row>
    <row r="3329" spans="13:19" ht="13.95" customHeight="1">
      <c r="M3329"/>
      <c r="N3329"/>
      <c r="O3329"/>
      <c r="P3329"/>
      <c r="Q3329"/>
      <c r="R3329"/>
      <c r="S3329"/>
    </row>
    <row r="3330" spans="13:19" ht="13.95" customHeight="1">
      <c r="M3330"/>
      <c r="N3330"/>
      <c r="O3330"/>
      <c r="P3330"/>
      <c r="Q3330"/>
      <c r="R3330"/>
      <c r="S3330"/>
    </row>
    <row r="3331" spans="13:19" ht="13.95" customHeight="1">
      <c r="M3331"/>
      <c r="N3331"/>
      <c r="O3331"/>
      <c r="P3331"/>
      <c r="Q3331"/>
      <c r="R3331"/>
      <c r="S3331"/>
    </row>
    <row r="3332" spans="13:19" ht="13.95" customHeight="1">
      <c r="M3332"/>
      <c r="N3332"/>
      <c r="O3332"/>
      <c r="P3332"/>
      <c r="Q3332"/>
      <c r="R3332"/>
      <c r="S3332"/>
    </row>
    <row r="3333" spans="13:19" ht="13.95" customHeight="1">
      <c r="M3333"/>
      <c r="N3333"/>
      <c r="O3333"/>
      <c r="P3333"/>
      <c r="Q3333"/>
      <c r="R3333"/>
      <c r="S3333"/>
    </row>
    <row r="3334" spans="13:19" ht="13.95" customHeight="1">
      <c r="M3334"/>
      <c r="N3334"/>
      <c r="O3334"/>
      <c r="P3334"/>
      <c r="Q3334"/>
      <c r="R3334"/>
      <c r="S3334"/>
    </row>
    <row r="3335" spans="13:19" ht="13.95" customHeight="1">
      <c r="M3335"/>
      <c r="N3335"/>
      <c r="O3335"/>
      <c r="P3335"/>
      <c r="Q3335"/>
      <c r="R3335"/>
      <c r="S3335"/>
    </row>
    <row r="3336" spans="13:19" ht="13.95" customHeight="1">
      <c r="M3336"/>
      <c r="N3336"/>
      <c r="O3336"/>
      <c r="P3336"/>
      <c r="Q3336"/>
      <c r="R3336"/>
      <c r="S3336"/>
    </row>
    <row r="3337" spans="13:19" ht="13.95" customHeight="1">
      <c r="M3337"/>
      <c r="N3337"/>
      <c r="O3337"/>
      <c r="P3337"/>
      <c r="Q3337"/>
      <c r="R3337"/>
      <c r="S3337"/>
    </row>
    <row r="3338" spans="13:19" ht="13.95" customHeight="1">
      <c r="M3338"/>
      <c r="N3338"/>
      <c r="O3338"/>
      <c r="P3338"/>
      <c r="Q3338"/>
      <c r="R3338"/>
      <c r="S3338"/>
    </row>
    <row r="3339" spans="13:19" ht="13.95" customHeight="1">
      <c r="M3339"/>
      <c r="N3339"/>
      <c r="O3339"/>
      <c r="P3339"/>
      <c r="Q3339"/>
      <c r="R3339"/>
      <c r="S3339"/>
    </row>
    <row r="3340" spans="13:19" ht="13.95" customHeight="1">
      <c r="M3340"/>
      <c r="N3340"/>
      <c r="O3340"/>
      <c r="P3340"/>
      <c r="Q3340"/>
      <c r="R3340"/>
      <c r="S3340"/>
    </row>
    <row r="3341" spans="13:19" ht="13.95" customHeight="1">
      <c r="M3341"/>
      <c r="N3341"/>
      <c r="O3341"/>
      <c r="P3341"/>
      <c r="Q3341"/>
      <c r="R3341"/>
      <c r="S3341"/>
    </row>
    <row r="3342" spans="13:19" ht="13.95" customHeight="1">
      <c r="M3342"/>
      <c r="N3342"/>
      <c r="O3342"/>
      <c r="P3342"/>
      <c r="Q3342"/>
      <c r="R3342"/>
      <c r="S3342"/>
    </row>
    <row r="3343" spans="13:19" ht="13.95" customHeight="1">
      <c r="M3343"/>
      <c r="N3343"/>
      <c r="O3343"/>
      <c r="P3343"/>
      <c r="Q3343"/>
      <c r="R3343"/>
      <c r="S3343"/>
    </row>
    <row r="3344" spans="13:19" ht="13.95" customHeight="1">
      <c r="M3344"/>
      <c r="N3344"/>
      <c r="O3344"/>
      <c r="P3344"/>
      <c r="Q3344"/>
      <c r="R3344"/>
      <c r="S3344"/>
    </row>
    <row r="3345" spans="13:19" ht="13.95" customHeight="1">
      <c r="M3345"/>
      <c r="N3345"/>
      <c r="O3345"/>
      <c r="P3345"/>
      <c r="Q3345"/>
      <c r="R3345"/>
      <c r="S3345"/>
    </row>
    <row r="3346" spans="13:19" ht="13.95" customHeight="1">
      <c r="M3346"/>
      <c r="N3346"/>
      <c r="O3346"/>
      <c r="P3346"/>
      <c r="Q3346"/>
      <c r="R3346"/>
      <c r="S3346"/>
    </row>
    <row r="3347" spans="13:19" ht="13.95" customHeight="1">
      <c r="M3347"/>
      <c r="N3347"/>
      <c r="O3347"/>
      <c r="P3347"/>
      <c r="Q3347"/>
      <c r="R3347"/>
      <c r="S3347"/>
    </row>
    <row r="3348" spans="13:19" ht="13.95" customHeight="1">
      <c r="M3348"/>
      <c r="N3348"/>
      <c r="O3348"/>
      <c r="P3348"/>
      <c r="Q3348"/>
      <c r="R3348"/>
      <c r="S3348"/>
    </row>
    <row r="3349" spans="13:19" ht="13.95" customHeight="1">
      <c r="M3349"/>
      <c r="N3349"/>
      <c r="O3349"/>
      <c r="P3349"/>
      <c r="Q3349"/>
      <c r="R3349"/>
      <c r="S3349"/>
    </row>
    <row r="3350" spans="13:19" ht="13.95" customHeight="1">
      <c r="M3350"/>
      <c r="N3350"/>
      <c r="O3350"/>
      <c r="P3350"/>
      <c r="Q3350"/>
      <c r="R3350"/>
      <c r="S3350"/>
    </row>
    <row r="3351" spans="13:19" ht="13.95" customHeight="1">
      <c r="M3351"/>
      <c r="N3351"/>
      <c r="O3351"/>
      <c r="P3351"/>
      <c r="Q3351"/>
      <c r="R3351"/>
      <c r="S3351"/>
    </row>
    <row r="3352" spans="13:19" ht="13.95" customHeight="1">
      <c r="M3352"/>
      <c r="N3352"/>
      <c r="O3352"/>
      <c r="P3352"/>
      <c r="Q3352"/>
      <c r="R3352"/>
      <c r="S3352"/>
    </row>
    <row r="3353" spans="13:19" ht="13.95" customHeight="1">
      <c r="M3353"/>
      <c r="N3353"/>
      <c r="O3353"/>
      <c r="P3353"/>
      <c r="Q3353"/>
      <c r="R3353"/>
      <c r="S3353"/>
    </row>
    <row r="3354" spans="13:19" ht="13.95" customHeight="1">
      <c r="M3354"/>
      <c r="N3354"/>
      <c r="O3354"/>
      <c r="P3354"/>
      <c r="Q3354"/>
      <c r="R3354"/>
      <c r="S3354"/>
    </row>
    <row r="3355" spans="13:19" ht="13.95" customHeight="1">
      <c r="M3355"/>
      <c r="N3355"/>
      <c r="O3355"/>
      <c r="P3355"/>
      <c r="Q3355"/>
      <c r="R3355"/>
      <c r="S3355"/>
    </row>
    <row r="3356" spans="13:19" ht="13.95" customHeight="1">
      <c r="M3356"/>
      <c r="N3356"/>
      <c r="O3356"/>
      <c r="P3356"/>
      <c r="Q3356"/>
      <c r="R3356"/>
      <c r="S3356"/>
    </row>
    <row r="3357" spans="13:19" ht="13.95" customHeight="1">
      <c r="M3357"/>
      <c r="N3357"/>
      <c r="O3357"/>
      <c r="P3357"/>
      <c r="Q3357"/>
      <c r="R3357"/>
      <c r="S3357"/>
    </row>
    <row r="3358" spans="13:19" ht="13.95" customHeight="1">
      <c r="M3358"/>
      <c r="N3358"/>
      <c r="O3358"/>
      <c r="P3358"/>
      <c r="Q3358"/>
      <c r="R3358"/>
      <c r="S3358"/>
    </row>
    <row r="3359" spans="13:19" ht="13.95" customHeight="1">
      <c r="M3359"/>
      <c r="N3359"/>
      <c r="O3359"/>
      <c r="P3359"/>
      <c r="Q3359"/>
      <c r="R3359"/>
      <c r="S3359"/>
    </row>
    <row r="3360" spans="13:19" ht="13.95" customHeight="1">
      <c r="M3360"/>
      <c r="N3360"/>
      <c r="O3360"/>
      <c r="P3360"/>
      <c r="Q3360"/>
      <c r="R3360"/>
      <c r="S3360"/>
    </row>
    <row r="3361" spans="13:19" ht="13.95" customHeight="1">
      <c r="M3361"/>
      <c r="N3361"/>
      <c r="O3361"/>
      <c r="P3361"/>
      <c r="Q3361"/>
      <c r="R3361"/>
      <c r="S3361"/>
    </row>
    <row r="3362" spans="13:19" ht="13.95" customHeight="1">
      <c r="M3362"/>
      <c r="N3362"/>
      <c r="O3362"/>
      <c r="P3362"/>
      <c r="Q3362"/>
      <c r="R3362"/>
      <c r="S3362"/>
    </row>
    <row r="3363" spans="13:19" ht="13.95" customHeight="1">
      <c r="M3363"/>
      <c r="N3363"/>
      <c r="O3363"/>
      <c r="P3363"/>
      <c r="Q3363"/>
      <c r="R3363"/>
      <c r="S3363"/>
    </row>
    <row r="3364" spans="13:19" ht="13.95" customHeight="1">
      <c r="M3364"/>
      <c r="N3364"/>
      <c r="O3364"/>
      <c r="P3364"/>
      <c r="Q3364"/>
      <c r="R3364"/>
      <c r="S3364"/>
    </row>
    <row r="3365" spans="13:19" ht="13.95" customHeight="1">
      <c r="M3365"/>
      <c r="N3365"/>
      <c r="O3365"/>
      <c r="P3365"/>
      <c r="Q3365"/>
      <c r="R3365"/>
      <c r="S3365"/>
    </row>
    <row r="3366" spans="13:19" ht="13.95" customHeight="1">
      <c r="M3366"/>
      <c r="N3366"/>
      <c r="O3366"/>
      <c r="P3366"/>
      <c r="Q3366"/>
      <c r="R3366"/>
      <c r="S3366"/>
    </row>
    <row r="3367" spans="13:19" ht="13.95" customHeight="1">
      <c r="M3367"/>
      <c r="N3367"/>
      <c r="O3367"/>
      <c r="P3367"/>
      <c r="Q3367"/>
      <c r="R3367"/>
      <c r="S3367"/>
    </row>
    <row r="3368" spans="13:19" ht="13.95" customHeight="1">
      <c r="M3368"/>
      <c r="N3368"/>
      <c r="O3368"/>
      <c r="P3368"/>
      <c r="Q3368"/>
      <c r="R3368"/>
      <c r="S3368"/>
    </row>
    <row r="3369" spans="13:19" ht="13.95" customHeight="1">
      <c r="M3369"/>
      <c r="N3369"/>
      <c r="O3369"/>
      <c r="P3369"/>
      <c r="Q3369"/>
      <c r="R3369"/>
      <c r="S3369"/>
    </row>
    <row r="3370" spans="13:19" ht="13.95" customHeight="1">
      <c r="M3370"/>
      <c r="N3370"/>
      <c r="O3370"/>
      <c r="P3370"/>
      <c r="Q3370"/>
      <c r="R3370"/>
      <c r="S3370"/>
    </row>
    <row r="3371" spans="13:19" ht="13.95" customHeight="1">
      <c r="M3371"/>
      <c r="N3371"/>
      <c r="O3371"/>
      <c r="P3371"/>
      <c r="Q3371"/>
      <c r="R3371"/>
      <c r="S3371"/>
    </row>
    <row r="3372" spans="13:19" ht="13.95" customHeight="1">
      <c r="M3372"/>
      <c r="N3372"/>
      <c r="O3372"/>
      <c r="P3372"/>
      <c r="Q3372"/>
      <c r="R3372"/>
      <c r="S3372"/>
    </row>
    <row r="3373" spans="13:19" ht="13.95" customHeight="1">
      <c r="M3373"/>
      <c r="N3373"/>
      <c r="O3373"/>
      <c r="P3373"/>
      <c r="Q3373"/>
      <c r="R3373"/>
      <c r="S3373"/>
    </row>
    <row r="3374" spans="13:19" ht="13.95" customHeight="1">
      <c r="M3374"/>
      <c r="N3374"/>
      <c r="O3374"/>
      <c r="P3374"/>
      <c r="Q3374"/>
      <c r="R3374"/>
      <c r="S3374"/>
    </row>
    <row r="3375" spans="13:19" ht="13.95" customHeight="1">
      <c r="M3375"/>
      <c r="N3375"/>
      <c r="O3375"/>
      <c r="P3375"/>
      <c r="Q3375"/>
      <c r="R3375"/>
      <c r="S3375"/>
    </row>
    <row r="3376" spans="13:19" ht="13.95" customHeight="1">
      <c r="M3376"/>
      <c r="N3376"/>
      <c r="O3376"/>
      <c r="P3376"/>
      <c r="Q3376"/>
      <c r="R3376"/>
      <c r="S3376"/>
    </row>
    <row r="3377" spans="13:19" ht="13.95" customHeight="1">
      <c r="M3377"/>
      <c r="N3377"/>
      <c r="O3377"/>
      <c r="P3377"/>
      <c r="Q3377"/>
      <c r="R3377"/>
      <c r="S3377"/>
    </row>
    <row r="3378" spans="13:19" ht="13.95" customHeight="1">
      <c r="M3378"/>
      <c r="N3378"/>
      <c r="O3378"/>
      <c r="P3378"/>
      <c r="Q3378"/>
      <c r="R3378"/>
      <c r="S3378"/>
    </row>
    <row r="3379" spans="13:19" ht="13.95" customHeight="1">
      <c r="M3379"/>
      <c r="N3379"/>
      <c r="O3379"/>
      <c r="P3379"/>
      <c r="Q3379"/>
      <c r="R3379"/>
      <c r="S3379"/>
    </row>
    <row r="3380" spans="13:19" ht="13.95" customHeight="1">
      <c r="M3380"/>
      <c r="N3380"/>
      <c r="O3380"/>
      <c r="P3380"/>
      <c r="Q3380"/>
      <c r="R3380"/>
      <c r="S3380"/>
    </row>
    <row r="3381" spans="13:19" ht="13.95" customHeight="1">
      <c r="M3381"/>
      <c r="N3381"/>
      <c r="O3381"/>
      <c r="P3381"/>
      <c r="Q3381"/>
      <c r="R3381"/>
      <c r="S3381"/>
    </row>
    <row r="3382" spans="13:19" ht="13.95" customHeight="1">
      <c r="M3382"/>
      <c r="N3382"/>
      <c r="O3382"/>
      <c r="P3382"/>
      <c r="Q3382"/>
      <c r="R3382"/>
      <c r="S3382"/>
    </row>
    <row r="3383" spans="13:19" ht="13.95" customHeight="1">
      <c r="M3383"/>
      <c r="N3383"/>
      <c r="O3383"/>
      <c r="P3383"/>
      <c r="Q3383"/>
      <c r="R3383"/>
      <c r="S3383"/>
    </row>
    <row r="3384" spans="13:19" ht="13.95" customHeight="1">
      <c r="M3384"/>
      <c r="N3384"/>
      <c r="O3384"/>
      <c r="P3384"/>
      <c r="Q3384"/>
      <c r="R3384"/>
      <c r="S3384"/>
    </row>
    <row r="3385" spans="13:19" ht="13.95" customHeight="1">
      <c r="M3385"/>
      <c r="N3385"/>
      <c r="O3385"/>
      <c r="P3385"/>
      <c r="Q3385"/>
      <c r="R3385"/>
      <c r="S3385"/>
    </row>
    <row r="3386" spans="13:19" ht="13.95" customHeight="1">
      <c r="M3386"/>
      <c r="N3386"/>
      <c r="O3386"/>
      <c r="P3386"/>
      <c r="Q3386"/>
      <c r="R3386"/>
      <c r="S3386"/>
    </row>
    <row r="3387" spans="13:19" ht="13.95" customHeight="1">
      <c r="M3387"/>
      <c r="N3387"/>
      <c r="O3387"/>
      <c r="P3387"/>
      <c r="Q3387"/>
      <c r="R3387"/>
      <c r="S3387"/>
    </row>
    <row r="3388" spans="13:19" ht="13.95" customHeight="1">
      <c r="M3388"/>
      <c r="N3388"/>
      <c r="O3388"/>
      <c r="P3388"/>
      <c r="Q3388"/>
      <c r="R3388"/>
      <c r="S3388"/>
    </row>
    <row r="3389" spans="13:19" ht="13.95" customHeight="1">
      <c r="M3389"/>
      <c r="N3389"/>
      <c r="O3389"/>
      <c r="P3389"/>
      <c r="Q3389"/>
      <c r="R3389"/>
      <c r="S3389"/>
    </row>
    <row r="3390" spans="13:19" ht="13.95" customHeight="1">
      <c r="M3390"/>
      <c r="N3390"/>
      <c r="O3390"/>
      <c r="P3390"/>
      <c r="Q3390"/>
      <c r="R3390"/>
      <c r="S3390"/>
    </row>
    <row r="3391" spans="13:19" ht="13.95" customHeight="1">
      <c r="M3391"/>
      <c r="N3391"/>
      <c r="O3391"/>
      <c r="P3391"/>
      <c r="Q3391"/>
      <c r="R3391"/>
      <c r="S3391"/>
    </row>
    <row r="3392" spans="13:19" ht="13.95" customHeight="1">
      <c r="M3392"/>
      <c r="N3392"/>
      <c r="O3392"/>
      <c r="P3392"/>
      <c r="Q3392"/>
      <c r="R3392"/>
      <c r="S3392"/>
    </row>
    <row r="3393" spans="13:19" ht="13.95" customHeight="1">
      <c r="M3393"/>
      <c r="N3393"/>
      <c r="O3393"/>
      <c r="P3393"/>
      <c r="Q3393"/>
      <c r="R3393"/>
      <c r="S3393"/>
    </row>
    <row r="3394" spans="13:19" ht="13.95" customHeight="1">
      <c r="M3394"/>
      <c r="N3394"/>
      <c r="O3394"/>
      <c r="P3394"/>
      <c r="Q3394"/>
      <c r="R3394"/>
      <c r="S3394"/>
    </row>
    <row r="3395" spans="13:19" ht="13.95" customHeight="1">
      <c r="M3395"/>
      <c r="N3395"/>
      <c r="O3395"/>
      <c r="P3395"/>
      <c r="Q3395"/>
      <c r="R3395"/>
      <c r="S3395"/>
    </row>
    <row r="3396" spans="13:19" ht="13.95" customHeight="1">
      <c r="M3396"/>
      <c r="N3396"/>
      <c r="O3396"/>
      <c r="P3396"/>
      <c r="Q3396"/>
      <c r="R3396"/>
      <c r="S3396"/>
    </row>
    <row r="3397" spans="13:19" ht="13.95" customHeight="1">
      <c r="M3397"/>
      <c r="N3397"/>
      <c r="O3397"/>
      <c r="P3397"/>
      <c r="Q3397"/>
      <c r="R3397"/>
      <c r="S3397"/>
    </row>
    <row r="3398" spans="13:19" ht="13.95" customHeight="1">
      <c r="M3398"/>
      <c r="N3398"/>
      <c r="O3398"/>
      <c r="P3398"/>
      <c r="Q3398"/>
      <c r="R3398"/>
      <c r="S3398"/>
    </row>
    <row r="3399" spans="13:19" ht="13.95" customHeight="1">
      <c r="M3399"/>
      <c r="N3399"/>
      <c r="O3399"/>
      <c r="P3399"/>
      <c r="Q3399"/>
      <c r="R3399"/>
      <c r="S3399"/>
    </row>
    <row r="3400" spans="13:19" ht="13.95" customHeight="1">
      <c r="M3400"/>
      <c r="N3400"/>
      <c r="O3400"/>
      <c r="P3400"/>
      <c r="Q3400"/>
      <c r="R3400"/>
      <c r="S3400"/>
    </row>
    <row r="3401" spans="13:19" ht="13.95" customHeight="1">
      <c r="M3401"/>
      <c r="N3401"/>
      <c r="O3401"/>
      <c r="P3401"/>
      <c r="Q3401"/>
      <c r="R3401"/>
      <c r="S3401"/>
    </row>
    <row r="3402" spans="13:19" ht="13.95" customHeight="1">
      <c r="M3402"/>
      <c r="N3402"/>
      <c r="O3402"/>
      <c r="P3402"/>
      <c r="Q3402"/>
      <c r="R3402"/>
      <c r="S3402"/>
    </row>
    <row r="3403" spans="13:19" ht="13.95" customHeight="1">
      <c r="M3403"/>
      <c r="N3403"/>
      <c r="O3403"/>
      <c r="P3403"/>
      <c r="Q3403"/>
      <c r="R3403"/>
      <c r="S3403"/>
    </row>
    <row r="3404" spans="13:19" ht="13.95" customHeight="1">
      <c r="M3404"/>
      <c r="N3404"/>
      <c r="O3404"/>
      <c r="P3404"/>
      <c r="Q3404"/>
      <c r="R3404"/>
      <c r="S3404"/>
    </row>
    <row r="3405" spans="13:19" ht="13.95" customHeight="1">
      <c r="M3405"/>
      <c r="N3405"/>
      <c r="O3405"/>
      <c r="P3405"/>
      <c r="Q3405"/>
      <c r="R3405"/>
      <c r="S3405"/>
    </row>
    <row r="3406" spans="13:19" ht="13.95" customHeight="1">
      <c r="M3406"/>
      <c r="N3406"/>
      <c r="O3406"/>
      <c r="P3406"/>
      <c r="Q3406"/>
      <c r="R3406"/>
      <c r="S3406"/>
    </row>
    <row r="3407" spans="13:19" ht="13.95" customHeight="1">
      <c r="M3407"/>
      <c r="N3407"/>
      <c r="O3407"/>
      <c r="P3407"/>
      <c r="Q3407"/>
      <c r="R3407"/>
      <c r="S3407"/>
    </row>
    <row r="3408" spans="13:19" ht="13.95" customHeight="1">
      <c r="M3408"/>
      <c r="N3408"/>
      <c r="O3408"/>
      <c r="P3408"/>
      <c r="Q3408"/>
      <c r="R3408"/>
      <c r="S3408"/>
    </row>
    <row r="3409" spans="13:19" ht="13.95" customHeight="1">
      <c r="M3409"/>
      <c r="N3409"/>
      <c r="O3409"/>
      <c r="P3409"/>
      <c r="Q3409"/>
      <c r="R3409"/>
      <c r="S3409"/>
    </row>
    <row r="3410" spans="13:19" ht="13.95" customHeight="1">
      <c r="M3410"/>
      <c r="N3410"/>
      <c r="O3410"/>
      <c r="P3410"/>
      <c r="Q3410"/>
      <c r="R3410"/>
      <c r="S3410"/>
    </row>
    <row r="3411" spans="13:19" ht="13.95" customHeight="1">
      <c r="M3411"/>
      <c r="N3411"/>
      <c r="O3411"/>
      <c r="P3411"/>
      <c r="Q3411"/>
      <c r="R3411"/>
      <c r="S3411"/>
    </row>
    <row r="3412" spans="13:19" ht="13.95" customHeight="1">
      <c r="M3412"/>
      <c r="N3412"/>
      <c r="O3412"/>
      <c r="P3412"/>
      <c r="Q3412"/>
      <c r="R3412"/>
      <c r="S3412"/>
    </row>
    <row r="3413" spans="13:19" ht="13.95" customHeight="1">
      <c r="M3413"/>
      <c r="N3413"/>
      <c r="O3413"/>
      <c r="P3413"/>
      <c r="Q3413"/>
      <c r="R3413"/>
      <c r="S3413"/>
    </row>
    <row r="3414" spans="13:19" ht="13.95" customHeight="1">
      <c r="M3414"/>
      <c r="N3414"/>
      <c r="O3414"/>
      <c r="P3414"/>
      <c r="Q3414"/>
      <c r="R3414"/>
      <c r="S3414"/>
    </row>
    <row r="3415" spans="13:19" ht="13.95" customHeight="1">
      <c r="M3415"/>
      <c r="N3415"/>
      <c r="O3415"/>
      <c r="P3415"/>
      <c r="Q3415"/>
      <c r="R3415"/>
      <c r="S3415"/>
    </row>
    <row r="3416" spans="13:19" ht="13.95" customHeight="1">
      <c r="M3416"/>
      <c r="N3416"/>
      <c r="O3416"/>
      <c r="P3416"/>
      <c r="Q3416"/>
      <c r="R3416"/>
      <c r="S3416"/>
    </row>
    <row r="3417" spans="13:19" ht="13.95" customHeight="1">
      <c r="M3417"/>
      <c r="N3417"/>
      <c r="O3417"/>
      <c r="P3417"/>
      <c r="Q3417"/>
      <c r="R3417"/>
      <c r="S3417"/>
    </row>
    <row r="3418" spans="13:19" ht="13.95" customHeight="1">
      <c r="M3418"/>
      <c r="N3418"/>
      <c r="O3418"/>
      <c r="P3418"/>
      <c r="Q3418"/>
      <c r="R3418"/>
      <c r="S3418"/>
    </row>
    <row r="3419" spans="13:19" ht="13.95" customHeight="1">
      <c r="M3419"/>
      <c r="N3419"/>
      <c r="O3419"/>
      <c r="P3419"/>
      <c r="Q3419"/>
      <c r="R3419"/>
      <c r="S3419"/>
    </row>
    <row r="3420" spans="13:19" ht="13.95" customHeight="1">
      <c r="M3420"/>
      <c r="N3420"/>
      <c r="O3420"/>
      <c r="P3420"/>
      <c r="Q3420"/>
      <c r="R3420"/>
      <c r="S3420"/>
    </row>
    <row r="3421" spans="13:19" ht="13.95" customHeight="1">
      <c r="M3421"/>
      <c r="N3421"/>
      <c r="O3421"/>
      <c r="P3421"/>
      <c r="Q3421"/>
      <c r="R3421"/>
      <c r="S3421"/>
    </row>
    <row r="3422" spans="13:19" ht="13.95" customHeight="1">
      <c r="M3422"/>
      <c r="N3422"/>
      <c r="O3422"/>
      <c r="P3422"/>
      <c r="Q3422"/>
      <c r="R3422"/>
      <c r="S3422"/>
    </row>
    <row r="3423" spans="13:19" ht="13.95" customHeight="1">
      <c r="M3423"/>
      <c r="N3423"/>
      <c r="O3423"/>
      <c r="P3423"/>
      <c r="Q3423"/>
      <c r="R3423"/>
      <c r="S3423"/>
    </row>
    <row r="3424" spans="13:19" ht="13.95" customHeight="1">
      <c r="M3424"/>
      <c r="N3424"/>
      <c r="O3424"/>
      <c r="P3424"/>
      <c r="Q3424"/>
      <c r="R3424"/>
      <c r="S3424"/>
    </row>
    <row r="3425" spans="13:19" ht="13.95" customHeight="1">
      <c r="M3425"/>
      <c r="N3425"/>
      <c r="O3425"/>
      <c r="P3425"/>
      <c r="Q3425"/>
      <c r="R3425"/>
      <c r="S3425"/>
    </row>
    <row r="3426" spans="13:19" ht="13.95" customHeight="1">
      <c r="M3426"/>
      <c r="N3426"/>
      <c r="O3426"/>
      <c r="P3426"/>
      <c r="Q3426"/>
      <c r="R3426"/>
      <c r="S3426"/>
    </row>
    <row r="3427" spans="13:19" ht="13.95" customHeight="1">
      <c r="M3427"/>
      <c r="N3427"/>
      <c r="O3427"/>
      <c r="P3427"/>
      <c r="Q3427"/>
      <c r="R3427"/>
      <c r="S3427"/>
    </row>
    <row r="3428" spans="13:19" ht="13.95" customHeight="1">
      <c r="M3428"/>
      <c r="N3428"/>
      <c r="O3428"/>
      <c r="P3428"/>
      <c r="Q3428"/>
      <c r="R3428"/>
      <c r="S3428"/>
    </row>
    <row r="3429" spans="13:19" ht="13.95" customHeight="1">
      <c r="M3429"/>
      <c r="N3429"/>
      <c r="O3429"/>
      <c r="P3429"/>
      <c r="Q3429"/>
      <c r="R3429"/>
      <c r="S3429"/>
    </row>
    <row r="3430" spans="13:19" ht="13.95" customHeight="1">
      <c r="M3430"/>
      <c r="N3430"/>
      <c r="O3430"/>
      <c r="P3430"/>
      <c r="Q3430"/>
      <c r="R3430"/>
      <c r="S3430"/>
    </row>
    <row r="3431" spans="13:19" ht="13.95" customHeight="1">
      <c r="M3431"/>
      <c r="N3431"/>
      <c r="O3431"/>
      <c r="P3431"/>
      <c r="Q3431"/>
      <c r="R3431"/>
      <c r="S3431"/>
    </row>
    <row r="3432" spans="13:19" ht="13.95" customHeight="1">
      <c r="M3432"/>
      <c r="N3432"/>
      <c r="O3432"/>
      <c r="P3432"/>
      <c r="Q3432"/>
      <c r="R3432"/>
      <c r="S3432"/>
    </row>
    <row r="3433" spans="13:19" ht="13.95" customHeight="1">
      <c r="M3433"/>
      <c r="N3433"/>
      <c r="O3433"/>
      <c r="P3433"/>
      <c r="Q3433"/>
      <c r="R3433"/>
      <c r="S3433"/>
    </row>
    <row r="3434" spans="13:19" ht="13.95" customHeight="1">
      <c r="M3434"/>
      <c r="N3434"/>
      <c r="O3434"/>
      <c r="P3434"/>
      <c r="Q3434"/>
      <c r="R3434"/>
      <c r="S3434"/>
    </row>
    <row r="3435" spans="13:19" ht="13.95" customHeight="1">
      <c r="M3435"/>
      <c r="N3435"/>
      <c r="O3435"/>
      <c r="P3435"/>
      <c r="Q3435"/>
      <c r="R3435"/>
      <c r="S3435"/>
    </row>
    <row r="3436" spans="13:19" ht="13.95" customHeight="1">
      <c r="M3436"/>
      <c r="N3436"/>
      <c r="O3436"/>
      <c r="P3436"/>
      <c r="Q3436"/>
      <c r="R3436"/>
      <c r="S3436"/>
    </row>
    <row r="3437" spans="13:19" ht="13.95" customHeight="1">
      <c r="M3437"/>
      <c r="N3437"/>
      <c r="O3437"/>
      <c r="P3437"/>
      <c r="Q3437"/>
      <c r="R3437"/>
      <c r="S3437"/>
    </row>
    <row r="3438" spans="13:19" ht="13.95" customHeight="1">
      <c r="M3438"/>
      <c r="N3438"/>
      <c r="O3438"/>
      <c r="P3438"/>
      <c r="Q3438"/>
      <c r="R3438"/>
      <c r="S3438"/>
    </row>
    <row r="3439" spans="13:19" ht="13.95" customHeight="1">
      <c r="M3439"/>
      <c r="N3439"/>
      <c r="O3439"/>
      <c r="P3439"/>
      <c r="Q3439"/>
      <c r="R3439"/>
      <c r="S3439"/>
    </row>
    <row r="3440" spans="13:19" ht="13.95" customHeight="1">
      <c r="M3440"/>
      <c r="N3440"/>
      <c r="O3440"/>
      <c r="P3440"/>
      <c r="Q3440"/>
      <c r="R3440"/>
      <c r="S3440"/>
    </row>
    <row r="3441" spans="13:19" ht="13.95" customHeight="1">
      <c r="M3441"/>
      <c r="N3441"/>
      <c r="O3441"/>
      <c r="P3441"/>
      <c r="Q3441"/>
      <c r="R3441"/>
      <c r="S3441"/>
    </row>
    <row r="3442" spans="13:19" ht="13.95" customHeight="1">
      <c r="M3442"/>
      <c r="N3442"/>
      <c r="O3442"/>
      <c r="P3442"/>
      <c r="Q3442"/>
      <c r="R3442"/>
      <c r="S3442"/>
    </row>
    <row r="3443" spans="13:19" ht="13.95" customHeight="1">
      <c r="M3443"/>
      <c r="N3443"/>
      <c r="O3443"/>
      <c r="P3443"/>
      <c r="Q3443"/>
      <c r="R3443"/>
      <c r="S3443"/>
    </row>
    <row r="3444" spans="13:19" ht="13.95" customHeight="1">
      <c r="M3444"/>
      <c r="N3444"/>
      <c r="O3444"/>
      <c r="P3444"/>
      <c r="Q3444"/>
      <c r="R3444"/>
      <c r="S3444"/>
    </row>
    <row r="3445" spans="13:19" ht="13.95" customHeight="1">
      <c r="M3445"/>
      <c r="N3445"/>
      <c r="O3445"/>
      <c r="P3445"/>
      <c r="Q3445"/>
      <c r="R3445"/>
      <c r="S3445"/>
    </row>
    <row r="3446" spans="13:19" ht="13.95" customHeight="1">
      <c r="M3446"/>
      <c r="N3446"/>
      <c r="O3446"/>
      <c r="P3446"/>
      <c r="Q3446"/>
      <c r="R3446"/>
      <c r="S3446"/>
    </row>
    <row r="3447" spans="13:19" ht="13.95" customHeight="1">
      <c r="M3447"/>
      <c r="N3447"/>
      <c r="O3447"/>
      <c r="P3447"/>
      <c r="Q3447"/>
      <c r="R3447"/>
      <c r="S3447"/>
    </row>
    <row r="3448" spans="13:19" ht="13.95" customHeight="1">
      <c r="M3448"/>
      <c r="N3448"/>
      <c r="O3448"/>
      <c r="P3448"/>
      <c r="Q3448"/>
      <c r="R3448"/>
      <c r="S3448"/>
    </row>
    <row r="3449" spans="13:19" ht="13.95" customHeight="1">
      <c r="M3449"/>
      <c r="N3449"/>
      <c r="O3449"/>
      <c r="P3449"/>
      <c r="Q3449"/>
      <c r="R3449"/>
      <c r="S3449"/>
    </row>
    <row r="3450" spans="13:19" ht="13.95" customHeight="1">
      <c r="M3450"/>
      <c r="N3450"/>
      <c r="O3450"/>
      <c r="P3450"/>
      <c r="Q3450"/>
      <c r="R3450"/>
      <c r="S3450"/>
    </row>
    <row r="3451" spans="13:19" ht="13.95" customHeight="1">
      <c r="M3451"/>
      <c r="N3451"/>
      <c r="O3451"/>
      <c r="P3451"/>
      <c r="Q3451"/>
      <c r="R3451"/>
      <c r="S3451"/>
    </row>
    <row r="3452" spans="13:19" ht="13.95" customHeight="1">
      <c r="M3452"/>
      <c r="N3452"/>
      <c r="O3452"/>
      <c r="P3452"/>
      <c r="Q3452"/>
      <c r="R3452"/>
      <c r="S3452"/>
    </row>
    <row r="3453" spans="13:19" ht="13.95" customHeight="1">
      <c r="M3453"/>
      <c r="N3453"/>
      <c r="O3453"/>
      <c r="P3453"/>
      <c r="Q3453"/>
      <c r="R3453"/>
      <c r="S3453"/>
    </row>
    <row r="3454" spans="13:19" ht="13.95" customHeight="1">
      <c r="M3454"/>
      <c r="N3454"/>
      <c r="O3454"/>
      <c r="P3454"/>
      <c r="Q3454"/>
      <c r="R3454"/>
      <c r="S3454"/>
    </row>
    <row r="3455" spans="13:19" ht="13.95" customHeight="1">
      <c r="M3455"/>
      <c r="N3455"/>
      <c r="O3455"/>
      <c r="P3455"/>
      <c r="Q3455"/>
      <c r="R3455"/>
      <c r="S3455"/>
    </row>
    <row r="3456" spans="13:19" ht="13.95" customHeight="1">
      <c r="M3456"/>
      <c r="N3456"/>
      <c r="O3456"/>
      <c r="P3456"/>
      <c r="Q3456"/>
      <c r="R3456"/>
      <c r="S3456"/>
    </row>
    <row r="3457" spans="13:19" ht="13.95" customHeight="1">
      <c r="M3457"/>
      <c r="N3457"/>
      <c r="O3457"/>
      <c r="P3457"/>
      <c r="Q3457"/>
      <c r="R3457"/>
      <c r="S3457"/>
    </row>
    <row r="3458" spans="13:19" ht="13.95" customHeight="1">
      <c r="M3458"/>
      <c r="N3458"/>
      <c r="O3458"/>
      <c r="P3458"/>
      <c r="Q3458"/>
      <c r="R3458"/>
      <c r="S3458"/>
    </row>
    <row r="3459" spans="13:19" ht="13.95" customHeight="1">
      <c r="M3459"/>
      <c r="N3459"/>
      <c r="O3459"/>
      <c r="P3459"/>
      <c r="Q3459"/>
      <c r="R3459"/>
      <c r="S3459"/>
    </row>
    <row r="3460" spans="13:19" ht="13.95" customHeight="1">
      <c r="M3460"/>
      <c r="N3460"/>
      <c r="O3460"/>
      <c r="P3460"/>
      <c r="Q3460"/>
      <c r="R3460"/>
      <c r="S3460"/>
    </row>
    <row r="3461" spans="13:19" ht="13.95" customHeight="1">
      <c r="M3461"/>
      <c r="N3461"/>
      <c r="O3461"/>
      <c r="P3461"/>
      <c r="Q3461"/>
      <c r="R3461"/>
      <c r="S3461"/>
    </row>
    <row r="3462" spans="13:19" ht="13.95" customHeight="1">
      <c r="M3462"/>
      <c r="N3462"/>
      <c r="O3462"/>
      <c r="P3462"/>
      <c r="Q3462"/>
      <c r="R3462"/>
      <c r="S3462"/>
    </row>
    <row r="3463" spans="13:19" ht="13.95" customHeight="1">
      <c r="M3463"/>
      <c r="N3463"/>
      <c r="O3463"/>
      <c r="P3463"/>
      <c r="Q3463"/>
      <c r="R3463"/>
      <c r="S3463"/>
    </row>
    <row r="3464" spans="13:19" ht="13.95" customHeight="1">
      <c r="M3464"/>
      <c r="N3464"/>
      <c r="O3464"/>
      <c r="P3464"/>
      <c r="Q3464"/>
      <c r="R3464"/>
      <c r="S3464"/>
    </row>
    <row r="3465" spans="13:19" ht="13.95" customHeight="1">
      <c r="M3465"/>
      <c r="N3465"/>
      <c r="O3465"/>
      <c r="P3465"/>
      <c r="Q3465"/>
      <c r="R3465"/>
      <c r="S3465"/>
    </row>
    <row r="3466" spans="13:19" ht="13.95" customHeight="1">
      <c r="M3466"/>
      <c r="N3466"/>
      <c r="O3466"/>
      <c r="P3466"/>
      <c r="Q3466"/>
      <c r="R3466"/>
      <c r="S3466"/>
    </row>
    <row r="3467" spans="13:19" ht="13.95" customHeight="1">
      <c r="M3467"/>
      <c r="N3467"/>
      <c r="O3467"/>
      <c r="P3467"/>
      <c r="Q3467"/>
      <c r="R3467"/>
      <c r="S3467"/>
    </row>
    <row r="3468" spans="13:19" ht="13.95" customHeight="1">
      <c r="M3468"/>
      <c r="N3468"/>
      <c r="O3468"/>
      <c r="P3468"/>
      <c r="Q3468"/>
      <c r="R3468"/>
      <c r="S3468"/>
    </row>
    <row r="3469" spans="13:19" ht="13.95" customHeight="1">
      <c r="M3469"/>
      <c r="N3469"/>
      <c r="O3469"/>
      <c r="P3469"/>
      <c r="Q3469"/>
      <c r="R3469"/>
      <c r="S3469"/>
    </row>
    <row r="3470" spans="13:19" ht="13.95" customHeight="1">
      <c r="M3470"/>
      <c r="N3470"/>
      <c r="O3470"/>
      <c r="P3470"/>
      <c r="Q3470"/>
      <c r="R3470"/>
      <c r="S3470"/>
    </row>
    <row r="3471" spans="13:19" ht="13.95" customHeight="1">
      <c r="M3471"/>
      <c r="N3471"/>
      <c r="O3471"/>
      <c r="P3471"/>
      <c r="Q3471"/>
      <c r="R3471"/>
      <c r="S3471"/>
    </row>
    <row r="3472" spans="13:19" ht="13.95" customHeight="1">
      <c r="M3472"/>
      <c r="N3472"/>
      <c r="O3472"/>
      <c r="P3472"/>
      <c r="Q3472"/>
      <c r="R3472"/>
      <c r="S3472"/>
    </row>
    <row r="3473" spans="13:19" ht="13.95" customHeight="1">
      <c r="M3473"/>
      <c r="N3473"/>
      <c r="O3473"/>
      <c r="P3473"/>
      <c r="Q3473"/>
      <c r="R3473"/>
      <c r="S3473"/>
    </row>
    <row r="3474" spans="13:19" ht="13.95" customHeight="1">
      <c r="M3474"/>
      <c r="N3474"/>
      <c r="O3474"/>
      <c r="P3474"/>
      <c r="Q3474"/>
      <c r="R3474"/>
      <c r="S3474"/>
    </row>
    <row r="3475" spans="13:19" ht="13.95" customHeight="1">
      <c r="M3475"/>
      <c r="N3475"/>
      <c r="O3475"/>
      <c r="P3475"/>
      <c r="Q3475"/>
      <c r="R3475"/>
      <c r="S3475"/>
    </row>
    <row r="3476" spans="13:19" ht="13.95" customHeight="1">
      <c r="M3476"/>
      <c r="N3476"/>
      <c r="O3476"/>
      <c r="P3476"/>
      <c r="Q3476"/>
      <c r="R3476"/>
      <c r="S3476"/>
    </row>
    <row r="3477" spans="13:19" ht="13.95" customHeight="1">
      <c r="M3477"/>
      <c r="N3477"/>
      <c r="O3477"/>
      <c r="P3477"/>
      <c r="Q3477"/>
      <c r="R3477"/>
      <c r="S3477"/>
    </row>
    <row r="3478" spans="13:19" ht="13.95" customHeight="1">
      <c r="M3478"/>
      <c r="N3478"/>
      <c r="O3478"/>
      <c r="P3478"/>
      <c r="Q3478"/>
      <c r="R3478"/>
      <c r="S3478"/>
    </row>
    <row r="3479" spans="13:19" ht="13.95" customHeight="1">
      <c r="M3479"/>
      <c r="N3479"/>
      <c r="O3479"/>
      <c r="P3479"/>
      <c r="Q3479"/>
      <c r="R3479"/>
      <c r="S3479"/>
    </row>
    <row r="3480" spans="13:19" ht="13.95" customHeight="1">
      <c r="M3480"/>
      <c r="N3480"/>
      <c r="O3480"/>
      <c r="P3480"/>
      <c r="Q3480"/>
      <c r="R3480"/>
      <c r="S3480"/>
    </row>
    <row r="3481" spans="13:19" ht="13.95" customHeight="1">
      <c r="M3481"/>
      <c r="N3481"/>
      <c r="O3481"/>
      <c r="P3481"/>
      <c r="Q3481"/>
      <c r="R3481"/>
      <c r="S3481"/>
    </row>
    <row r="3482" spans="13:19" ht="13.95" customHeight="1">
      <c r="M3482"/>
      <c r="N3482"/>
      <c r="O3482"/>
      <c r="P3482"/>
      <c r="Q3482"/>
      <c r="R3482"/>
      <c r="S3482"/>
    </row>
    <row r="3483" spans="13:19" ht="13.95" customHeight="1">
      <c r="M3483"/>
      <c r="N3483"/>
      <c r="O3483"/>
      <c r="P3483"/>
      <c r="Q3483"/>
      <c r="R3483"/>
      <c r="S3483"/>
    </row>
    <row r="3484" spans="13:19" ht="13.95" customHeight="1">
      <c r="M3484"/>
      <c r="N3484"/>
      <c r="O3484"/>
      <c r="P3484"/>
      <c r="Q3484"/>
      <c r="R3484"/>
      <c r="S3484"/>
    </row>
    <row r="3485" spans="13:19" ht="13.95" customHeight="1">
      <c r="M3485"/>
      <c r="N3485"/>
      <c r="O3485"/>
      <c r="P3485"/>
      <c r="Q3485"/>
      <c r="R3485"/>
      <c r="S3485"/>
    </row>
    <row r="3486" spans="13:19" ht="13.95" customHeight="1">
      <c r="M3486"/>
      <c r="N3486"/>
      <c r="O3486"/>
      <c r="P3486"/>
      <c r="Q3486"/>
      <c r="R3486"/>
      <c r="S3486"/>
    </row>
    <row r="3487" spans="13:19" ht="13.95" customHeight="1">
      <c r="M3487"/>
      <c r="N3487"/>
      <c r="O3487"/>
      <c r="P3487"/>
      <c r="Q3487"/>
      <c r="R3487"/>
      <c r="S3487"/>
    </row>
    <row r="3488" spans="13:19" ht="13.95" customHeight="1">
      <c r="M3488"/>
      <c r="N3488"/>
      <c r="O3488"/>
      <c r="P3488"/>
      <c r="Q3488"/>
      <c r="R3488"/>
      <c r="S3488"/>
    </row>
    <row r="3489" spans="13:19" ht="13.95" customHeight="1">
      <c r="M3489"/>
      <c r="N3489"/>
      <c r="O3489"/>
      <c r="P3489"/>
      <c r="Q3489"/>
      <c r="R3489"/>
      <c r="S3489"/>
    </row>
    <row r="3490" spans="13:19" ht="13.95" customHeight="1">
      <c r="M3490"/>
      <c r="N3490"/>
      <c r="O3490"/>
      <c r="P3490"/>
      <c r="Q3490"/>
      <c r="R3490"/>
      <c r="S3490"/>
    </row>
    <row r="3491" spans="13:19" ht="13.95" customHeight="1">
      <c r="M3491"/>
      <c r="N3491"/>
      <c r="O3491"/>
      <c r="P3491"/>
      <c r="Q3491"/>
      <c r="R3491"/>
      <c r="S3491"/>
    </row>
    <row r="3492" spans="13:19" ht="13.95" customHeight="1">
      <c r="M3492"/>
      <c r="N3492"/>
      <c r="O3492"/>
      <c r="P3492"/>
      <c r="Q3492"/>
      <c r="R3492"/>
      <c r="S3492"/>
    </row>
    <row r="3493" spans="13:19" ht="13.95" customHeight="1">
      <c r="M3493"/>
      <c r="N3493"/>
      <c r="O3493"/>
      <c r="P3493"/>
      <c r="Q3493"/>
      <c r="R3493"/>
      <c r="S3493"/>
    </row>
    <row r="3494" spans="13:19" ht="13.95" customHeight="1">
      <c r="M3494"/>
      <c r="N3494"/>
      <c r="O3494"/>
      <c r="P3494"/>
      <c r="Q3494"/>
      <c r="R3494"/>
      <c r="S3494"/>
    </row>
    <row r="3495" spans="13:19" ht="13.95" customHeight="1">
      <c r="M3495"/>
      <c r="N3495"/>
      <c r="O3495"/>
      <c r="P3495"/>
      <c r="Q3495"/>
      <c r="R3495"/>
      <c r="S3495"/>
    </row>
    <row r="3496" spans="13:19" ht="13.95" customHeight="1">
      <c r="M3496"/>
      <c r="N3496"/>
      <c r="O3496"/>
      <c r="P3496"/>
      <c r="Q3496"/>
      <c r="R3496"/>
      <c r="S3496"/>
    </row>
    <row r="3497" spans="13:19" ht="13.95" customHeight="1">
      <c r="M3497"/>
      <c r="N3497"/>
      <c r="O3497"/>
      <c r="P3497"/>
      <c r="Q3497"/>
      <c r="R3497"/>
      <c r="S3497"/>
    </row>
    <row r="3498" spans="13:19" ht="13.95" customHeight="1">
      <c r="M3498"/>
      <c r="N3498"/>
      <c r="O3498"/>
      <c r="P3498"/>
      <c r="Q3498"/>
      <c r="R3498"/>
      <c r="S3498"/>
    </row>
    <row r="3499" spans="13:19" ht="13.95" customHeight="1">
      <c r="M3499"/>
      <c r="N3499"/>
      <c r="O3499"/>
      <c r="P3499"/>
      <c r="Q3499"/>
      <c r="R3499"/>
      <c r="S3499"/>
    </row>
    <row r="3500" spans="13:19" ht="13.95" customHeight="1">
      <c r="M3500"/>
      <c r="N3500"/>
      <c r="O3500"/>
      <c r="P3500"/>
      <c r="Q3500"/>
      <c r="R3500"/>
      <c r="S3500"/>
    </row>
    <row r="3501" spans="13:19" ht="13.95" customHeight="1">
      <c r="M3501"/>
      <c r="N3501"/>
      <c r="O3501"/>
      <c r="P3501"/>
      <c r="Q3501"/>
      <c r="R3501"/>
      <c r="S3501"/>
    </row>
    <row r="3502" spans="13:19" ht="13.95" customHeight="1">
      <c r="M3502"/>
      <c r="N3502"/>
      <c r="O3502"/>
      <c r="P3502"/>
      <c r="Q3502"/>
      <c r="R3502"/>
      <c r="S3502"/>
    </row>
    <row r="3503" spans="13:19" ht="13.95" customHeight="1">
      <c r="M3503"/>
      <c r="N3503"/>
      <c r="O3503"/>
      <c r="P3503"/>
      <c r="Q3503"/>
      <c r="R3503"/>
      <c r="S3503"/>
    </row>
    <row r="3504" spans="13:19" ht="13.95" customHeight="1">
      <c r="M3504"/>
      <c r="N3504"/>
      <c r="O3504"/>
      <c r="P3504"/>
      <c r="Q3504"/>
      <c r="R3504"/>
      <c r="S3504"/>
    </row>
    <row r="3505" spans="13:19" ht="13.95" customHeight="1">
      <c r="M3505"/>
      <c r="N3505"/>
      <c r="O3505"/>
      <c r="P3505"/>
      <c r="Q3505"/>
      <c r="R3505"/>
      <c r="S3505"/>
    </row>
    <row r="3506" spans="13:19" ht="13.95" customHeight="1">
      <c r="M3506"/>
      <c r="N3506"/>
      <c r="O3506"/>
      <c r="P3506"/>
      <c r="Q3506"/>
      <c r="R3506"/>
      <c r="S3506"/>
    </row>
    <row r="3507" spans="13:19" ht="13.95" customHeight="1">
      <c r="M3507"/>
      <c r="N3507"/>
      <c r="O3507"/>
      <c r="P3507"/>
      <c r="Q3507"/>
      <c r="R3507"/>
      <c r="S3507"/>
    </row>
    <row r="3508" spans="13:19" ht="13.95" customHeight="1">
      <c r="M3508"/>
      <c r="N3508"/>
      <c r="O3508"/>
      <c r="P3508"/>
      <c r="Q3508"/>
      <c r="R3508"/>
      <c r="S3508"/>
    </row>
    <row r="3509" spans="13:19" ht="13.95" customHeight="1">
      <c r="M3509"/>
      <c r="N3509"/>
      <c r="O3509"/>
      <c r="P3509"/>
      <c r="Q3509"/>
      <c r="R3509"/>
      <c r="S3509"/>
    </row>
    <row r="3510" spans="13:19" ht="13.95" customHeight="1">
      <c r="M3510"/>
      <c r="N3510"/>
      <c r="O3510"/>
      <c r="P3510"/>
      <c r="Q3510"/>
      <c r="R3510"/>
      <c r="S3510"/>
    </row>
    <row r="3511" spans="13:19" ht="13.95" customHeight="1">
      <c r="M3511"/>
      <c r="N3511"/>
      <c r="O3511"/>
      <c r="P3511"/>
      <c r="Q3511"/>
      <c r="R3511"/>
      <c r="S3511"/>
    </row>
    <row r="3512" spans="13:19" ht="13.95" customHeight="1">
      <c r="M3512"/>
      <c r="N3512"/>
      <c r="O3512"/>
      <c r="P3512"/>
      <c r="Q3512"/>
      <c r="R3512"/>
      <c r="S3512"/>
    </row>
    <row r="3513" spans="13:19" ht="13.95" customHeight="1">
      <c r="M3513"/>
      <c r="N3513"/>
      <c r="O3513"/>
      <c r="P3513"/>
      <c r="Q3513"/>
      <c r="R3513"/>
      <c r="S3513"/>
    </row>
    <row r="3514" spans="13:19" ht="13.95" customHeight="1">
      <c r="M3514"/>
      <c r="N3514"/>
      <c r="O3514"/>
      <c r="P3514"/>
      <c r="Q3514"/>
      <c r="R3514"/>
      <c r="S3514"/>
    </row>
    <row r="3515" spans="13:19" ht="13.95" customHeight="1">
      <c r="M3515"/>
      <c r="N3515"/>
      <c r="O3515"/>
      <c r="P3515"/>
      <c r="Q3515"/>
      <c r="R3515"/>
      <c r="S3515"/>
    </row>
    <row r="3516" spans="13:19" ht="13.95" customHeight="1">
      <c r="M3516"/>
      <c r="N3516"/>
      <c r="O3516"/>
      <c r="P3516"/>
      <c r="Q3516"/>
      <c r="R3516"/>
      <c r="S3516"/>
    </row>
    <row r="3517" spans="13:19" ht="13.95" customHeight="1">
      <c r="M3517"/>
      <c r="N3517"/>
      <c r="O3517"/>
      <c r="P3517"/>
      <c r="Q3517"/>
      <c r="R3517"/>
      <c r="S3517"/>
    </row>
    <row r="3518" spans="13:19" ht="13.95" customHeight="1">
      <c r="M3518"/>
      <c r="N3518"/>
      <c r="O3518"/>
      <c r="P3518"/>
      <c r="Q3518"/>
      <c r="R3518"/>
      <c r="S3518"/>
    </row>
    <row r="3519" spans="13:19" ht="13.95" customHeight="1">
      <c r="M3519"/>
      <c r="N3519"/>
      <c r="O3519"/>
      <c r="P3519"/>
      <c r="Q3519"/>
      <c r="R3519"/>
      <c r="S3519"/>
    </row>
    <row r="3520" spans="13:19" ht="13.95" customHeight="1">
      <c r="M3520"/>
      <c r="N3520"/>
      <c r="O3520"/>
      <c r="P3520"/>
      <c r="Q3520"/>
      <c r="R3520"/>
      <c r="S3520"/>
    </row>
    <row r="3521" spans="13:19" ht="13.95" customHeight="1">
      <c r="M3521"/>
      <c r="N3521"/>
      <c r="O3521"/>
      <c r="P3521"/>
      <c r="Q3521"/>
      <c r="R3521"/>
      <c r="S3521"/>
    </row>
    <row r="3522" spans="13:19" ht="13.95" customHeight="1">
      <c r="M3522"/>
      <c r="N3522"/>
      <c r="O3522"/>
      <c r="P3522"/>
      <c r="Q3522"/>
      <c r="R3522"/>
      <c r="S3522"/>
    </row>
    <row r="3523" spans="13:19" ht="13.95" customHeight="1">
      <c r="M3523"/>
      <c r="N3523"/>
      <c r="O3523"/>
      <c r="P3523"/>
      <c r="Q3523"/>
      <c r="R3523"/>
      <c r="S3523"/>
    </row>
    <row r="3524" spans="13:19" ht="13.95" customHeight="1">
      <c r="M3524"/>
      <c r="N3524"/>
      <c r="O3524"/>
      <c r="P3524"/>
      <c r="Q3524"/>
      <c r="R3524"/>
      <c r="S3524"/>
    </row>
    <row r="3525" spans="13:19" ht="13.95" customHeight="1">
      <c r="M3525"/>
      <c r="N3525"/>
      <c r="O3525"/>
      <c r="P3525"/>
      <c r="Q3525"/>
      <c r="R3525"/>
      <c r="S3525"/>
    </row>
    <row r="3526" spans="13:19" ht="13.95" customHeight="1">
      <c r="M3526"/>
      <c r="N3526"/>
      <c r="O3526"/>
      <c r="P3526"/>
      <c r="Q3526"/>
      <c r="R3526"/>
      <c r="S3526"/>
    </row>
    <row r="3527" spans="13:19" ht="13.95" customHeight="1">
      <c r="M3527"/>
      <c r="N3527"/>
      <c r="O3527"/>
      <c r="P3527"/>
      <c r="Q3527"/>
      <c r="R3527"/>
      <c r="S3527"/>
    </row>
    <row r="3528" spans="13:19" ht="13.95" customHeight="1">
      <c r="M3528"/>
      <c r="N3528"/>
      <c r="O3528"/>
      <c r="P3528"/>
      <c r="Q3528"/>
      <c r="R3528"/>
      <c r="S3528"/>
    </row>
    <row r="3529" spans="13:19" ht="13.95" customHeight="1">
      <c r="M3529"/>
      <c r="N3529"/>
      <c r="O3529"/>
      <c r="P3529"/>
      <c r="Q3529"/>
      <c r="R3529"/>
      <c r="S3529"/>
    </row>
    <row r="3530" spans="13:19" ht="13.95" customHeight="1">
      <c r="M3530"/>
      <c r="N3530"/>
      <c r="O3530"/>
      <c r="P3530"/>
      <c r="Q3530"/>
      <c r="R3530"/>
      <c r="S3530"/>
    </row>
    <row r="3531" spans="13:19" ht="13.95" customHeight="1">
      <c r="M3531"/>
      <c r="N3531"/>
      <c r="O3531"/>
      <c r="P3531"/>
      <c r="Q3531"/>
      <c r="R3531"/>
      <c r="S3531"/>
    </row>
    <row r="3532" spans="13:19" ht="13.95" customHeight="1">
      <c r="M3532"/>
      <c r="N3532"/>
      <c r="O3532"/>
      <c r="P3532"/>
      <c r="Q3532"/>
      <c r="R3532"/>
      <c r="S3532"/>
    </row>
    <row r="3533" spans="13:19" ht="13.95" customHeight="1">
      <c r="M3533"/>
      <c r="N3533"/>
      <c r="O3533"/>
      <c r="P3533"/>
      <c r="Q3533"/>
      <c r="R3533"/>
      <c r="S3533"/>
    </row>
    <row r="3534" spans="13:19" ht="13.95" customHeight="1">
      <c r="M3534"/>
      <c r="N3534"/>
      <c r="O3534"/>
      <c r="P3534"/>
      <c r="Q3534"/>
      <c r="R3534"/>
      <c r="S3534"/>
    </row>
    <row r="3535" spans="13:19" ht="13.95" customHeight="1">
      <c r="M3535"/>
      <c r="N3535"/>
      <c r="O3535"/>
      <c r="P3535"/>
      <c r="Q3535"/>
      <c r="R3535"/>
      <c r="S3535"/>
    </row>
    <row r="3536" spans="13:19" ht="13.95" customHeight="1">
      <c r="M3536"/>
      <c r="N3536"/>
      <c r="O3536"/>
      <c r="P3536"/>
      <c r="Q3536"/>
      <c r="R3536"/>
      <c r="S3536"/>
    </row>
    <row r="3537" spans="13:19" ht="13.95" customHeight="1">
      <c r="M3537"/>
      <c r="N3537"/>
      <c r="O3537"/>
      <c r="P3537"/>
      <c r="Q3537"/>
      <c r="R3537"/>
      <c r="S3537"/>
    </row>
    <row r="3538" spans="13:19" ht="13.95" customHeight="1">
      <c r="M3538"/>
      <c r="N3538"/>
      <c r="O3538"/>
      <c r="P3538"/>
      <c r="Q3538"/>
      <c r="R3538"/>
      <c r="S3538"/>
    </row>
    <row r="3539" spans="13:19" ht="13.95" customHeight="1">
      <c r="M3539"/>
      <c r="N3539"/>
      <c r="O3539"/>
      <c r="P3539"/>
      <c r="Q3539"/>
      <c r="R3539"/>
      <c r="S3539"/>
    </row>
    <row r="3540" spans="13:19" ht="13.95" customHeight="1">
      <c r="M3540"/>
      <c r="N3540"/>
      <c r="O3540"/>
      <c r="P3540"/>
      <c r="Q3540"/>
      <c r="R3540"/>
      <c r="S3540"/>
    </row>
    <row r="3541" spans="13:19" ht="13.95" customHeight="1">
      <c r="M3541"/>
      <c r="N3541"/>
      <c r="O3541"/>
      <c r="P3541"/>
      <c r="Q3541"/>
      <c r="R3541"/>
      <c r="S3541"/>
    </row>
    <row r="3542" spans="13:19" ht="13.95" customHeight="1">
      <c r="M3542"/>
      <c r="N3542"/>
      <c r="O3542"/>
      <c r="P3542"/>
      <c r="Q3542"/>
      <c r="R3542"/>
      <c r="S3542"/>
    </row>
    <row r="3543" spans="13:19" ht="13.95" customHeight="1">
      <c r="M3543"/>
      <c r="N3543"/>
      <c r="O3543"/>
      <c r="P3543"/>
      <c r="Q3543"/>
      <c r="R3543"/>
      <c r="S3543"/>
    </row>
    <row r="3544" spans="13:19" ht="13.95" customHeight="1">
      <c r="M3544"/>
      <c r="N3544"/>
      <c r="O3544"/>
      <c r="P3544"/>
      <c r="Q3544"/>
      <c r="R3544"/>
      <c r="S3544"/>
    </row>
    <row r="3545" spans="13:19" ht="13.95" customHeight="1">
      <c r="M3545"/>
      <c r="N3545"/>
      <c r="O3545"/>
      <c r="P3545"/>
      <c r="Q3545"/>
      <c r="R3545"/>
      <c r="S3545"/>
    </row>
    <row r="3546" spans="13:19" ht="13.95" customHeight="1">
      <c r="M3546"/>
      <c r="N3546"/>
      <c r="O3546"/>
      <c r="P3546"/>
      <c r="Q3546"/>
      <c r="R3546"/>
      <c r="S3546"/>
    </row>
    <row r="3547" spans="13:19" ht="13.95" customHeight="1">
      <c r="M3547"/>
      <c r="N3547"/>
      <c r="O3547"/>
      <c r="P3547"/>
      <c r="Q3547"/>
      <c r="R3547"/>
      <c r="S3547"/>
    </row>
    <row r="3548" spans="13:19" ht="13.95" customHeight="1">
      <c r="M3548"/>
      <c r="N3548"/>
      <c r="O3548"/>
      <c r="P3548"/>
      <c r="Q3548"/>
      <c r="R3548"/>
      <c r="S3548"/>
    </row>
    <row r="3549" spans="13:19" ht="13.95" customHeight="1">
      <c r="M3549"/>
      <c r="N3549"/>
      <c r="O3549"/>
      <c r="P3549"/>
      <c r="Q3549"/>
      <c r="R3549"/>
      <c r="S3549"/>
    </row>
    <row r="3550" spans="13:19" ht="13.95" customHeight="1">
      <c r="M3550"/>
      <c r="N3550"/>
      <c r="O3550"/>
      <c r="P3550"/>
      <c r="Q3550"/>
      <c r="R3550"/>
      <c r="S3550"/>
    </row>
    <row r="3551" spans="13:19" ht="13.95" customHeight="1">
      <c r="M3551"/>
      <c r="N3551"/>
      <c r="O3551"/>
      <c r="P3551"/>
      <c r="Q3551"/>
      <c r="R3551"/>
      <c r="S3551"/>
    </row>
    <row r="3552" spans="13:19" ht="13.95" customHeight="1">
      <c r="M3552"/>
      <c r="N3552"/>
      <c r="O3552"/>
      <c r="P3552"/>
      <c r="Q3552"/>
      <c r="R3552"/>
      <c r="S3552"/>
    </row>
    <row r="3553" spans="13:19" ht="13.95" customHeight="1">
      <c r="M3553"/>
      <c r="N3553"/>
      <c r="O3553"/>
      <c r="P3553"/>
      <c r="Q3553"/>
      <c r="R3553"/>
      <c r="S3553"/>
    </row>
    <row r="3554" spans="13:19" ht="13.95" customHeight="1">
      <c r="M3554"/>
      <c r="N3554"/>
      <c r="O3554"/>
      <c r="P3554"/>
      <c r="Q3554"/>
      <c r="R3554"/>
      <c r="S3554"/>
    </row>
    <row r="3555" spans="13:19" ht="13.95" customHeight="1">
      <c r="M3555"/>
      <c r="N3555"/>
      <c r="O3555"/>
      <c r="P3555"/>
      <c r="Q3555"/>
      <c r="R3555"/>
      <c r="S3555"/>
    </row>
    <row r="3556" spans="13:19" ht="13.95" customHeight="1">
      <c r="M3556"/>
      <c r="N3556"/>
      <c r="O3556"/>
      <c r="P3556"/>
      <c r="Q3556"/>
      <c r="R3556"/>
      <c r="S3556"/>
    </row>
    <row r="3557" spans="13:19" ht="13.95" customHeight="1">
      <c r="M3557"/>
      <c r="N3557"/>
      <c r="O3557"/>
      <c r="P3557"/>
      <c r="Q3557"/>
      <c r="R3557"/>
      <c r="S3557"/>
    </row>
    <row r="3558" spans="13:19" ht="13.95" customHeight="1">
      <c r="M3558"/>
      <c r="N3558"/>
      <c r="O3558"/>
      <c r="P3558"/>
      <c r="Q3558"/>
      <c r="R3558"/>
      <c r="S3558"/>
    </row>
    <row r="3559" spans="13:19" ht="13.95" customHeight="1">
      <c r="M3559"/>
      <c r="N3559"/>
      <c r="O3559"/>
      <c r="P3559"/>
      <c r="Q3559"/>
      <c r="R3559"/>
      <c r="S3559"/>
    </row>
    <row r="3560" spans="13:19" ht="13.95" customHeight="1">
      <c r="M3560"/>
      <c r="N3560"/>
      <c r="O3560"/>
      <c r="P3560"/>
      <c r="Q3560"/>
      <c r="R3560"/>
      <c r="S3560"/>
    </row>
    <row r="3561" spans="13:19" ht="13.95" customHeight="1">
      <c r="M3561"/>
      <c r="N3561"/>
      <c r="O3561"/>
      <c r="P3561"/>
      <c r="Q3561"/>
      <c r="R3561"/>
      <c r="S3561"/>
    </row>
    <row r="3562" spans="13:19" ht="13.95" customHeight="1">
      <c r="M3562"/>
      <c r="N3562"/>
      <c r="O3562"/>
      <c r="P3562"/>
      <c r="Q3562"/>
      <c r="R3562"/>
      <c r="S3562"/>
    </row>
    <row r="3563" spans="13:19" ht="13.95" customHeight="1">
      <c r="M3563"/>
      <c r="N3563"/>
      <c r="O3563"/>
      <c r="P3563"/>
      <c r="Q3563"/>
      <c r="R3563"/>
      <c r="S3563"/>
    </row>
    <row r="3564" spans="13:19" ht="13.95" customHeight="1">
      <c r="M3564"/>
      <c r="N3564"/>
      <c r="O3564"/>
      <c r="P3564"/>
      <c r="Q3564"/>
      <c r="R3564"/>
      <c r="S3564"/>
    </row>
    <row r="3565" spans="13:19" ht="13.95" customHeight="1">
      <c r="M3565"/>
      <c r="N3565"/>
      <c r="O3565"/>
      <c r="P3565"/>
      <c r="Q3565"/>
      <c r="R3565"/>
      <c r="S3565"/>
    </row>
    <row r="3566" spans="13:19" ht="13.95" customHeight="1">
      <c r="M3566"/>
      <c r="N3566"/>
      <c r="O3566"/>
      <c r="P3566"/>
      <c r="Q3566"/>
      <c r="R3566"/>
      <c r="S3566"/>
    </row>
    <row r="3567" spans="13:19" ht="13.95" customHeight="1">
      <c r="M3567"/>
      <c r="N3567"/>
      <c r="O3567"/>
      <c r="P3567"/>
      <c r="Q3567"/>
      <c r="R3567"/>
      <c r="S3567"/>
    </row>
    <row r="3568" spans="13:19" ht="13.95" customHeight="1">
      <c r="M3568"/>
      <c r="N3568"/>
      <c r="O3568"/>
      <c r="P3568"/>
      <c r="Q3568"/>
      <c r="R3568"/>
      <c r="S3568"/>
    </row>
    <row r="3569" spans="13:19" ht="13.95" customHeight="1">
      <c r="M3569"/>
      <c r="N3569"/>
      <c r="O3569"/>
      <c r="P3569"/>
      <c r="Q3569"/>
      <c r="R3569"/>
      <c r="S3569"/>
    </row>
    <row r="3570" spans="13:19" ht="13.95" customHeight="1">
      <c r="M3570"/>
      <c r="N3570"/>
      <c r="O3570"/>
      <c r="P3570"/>
      <c r="Q3570"/>
      <c r="R3570"/>
      <c r="S3570"/>
    </row>
    <row r="3571" spans="13:19" ht="13.95" customHeight="1">
      <c r="M3571"/>
      <c r="N3571"/>
      <c r="O3571"/>
      <c r="P3571"/>
      <c r="Q3571"/>
      <c r="R3571"/>
      <c r="S3571"/>
    </row>
    <row r="3572" spans="13:19" ht="13.95" customHeight="1">
      <c r="M3572"/>
      <c r="N3572"/>
      <c r="O3572"/>
      <c r="P3572"/>
      <c r="Q3572"/>
      <c r="R3572"/>
      <c r="S3572"/>
    </row>
    <row r="3573" spans="13:19" ht="13.95" customHeight="1">
      <c r="M3573"/>
      <c r="N3573"/>
      <c r="O3573"/>
      <c r="P3573"/>
      <c r="Q3573"/>
      <c r="R3573"/>
      <c r="S3573"/>
    </row>
    <row r="3574" spans="13:19" ht="13.95" customHeight="1">
      <c r="M3574"/>
      <c r="N3574"/>
      <c r="O3574"/>
      <c r="P3574"/>
      <c r="Q3574"/>
      <c r="R3574"/>
      <c r="S3574"/>
    </row>
    <row r="3575" spans="13:19" ht="13.95" customHeight="1">
      <c r="M3575"/>
      <c r="N3575"/>
      <c r="O3575"/>
      <c r="P3575"/>
      <c r="Q3575"/>
      <c r="R3575"/>
      <c r="S3575"/>
    </row>
    <row r="3576" spans="13:19" ht="13.95" customHeight="1">
      <c r="M3576"/>
      <c r="N3576"/>
      <c r="O3576"/>
      <c r="P3576"/>
      <c r="Q3576"/>
      <c r="R3576"/>
      <c r="S3576"/>
    </row>
    <row r="3577" spans="13:19" ht="13.95" customHeight="1">
      <c r="M3577"/>
      <c r="N3577"/>
      <c r="O3577"/>
      <c r="P3577"/>
      <c r="Q3577"/>
      <c r="R3577"/>
      <c r="S3577"/>
    </row>
    <row r="3578" spans="13:19" ht="13.95" customHeight="1">
      <c r="M3578"/>
      <c r="N3578"/>
      <c r="O3578"/>
      <c r="P3578"/>
      <c r="Q3578"/>
      <c r="R3578"/>
      <c r="S3578"/>
    </row>
    <row r="3579" spans="13:19" ht="13.95" customHeight="1">
      <c r="M3579"/>
      <c r="N3579"/>
      <c r="O3579"/>
      <c r="P3579"/>
      <c r="Q3579"/>
      <c r="R3579"/>
      <c r="S3579"/>
    </row>
    <row r="3580" spans="13:19" ht="13.95" customHeight="1">
      <c r="M3580"/>
      <c r="N3580"/>
      <c r="O3580"/>
      <c r="P3580"/>
      <c r="Q3580"/>
      <c r="R3580"/>
      <c r="S3580"/>
    </row>
    <row r="3581" spans="13:19" ht="13.95" customHeight="1">
      <c r="M3581"/>
      <c r="N3581"/>
      <c r="O3581"/>
      <c r="P3581"/>
      <c r="Q3581"/>
      <c r="R3581"/>
      <c r="S3581"/>
    </row>
    <row r="3582" spans="13:19" ht="13.95" customHeight="1">
      <c r="M3582"/>
      <c r="N3582"/>
      <c r="O3582"/>
      <c r="P3582"/>
      <c r="Q3582"/>
      <c r="R3582"/>
      <c r="S3582"/>
    </row>
    <row r="3583" spans="13:19" ht="13.95" customHeight="1">
      <c r="M3583"/>
      <c r="N3583"/>
      <c r="O3583"/>
      <c r="P3583"/>
      <c r="Q3583"/>
      <c r="R3583"/>
      <c r="S3583"/>
    </row>
    <row r="3584" spans="13:19" ht="13.95" customHeight="1">
      <c r="M3584"/>
      <c r="N3584"/>
      <c r="O3584"/>
      <c r="P3584"/>
      <c r="Q3584"/>
      <c r="R3584"/>
      <c r="S3584"/>
    </row>
    <row r="3585" spans="13:19" ht="13.95" customHeight="1">
      <c r="M3585"/>
      <c r="N3585"/>
      <c r="O3585"/>
      <c r="P3585"/>
      <c r="Q3585"/>
      <c r="R3585"/>
      <c r="S3585"/>
    </row>
    <row r="3586" spans="13:19" ht="13.95" customHeight="1">
      <c r="M3586"/>
      <c r="N3586"/>
      <c r="O3586"/>
      <c r="P3586"/>
      <c r="Q3586"/>
      <c r="R3586"/>
      <c r="S3586"/>
    </row>
    <row r="3587" spans="13:19" ht="13.95" customHeight="1">
      <c r="M3587"/>
      <c r="N3587"/>
      <c r="O3587"/>
      <c r="P3587"/>
      <c r="Q3587"/>
      <c r="R3587"/>
      <c r="S3587"/>
    </row>
    <row r="3588" spans="13:19" ht="13.95" customHeight="1">
      <c r="M3588"/>
      <c r="N3588"/>
      <c r="O3588"/>
      <c r="P3588"/>
      <c r="Q3588"/>
      <c r="R3588"/>
      <c r="S3588"/>
    </row>
    <row r="3589" spans="13:19" ht="13.95" customHeight="1">
      <c r="M3589"/>
      <c r="N3589"/>
      <c r="O3589"/>
      <c r="P3589"/>
      <c r="Q3589"/>
      <c r="R3589"/>
      <c r="S3589"/>
    </row>
    <row r="3590" spans="13:19" ht="13.95" customHeight="1">
      <c r="M3590"/>
      <c r="N3590"/>
      <c r="O3590"/>
      <c r="P3590"/>
      <c r="Q3590"/>
      <c r="R3590"/>
      <c r="S3590"/>
    </row>
    <row r="3591" spans="13:19" ht="13.95" customHeight="1">
      <c r="M3591"/>
      <c r="N3591"/>
      <c r="O3591"/>
      <c r="P3591"/>
      <c r="Q3591"/>
      <c r="R3591"/>
      <c r="S3591"/>
    </row>
    <row r="3592" spans="13:19" ht="13.95" customHeight="1">
      <c r="M3592"/>
      <c r="N3592"/>
      <c r="O3592"/>
      <c r="P3592"/>
      <c r="Q3592"/>
      <c r="R3592"/>
      <c r="S3592"/>
    </row>
    <row r="3593" spans="13:19" ht="13.95" customHeight="1">
      <c r="M3593"/>
      <c r="N3593"/>
      <c r="O3593"/>
      <c r="P3593"/>
      <c r="Q3593"/>
      <c r="R3593"/>
      <c r="S3593"/>
    </row>
    <row r="3594" spans="13:19" ht="13.95" customHeight="1">
      <c r="M3594"/>
      <c r="N3594"/>
      <c r="O3594"/>
      <c r="P3594"/>
      <c r="Q3594"/>
      <c r="R3594"/>
      <c r="S3594"/>
    </row>
    <row r="3595" spans="13:19" ht="13.95" customHeight="1">
      <c r="M3595"/>
      <c r="N3595"/>
      <c r="O3595"/>
      <c r="P3595"/>
      <c r="Q3595"/>
      <c r="R3595"/>
      <c r="S3595"/>
    </row>
    <row r="3596" spans="13:19" ht="13.95" customHeight="1">
      <c r="M3596"/>
      <c r="N3596"/>
      <c r="O3596"/>
      <c r="P3596"/>
      <c r="Q3596"/>
      <c r="R3596"/>
      <c r="S3596"/>
    </row>
    <row r="3597" spans="13:19" ht="13.95" customHeight="1">
      <c r="M3597"/>
      <c r="N3597"/>
      <c r="O3597"/>
      <c r="P3597"/>
      <c r="Q3597"/>
      <c r="R3597"/>
      <c r="S3597"/>
    </row>
    <row r="3598" spans="13:19" ht="13.95" customHeight="1">
      <c r="M3598"/>
      <c r="N3598"/>
      <c r="O3598"/>
      <c r="P3598"/>
      <c r="Q3598"/>
      <c r="R3598"/>
      <c r="S3598"/>
    </row>
    <row r="3599" spans="13:19" ht="13.95" customHeight="1">
      <c r="M3599"/>
      <c r="N3599"/>
      <c r="O3599"/>
      <c r="P3599"/>
      <c r="Q3599"/>
      <c r="R3599"/>
      <c r="S3599"/>
    </row>
    <row r="3600" spans="13:19" ht="13.95" customHeight="1">
      <c r="M3600"/>
      <c r="N3600"/>
      <c r="O3600"/>
      <c r="P3600"/>
      <c r="Q3600"/>
      <c r="R3600"/>
      <c r="S3600"/>
    </row>
    <row r="3601" spans="13:19" ht="13.95" customHeight="1">
      <c r="M3601"/>
      <c r="N3601"/>
      <c r="O3601"/>
      <c r="P3601"/>
      <c r="Q3601"/>
      <c r="R3601"/>
      <c r="S3601"/>
    </row>
    <row r="3602" spans="13:19" ht="13.95" customHeight="1">
      <c r="M3602"/>
      <c r="N3602"/>
      <c r="O3602"/>
      <c r="P3602"/>
      <c r="Q3602"/>
      <c r="R3602"/>
      <c r="S3602"/>
    </row>
    <row r="3603" spans="13:19" ht="13.95" customHeight="1">
      <c r="M3603"/>
      <c r="N3603"/>
      <c r="O3603"/>
      <c r="P3603"/>
      <c r="Q3603"/>
      <c r="R3603"/>
      <c r="S3603"/>
    </row>
    <row r="3604" spans="13:19" ht="13.95" customHeight="1">
      <c r="M3604"/>
      <c r="N3604"/>
      <c r="O3604"/>
      <c r="P3604"/>
      <c r="Q3604"/>
      <c r="R3604"/>
      <c r="S3604"/>
    </row>
    <row r="3605" spans="13:19" ht="13.95" customHeight="1">
      <c r="M3605"/>
      <c r="N3605"/>
      <c r="O3605"/>
      <c r="P3605"/>
      <c r="Q3605"/>
      <c r="R3605"/>
      <c r="S3605"/>
    </row>
    <row r="3606" spans="13:19" ht="13.95" customHeight="1">
      <c r="M3606"/>
      <c r="N3606"/>
      <c r="O3606"/>
      <c r="P3606"/>
      <c r="Q3606"/>
      <c r="R3606"/>
      <c r="S3606"/>
    </row>
    <row r="3607" spans="13:19" ht="13.95" customHeight="1">
      <c r="M3607"/>
      <c r="N3607"/>
      <c r="O3607"/>
      <c r="P3607"/>
      <c r="Q3607"/>
      <c r="R3607"/>
      <c r="S3607"/>
    </row>
    <row r="3608" spans="13:19" ht="13.95" customHeight="1">
      <c r="M3608"/>
      <c r="N3608"/>
      <c r="O3608"/>
      <c r="P3608"/>
      <c r="Q3608"/>
      <c r="R3608"/>
      <c r="S3608"/>
    </row>
    <row r="3609" spans="13:19" ht="13.95" customHeight="1">
      <c r="M3609"/>
      <c r="N3609"/>
      <c r="O3609"/>
      <c r="P3609"/>
      <c r="Q3609"/>
      <c r="R3609"/>
      <c r="S3609"/>
    </row>
    <row r="3610" spans="13:19" ht="13.95" customHeight="1">
      <c r="M3610"/>
      <c r="N3610"/>
      <c r="O3610"/>
      <c r="P3610"/>
      <c r="Q3610"/>
      <c r="R3610"/>
      <c r="S3610"/>
    </row>
    <row r="3611" spans="13:19" ht="13.95" customHeight="1">
      <c r="M3611"/>
      <c r="N3611"/>
      <c r="O3611"/>
      <c r="P3611"/>
      <c r="Q3611"/>
      <c r="R3611"/>
      <c r="S3611"/>
    </row>
    <row r="3612" spans="13:19" ht="13.95" customHeight="1">
      <c r="M3612"/>
      <c r="N3612"/>
      <c r="O3612"/>
      <c r="P3612"/>
      <c r="Q3612"/>
      <c r="R3612"/>
      <c r="S3612"/>
    </row>
    <row r="3613" spans="13:19" ht="13.95" customHeight="1">
      <c r="M3613"/>
      <c r="N3613"/>
      <c r="O3613"/>
      <c r="P3613"/>
      <c r="Q3613"/>
      <c r="R3613"/>
      <c r="S3613"/>
    </row>
    <row r="3614" spans="13:19" ht="13.95" customHeight="1">
      <c r="M3614"/>
      <c r="N3614"/>
      <c r="O3614"/>
      <c r="P3614"/>
      <c r="Q3614"/>
      <c r="R3614"/>
      <c r="S3614"/>
    </row>
    <row r="3615" spans="13:19" ht="13.95" customHeight="1">
      <c r="M3615"/>
      <c r="N3615"/>
      <c r="O3615"/>
      <c r="P3615"/>
      <c r="Q3615"/>
      <c r="R3615"/>
      <c r="S3615"/>
    </row>
    <row r="3616" spans="13:19" ht="13.95" customHeight="1">
      <c r="M3616"/>
      <c r="N3616"/>
      <c r="O3616"/>
      <c r="P3616"/>
      <c r="Q3616"/>
      <c r="R3616"/>
      <c r="S3616"/>
    </row>
    <row r="3617" spans="13:19" ht="13.95" customHeight="1">
      <c r="M3617"/>
      <c r="N3617"/>
      <c r="O3617"/>
      <c r="P3617"/>
      <c r="Q3617"/>
      <c r="R3617"/>
      <c r="S3617"/>
    </row>
    <row r="3618" spans="13:19" ht="13.95" customHeight="1">
      <c r="M3618"/>
      <c r="N3618"/>
      <c r="O3618"/>
      <c r="P3618"/>
      <c r="Q3618"/>
      <c r="R3618"/>
      <c r="S3618"/>
    </row>
    <row r="3619" spans="13:19" ht="13.95" customHeight="1">
      <c r="M3619"/>
      <c r="N3619"/>
      <c r="O3619"/>
      <c r="P3619"/>
      <c r="Q3619"/>
      <c r="R3619"/>
      <c r="S3619"/>
    </row>
    <row r="3620" spans="13:19" ht="13.95" customHeight="1">
      <c r="M3620"/>
      <c r="N3620"/>
      <c r="O3620"/>
      <c r="P3620"/>
      <c r="Q3620"/>
      <c r="R3620"/>
      <c r="S3620"/>
    </row>
    <row r="3621" spans="13:19" ht="13.95" customHeight="1">
      <c r="M3621"/>
      <c r="N3621"/>
      <c r="O3621"/>
      <c r="P3621"/>
      <c r="Q3621"/>
      <c r="R3621"/>
      <c r="S3621"/>
    </row>
    <row r="3622" spans="13:19" ht="13.95" customHeight="1">
      <c r="M3622"/>
      <c r="N3622"/>
      <c r="O3622"/>
      <c r="P3622"/>
      <c r="Q3622"/>
      <c r="R3622"/>
      <c r="S3622"/>
    </row>
    <row r="3623" spans="13:19" ht="13.95" customHeight="1">
      <c r="M3623"/>
      <c r="N3623"/>
      <c r="O3623"/>
      <c r="P3623"/>
      <c r="Q3623"/>
      <c r="R3623"/>
      <c r="S3623"/>
    </row>
    <row r="3624" spans="13:19" ht="13.95" customHeight="1">
      <c r="M3624"/>
      <c r="N3624"/>
      <c r="O3624"/>
      <c r="P3624"/>
      <c r="Q3624"/>
      <c r="R3624"/>
      <c r="S3624"/>
    </row>
    <row r="3625" spans="13:19" ht="13.95" customHeight="1">
      <c r="M3625"/>
      <c r="N3625"/>
      <c r="O3625"/>
      <c r="P3625"/>
      <c r="Q3625"/>
      <c r="R3625"/>
      <c r="S3625"/>
    </row>
    <row r="3626" spans="13:19" ht="13.95" customHeight="1">
      <c r="M3626"/>
      <c r="N3626"/>
      <c r="O3626"/>
      <c r="P3626"/>
      <c r="Q3626"/>
      <c r="R3626"/>
      <c r="S3626"/>
    </row>
    <row r="3627" spans="13:19" ht="13.95" customHeight="1">
      <c r="M3627"/>
      <c r="N3627"/>
      <c r="O3627"/>
      <c r="P3627"/>
      <c r="Q3627"/>
      <c r="R3627"/>
      <c r="S3627"/>
    </row>
    <row r="3628" spans="13:19" ht="13.95" customHeight="1">
      <c r="M3628"/>
      <c r="N3628"/>
      <c r="O3628"/>
      <c r="P3628"/>
      <c r="Q3628"/>
      <c r="R3628"/>
      <c r="S3628"/>
    </row>
    <row r="3629" spans="13:19" ht="13.95" customHeight="1">
      <c r="M3629"/>
      <c r="N3629"/>
      <c r="O3629"/>
      <c r="P3629"/>
      <c r="Q3629"/>
      <c r="R3629"/>
      <c r="S3629"/>
    </row>
    <row r="3630" spans="13:19" ht="13.95" customHeight="1">
      <c r="M3630"/>
      <c r="N3630"/>
      <c r="O3630"/>
      <c r="P3630"/>
      <c r="Q3630"/>
      <c r="R3630"/>
      <c r="S3630"/>
    </row>
    <row r="3631" spans="13:19" ht="13.95" customHeight="1">
      <c r="M3631"/>
      <c r="N3631"/>
      <c r="O3631"/>
      <c r="P3631"/>
      <c r="Q3631"/>
      <c r="R3631"/>
      <c r="S3631"/>
    </row>
    <row r="3632" spans="13:19" ht="13.95" customHeight="1">
      <c r="M3632"/>
      <c r="N3632"/>
      <c r="O3632"/>
      <c r="P3632"/>
      <c r="Q3632"/>
      <c r="R3632"/>
      <c r="S3632"/>
    </row>
    <row r="3633" spans="13:19" ht="13.95" customHeight="1">
      <c r="M3633"/>
      <c r="N3633"/>
      <c r="O3633"/>
      <c r="P3633"/>
      <c r="Q3633"/>
      <c r="R3633"/>
      <c r="S3633"/>
    </row>
    <row r="3634" spans="13:19" ht="13.95" customHeight="1">
      <c r="M3634"/>
      <c r="N3634"/>
      <c r="O3634"/>
      <c r="P3634"/>
      <c r="Q3634"/>
      <c r="R3634"/>
      <c r="S3634"/>
    </row>
    <row r="3635" spans="13:19" ht="13.95" customHeight="1">
      <c r="M3635"/>
      <c r="N3635"/>
      <c r="O3635"/>
      <c r="P3635"/>
      <c r="Q3635"/>
      <c r="R3635"/>
      <c r="S3635"/>
    </row>
    <row r="3636" spans="13:19" ht="13.95" customHeight="1">
      <c r="M3636"/>
      <c r="N3636"/>
      <c r="O3636"/>
      <c r="P3636"/>
      <c r="Q3636"/>
      <c r="R3636"/>
      <c r="S3636"/>
    </row>
    <row r="3637" spans="13:19" ht="13.95" customHeight="1">
      <c r="M3637"/>
      <c r="N3637"/>
      <c r="O3637"/>
      <c r="P3637"/>
      <c r="Q3637"/>
      <c r="R3637"/>
      <c r="S3637"/>
    </row>
    <row r="3638" spans="13:19" ht="13.95" customHeight="1">
      <c r="M3638"/>
      <c r="N3638"/>
      <c r="O3638"/>
      <c r="P3638"/>
      <c r="Q3638"/>
      <c r="R3638"/>
      <c r="S3638"/>
    </row>
    <row r="3639" spans="13:19" ht="13.95" customHeight="1">
      <c r="M3639"/>
      <c r="N3639"/>
      <c r="O3639"/>
      <c r="P3639"/>
      <c r="Q3639"/>
      <c r="R3639"/>
      <c r="S3639"/>
    </row>
    <row r="3640" spans="13:19" ht="13.95" customHeight="1">
      <c r="M3640"/>
      <c r="N3640"/>
      <c r="O3640"/>
      <c r="P3640"/>
      <c r="Q3640"/>
      <c r="R3640"/>
      <c r="S3640"/>
    </row>
    <row r="3641" spans="13:19" ht="13.95" customHeight="1">
      <c r="M3641"/>
      <c r="N3641"/>
      <c r="O3641"/>
      <c r="P3641"/>
      <c r="Q3641"/>
      <c r="R3641"/>
      <c r="S3641"/>
    </row>
    <row r="3642" spans="13:19" ht="13.95" customHeight="1">
      <c r="M3642"/>
      <c r="N3642"/>
      <c r="O3642"/>
      <c r="P3642"/>
      <c r="Q3642"/>
      <c r="R3642"/>
      <c r="S3642"/>
    </row>
    <row r="3643" spans="13:19" ht="13.95" customHeight="1">
      <c r="M3643"/>
      <c r="N3643"/>
      <c r="O3643"/>
      <c r="P3643"/>
      <c r="Q3643"/>
      <c r="R3643"/>
      <c r="S3643"/>
    </row>
    <row r="3644" spans="13:19" ht="13.95" customHeight="1">
      <c r="M3644"/>
      <c r="N3644"/>
      <c r="O3644"/>
      <c r="P3644"/>
      <c r="Q3644"/>
      <c r="R3644"/>
      <c r="S3644"/>
    </row>
    <row r="3645" spans="13:19" ht="13.95" customHeight="1">
      <c r="M3645"/>
      <c r="N3645"/>
      <c r="O3645"/>
      <c r="P3645"/>
      <c r="Q3645"/>
      <c r="R3645"/>
      <c r="S3645"/>
    </row>
    <row r="3646" spans="13:19" ht="13.95" customHeight="1">
      <c r="M3646"/>
      <c r="N3646"/>
      <c r="O3646"/>
      <c r="P3646"/>
      <c r="Q3646"/>
      <c r="R3646"/>
      <c r="S3646"/>
    </row>
    <row r="3647" spans="13:19" ht="13.95" customHeight="1">
      <c r="M3647"/>
      <c r="N3647"/>
      <c r="O3647"/>
      <c r="P3647"/>
      <c r="Q3647"/>
      <c r="R3647"/>
      <c r="S3647"/>
    </row>
    <row r="3648" spans="13:19" ht="13.95" customHeight="1">
      <c r="M3648"/>
      <c r="N3648"/>
      <c r="O3648"/>
      <c r="P3648"/>
      <c r="Q3648"/>
      <c r="R3648"/>
      <c r="S3648"/>
    </row>
    <row r="3649" spans="13:19" ht="13.95" customHeight="1">
      <c r="M3649"/>
      <c r="N3649"/>
      <c r="O3649"/>
      <c r="P3649"/>
      <c r="Q3649"/>
      <c r="R3649"/>
      <c r="S3649"/>
    </row>
    <row r="3650" spans="13:19" ht="13.95" customHeight="1">
      <c r="M3650"/>
      <c r="N3650"/>
      <c r="O3650"/>
      <c r="P3650"/>
      <c r="Q3650"/>
      <c r="R3650"/>
      <c r="S3650"/>
    </row>
    <row r="3651" spans="13:19" ht="13.95" customHeight="1">
      <c r="M3651"/>
      <c r="N3651"/>
      <c r="O3651"/>
      <c r="P3651"/>
      <c r="Q3651"/>
      <c r="R3651"/>
      <c r="S3651"/>
    </row>
    <row r="3652" spans="13:19" ht="13.95" customHeight="1">
      <c r="M3652"/>
      <c r="N3652"/>
      <c r="O3652"/>
      <c r="P3652"/>
      <c r="Q3652"/>
      <c r="R3652"/>
      <c r="S3652"/>
    </row>
    <row r="3653" spans="13:19" ht="13.95" customHeight="1">
      <c r="M3653"/>
      <c r="N3653"/>
      <c r="O3653"/>
      <c r="P3653"/>
      <c r="Q3653"/>
      <c r="R3653"/>
      <c r="S3653"/>
    </row>
    <row r="3654" spans="13:19" ht="13.95" customHeight="1">
      <c r="M3654"/>
      <c r="N3654"/>
      <c r="O3654"/>
      <c r="P3654"/>
      <c r="Q3654"/>
      <c r="R3654"/>
      <c r="S3654"/>
    </row>
    <row r="3655" spans="13:19" ht="13.95" customHeight="1">
      <c r="M3655"/>
      <c r="N3655"/>
      <c r="O3655"/>
      <c r="P3655"/>
      <c r="Q3655"/>
      <c r="R3655"/>
      <c r="S3655"/>
    </row>
    <row r="3656" spans="13:19" ht="13.95" customHeight="1">
      <c r="M3656"/>
      <c r="N3656"/>
      <c r="O3656"/>
      <c r="P3656"/>
      <c r="Q3656"/>
      <c r="R3656"/>
      <c r="S3656"/>
    </row>
    <row r="3657" spans="13:19" ht="13.95" customHeight="1">
      <c r="M3657"/>
      <c r="N3657"/>
      <c r="O3657"/>
      <c r="P3657"/>
      <c r="Q3657"/>
      <c r="R3657"/>
      <c r="S3657"/>
    </row>
    <row r="3658" spans="13:19" ht="13.95" customHeight="1">
      <c r="M3658"/>
      <c r="N3658"/>
      <c r="O3658"/>
      <c r="P3658"/>
      <c r="Q3658"/>
      <c r="R3658"/>
      <c r="S3658"/>
    </row>
    <row r="3659" spans="13:19" ht="13.95" customHeight="1">
      <c r="M3659"/>
      <c r="N3659"/>
      <c r="O3659"/>
      <c r="P3659"/>
      <c r="Q3659"/>
      <c r="R3659"/>
      <c r="S3659"/>
    </row>
    <row r="3660" spans="13:19" ht="13.95" customHeight="1">
      <c r="M3660"/>
      <c r="N3660"/>
      <c r="O3660"/>
      <c r="P3660"/>
      <c r="Q3660"/>
      <c r="R3660"/>
      <c r="S3660"/>
    </row>
    <row r="3661" spans="13:19" ht="13.95" customHeight="1">
      <c r="M3661"/>
      <c r="N3661"/>
      <c r="O3661"/>
      <c r="P3661"/>
      <c r="Q3661"/>
      <c r="R3661"/>
      <c r="S3661"/>
    </row>
    <row r="3662" spans="13:19" ht="13.95" customHeight="1">
      <c r="M3662"/>
      <c r="N3662"/>
      <c r="O3662"/>
      <c r="P3662"/>
      <c r="Q3662"/>
      <c r="R3662"/>
      <c r="S3662"/>
    </row>
    <row r="3663" spans="13:19" ht="13.95" customHeight="1">
      <c r="M3663"/>
      <c r="N3663"/>
      <c r="O3663"/>
      <c r="P3663"/>
      <c r="Q3663"/>
      <c r="R3663"/>
      <c r="S3663"/>
    </row>
    <row r="3664" spans="13:19" ht="13.95" customHeight="1">
      <c r="M3664"/>
      <c r="N3664"/>
      <c r="O3664"/>
      <c r="P3664"/>
      <c r="Q3664"/>
      <c r="R3664"/>
      <c r="S3664"/>
    </row>
    <row r="3665" spans="13:19" ht="13.95" customHeight="1">
      <c r="M3665"/>
      <c r="N3665"/>
      <c r="O3665"/>
      <c r="P3665"/>
      <c r="Q3665"/>
      <c r="R3665"/>
      <c r="S3665"/>
    </row>
    <row r="3666" spans="13:19" ht="13.95" customHeight="1">
      <c r="M3666"/>
      <c r="N3666"/>
      <c r="O3666"/>
      <c r="P3666"/>
      <c r="Q3666"/>
      <c r="R3666"/>
      <c r="S3666"/>
    </row>
    <row r="3667" spans="13:19" ht="13.95" customHeight="1">
      <c r="M3667"/>
      <c r="N3667"/>
      <c r="O3667"/>
      <c r="P3667"/>
      <c r="Q3667"/>
      <c r="R3667"/>
      <c r="S3667"/>
    </row>
    <row r="3668" spans="13:19" ht="13.95" customHeight="1">
      <c r="M3668"/>
      <c r="N3668"/>
      <c r="O3668"/>
      <c r="P3668"/>
      <c r="Q3668"/>
      <c r="R3668"/>
      <c r="S3668"/>
    </row>
    <row r="3669" spans="13:19" ht="13.95" customHeight="1">
      <c r="M3669"/>
      <c r="N3669"/>
      <c r="O3669"/>
      <c r="P3669"/>
      <c r="Q3669"/>
      <c r="R3669"/>
      <c r="S3669"/>
    </row>
    <row r="3670" spans="13:19" ht="13.95" customHeight="1">
      <c r="M3670"/>
      <c r="N3670"/>
      <c r="O3670"/>
      <c r="P3670"/>
      <c r="Q3670"/>
      <c r="R3670"/>
      <c r="S3670"/>
    </row>
    <row r="3671" spans="13:19" ht="13.95" customHeight="1">
      <c r="M3671"/>
      <c r="N3671"/>
      <c r="O3671"/>
      <c r="P3671"/>
      <c r="Q3671"/>
      <c r="R3671"/>
      <c r="S3671"/>
    </row>
    <row r="3672" spans="13:19" ht="13.95" customHeight="1">
      <c r="M3672"/>
      <c r="N3672"/>
      <c r="O3672"/>
      <c r="P3672"/>
      <c r="Q3672"/>
      <c r="R3672"/>
      <c r="S3672"/>
    </row>
    <row r="3673" spans="13:19" ht="13.95" customHeight="1">
      <c r="M3673"/>
      <c r="N3673"/>
      <c r="O3673"/>
      <c r="P3673"/>
      <c r="Q3673"/>
      <c r="R3673"/>
      <c r="S3673"/>
    </row>
    <row r="3674" spans="13:19" ht="13.95" customHeight="1">
      <c r="M3674"/>
      <c r="N3674"/>
      <c r="O3674"/>
      <c r="P3674"/>
      <c r="Q3674"/>
      <c r="R3674"/>
      <c r="S3674"/>
    </row>
    <row r="3675" spans="13:19" ht="13.95" customHeight="1">
      <c r="M3675"/>
      <c r="N3675"/>
      <c r="O3675"/>
      <c r="P3675"/>
      <c r="Q3675"/>
      <c r="R3675"/>
      <c r="S3675"/>
    </row>
    <row r="3676" spans="13:19" ht="13.95" customHeight="1">
      <c r="M3676"/>
      <c r="N3676"/>
      <c r="O3676"/>
      <c r="P3676"/>
      <c r="Q3676"/>
      <c r="R3676"/>
      <c r="S3676"/>
    </row>
    <row r="3677" spans="13:19" ht="13.95" customHeight="1">
      <c r="M3677"/>
      <c r="N3677"/>
      <c r="O3677"/>
      <c r="P3677"/>
      <c r="Q3677"/>
      <c r="R3677"/>
      <c r="S3677"/>
    </row>
    <row r="3678" spans="13:19" ht="13.95" customHeight="1">
      <c r="M3678"/>
      <c r="N3678"/>
      <c r="O3678"/>
      <c r="P3678"/>
      <c r="Q3678"/>
      <c r="R3678"/>
      <c r="S3678"/>
    </row>
    <row r="3679" spans="13:19" ht="13.95" customHeight="1">
      <c r="M3679"/>
      <c r="N3679"/>
      <c r="O3679"/>
      <c r="P3679"/>
      <c r="Q3679"/>
      <c r="R3679"/>
      <c r="S3679"/>
    </row>
    <row r="3680" spans="13:19" ht="13.95" customHeight="1">
      <c r="M3680"/>
      <c r="N3680"/>
      <c r="O3680"/>
      <c r="P3680"/>
      <c r="Q3680"/>
      <c r="R3680"/>
      <c r="S3680"/>
    </row>
    <row r="3681" spans="13:19" ht="13.95" customHeight="1">
      <c r="M3681"/>
      <c r="N3681"/>
      <c r="O3681"/>
      <c r="P3681"/>
      <c r="Q3681"/>
      <c r="R3681"/>
      <c r="S3681"/>
    </row>
    <row r="3682" spans="13:19" ht="13.95" customHeight="1">
      <c r="M3682"/>
      <c r="N3682"/>
      <c r="O3682"/>
      <c r="P3682"/>
      <c r="Q3682"/>
      <c r="R3682"/>
      <c r="S3682"/>
    </row>
    <row r="3683" spans="13:19" ht="13.95" customHeight="1">
      <c r="M3683"/>
      <c r="N3683"/>
      <c r="O3683"/>
      <c r="P3683"/>
      <c r="Q3683"/>
      <c r="R3683"/>
      <c r="S3683"/>
    </row>
    <row r="3684" spans="13:19" ht="13.95" customHeight="1">
      <c r="M3684"/>
      <c r="N3684"/>
      <c r="O3684"/>
      <c r="P3684"/>
      <c r="Q3684"/>
      <c r="R3684"/>
      <c r="S3684"/>
    </row>
    <row r="3685" spans="13:19" ht="13.95" customHeight="1">
      <c r="M3685"/>
      <c r="N3685"/>
      <c r="O3685"/>
      <c r="P3685"/>
      <c r="Q3685"/>
      <c r="R3685"/>
      <c r="S3685"/>
    </row>
    <row r="3686" spans="13:19" ht="13.95" customHeight="1">
      <c r="M3686"/>
      <c r="N3686"/>
      <c r="O3686"/>
      <c r="P3686"/>
      <c r="Q3686"/>
      <c r="R3686"/>
      <c r="S3686"/>
    </row>
    <row r="3687" spans="13:19" ht="13.95" customHeight="1">
      <c r="M3687"/>
      <c r="N3687"/>
      <c r="O3687"/>
      <c r="P3687"/>
      <c r="Q3687"/>
      <c r="R3687"/>
      <c r="S3687"/>
    </row>
    <row r="3688" spans="13:19" ht="13.95" customHeight="1">
      <c r="M3688"/>
      <c r="N3688"/>
      <c r="O3688"/>
      <c r="P3688"/>
      <c r="Q3688"/>
      <c r="R3688"/>
      <c r="S3688"/>
    </row>
    <row r="3689" spans="13:19" ht="13.95" customHeight="1">
      <c r="M3689"/>
      <c r="N3689"/>
      <c r="O3689"/>
      <c r="P3689"/>
      <c r="Q3689"/>
      <c r="R3689"/>
      <c r="S3689"/>
    </row>
    <row r="3690" spans="13:19" ht="13.95" customHeight="1">
      <c r="M3690"/>
      <c r="N3690"/>
      <c r="O3690"/>
      <c r="P3690"/>
      <c r="Q3690"/>
      <c r="R3690"/>
      <c r="S3690"/>
    </row>
    <row r="3691" spans="13:19" ht="13.95" customHeight="1">
      <c r="M3691"/>
      <c r="N3691"/>
      <c r="O3691"/>
      <c r="P3691"/>
      <c r="Q3691"/>
      <c r="R3691"/>
      <c r="S3691"/>
    </row>
    <row r="3692" spans="13:19" ht="13.95" customHeight="1">
      <c r="M3692"/>
      <c r="N3692"/>
      <c r="O3692"/>
      <c r="P3692"/>
      <c r="Q3692"/>
      <c r="R3692"/>
      <c r="S3692"/>
    </row>
    <row r="3693" spans="13:19" ht="13.95" customHeight="1">
      <c r="M3693"/>
      <c r="N3693"/>
      <c r="O3693"/>
      <c r="P3693"/>
      <c r="Q3693"/>
      <c r="R3693"/>
      <c r="S3693"/>
    </row>
    <row r="3694" spans="13:19" ht="13.95" customHeight="1">
      <c r="M3694"/>
      <c r="N3694"/>
      <c r="O3694"/>
      <c r="P3694"/>
      <c r="Q3694"/>
      <c r="R3694"/>
      <c r="S3694"/>
    </row>
    <row r="3695" spans="13:19" ht="13.95" customHeight="1">
      <c r="M3695"/>
      <c r="N3695"/>
      <c r="O3695"/>
      <c r="P3695"/>
      <c r="Q3695"/>
      <c r="R3695"/>
      <c r="S3695"/>
    </row>
    <row r="3696" spans="13:19" ht="13.95" customHeight="1">
      <c r="M3696"/>
      <c r="N3696"/>
      <c r="O3696"/>
      <c r="P3696"/>
      <c r="Q3696"/>
      <c r="R3696"/>
      <c r="S3696"/>
    </row>
    <row r="3697" spans="13:19" ht="13.95" customHeight="1">
      <c r="M3697"/>
      <c r="N3697"/>
      <c r="O3697"/>
      <c r="P3697"/>
      <c r="Q3697"/>
      <c r="R3697"/>
      <c r="S3697"/>
    </row>
    <row r="3698" spans="13:19" ht="13.95" customHeight="1">
      <c r="M3698"/>
      <c r="N3698"/>
      <c r="O3698"/>
      <c r="P3698"/>
      <c r="Q3698"/>
      <c r="R3698"/>
      <c r="S3698"/>
    </row>
    <row r="3699" spans="13:19" ht="13.95" customHeight="1">
      <c r="M3699"/>
      <c r="N3699"/>
      <c r="O3699"/>
      <c r="P3699"/>
      <c r="Q3699"/>
      <c r="R3699"/>
      <c r="S3699"/>
    </row>
    <row r="3700" spans="13:19" ht="13.95" customHeight="1">
      <c r="M3700"/>
      <c r="N3700"/>
      <c r="O3700"/>
      <c r="P3700"/>
      <c r="Q3700"/>
      <c r="R3700"/>
      <c r="S3700"/>
    </row>
    <row r="3701" spans="13:19" ht="13.95" customHeight="1">
      <c r="M3701"/>
      <c r="N3701"/>
      <c r="O3701"/>
      <c r="P3701"/>
      <c r="Q3701"/>
      <c r="R3701"/>
      <c r="S3701"/>
    </row>
    <row r="3702" spans="13:19" ht="13.95" customHeight="1">
      <c r="M3702"/>
      <c r="N3702"/>
      <c r="O3702"/>
      <c r="P3702"/>
      <c r="Q3702"/>
      <c r="R3702"/>
      <c r="S3702"/>
    </row>
    <row r="3703" spans="13:19" ht="13.95" customHeight="1">
      <c r="M3703"/>
      <c r="N3703"/>
      <c r="O3703"/>
      <c r="P3703"/>
      <c r="Q3703"/>
      <c r="R3703"/>
      <c r="S3703"/>
    </row>
    <row r="3704" spans="13:19" ht="13.95" customHeight="1">
      <c r="M3704"/>
      <c r="N3704"/>
      <c r="O3704"/>
      <c r="P3704"/>
      <c r="Q3704"/>
      <c r="R3704"/>
      <c r="S3704"/>
    </row>
    <row r="3705" spans="13:19" ht="13.95" customHeight="1">
      <c r="M3705"/>
      <c r="N3705"/>
      <c r="O3705"/>
      <c r="P3705"/>
      <c r="Q3705"/>
      <c r="R3705"/>
      <c r="S3705"/>
    </row>
    <row r="3706" spans="13:19" ht="13.95" customHeight="1">
      <c r="M3706"/>
      <c r="N3706"/>
      <c r="O3706"/>
      <c r="P3706"/>
      <c r="Q3706"/>
      <c r="R3706"/>
      <c r="S3706"/>
    </row>
    <row r="3707" spans="13:19" ht="13.95" customHeight="1">
      <c r="M3707"/>
      <c r="N3707"/>
      <c r="O3707"/>
      <c r="P3707"/>
      <c r="Q3707"/>
      <c r="R3707"/>
      <c r="S3707"/>
    </row>
    <row r="3708" spans="13:19" ht="13.95" customHeight="1">
      <c r="M3708"/>
      <c r="N3708"/>
      <c r="O3708"/>
      <c r="P3708"/>
      <c r="Q3708"/>
      <c r="R3708"/>
      <c r="S3708"/>
    </row>
    <row r="3709" spans="13:19" ht="13.95" customHeight="1">
      <c r="M3709"/>
      <c r="N3709"/>
      <c r="O3709"/>
      <c r="P3709"/>
      <c r="Q3709"/>
      <c r="R3709"/>
      <c r="S3709"/>
    </row>
    <row r="3710" spans="13:19" ht="13.95" customHeight="1">
      <c r="M3710"/>
      <c r="N3710"/>
      <c r="O3710"/>
      <c r="P3710"/>
      <c r="Q3710"/>
      <c r="R3710"/>
      <c r="S3710"/>
    </row>
    <row r="3711" spans="13:19" ht="13.95" customHeight="1">
      <c r="M3711"/>
      <c r="N3711"/>
      <c r="O3711"/>
      <c r="P3711"/>
      <c r="Q3711"/>
      <c r="R3711"/>
      <c r="S3711"/>
    </row>
    <row r="3712" spans="13:19" ht="13.95" customHeight="1">
      <c r="M3712"/>
      <c r="N3712"/>
      <c r="O3712"/>
      <c r="P3712"/>
      <c r="Q3712"/>
      <c r="R3712"/>
      <c r="S3712"/>
    </row>
    <row r="3713" spans="13:19" ht="13.95" customHeight="1">
      <c r="M3713"/>
      <c r="N3713"/>
      <c r="O3713"/>
      <c r="P3713"/>
      <c r="Q3713"/>
      <c r="R3713"/>
      <c r="S3713"/>
    </row>
    <row r="3714" spans="13:19" ht="13.95" customHeight="1">
      <c r="M3714"/>
      <c r="N3714"/>
      <c r="O3714"/>
      <c r="P3714"/>
      <c r="Q3714"/>
      <c r="R3714"/>
      <c r="S3714"/>
    </row>
    <row r="3715" spans="13:19" ht="13.95" customHeight="1">
      <c r="M3715"/>
      <c r="N3715"/>
      <c r="O3715"/>
      <c r="P3715"/>
      <c r="Q3715"/>
      <c r="R3715"/>
      <c r="S3715"/>
    </row>
    <row r="3716" spans="13:19" ht="13.95" customHeight="1">
      <c r="M3716"/>
      <c r="N3716"/>
      <c r="O3716"/>
      <c r="P3716"/>
      <c r="Q3716"/>
      <c r="R3716"/>
      <c r="S3716"/>
    </row>
    <row r="3717" spans="13:19" ht="13.95" customHeight="1">
      <c r="M3717"/>
      <c r="N3717"/>
      <c r="O3717"/>
      <c r="P3717"/>
      <c r="Q3717"/>
      <c r="R3717"/>
      <c r="S3717"/>
    </row>
    <row r="3718" spans="13:19" ht="13.95" customHeight="1">
      <c r="M3718"/>
      <c r="N3718"/>
      <c r="O3718"/>
      <c r="P3718"/>
      <c r="Q3718"/>
      <c r="R3718"/>
      <c r="S3718"/>
    </row>
    <row r="3719" spans="13:19" ht="13.95" customHeight="1">
      <c r="M3719"/>
      <c r="N3719"/>
      <c r="O3719"/>
      <c r="P3719"/>
      <c r="Q3719"/>
      <c r="R3719"/>
      <c r="S3719"/>
    </row>
    <row r="3720" spans="13:19" ht="13.95" customHeight="1">
      <c r="M3720"/>
      <c r="N3720"/>
      <c r="O3720"/>
      <c r="P3720"/>
      <c r="Q3720"/>
      <c r="R3720"/>
      <c r="S3720"/>
    </row>
    <row r="3721" spans="13:19" ht="13.95" customHeight="1">
      <c r="M3721"/>
      <c r="N3721"/>
      <c r="O3721"/>
      <c r="P3721"/>
      <c r="Q3721"/>
      <c r="R3721"/>
      <c r="S3721"/>
    </row>
    <row r="3722" spans="13:19" ht="13.95" customHeight="1">
      <c r="M3722"/>
      <c r="N3722"/>
      <c r="O3722"/>
      <c r="P3722"/>
      <c r="Q3722"/>
      <c r="R3722"/>
      <c r="S3722"/>
    </row>
    <row r="3723" spans="13:19" ht="13.95" customHeight="1">
      <c r="M3723"/>
      <c r="N3723"/>
      <c r="O3723"/>
      <c r="P3723"/>
      <c r="Q3723"/>
      <c r="R3723"/>
      <c r="S3723"/>
    </row>
    <row r="3724" spans="13:19" ht="13.95" customHeight="1">
      <c r="M3724"/>
      <c r="N3724"/>
      <c r="O3724"/>
      <c r="P3724"/>
      <c r="Q3724"/>
      <c r="R3724"/>
      <c r="S3724"/>
    </row>
    <row r="3725" spans="13:19" ht="13.95" customHeight="1">
      <c r="M3725"/>
      <c r="N3725"/>
      <c r="O3725"/>
      <c r="P3725"/>
      <c r="Q3725"/>
      <c r="R3725"/>
      <c r="S3725"/>
    </row>
    <row r="3726" spans="13:19" ht="13.95" customHeight="1">
      <c r="M3726"/>
      <c r="N3726"/>
      <c r="O3726"/>
      <c r="P3726"/>
      <c r="Q3726"/>
      <c r="R3726"/>
      <c r="S3726"/>
    </row>
    <row r="3727" spans="13:19" ht="13.95" customHeight="1">
      <c r="M3727"/>
      <c r="N3727"/>
      <c r="O3727"/>
      <c r="P3727"/>
      <c r="Q3727"/>
      <c r="R3727"/>
      <c r="S3727"/>
    </row>
    <row r="3728" spans="13:19" ht="13.95" customHeight="1">
      <c r="M3728"/>
      <c r="N3728"/>
      <c r="O3728"/>
      <c r="P3728"/>
      <c r="Q3728"/>
      <c r="R3728"/>
      <c r="S3728"/>
    </row>
    <row r="3729" spans="13:19" ht="13.95" customHeight="1">
      <c r="M3729"/>
      <c r="N3729"/>
      <c r="O3729"/>
      <c r="P3729"/>
      <c r="Q3729"/>
      <c r="R3729"/>
      <c r="S3729"/>
    </row>
    <row r="3730" spans="13:19" ht="13.95" customHeight="1">
      <c r="M3730"/>
      <c r="N3730"/>
      <c r="O3730"/>
      <c r="P3730"/>
      <c r="Q3730"/>
      <c r="R3730"/>
      <c r="S3730"/>
    </row>
    <row r="3731" spans="13:19" ht="13.95" customHeight="1">
      <c r="M3731"/>
      <c r="N3731"/>
      <c r="O3731"/>
      <c r="P3731"/>
      <c r="Q3731"/>
      <c r="R3731"/>
      <c r="S3731"/>
    </row>
    <row r="3732" spans="13:19" ht="13.95" customHeight="1">
      <c r="M3732"/>
      <c r="N3732"/>
      <c r="O3732"/>
      <c r="P3732"/>
      <c r="Q3732"/>
      <c r="R3732"/>
      <c r="S3732"/>
    </row>
    <row r="3733" spans="13:19" ht="13.95" customHeight="1">
      <c r="M3733"/>
      <c r="N3733"/>
      <c r="O3733"/>
      <c r="P3733"/>
      <c r="Q3733"/>
      <c r="R3733"/>
      <c r="S3733"/>
    </row>
    <row r="3734" spans="13:19" ht="13.95" customHeight="1">
      <c r="M3734"/>
      <c r="N3734"/>
      <c r="O3734"/>
      <c r="P3734"/>
      <c r="Q3734"/>
      <c r="R3734"/>
      <c r="S3734"/>
    </row>
    <row r="3735" spans="13:19" ht="13.95" customHeight="1">
      <c r="M3735"/>
      <c r="N3735"/>
      <c r="O3735"/>
      <c r="P3735"/>
      <c r="Q3735"/>
      <c r="R3735"/>
      <c r="S3735"/>
    </row>
    <row r="3736" spans="13:19" ht="13.95" customHeight="1">
      <c r="M3736"/>
      <c r="N3736"/>
      <c r="O3736"/>
      <c r="P3736"/>
      <c r="Q3736"/>
      <c r="R3736"/>
      <c r="S3736"/>
    </row>
    <row r="3737" spans="13:19" ht="13.95" customHeight="1">
      <c r="M3737"/>
      <c r="N3737"/>
      <c r="O3737"/>
      <c r="P3737"/>
      <c r="Q3737"/>
      <c r="R3737"/>
      <c r="S3737"/>
    </row>
    <row r="3738" spans="13:19" ht="13.95" customHeight="1">
      <c r="M3738"/>
      <c r="N3738"/>
      <c r="O3738"/>
      <c r="P3738"/>
      <c r="Q3738"/>
      <c r="R3738"/>
      <c r="S3738"/>
    </row>
    <row r="3739" spans="13:19" ht="13.95" customHeight="1">
      <c r="M3739"/>
      <c r="N3739"/>
      <c r="O3739"/>
      <c r="P3739"/>
      <c r="Q3739"/>
      <c r="R3739"/>
      <c r="S3739"/>
    </row>
    <row r="3740" spans="13:19" ht="13.95" customHeight="1">
      <c r="M3740"/>
      <c r="N3740"/>
      <c r="O3740"/>
      <c r="P3740"/>
      <c r="Q3740"/>
      <c r="R3740"/>
      <c r="S3740"/>
    </row>
    <row r="3741" spans="13:19" ht="13.95" customHeight="1">
      <c r="M3741"/>
      <c r="N3741"/>
      <c r="O3741"/>
      <c r="P3741"/>
      <c r="Q3741"/>
      <c r="R3741"/>
      <c r="S3741"/>
    </row>
    <row r="3742" spans="13:19" ht="13.95" customHeight="1">
      <c r="M3742"/>
      <c r="N3742"/>
      <c r="O3742"/>
      <c r="P3742"/>
      <c r="Q3742"/>
      <c r="R3742"/>
      <c r="S3742"/>
    </row>
    <row r="3743" spans="13:19" ht="13.95" customHeight="1">
      <c r="M3743"/>
      <c r="N3743"/>
      <c r="O3743"/>
      <c r="P3743"/>
      <c r="Q3743"/>
      <c r="R3743"/>
      <c r="S3743"/>
    </row>
    <row r="3744" spans="13:19" ht="13.95" customHeight="1">
      <c r="M3744"/>
      <c r="N3744"/>
      <c r="O3744"/>
      <c r="P3744"/>
      <c r="Q3744"/>
      <c r="R3744"/>
      <c r="S3744"/>
    </row>
    <row r="3745" spans="13:19" ht="13.95" customHeight="1">
      <c r="M3745"/>
      <c r="N3745"/>
      <c r="O3745"/>
      <c r="P3745"/>
      <c r="Q3745"/>
      <c r="R3745"/>
      <c r="S3745"/>
    </row>
    <row r="3746" spans="13:19" ht="13.95" customHeight="1">
      <c r="M3746"/>
      <c r="N3746"/>
      <c r="O3746"/>
      <c r="P3746"/>
      <c r="Q3746"/>
      <c r="R3746"/>
      <c r="S3746"/>
    </row>
    <row r="3747" spans="13:19" ht="13.95" customHeight="1">
      <c r="M3747"/>
      <c r="N3747"/>
      <c r="O3747"/>
      <c r="P3747"/>
      <c r="Q3747"/>
      <c r="R3747"/>
      <c r="S3747"/>
    </row>
    <row r="3748" spans="13:19" ht="13.95" customHeight="1">
      <c r="M3748"/>
      <c r="N3748"/>
      <c r="O3748"/>
      <c r="P3748"/>
      <c r="Q3748"/>
      <c r="R3748"/>
      <c r="S3748"/>
    </row>
    <row r="3749" spans="13:19" ht="13.95" customHeight="1">
      <c r="M3749"/>
      <c r="N3749"/>
      <c r="O3749"/>
      <c r="P3749"/>
      <c r="Q3749"/>
      <c r="R3749"/>
      <c r="S3749"/>
    </row>
    <row r="3750" spans="13:19" ht="13.95" customHeight="1">
      <c r="M3750"/>
      <c r="N3750"/>
      <c r="O3750"/>
      <c r="P3750"/>
      <c r="Q3750"/>
      <c r="R3750"/>
      <c r="S3750"/>
    </row>
    <row r="3751" spans="13:19" ht="13.95" customHeight="1">
      <c r="M3751"/>
      <c r="N3751"/>
      <c r="O3751"/>
      <c r="P3751"/>
      <c r="Q3751"/>
      <c r="R3751"/>
      <c r="S3751"/>
    </row>
    <row r="3752" spans="13:19" ht="13.95" customHeight="1">
      <c r="M3752"/>
      <c r="N3752"/>
      <c r="O3752"/>
      <c r="P3752"/>
      <c r="Q3752"/>
      <c r="R3752"/>
      <c r="S3752"/>
    </row>
    <row r="3753" spans="13:19" ht="13.95" customHeight="1">
      <c r="M3753"/>
      <c r="N3753"/>
      <c r="O3753"/>
      <c r="P3753"/>
      <c r="Q3753"/>
      <c r="R3753"/>
      <c r="S3753"/>
    </row>
    <row r="3754" spans="13:19" ht="13.95" customHeight="1">
      <c r="M3754"/>
      <c r="N3754"/>
      <c r="O3754"/>
      <c r="P3754"/>
      <c r="Q3754"/>
      <c r="R3754"/>
      <c r="S3754"/>
    </row>
    <row r="3755" spans="13:19" ht="13.95" customHeight="1">
      <c r="M3755"/>
      <c r="N3755"/>
      <c r="O3755"/>
      <c r="P3755"/>
      <c r="Q3755"/>
      <c r="R3755"/>
      <c r="S3755"/>
    </row>
    <row r="3756" spans="13:19" ht="13.95" customHeight="1">
      <c r="M3756"/>
      <c r="N3756"/>
      <c r="O3756"/>
      <c r="P3756"/>
      <c r="Q3756"/>
      <c r="R3756"/>
      <c r="S3756"/>
    </row>
    <row r="3757" spans="13:19" ht="13.95" customHeight="1">
      <c r="M3757"/>
      <c r="N3757"/>
      <c r="O3757"/>
      <c r="P3757"/>
      <c r="Q3757"/>
      <c r="R3757"/>
      <c r="S3757"/>
    </row>
    <row r="3758" spans="13:19" ht="13.95" customHeight="1">
      <c r="M3758"/>
      <c r="N3758"/>
      <c r="O3758"/>
      <c r="P3758"/>
      <c r="Q3758"/>
      <c r="R3758"/>
      <c r="S3758"/>
    </row>
    <row r="3759" spans="13:19" ht="13.95" customHeight="1">
      <c r="M3759"/>
      <c r="N3759"/>
      <c r="O3759"/>
      <c r="P3759"/>
      <c r="Q3759"/>
      <c r="R3759"/>
      <c r="S3759"/>
    </row>
    <row r="3760" spans="13:19" ht="13.95" customHeight="1">
      <c r="M3760"/>
      <c r="N3760"/>
      <c r="O3760"/>
      <c r="P3760"/>
      <c r="Q3760"/>
      <c r="R3760"/>
      <c r="S3760"/>
    </row>
    <row r="3761" spans="13:19" ht="13.95" customHeight="1">
      <c r="M3761"/>
      <c r="N3761"/>
      <c r="O3761"/>
      <c r="P3761"/>
      <c r="Q3761"/>
      <c r="R3761"/>
      <c r="S3761"/>
    </row>
    <row r="3762" spans="13:19" ht="13.95" customHeight="1">
      <c r="M3762"/>
      <c r="N3762"/>
      <c r="O3762"/>
      <c r="P3762"/>
      <c r="Q3762"/>
      <c r="R3762"/>
      <c r="S3762"/>
    </row>
    <row r="3763" spans="13:19" ht="13.95" customHeight="1">
      <c r="M3763"/>
      <c r="N3763"/>
      <c r="O3763"/>
      <c r="P3763"/>
      <c r="Q3763"/>
      <c r="R3763"/>
      <c r="S3763"/>
    </row>
    <row r="3764" spans="13:19" ht="13.95" customHeight="1">
      <c r="M3764"/>
      <c r="N3764"/>
      <c r="O3764"/>
      <c r="P3764"/>
      <c r="Q3764"/>
      <c r="R3764"/>
      <c r="S3764"/>
    </row>
    <row r="3765" spans="13:19" ht="13.95" customHeight="1">
      <c r="M3765"/>
      <c r="N3765"/>
      <c r="O3765"/>
      <c r="P3765"/>
      <c r="Q3765"/>
      <c r="R3765"/>
      <c r="S3765"/>
    </row>
    <row r="3766" spans="13:19" ht="13.95" customHeight="1">
      <c r="M3766"/>
      <c r="N3766"/>
      <c r="O3766"/>
      <c r="P3766"/>
      <c r="Q3766"/>
      <c r="R3766"/>
      <c r="S3766"/>
    </row>
    <row r="3767" spans="13:19" ht="13.95" customHeight="1">
      <c r="M3767"/>
      <c r="N3767"/>
      <c r="O3767"/>
      <c r="P3767"/>
      <c r="Q3767"/>
      <c r="R3767"/>
      <c r="S3767"/>
    </row>
    <row r="3768" spans="13:19" ht="13.95" customHeight="1">
      <c r="M3768"/>
      <c r="N3768"/>
      <c r="O3768"/>
      <c r="P3768"/>
      <c r="Q3768"/>
      <c r="R3768"/>
      <c r="S3768"/>
    </row>
    <row r="3769" spans="13:19" ht="13.95" customHeight="1">
      <c r="M3769"/>
      <c r="N3769"/>
      <c r="O3769"/>
      <c r="P3769"/>
      <c r="Q3769"/>
      <c r="R3769"/>
      <c r="S3769"/>
    </row>
    <row r="3770" spans="13:19" ht="13.95" customHeight="1">
      <c r="M3770"/>
      <c r="N3770"/>
      <c r="O3770"/>
      <c r="P3770"/>
      <c r="Q3770"/>
      <c r="R3770"/>
      <c r="S3770"/>
    </row>
    <row r="3771" spans="13:19" ht="13.95" customHeight="1">
      <c r="M3771"/>
      <c r="N3771"/>
      <c r="O3771"/>
      <c r="P3771"/>
      <c r="Q3771"/>
      <c r="R3771"/>
      <c r="S3771"/>
    </row>
    <row r="3772" spans="13:19" ht="13.95" customHeight="1">
      <c r="M3772"/>
      <c r="N3772"/>
      <c r="O3772"/>
      <c r="P3772"/>
      <c r="Q3772"/>
      <c r="R3772"/>
      <c r="S3772"/>
    </row>
    <row r="3773" spans="13:19" ht="13.95" customHeight="1">
      <c r="M3773"/>
      <c r="N3773"/>
      <c r="O3773"/>
      <c r="P3773"/>
      <c r="Q3773"/>
      <c r="R3773"/>
      <c r="S3773"/>
    </row>
    <row r="3774" spans="13:19" ht="13.95" customHeight="1">
      <c r="M3774"/>
      <c r="N3774"/>
      <c r="O3774"/>
      <c r="P3774"/>
      <c r="Q3774"/>
      <c r="R3774"/>
      <c r="S3774"/>
    </row>
    <row r="3775" spans="13:19" ht="13.95" customHeight="1">
      <c r="M3775"/>
      <c r="N3775"/>
      <c r="O3775"/>
      <c r="P3775"/>
      <c r="Q3775"/>
      <c r="R3775"/>
      <c r="S3775"/>
    </row>
    <row r="3776" spans="13:19" ht="13.95" customHeight="1">
      <c r="M3776"/>
      <c r="N3776"/>
      <c r="O3776"/>
      <c r="P3776"/>
      <c r="Q3776"/>
      <c r="R3776"/>
      <c r="S3776"/>
    </row>
    <row r="3777" spans="13:19" ht="13.95" customHeight="1">
      <c r="M3777"/>
      <c r="N3777"/>
      <c r="O3777"/>
      <c r="P3777"/>
      <c r="Q3777"/>
      <c r="R3777"/>
      <c r="S3777"/>
    </row>
    <row r="3778" spans="13:19" ht="13.95" customHeight="1">
      <c r="M3778"/>
      <c r="N3778"/>
      <c r="O3778"/>
      <c r="P3778"/>
      <c r="Q3778"/>
      <c r="R3778"/>
      <c r="S3778"/>
    </row>
    <row r="3779" spans="13:19" ht="13.95" customHeight="1">
      <c r="M3779"/>
      <c r="N3779"/>
      <c r="O3779"/>
      <c r="P3779"/>
      <c r="Q3779"/>
      <c r="R3779"/>
      <c r="S3779"/>
    </row>
    <row r="3780" spans="13:19" ht="13.95" customHeight="1">
      <c r="M3780"/>
      <c r="N3780"/>
      <c r="O3780"/>
      <c r="P3780"/>
      <c r="Q3780"/>
      <c r="R3780"/>
      <c r="S3780"/>
    </row>
    <row r="3781" spans="13:19" ht="13.95" customHeight="1">
      <c r="M3781"/>
      <c r="N3781"/>
      <c r="O3781"/>
      <c r="P3781"/>
      <c r="Q3781"/>
      <c r="R3781"/>
      <c r="S3781"/>
    </row>
    <row r="3782" spans="13:19" ht="13.95" customHeight="1">
      <c r="M3782"/>
      <c r="N3782"/>
      <c r="O3782"/>
      <c r="P3782"/>
      <c r="Q3782"/>
      <c r="R3782"/>
      <c r="S3782"/>
    </row>
    <row r="3783" spans="13:19" ht="13.95" customHeight="1">
      <c r="M3783"/>
      <c r="N3783"/>
      <c r="O3783"/>
      <c r="P3783"/>
      <c r="Q3783"/>
      <c r="R3783"/>
      <c r="S3783"/>
    </row>
    <row r="3784" spans="13:19" ht="13.95" customHeight="1">
      <c r="M3784"/>
      <c r="N3784"/>
      <c r="O3784"/>
      <c r="P3784"/>
      <c r="Q3784"/>
      <c r="R3784"/>
      <c r="S3784"/>
    </row>
    <row r="3785" spans="13:19" ht="13.95" customHeight="1">
      <c r="M3785"/>
      <c r="N3785"/>
      <c r="O3785"/>
      <c r="P3785"/>
      <c r="Q3785"/>
      <c r="R3785"/>
      <c r="S3785"/>
    </row>
    <row r="3786" spans="13:19" ht="13.95" customHeight="1">
      <c r="M3786"/>
      <c r="N3786"/>
      <c r="O3786"/>
      <c r="P3786"/>
      <c r="Q3786"/>
      <c r="R3786"/>
      <c r="S3786"/>
    </row>
    <row r="3787" spans="13:19" ht="13.95" customHeight="1">
      <c r="M3787"/>
      <c r="N3787"/>
      <c r="O3787"/>
      <c r="P3787"/>
      <c r="Q3787"/>
      <c r="R3787"/>
      <c r="S3787"/>
    </row>
    <row r="3788" spans="13:19" ht="13.95" customHeight="1">
      <c r="M3788"/>
      <c r="N3788"/>
      <c r="O3788"/>
      <c r="P3788"/>
      <c r="Q3788"/>
      <c r="R3788"/>
      <c r="S3788"/>
    </row>
    <row r="3789" spans="13:19" ht="13.95" customHeight="1">
      <c r="M3789"/>
      <c r="N3789"/>
      <c r="O3789"/>
      <c r="P3789"/>
      <c r="Q3789"/>
      <c r="R3789"/>
      <c r="S3789"/>
    </row>
    <row r="3790" spans="13:19" ht="13.95" customHeight="1">
      <c r="M3790"/>
      <c r="N3790"/>
      <c r="O3790"/>
      <c r="P3790"/>
      <c r="Q3790"/>
      <c r="R3790"/>
      <c r="S3790"/>
    </row>
    <row r="3791" spans="13:19" ht="13.95" customHeight="1">
      <c r="M3791"/>
      <c r="N3791"/>
      <c r="O3791"/>
      <c r="P3791"/>
      <c r="Q3791"/>
      <c r="R3791"/>
      <c r="S3791"/>
    </row>
    <row r="3792" spans="13:19" ht="13.95" customHeight="1">
      <c r="M3792"/>
      <c r="N3792"/>
      <c r="O3792"/>
      <c r="P3792"/>
      <c r="Q3792"/>
      <c r="R3792"/>
      <c r="S3792"/>
    </row>
    <row r="3793" spans="13:19" ht="13.95" customHeight="1">
      <c r="M3793"/>
      <c r="N3793"/>
      <c r="O3793"/>
      <c r="P3793"/>
      <c r="Q3793"/>
      <c r="R3793"/>
      <c r="S3793"/>
    </row>
    <row r="3794" spans="13:19" ht="13.95" customHeight="1">
      <c r="M3794"/>
      <c r="N3794"/>
      <c r="O3794"/>
      <c r="P3794"/>
      <c r="Q3794"/>
      <c r="R3794"/>
      <c r="S3794"/>
    </row>
    <row r="3795" spans="13:19" ht="13.95" customHeight="1">
      <c r="M3795"/>
      <c r="N3795"/>
      <c r="O3795"/>
      <c r="P3795"/>
      <c r="Q3795"/>
      <c r="R3795"/>
      <c r="S3795"/>
    </row>
    <row r="3796" spans="13:19" ht="13.95" customHeight="1">
      <c r="M3796"/>
      <c r="N3796"/>
      <c r="O3796"/>
      <c r="P3796"/>
      <c r="Q3796"/>
      <c r="R3796"/>
      <c r="S3796"/>
    </row>
    <row r="3797" spans="13:19" ht="13.95" customHeight="1">
      <c r="M3797"/>
      <c r="N3797"/>
      <c r="O3797"/>
      <c r="P3797"/>
      <c r="Q3797"/>
      <c r="R3797"/>
      <c r="S3797"/>
    </row>
    <row r="3798" spans="13:19" ht="13.95" customHeight="1">
      <c r="M3798"/>
      <c r="N3798"/>
      <c r="O3798"/>
      <c r="P3798"/>
      <c r="Q3798"/>
      <c r="R3798"/>
      <c r="S3798"/>
    </row>
    <row r="3799" spans="13:19" ht="13.95" customHeight="1">
      <c r="M3799"/>
      <c r="N3799"/>
      <c r="O3799"/>
      <c r="P3799"/>
      <c r="Q3799"/>
      <c r="R3799"/>
      <c r="S3799"/>
    </row>
    <row r="3800" spans="13:19" ht="13.95" customHeight="1">
      <c r="M3800"/>
      <c r="N3800"/>
      <c r="O3800"/>
      <c r="P3800"/>
      <c r="Q3800"/>
      <c r="R3800"/>
      <c r="S3800"/>
    </row>
    <row r="3801" spans="13:19" ht="13.95" customHeight="1">
      <c r="M3801"/>
      <c r="N3801"/>
      <c r="O3801"/>
      <c r="P3801"/>
      <c r="Q3801"/>
      <c r="R3801"/>
      <c r="S3801"/>
    </row>
    <row r="3802" spans="13:19" ht="13.95" customHeight="1">
      <c r="M3802"/>
      <c r="N3802"/>
      <c r="O3802"/>
      <c r="P3802"/>
      <c r="Q3802"/>
      <c r="R3802"/>
      <c r="S3802"/>
    </row>
    <row r="3803" spans="13:19" ht="13.95" customHeight="1">
      <c r="M3803"/>
      <c r="N3803"/>
      <c r="O3803"/>
      <c r="P3803"/>
      <c r="Q3803"/>
      <c r="R3803"/>
      <c r="S3803"/>
    </row>
    <row r="3804" spans="13:19" ht="13.95" customHeight="1">
      <c r="M3804"/>
      <c r="N3804"/>
      <c r="O3804"/>
      <c r="P3804"/>
      <c r="Q3804"/>
      <c r="R3804"/>
      <c r="S3804"/>
    </row>
    <row r="3805" spans="13:19" ht="13.95" customHeight="1">
      <c r="M3805"/>
      <c r="N3805"/>
      <c r="O3805"/>
      <c r="P3805"/>
      <c r="Q3805"/>
      <c r="R3805"/>
      <c r="S3805"/>
    </row>
    <row r="3806" spans="13:19" ht="13.95" customHeight="1">
      <c r="M3806"/>
      <c r="N3806"/>
      <c r="O3806"/>
      <c r="P3806"/>
      <c r="Q3806"/>
      <c r="R3806"/>
      <c r="S3806"/>
    </row>
    <row r="3807" spans="13:19" ht="13.95" customHeight="1">
      <c r="M3807"/>
      <c r="N3807"/>
      <c r="O3807"/>
      <c r="P3807"/>
      <c r="Q3807"/>
      <c r="R3807"/>
      <c r="S3807"/>
    </row>
    <row r="3808" spans="13:19" ht="13.95" customHeight="1">
      <c r="M3808"/>
      <c r="N3808"/>
      <c r="O3808"/>
      <c r="P3808"/>
      <c r="Q3808"/>
      <c r="R3808"/>
      <c r="S3808"/>
    </row>
    <row r="3809" spans="13:19" ht="13.95" customHeight="1">
      <c r="M3809"/>
      <c r="N3809"/>
      <c r="O3809"/>
      <c r="P3809"/>
      <c r="Q3809"/>
      <c r="R3809"/>
      <c r="S3809"/>
    </row>
    <row r="3810" spans="13:19" ht="13.95" customHeight="1">
      <c r="M3810"/>
      <c r="N3810"/>
      <c r="O3810"/>
      <c r="P3810"/>
      <c r="Q3810"/>
      <c r="R3810"/>
      <c r="S3810"/>
    </row>
    <row r="3811" spans="13:19" ht="13.95" customHeight="1">
      <c r="M3811"/>
      <c r="N3811"/>
      <c r="O3811"/>
      <c r="P3811"/>
      <c r="Q3811"/>
      <c r="R3811"/>
      <c r="S3811"/>
    </row>
    <row r="3812" spans="13:19" ht="13.95" customHeight="1">
      <c r="M3812"/>
      <c r="N3812"/>
      <c r="O3812"/>
      <c r="P3812"/>
      <c r="Q3812"/>
      <c r="R3812"/>
      <c r="S3812"/>
    </row>
    <row r="3813" spans="13:19" ht="13.95" customHeight="1">
      <c r="M3813"/>
      <c r="N3813"/>
      <c r="O3813"/>
      <c r="P3813"/>
      <c r="Q3813"/>
      <c r="R3813"/>
      <c r="S3813"/>
    </row>
    <row r="3814" spans="13:19" ht="13.95" customHeight="1">
      <c r="M3814"/>
      <c r="N3814"/>
      <c r="O3814"/>
      <c r="P3814"/>
      <c r="Q3814"/>
      <c r="R3814"/>
      <c r="S3814"/>
    </row>
    <row r="3815" spans="13:19" ht="13.95" customHeight="1">
      <c r="M3815"/>
      <c r="N3815"/>
      <c r="O3815"/>
      <c r="P3815"/>
      <c r="Q3815"/>
      <c r="R3815"/>
      <c r="S3815"/>
    </row>
    <row r="3816" spans="13:19" ht="13.95" customHeight="1">
      <c r="M3816"/>
      <c r="N3816"/>
      <c r="O3816"/>
      <c r="P3816"/>
      <c r="Q3816"/>
      <c r="R3816"/>
      <c r="S3816"/>
    </row>
    <row r="3817" spans="13:19" ht="13.95" customHeight="1">
      <c r="M3817"/>
      <c r="N3817"/>
      <c r="O3817"/>
      <c r="P3817"/>
      <c r="Q3817"/>
      <c r="R3817"/>
      <c r="S3817"/>
    </row>
    <row r="3818" spans="13:19" ht="13.95" customHeight="1">
      <c r="M3818"/>
      <c r="N3818"/>
      <c r="O3818"/>
      <c r="P3818"/>
      <c r="Q3818"/>
      <c r="R3818"/>
      <c r="S3818"/>
    </row>
    <row r="3819" spans="13:19" ht="13.95" customHeight="1">
      <c r="M3819"/>
      <c r="N3819"/>
      <c r="O3819"/>
      <c r="P3819"/>
      <c r="Q3819"/>
      <c r="R3819"/>
      <c r="S3819"/>
    </row>
    <row r="3820" spans="13:19" ht="13.95" customHeight="1">
      <c r="M3820"/>
      <c r="N3820"/>
      <c r="O3820"/>
      <c r="P3820"/>
      <c r="Q3820"/>
      <c r="R3820"/>
      <c r="S3820"/>
    </row>
    <row r="3821" spans="13:19" ht="13.95" customHeight="1">
      <c r="M3821"/>
      <c r="N3821"/>
      <c r="O3821"/>
      <c r="P3821"/>
      <c r="Q3821"/>
      <c r="R3821"/>
      <c r="S3821"/>
    </row>
    <row r="3822" spans="13:19" ht="13.95" customHeight="1">
      <c r="M3822"/>
      <c r="N3822"/>
      <c r="O3822"/>
      <c r="P3822"/>
      <c r="Q3822"/>
      <c r="R3822"/>
      <c r="S3822"/>
    </row>
    <row r="3823" spans="13:19" ht="13.95" customHeight="1">
      <c r="M3823"/>
      <c r="N3823"/>
      <c r="O3823"/>
      <c r="P3823"/>
      <c r="Q3823"/>
      <c r="R3823"/>
      <c r="S3823"/>
    </row>
    <row r="3824" spans="13:19" ht="13.95" customHeight="1">
      <c r="M3824"/>
      <c r="N3824"/>
      <c r="O3824"/>
      <c r="P3824"/>
      <c r="Q3824"/>
      <c r="R3824"/>
      <c r="S3824"/>
    </row>
    <row r="3825" spans="13:19" ht="13.95" customHeight="1">
      <c r="M3825"/>
      <c r="N3825"/>
      <c r="O3825"/>
      <c r="P3825"/>
      <c r="Q3825"/>
      <c r="R3825"/>
      <c r="S3825"/>
    </row>
    <row r="3826" spans="13:19" ht="13.95" customHeight="1">
      <c r="M3826"/>
      <c r="N3826"/>
      <c r="O3826"/>
      <c r="P3826"/>
      <c r="Q3826"/>
      <c r="R3826"/>
      <c r="S3826"/>
    </row>
    <row r="3827" spans="13:19" ht="13.95" customHeight="1">
      <c r="M3827"/>
      <c r="N3827"/>
      <c r="O3827"/>
      <c r="P3827"/>
      <c r="Q3827"/>
      <c r="R3827"/>
      <c r="S3827"/>
    </row>
    <row r="3828" spans="13:19" ht="13.95" customHeight="1">
      <c r="M3828"/>
      <c r="N3828"/>
      <c r="O3828"/>
      <c r="P3828"/>
      <c r="Q3828"/>
      <c r="R3828"/>
      <c r="S3828"/>
    </row>
    <row r="3829" spans="13:19" ht="13.95" customHeight="1">
      <c r="M3829"/>
      <c r="N3829"/>
      <c r="O3829"/>
      <c r="P3829"/>
      <c r="Q3829"/>
      <c r="R3829"/>
      <c r="S3829"/>
    </row>
    <row r="3830" spans="13:19" ht="13.95" customHeight="1">
      <c r="M3830"/>
      <c r="N3830"/>
      <c r="O3830"/>
      <c r="P3830"/>
      <c r="Q3830"/>
      <c r="R3830"/>
      <c r="S3830"/>
    </row>
    <row r="3831" spans="13:19" ht="13.95" customHeight="1">
      <c r="M3831"/>
      <c r="N3831"/>
      <c r="O3831"/>
      <c r="P3831"/>
      <c r="Q3831"/>
      <c r="R3831"/>
      <c r="S3831"/>
    </row>
    <row r="3832" spans="13:19" ht="13.95" customHeight="1">
      <c r="M3832"/>
      <c r="N3832"/>
      <c r="O3832"/>
      <c r="P3832"/>
      <c r="Q3832"/>
      <c r="R3832"/>
      <c r="S3832"/>
    </row>
    <row r="3833" spans="13:19" ht="13.95" customHeight="1">
      <c r="M3833"/>
      <c r="N3833"/>
      <c r="O3833"/>
      <c r="P3833"/>
      <c r="Q3833"/>
      <c r="R3833"/>
      <c r="S3833"/>
    </row>
    <row r="3834" spans="13:19" ht="13.95" customHeight="1">
      <c r="M3834"/>
      <c r="N3834"/>
      <c r="O3834"/>
      <c r="P3834"/>
      <c r="Q3834"/>
      <c r="R3834"/>
      <c r="S3834"/>
    </row>
    <row r="3835" spans="13:19" ht="13.95" customHeight="1">
      <c r="M3835"/>
      <c r="N3835"/>
      <c r="O3835"/>
      <c r="P3835"/>
      <c r="Q3835"/>
      <c r="R3835"/>
      <c r="S3835"/>
    </row>
    <row r="3836" spans="13:19" ht="13.95" customHeight="1">
      <c r="M3836"/>
      <c r="N3836"/>
      <c r="O3836"/>
      <c r="P3836"/>
      <c r="Q3836"/>
      <c r="R3836"/>
      <c r="S3836"/>
    </row>
    <row r="3837" spans="13:19" ht="13.95" customHeight="1">
      <c r="M3837"/>
      <c r="N3837"/>
      <c r="O3837"/>
      <c r="P3837"/>
      <c r="Q3837"/>
      <c r="R3837"/>
      <c r="S3837"/>
    </row>
    <row r="3838" spans="13:19" ht="13.95" customHeight="1">
      <c r="M3838"/>
      <c r="N3838"/>
      <c r="O3838"/>
      <c r="P3838"/>
      <c r="Q3838"/>
      <c r="R3838"/>
      <c r="S3838"/>
    </row>
    <row r="3839" spans="13:19" ht="13.95" customHeight="1">
      <c r="M3839"/>
      <c r="N3839"/>
      <c r="O3839"/>
      <c r="P3839"/>
      <c r="Q3839"/>
      <c r="R3839"/>
      <c r="S3839"/>
    </row>
    <row r="3840" spans="13:19" ht="13.95" customHeight="1">
      <c r="M3840"/>
      <c r="N3840"/>
      <c r="O3840"/>
      <c r="P3840"/>
      <c r="Q3840"/>
      <c r="R3840"/>
      <c r="S3840"/>
    </row>
    <row r="3841" spans="13:19" ht="13.95" customHeight="1">
      <c r="M3841"/>
      <c r="N3841"/>
      <c r="O3841"/>
      <c r="P3841"/>
      <c r="Q3841"/>
      <c r="R3841"/>
      <c r="S3841"/>
    </row>
    <row r="3842" spans="13:19" ht="13.95" customHeight="1">
      <c r="M3842"/>
      <c r="N3842"/>
      <c r="O3842"/>
      <c r="P3842"/>
      <c r="Q3842"/>
      <c r="R3842"/>
      <c r="S3842"/>
    </row>
    <row r="3843" spans="13:19" ht="13.95" customHeight="1">
      <c r="M3843"/>
      <c r="N3843"/>
      <c r="O3843"/>
      <c r="P3843"/>
      <c r="Q3843"/>
      <c r="R3843"/>
      <c r="S3843"/>
    </row>
    <row r="3844" spans="13:19" ht="13.95" customHeight="1">
      <c r="M3844"/>
      <c r="N3844"/>
      <c r="O3844"/>
      <c r="P3844"/>
      <c r="Q3844"/>
      <c r="R3844"/>
      <c r="S3844"/>
    </row>
    <row r="3845" spans="13:19" ht="13.95" customHeight="1">
      <c r="M3845"/>
      <c r="N3845"/>
      <c r="O3845"/>
      <c r="P3845"/>
      <c r="Q3845"/>
      <c r="R3845"/>
      <c r="S3845"/>
    </row>
    <row r="3846" spans="13:19" ht="13.95" customHeight="1">
      <c r="M3846"/>
      <c r="N3846"/>
      <c r="O3846"/>
      <c r="P3846"/>
      <c r="Q3846"/>
      <c r="R3846"/>
      <c r="S3846"/>
    </row>
    <row r="3847" spans="13:19" ht="13.95" customHeight="1">
      <c r="M3847"/>
      <c r="N3847"/>
      <c r="O3847"/>
      <c r="P3847"/>
      <c r="Q3847"/>
      <c r="R3847"/>
      <c r="S3847"/>
    </row>
    <row r="3848" spans="13:19" ht="13.95" customHeight="1">
      <c r="M3848"/>
      <c r="N3848"/>
      <c r="O3848"/>
      <c r="P3848"/>
      <c r="Q3848"/>
      <c r="R3848"/>
      <c r="S3848"/>
    </row>
    <row r="3849" spans="13:19" ht="13.95" customHeight="1">
      <c r="M3849"/>
      <c r="N3849"/>
      <c r="O3849"/>
      <c r="P3849"/>
      <c r="Q3849"/>
      <c r="R3849"/>
      <c r="S3849"/>
    </row>
    <row r="3850" spans="13:19" ht="13.95" customHeight="1">
      <c r="M3850"/>
      <c r="N3850"/>
      <c r="O3850"/>
      <c r="P3850"/>
      <c r="Q3850"/>
      <c r="R3850"/>
      <c r="S3850"/>
    </row>
    <row r="3851" spans="13:19" ht="13.95" customHeight="1">
      <c r="M3851"/>
      <c r="N3851"/>
      <c r="O3851"/>
      <c r="P3851"/>
      <c r="Q3851"/>
      <c r="R3851"/>
      <c r="S3851"/>
    </row>
    <row r="3852" spans="13:19" ht="13.95" customHeight="1">
      <c r="M3852"/>
      <c r="N3852"/>
      <c r="O3852"/>
      <c r="P3852"/>
      <c r="Q3852"/>
      <c r="R3852"/>
      <c r="S3852"/>
    </row>
    <row r="3853" spans="13:19" ht="13.95" customHeight="1">
      <c r="M3853"/>
      <c r="N3853"/>
      <c r="O3853"/>
      <c r="P3853"/>
      <c r="Q3853"/>
      <c r="R3853"/>
      <c r="S3853"/>
    </row>
    <row r="3854" spans="13:19" ht="13.95" customHeight="1">
      <c r="M3854"/>
      <c r="N3854"/>
      <c r="O3854"/>
      <c r="P3854"/>
      <c r="Q3854"/>
      <c r="R3854"/>
      <c r="S3854"/>
    </row>
    <row r="3855" spans="13:19" ht="13.95" customHeight="1">
      <c r="M3855"/>
      <c r="N3855"/>
      <c r="O3855"/>
      <c r="P3855"/>
      <c r="Q3855"/>
      <c r="R3855"/>
      <c r="S3855"/>
    </row>
    <row r="3856" spans="13:19" ht="13.95" customHeight="1">
      <c r="M3856"/>
      <c r="N3856"/>
      <c r="O3856"/>
      <c r="P3856"/>
      <c r="Q3856"/>
      <c r="R3856"/>
      <c r="S3856"/>
    </row>
    <row r="3857" spans="13:19" ht="13.95" customHeight="1">
      <c r="M3857"/>
      <c r="N3857"/>
      <c r="O3857"/>
      <c r="P3857"/>
      <c r="Q3857"/>
      <c r="R3857"/>
      <c r="S3857"/>
    </row>
    <row r="3858" spans="13:19" ht="13.95" customHeight="1">
      <c r="M3858"/>
      <c r="N3858"/>
      <c r="O3858"/>
      <c r="P3858"/>
      <c r="Q3858"/>
      <c r="R3858"/>
      <c r="S3858"/>
    </row>
    <row r="3859" spans="13:19" ht="13.95" customHeight="1">
      <c r="M3859"/>
      <c r="N3859"/>
      <c r="O3859"/>
      <c r="P3859"/>
      <c r="Q3859"/>
      <c r="R3859"/>
      <c r="S3859"/>
    </row>
    <row r="3860" spans="13:19" ht="13.95" customHeight="1">
      <c r="M3860"/>
      <c r="N3860"/>
      <c r="O3860"/>
      <c r="P3860"/>
      <c r="Q3860"/>
      <c r="R3860"/>
      <c r="S3860"/>
    </row>
    <row r="3861" spans="13:19" ht="13.95" customHeight="1">
      <c r="M3861"/>
      <c r="N3861"/>
      <c r="O3861"/>
      <c r="P3861"/>
      <c r="Q3861"/>
      <c r="R3861"/>
      <c r="S3861"/>
    </row>
    <row r="3862" spans="13:19" ht="13.95" customHeight="1">
      <c r="M3862"/>
      <c r="N3862"/>
      <c r="O3862"/>
      <c r="P3862"/>
      <c r="Q3862"/>
      <c r="R3862"/>
      <c r="S3862"/>
    </row>
    <row r="3863" spans="13:19" ht="13.95" customHeight="1">
      <c r="M3863"/>
      <c r="N3863"/>
      <c r="O3863"/>
      <c r="P3863"/>
      <c r="Q3863"/>
      <c r="R3863"/>
      <c r="S3863"/>
    </row>
    <row r="3864" spans="13:19" ht="13.95" customHeight="1">
      <c r="M3864"/>
      <c r="N3864"/>
      <c r="O3864"/>
      <c r="P3864"/>
      <c r="Q3864"/>
      <c r="R3864"/>
      <c r="S3864"/>
    </row>
    <row r="3865" spans="13:19" ht="13.95" customHeight="1">
      <c r="M3865"/>
      <c r="N3865"/>
      <c r="O3865"/>
      <c r="P3865"/>
      <c r="Q3865"/>
      <c r="R3865"/>
      <c r="S3865"/>
    </row>
    <row r="3866" spans="13:19" ht="13.95" customHeight="1">
      <c r="M3866"/>
      <c r="N3866"/>
      <c r="O3866"/>
      <c r="P3866"/>
      <c r="Q3866"/>
      <c r="R3866"/>
      <c r="S3866"/>
    </row>
    <row r="3867" spans="13:19" ht="13.95" customHeight="1">
      <c r="M3867"/>
      <c r="N3867"/>
      <c r="O3867"/>
      <c r="P3867"/>
      <c r="Q3867"/>
      <c r="R3867"/>
      <c r="S3867"/>
    </row>
    <row r="3868" spans="13:19" ht="13.95" customHeight="1">
      <c r="M3868"/>
      <c r="N3868"/>
      <c r="O3868"/>
      <c r="P3868"/>
      <c r="Q3868"/>
      <c r="R3868"/>
      <c r="S3868"/>
    </row>
    <row r="3869" spans="13:19" ht="13.95" customHeight="1">
      <c r="M3869"/>
      <c r="N3869"/>
      <c r="O3869"/>
      <c r="P3869"/>
      <c r="Q3869"/>
      <c r="R3869"/>
      <c r="S3869"/>
    </row>
    <row r="3870" spans="13:19" ht="13.95" customHeight="1">
      <c r="M3870"/>
      <c r="N3870"/>
      <c r="O3870"/>
      <c r="P3870"/>
      <c r="Q3870"/>
      <c r="R3870"/>
      <c r="S3870"/>
    </row>
    <row r="3871" spans="13:19" ht="13.95" customHeight="1">
      <c r="M3871"/>
      <c r="N3871"/>
      <c r="O3871"/>
      <c r="P3871"/>
      <c r="Q3871"/>
      <c r="R3871"/>
      <c r="S3871"/>
    </row>
    <row r="3872" spans="13:19" ht="13.95" customHeight="1">
      <c r="M3872"/>
      <c r="N3872"/>
      <c r="O3872"/>
      <c r="P3872"/>
      <c r="Q3872"/>
      <c r="R3872"/>
      <c r="S3872"/>
    </row>
    <row r="3873" spans="13:19" ht="13.95" customHeight="1">
      <c r="M3873"/>
      <c r="N3873"/>
      <c r="O3873"/>
      <c r="P3873"/>
      <c r="Q3873"/>
      <c r="R3873"/>
      <c r="S3873"/>
    </row>
    <row r="3874" spans="13:19" ht="13.95" customHeight="1">
      <c r="M3874"/>
      <c r="N3874"/>
      <c r="O3874"/>
      <c r="P3874"/>
      <c r="Q3874"/>
      <c r="R3874"/>
      <c r="S3874"/>
    </row>
    <row r="3875" spans="13:19" ht="13.95" customHeight="1">
      <c r="M3875"/>
      <c r="N3875"/>
      <c r="O3875"/>
      <c r="P3875"/>
      <c r="Q3875"/>
      <c r="R3875"/>
      <c r="S3875"/>
    </row>
    <row r="3876" spans="13:19" ht="13.95" customHeight="1">
      <c r="M3876"/>
      <c r="N3876"/>
      <c r="O3876"/>
      <c r="P3876"/>
      <c r="Q3876"/>
      <c r="R3876"/>
      <c r="S3876"/>
    </row>
    <row r="3877" spans="13:19" ht="13.95" customHeight="1">
      <c r="M3877"/>
      <c r="N3877"/>
      <c r="O3877"/>
      <c r="P3877"/>
      <c r="Q3877"/>
      <c r="R3877"/>
      <c r="S3877"/>
    </row>
    <row r="3878" spans="13:19" ht="13.95" customHeight="1">
      <c r="M3878"/>
      <c r="N3878"/>
      <c r="O3878"/>
      <c r="P3878"/>
      <c r="Q3878"/>
      <c r="R3878"/>
      <c r="S3878"/>
    </row>
    <row r="3879" spans="13:19" ht="13.95" customHeight="1">
      <c r="M3879"/>
      <c r="N3879"/>
      <c r="O3879"/>
      <c r="P3879"/>
      <c r="Q3879"/>
      <c r="R3879"/>
      <c r="S3879"/>
    </row>
    <row r="3880" spans="13:19" ht="13.95" customHeight="1">
      <c r="M3880"/>
      <c r="N3880"/>
      <c r="O3880"/>
      <c r="P3880"/>
      <c r="Q3880"/>
      <c r="R3880"/>
      <c r="S3880"/>
    </row>
    <row r="3881" spans="13:19" ht="13.95" customHeight="1">
      <c r="M3881"/>
      <c r="N3881"/>
      <c r="O3881"/>
      <c r="P3881"/>
      <c r="Q3881"/>
      <c r="R3881"/>
      <c r="S3881"/>
    </row>
    <row r="3882" spans="13:19" ht="13.95" customHeight="1">
      <c r="M3882"/>
      <c r="N3882"/>
      <c r="O3882"/>
      <c r="P3882"/>
      <c r="Q3882"/>
      <c r="R3882"/>
      <c r="S3882"/>
    </row>
    <row r="3883" spans="13:19" ht="13.95" customHeight="1">
      <c r="M3883"/>
      <c r="N3883"/>
      <c r="O3883"/>
      <c r="P3883"/>
      <c r="Q3883"/>
      <c r="R3883"/>
      <c r="S3883"/>
    </row>
    <row r="3884" spans="13:19" ht="13.95" customHeight="1">
      <c r="M3884"/>
      <c r="N3884"/>
      <c r="O3884"/>
      <c r="P3884"/>
      <c r="Q3884"/>
      <c r="R3884"/>
      <c r="S3884"/>
    </row>
    <row r="3885" spans="13:19" ht="13.95" customHeight="1">
      <c r="M3885"/>
      <c r="N3885"/>
      <c r="O3885"/>
      <c r="P3885"/>
      <c r="Q3885"/>
      <c r="R3885"/>
      <c r="S3885"/>
    </row>
    <row r="3886" spans="13:19" ht="13.95" customHeight="1">
      <c r="M3886"/>
      <c r="N3886"/>
      <c r="O3886"/>
      <c r="P3886"/>
      <c r="Q3886"/>
      <c r="R3886"/>
      <c r="S3886"/>
    </row>
    <row r="3887" spans="13:19" ht="13.95" customHeight="1">
      <c r="M3887"/>
      <c r="N3887"/>
      <c r="O3887"/>
      <c r="P3887"/>
      <c r="Q3887"/>
      <c r="R3887"/>
      <c r="S3887"/>
    </row>
    <row r="3888" spans="13:19" ht="13.95" customHeight="1">
      <c r="M3888"/>
      <c r="N3888"/>
      <c r="O3888"/>
      <c r="P3888"/>
      <c r="Q3888"/>
      <c r="R3888"/>
      <c r="S3888"/>
    </row>
    <row r="3889" spans="13:19" ht="13.95" customHeight="1">
      <c r="M3889"/>
      <c r="N3889"/>
      <c r="O3889"/>
      <c r="P3889"/>
      <c r="Q3889"/>
      <c r="R3889"/>
      <c r="S3889"/>
    </row>
    <row r="3890" spans="13:19" ht="13.95" customHeight="1">
      <c r="M3890"/>
      <c r="N3890"/>
      <c r="O3890"/>
      <c r="P3890"/>
      <c r="Q3890"/>
      <c r="R3890"/>
      <c r="S3890"/>
    </row>
    <row r="3891" spans="13:19" ht="13.95" customHeight="1">
      <c r="M3891"/>
      <c r="N3891"/>
      <c r="O3891"/>
      <c r="P3891"/>
      <c r="Q3891"/>
      <c r="R3891"/>
      <c r="S3891"/>
    </row>
    <row r="3892" spans="13:19" ht="13.95" customHeight="1">
      <c r="M3892"/>
      <c r="N3892"/>
      <c r="O3892"/>
      <c r="P3892"/>
      <c r="Q3892"/>
      <c r="R3892"/>
      <c r="S3892"/>
    </row>
    <row r="3893" spans="13:19" ht="13.95" customHeight="1">
      <c r="M3893"/>
      <c r="N3893"/>
      <c r="O3893"/>
      <c r="P3893"/>
      <c r="Q3893"/>
      <c r="R3893"/>
      <c r="S3893"/>
    </row>
    <row r="3894" spans="13:19" ht="13.95" customHeight="1">
      <c r="M3894"/>
      <c r="N3894"/>
      <c r="O3894"/>
      <c r="P3894"/>
      <c r="Q3894"/>
      <c r="R3894"/>
      <c r="S3894"/>
    </row>
    <row r="3895" spans="13:19" ht="13.95" customHeight="1">
      <c r="M3895"/>
      <c r="N3895"/>
      <c r="O3895"/>
      <c r="P3895"/>
      <c r="Q3895"/>
      <c r="R3895"/>
      <c r="S3895"/>
    </row>
    <row r="3896" spans="13:19" ht="13.95" customHeight="1">
      <c r="M3896"/>
      <c r="N3896"/>
      <c r="O3896"/>
      <c r="P3896"/>
      <c r="Q3896"/>
      <c r="R3896"/>
      <c r="S3896"/>
    </row>
    <row r="3897" spans="13:19" ht="13.95" customHeight="1">
      <c r="M3897"/>
      <c r="N3897"/>
      <c r="O3897"/>
      <c r="P3897"/>
      <c r="Q3897"/>
      <c r="R3897"/>
      <c r="S3897"/>
    </row>
    <row r="3898" spans="13:19" ht="13.95" customHeight="1">
      <c r="M3898"/>
      <c r="N3898"/>
      <c r="O3898"/>
      <c r="P3898"/>
      <c r="Q3898"/>
      <c r="R3898"/>
      <c r="S3898"/>
    </row>
    <row r="3899" spans="13:19" ht="13.95" customHeight="1">
      <c r="M3899"/>
      <c r="N3899"/>
      <c r="O3899"/>
      <c r="P3899"/>
      <c r="Q3899"/>
      <c r="R3899"/>
      <c r="S3899"/>
    </row>
    <row r="3900" spans="13:19" ht="13.95" customHeight="1">
      <c r="M3900"/>
      <c r="N3900"/>
      <c r="O3900"/>
      <c r="P3900"/>
      <c r="Q3900"/>
      <c r="R3900"/>
      <c r="S3900"/>
    </row>
    <row r="3901" spans="13:19" ht="13.95" customHeight="1">
      <c r="M3901"/>
      <c r="N3901"/>
      <c r="O3901"/>
      <c r="P3901"/>
      <c r="Q3901"/>
      <c r="R3901"/>
      <c r="S3901"/>
    </row>
    <row r="3902" spans="13:19" ht="13.95" customHeight="1">
      <c r="M3902"/>
      <c r="N3902"/>
      <c r="O3902"/>
      <c r="P3902"/>
      <c r="Q3902"/>
      <c r="R3902"/>
      <c r="S3902"/>
    </row>
    <row r="3903" spans="13:19" ht="13.95" customHeight="1">
      <c r="M3903"/>
      <c r="N3903"/>
      <c r="O3903"/>
      <c r="P3903"/>
      <c r="Q3903"/>
      <c r="R3903"/>
      <c r="S3903"/>
    </row>
    <row r="3904" spans="13:19" ht="13.95" customHeight="1">
      <c r="M3904"/>
      <c r="N3904"/>
      <c r="O3904"/>
      <c r="P3904"/>
      <c r="Q3904"/>
      <c r="R3904"/>
      <c r="S3904"/>
    </row>
    <row r="3905" spans="13:19" ht="13.95" customHeight="1">
      <c r="M3905"/>
      <c r="N3905"/>
      <c r="O3905"/>
      <c r="P3905"/>
      <c r="Q3905"/>
      <c r="R3905"/>
      <c r="S3905"/>
    </row>
    <row r="3906" spans="13:19" ht="13.95" customHeight="1">
      <c r="M3906"/>
      <c r="N3906"/>
      <c r="O3906"/>
      <c r="P3906"/>
      <c r="Q3906"/>
      <c r="R3906"/>
      <c r="S3906"/>
    </row>
    <row r="3907" spans="13:19" ht="13.95" customHeight="1">
      <c r="M3907"/>
      <c r="N3907"/>
      <c r="O3907"/>
      <c r="P3907"/>
      <c r="Q3907"/>
      <c r="R3907"/>
      <c r="S3907"/>
    </row>
    <row r="3908" spans="13:19" ht="13.95" customHeight="1">
      <c r="M3908"/>
      <c r="N3908"/>
      <c r="O3908"/>
      <c r="P3908"/>
      <c r="Q3908"/>
      <c r="R3908"/>
      <c r="S3908"/>
    </row>
    <row r="3909" spans="13:19" ht="13.95" customHeight="1">
      <c r="M3909"/>
      <c r="N3909"/>
      <c r="O3909"/>
      <c r="P3909"/>
      <c r="Q3909"/>
      <c r="R3909"/>
      <c r="S3909"/>
    </row>
    <row r="3910" spans="13:19" ht="13.95" customHeight="1">
      <c r="M3910"/>
      <c r="N3910"/>
      <c r="O3910"/>
      <c r="P3910"/>
      <c r="Q3910"/>
      <c r="R3910"/>
      <c r="S3910"/>
    </row>
    <row r="3911" spans="13:19" ht="13.95" customHeight="1">
      <c r="M3911"/>
      <c r="N3911"/>
      <c r="O3911"/>
      <c r="P3911"/>
      <c r="Q3911"/>
      <c r="R3911"/>
      <c r="S3911"/>
    </row>
    <row r="3912" spans="13:19" ht="13.95" customHeight="1">
      <c r="M3912"/>
      <c r="N3912"/>
      <c r="O3912"/>
      <c r="P3912"/>
      <c r="Q3912"/>
      <c r="R3912"/>
      <c r="S3912"/>
    </row>
    <row r="3913" spans="13:19" ht="13.95" customHeight="1">
      <c r="M3913"/>
      <c r="N3913"/>
      <c r="O3913"/>
      <c r="P3913"/>
      <c r="Q3913"/>
      <c r="R3913"/>
      <c r="S3913"/>
    </row>
    <row r="3914" spans="13:19" ht="13.95" customHeight="1">
      <c r="M3914"/>
      <c r="N3914"/>
      <c r="O3914"/>
      <c r="P3914"/>
      <c r="Q3914"/>
      <c r="R3914"/>
      <c r="S3914"/>
    </row>
    <row r="3915" spans="13:19" ht="13.95" customHeight="1">
      <c r="M3915"/>
      <c r="N3915"/>
      <c r="O3915"/>
      <c r="P3915"/>
      <c r="Q3915"/>
      <c r="R3915"/>
      <c r="S3915"/>
    </row>
    <row r="3916" spans="13:19" ht="13.95" customHeight="1">
      <c r="M3916"/>
      <c r="N3916"/>
      <c r="O3916"/>
      <c r="P3916"/>
      <c r="Q3916"/>
      <c r="R3916"/>
      <c r="S3916"/>
    </row>
    <row r="3917" spans="13:19" ht="13.95" customHeight="1">
      <c r="M3917"/>
      <c r="N3917"/>
      <c r="O3917"/>
      <c r="P3917"/>
      <c r="Q3917"/>
      <c r="R3917"/>
      <c r="S3917"/>
    </row>
    <row r="3918" spans="13:19" ht="13.95" customHeight="1">
      <c r="M3918"/>
      <c r="N3918"/>
      <c r="O3918"/>
      <c r="P3918"/>
      <c r="Q3918"/>
      <c r="R3918"/>
      <c r="S3918"/>
    </row>
    <row r="3919" spans="13:19" ht="13.95" customHeight="1">
      <c r="M3919"/>
      <c r="N3919"/>
      <c r="O3919"/>
      <c r="P3919"/>
      <c r="Q3919"/>
      <c r="R3919"/>
      <c r="S3919"/>
    </row>
    <row r="3920" spans="13:19" ht="13.95" customHeight="1">
      <c r="M3920"/>
      <c r="N3920"/>
      <c r="O3920"/>
      <c r="P3920"/>
      <c r="Q3920"/>
      <c r="R3920"/>
      <c r="S3920"/>
    </row>
    <row r="3921" spans="13:19" ht="13.95" customHeight="1">
      <c r="M3921"/>
      <c r="N3921"/>
      <c r="O3921"/>
      <c r="P3921"/>
      <c r="Q3921"/>
      <c r="R3921"/>
      <c r="S3921"/>
    </row>
    <row r="3922" spans="13:19" ht="13.95" customHeight="1">
      <c r="M3922"/>
      <c r="N3922"/>
      <c r="O3922"/>
      <c r="P3922"/>
      <c r="Q3922"/>
      <c r="R3922"/>
      <c r="S3922"/>
    </row>
    <row r="3923" spans="13:19" ht="13.95" customHeight="1">
      <c r="M3923"/>
      <c r="N3923"/>
      <c r="O3923"/>
      <c r="P3923"/>
      <c r="Q3923"/>
      <c r="R3923"/>
      <c r="S3923"/>
    </row>
    <row r="3924" spans="13:19" ht="13.95" customHeight="1">
      <c r="M3924"/>
      <c r="N3924"/>
      <c r="O3924"/>
      <c r="P3924"/>
      <c r="Q3924"/>
      <c r="R3924"/>
      <c r="S3924"/>
    </row>
    <row r="3925" spans="13:19" ht="13.95" customHeight="1">
      <c r="M3925"/>
      <c r="N3925"/>
      <c r="O3925"/>
      <c r="P3925"/>
      <c r="Q3925"/>
      <c r="R3925"/>
      <c r="S3925"/>
    </row>
    <row r="3926" spans="13:19" ht="13.95" customHeight="1">
      <c r="M3926"/>
      <c r="N3926"/>
      <c r="O3926"/>
      <c r="P3926"/>
      <c r="Q3926"/>
      <c r="R3926"/>
      <c r="S3926"/>
    </row>
    <row r="3927" spans="13:19" ht="13.95" customHeight="1">
      <c r="M3927"/>
      <c r="N3927"/>
      <c r="O3927"/>
      <c r="P3927"/>
      <c r="Q3927"/>
      <c r="R3927"/>
      <c r="S3927"/>
    </row>
    <row r="3928" spans="13:19" ht="13.95" customHeight="1">
      <c r="M3928"/>
      <c r="N3928"/>
      <c r="O3928"/>
      <c r="P3928"/>
      <c r="Q3928"/>
      <c r="R3928"/>
      <c r="S3928"/>
    </row>
    <row r="3929" spans="13:19" ht="13.95" customHeight="1">
      <c r="M3929"/>
      <c r="N3929"/>
      <c r="O3929"/>
      <c r="P3929"/>
      <c r="Q3929"/>
      <c r="R3929"/>
      <c r="S3929"/>
    </row>
    <row r="3930" spans="13:19" ht="13.95" customHeight="1">
      <c r="M3930"/>
      <c r="N3930"/>
      <c r="O3930"/>
      <c r="P3930"/>
      <c r="Q3930"/>
      <c r="R3930"/>
      <c r="S3930"/>
    </row>
    <row r="3931" spans="13:19" ht="13.95" customHeight="1">
      <c r="M3931"/>
      <c r="N3931"/>
      <c r="O3931"/>
      <c r="P3931"/>
      <c r="Q3931"/>
      <c r="R3931"/>
      <c r="S3931"/>
    </row>
    <row r="3932" spans="13:19" ht="13.95" customHeight="1">
      <c r="M3932"/>
      <c r="N3932"/>
      <c r="O3932"/>
      <c r="P3932"/>
      <c r="Q3932"/>
      <c r="R3932"/>
      <c r="S3932"/>
    </row>
    <row r="3933" spans="13:19" ht="13.95" customHeight="1">
      <c r="M3933"/>
      <c r="N3933"/>
      <c r="O3933"/>
      <c r="P3933"/>
      <c r="Q3933"/>
      <c r="R3933"/>
      <c r="S3933"/>
    </row>
    <row r="3934" spans="13:19" ht="13.95" customHeight="1">
      <c r="M3934"/>
      <c r="N3934"/>
      <c r="O3934"/>
      <c r="P3934"/>
      <c r="Q3934"/>
      <c r="R3934"/>
      <c r="S3934"/>
    </row>
    <row r="3935" spans="13:19" ht="13.95" customHeight="1">
      <c r="M3935"/>
      <c r="N3935"/>
      <c r="O3935"/>
      <c r="P3935"/>
      <c r="Q3935"/>
      <c r="R3935"/>
      <c r="S3935"/>
    </row>
    <row r="3936" spans="13:19" ht="13.95" customHeight="1">
      <c r="M3936"/>
      <c r="N3936"/>
      <c r="O3936"/>
      <c r="P3936"/>
      <c r="Q3936"/>
      <c r="R3936"/>
      <c r="S3936"/>
    </row>
    <row r="3937" spans="13:19" ht="13.95" customHeight="1">
      <c r="M3937"/>
      <c r="N3937"/>
      <c r="O3937"/>
      <c r="P3937"/>
      <c r="Q3937"/>
      <c r="R3937"/>
      <c r="S3937"/>
    </row>
    <row r="3938" spans="13:19" ht="13.95" customHeight="1">
      <c r="M3938"/>
      <c r="N3938"/>
      <c r="O3938"/>
      <c r="P3938"/>
      <c r="Q3938"/>
      <c r="R3938"/>
      <c r="S3938"/>
    </row>
    <row r="3939" spans="13:19" ht="13.95" customHeight="1">
      <c r="M3939"/>
      <c r="N3939"/>
      <c r="O3939"/>
      <c r="P3939"/>
      <c r="Q3939"/>
      <c r="R3939"/>
      <c r="S3939"/>
    </row>
    <row r="3940" spans="13:19" ht="13.95" customHeight="1">
      <c r="M3940"/>
      <c r="N3940"/>
      <c r="O3940"/>
      <c r="P3940"/>
      <c r="Q3940"/>
      <c r="R3940"/>
      <c r="S3940"/>
    </row>
    <row r="3941" spans="13:19" ht="13.95" customHeight="1">
      <c r="M3941"/>
      <c r="N3941"/>
      <c r="O3941"/>
      <c r="P3941"/>
      <c r="Q3941"/>
      <c r="R3941"/>
      <c r="S3941"/>
    </row>
    <row r="3942" spans="13:19" ht="13.95" customHeight="1">
      <c r="M3942"/>
      <c r="N3942"/>
      <c r="O3942"/>
      <c r="P3942"/>
      <c r="Q3942"/>
      <c r="R3942"/>
      <c r="S3942"/>
    </row>
    <row r="3943" spans="13:19" ht="13.95" customHeight="1">
      <c r="M3943"/>
      <c r="N3943"/>
      <c r="O3943"/>
      <c r="P3943"/>
      <c r="Q3943"/>
      <c r="R3943"/>
      <c r="S3943"/>
    </row>
    <row r="3944" spans="13:19" ht="13.95" customHeight="1">
      <c r="M3944"/>
      <c r="N3944"/>
      <c r="O3944"/>
      <c r="P3944"/>
      <c r="Q3944"/>
      <c r="R3944"/>
      <c r="S3944"/>
    </row>
    <row r="3945" spans="13:19" ht="13.95" customHeight="1">
      <c r="M3945"/>
      <c r="N3945"/>
      <c r="O3945"/>
      <c r="P3945"/>
      <c r="Q3945"/>
      <c r="R3945"/>
      <c r="S3945"/>
    </row>
    <row r="3946" spans="13:19" ht="13.95" customHeight="1">
      <c r="M3946"/>
      <c r="N3946"/>
      <c r="O3946"/>
      <c r="P3946"/>
      <c r="Q3946"/>
      <c r="R3946"/>
      <c r="S3946"/>
    </row>
    <row r="3947" spans="13:19" ht="13.95" customHeight="1">
      <c r="M3947"/>
      <c r="N3947"/>
      <c r="O3947"/>
      <c r="P3947"/>
      <c r="Q3947"/>
      <c r="R3947"/>
      <c r="S3947"/>
    </row>
    <row r="3948" spans="13:19" ht="13.95" customHeight="1">
      <c r="M3948"/>
      <c r="N3948"/>
      <c r="O3948"/>
      <c r="P3948"/>
      <c r="Q3948"/>
      <c r="R3948"/>
      <c r="S3948"/>
    </row>
    <row r="3949" spans="13:19" ht="13.95" customHeight="1">
      <c r="M3949"/>
      <c r="N3949"/>
      <c r="O3949"/>
      <c r="P3949"/>
      <c r="Q3949"/>
      <c r="R3949"/>
      <c r="S3949"/>
    </row>
    <row r="3950" spans="13:19" ht="13.95" customHeight="1">
      <c r="M3950"/>
      <c r="N3950"/>
      <c r="O3950"/>
      <c r="P3950"/>
      <c r="Q3950"/>
      <c r="R3950"/>
      <c r="S3950"/>
    </row>
    <row r="3951" spans="13:19" ht="13.95" customHeight="1">
      <c r="M3951"/>
      <c r="N3951"/>
      <c r="O3951"/>
      <c r="P3951"/>
      <c r="Q3951"/>
      <c r="R3951"/>
      <c r="S3951"/>
    </row>
    <row r="3952" spans="13:19" ht="13.95" customHeight="1">
      <c r="M3952"/>
      <c r="N3952"/>
      <c r="O3952"/>
      <c r="P3952"/>
      <c r="Q3952"/>
      <c r="R3952"/>
      <c r="S3952"/>
    </row>
    <row r="3953" spans="13:19" ht="13.95" customHeight="1">
      <c r="M3953"/>
      <c r="N3953"/>
      <c r="O3953"/>
      <c r="P3953"/>
      <c r="Q3953"/>
      <c r="R3953"/>
      <c r="S3953"/>
    </row>
    <row r="3954" spans="13:19" ht="13.95" customHeight="1">
      <c r="M3954"/>
      <c r="N3954"/>
      <c r="O3954"/>
      <c r="P3954"/>
      <c r="Q3954"/>
      <c r="R3954"/>
      <c r="S3954"/>
    </row>
    <row r="3955" spans="13:19" ht="13.95" customHeight="1">
      <c r="M3955"/>
      <c r="N3955"/>
      <c r="O3955"/>
      <c r="P3955"/>
      <c r="Q3955"/>
      <c r="R3955"/>
      <c r="S3955"/>
    </row>
    <row r="3956" spans="13:19" ht="13.95" customHeight="1">
      <c r="M3956"/>
      <c r="N3956"/>
      <c r="O3956"/>
      <c r="P3956"/>
      <c r="Q3956"/>
      <c r="R3956"/>
      <c r="S3956"/>
    </row>
    <row r="3957" spans="13:19" ht="13.95" customHeight="1">
      <c r="M3957"/>
      <c r="N3957"/>
      <c r="O3957"/>
      <c r="P3957"/>
      <c r="Q3957"/>
      <c r="R3957"/>
      <c r="S3957"/>
    </row>
    <row r="3958" spans="13:19" ht="13.95" customHeight="1">
      <c r="M3958"/>
      <c r="N3958"/>
      <c r="O3958"/>
      <c r="P3958"/>
      <c r="Q3958"/>
      <c r="R3958"/>
      <c r="S3958"/>
    </row>
    <row r="3959" spans="13:19" ht="13.95" customHeight="1">
      <c r="M3959"/>
      <c r="N3959"/>
      <c r="O3959"/>
      <c r="P3959"/>
      <c r="Q3959"/>
      <c r="R3959"/>
      <c r="S3959"/>
    </row>
    <row r="3960" spans="13:19" ht="13.95" customHeight="1">
      <c r="M3960"/>
      <c r="N3960"/>
      <c r="O3960"/>
      <c r="P3960"/>
      <c r="Q3960"/>
      <c r="R3960"/>
      <c r="S3960"/>
    </row>
    <row r="3961" spans="13:19" ht="13.95" customHeight="1">
      <c r="M3961"/>
      <c r="N3961"/>
      <c r="O3961"/>
      <c r="P3961"/>
      <c r="Q3961"/>
      <c r="R3961"/>
      <c r="S3961"/>
    </row>
    <row r="3962" spans="13:19" ht="13.95" customHeight="1">
      <c r="M3962"/>
      <c r="N3962"/>
      <c r="O3962"/>
      <c r="P3962"/>
      <c r="Q3962"/>
      <c r="R3962"/>
      <c r="S3962"/>
    </row>
    <row r="3963" spans="13:19" ht="13.95" customHeight="1">
      <c r="M3963"/>
      <c r="N3963"/>
      <c r="O3963"/>
      <c r="P3963"/>
      <c r="Q3963"/>
      <c r="R3963"/>
      <c r="S3963"/>
    </row>
    <row r="3964" spans="13:19" ht="13.95" customHeight="1">
      <c r="M3964"/>
      <c r="N3964"/>
      <c r="O3964"/>
      <c r="P3964"/>
      <c r="Q3964"/>
      <c r="R3964"/>
      <c r="S3964"/>
    </row>
    <row r="3965" spans="13:19" ht="13.95" customHeight="1">
      <c r="M3965"/>
      <c r="N3965"/>
      <c r="O3965"/>
      <c r="P3965"/>
      <c r="Q3965"/>
      <c r="R3965"/>
      <c r="S3965"/>
    </row>
    <row r="3966" spans="13:19" ht="13.95" customHeight="1">
      <c r="M3966"/>
      <c r="N3966"/>
      <c r="O3966"/>
      <c r="P3966"/>
      <c r="Q3966"/>
      <c r="R3966"/>
      <c r="S3966"/>
    </row>
    <row r="3967" spans="13:19" ht="13.95" customHeight="1">
      <c r="M3967"/>
      <c r="N3967"/>
      <c r="O3967"/>
      <c r="P3967"/>
      <c r="Q3967"/>
      <c r="R3967"/>
      <c r="S3967"/>
    </row>
    <row r="3968" spans="13:19" ht="13.95" customHeight="1">
      <c r="M3968"/>
      <c r="N3968"/>
      <c r="O3968"/>
      <c r="P3968"/>
      <c r="Q3968"/>
      <c r="R3968"/>
      <c r="S3968"/>
    </row>
    <row r="3969" spans="13:19" ht="13.95" customHeight="1">
      <c r="M3969"/>
      <c r="N3969"/>
      <c r="O3969"/>
      <c r="P3969"/>
      <c r="Q3969"/>
      <c r="R3969"/>
      <c r="S3969"/>
    </row>
    <row r="3970" spans="13:19" ht="13.95" customHeight="1">
      <c r="M3970"/>
      <c r="N3970"/>
      <c r="O3970"/>
      <c r="P3970"/>
      <c r="Q3970"/>
      <c r="R3970"/>
      <c r="S3970"/>
    </row>
    <row r="3971" spans="13:19" ht="13.95" customHeight="1">
      <c r="M3971"/>
      <c r="N3971"/>
      <c r="O3971"/>
      <c r="P3971"/>
      <c r="Q3971"/>
      <c r="R3971"/>
      <c r="S3971"/>
    </row>
    <row r="3972" spans="13:19" ht="13.95" customHeight="1">
      <c r="M3972"/>
      <c r="N3972"/>
      <c r="O3972"/>
      <c r="P3972"/>
      <c r="Q3972"/>
      <c r="R3972"/>
      <c r="S3972"/>
    </row>
    <row r="3973" spans="13:19" ht="13.95" customHeight="1">
      <c r="M3973"/>
      <c r="N3973"/>
      <c r="O3973"/>
      <c r="P3973"/>
      <c r="Q3973"/>
      <c r="R3973"/>
      <c r="S3973"/>
    </row>
    <row r="3974" spans="13:19" ht="13.95" customHeight="1">
      <c r="M3974"/>
      <c r="N3974"/>
      <c r="O3974"/>
      <c r="P3974"/>
      <c r="Q3974"/>
      <c r="R3974"/>
      <c r="S3974"/>
    </row>
    <row r="3975" spans="13:19" ht="13.95" customHeight="1">
      <c r="M3975"/>
      <c r="N3975"/>
      <c r="O3975"/>
      <c r="P3975"/>
      <c r="Q3975"/>
      <c r="R3975"/>
      <c r="S3975"/>
    </row>
    <row r="3976" spans="13:19" ht="13.95" customHeight="1">
      <c r="M3976"/>
      <c r="N3976"/>
      <c r="O3976"/>
      <c r="P3976"/>
      <c r="Q3976"/>
      <c r="R3976"/>
      <c r="S3976"/>
    </row>
    <row r="3977" spans="13:19" ht="13.95" customHeight="1">
      <c r="M3977"/>
      <c r="N3977"/>
      <c r="O3977"/>
      <c r="P3977"/>
      <c r="Q3977"/>
      <c r="R3977"/>
      <c r="S3977"/>
    </row>
    <row r="3978" spans="13:19" ht="13.95" customHeight="1">
      <c r="M3978"/>
      <c r="N3978"/>
      <c r="O3978"/>
      <c r="P3978"/>
      <c r="Q3978"/>
      <c r="R3978"/>
      <c r="S3978"/>
    </row>
    <row r="3979" spans="13:19" ht="13.95" customHeight="1">
      <c r="M3979"/>
      <c r="N3979"/>
      <c r="O3979"/>
      <c r="P3979"/>
      <c r="Q3979"/>
      <c r="R3979"/>
      <c r="S3979"/>
    </row>
    <row r="3980" spans="13:19" ht="13.95" customHeight="1">
      <c r="M3980"/>
      <c r="N3980"/>
      <c r="O3980"/>
      <c r="P3980"/>
      <c r="Q3980"/>
      <c r="R3980"/>
      <c r="S3980"/>
    </row>
    <row r="3981" spans="13:19" ht="13.95" customHeight="1">
      <c r="M3981"/>
      <c r="N3981"/>
      <c r="O3981"/>
      <c r="P3981"/>
      <c r="Q3981"/>
      <c r="R3981"/>
      <c r="S3981"/>
    </row>
    <row r="3982" spans="13:19" ht="13.95" customHeight="1">
      <c r="M3982"/>
      <c r="N3982"/>
      <c r="O3982"/>
      <c r="P3982"/>
      <c r="Q3982"/>
      <c r="R3982"/>
      <c r="S3982"/>
    </row>
    <row r="3983" spans="13:19" ht="13.95" customHeight="1">
      <c r="M3983"/>
      <c r="N3983"/>
      <c r="O3983"/>
      <c r="P3983"/>
      <c r="Q3983"/>
      <c r="R3983"/>
      <c r="S3983"/>
    </row>
    <row r="3984" spans="13:19" ht="13.95" customHeight="1">
      <c r="M3984"/>
      <c r="N3984"/>
      <c r="O3984"/>
      <c r="P3984"/>
      <c r="Q3984"/>
      <c r="R3984"/>
      <c r="S3984"/>
    </row>
    <row r="3985" spans="13:19" ht="13.95" customHeight="1">
      <c r="M3985"/>
      <c r="N3985"/>
      <c r="O3985"/>
      <c r="P3985"/>
      <c r="Q3985"/>
      <c r="R3985"/>
      <c r="S3985"/>
    </row>
    <row r="3986" spans="13:19" ht="13.95" customHeight="1">
      <c r="M3986"/>
      <c r="N3986"/>
      <c r="O3986"/>
      <c r="P3986"/>
      <c r="Q3986"/>
      <c r="R3986"/>
      <c r="S3986"/>
    </row>
    <row r="3987" spans="13:19" ht="13.95" customHeight="1">
      <c r="M3987"/>
      <c r="N3987"/>
      <c r="O3987"/>
      <c r="P3987"/>
      <c r="Q3987"/>
      <c r="R3987"/>
      <c r="S3987"/>
    </row>
    <row r="3988" spans="13:19" ht="13.95" customHeight="1">
      <c r="M3988"/>
      <c r="N3988"/>
      <c r="O3988"/>
      <c r="P3988"/>
      <c r="Q3988"/>
      <c r="R3988"/>
      <c r="S3988"/>
    </row>
    <row r="3989" spans="13:19" ht="13.95" customHeight="1">
      <c r="M3989"/>
      <c r="N3989"/>
      <c r="O3989"/>
      <c r="P3989"/>
      <c r="Q3989"/>
      <c r="R3989"/>
      <c r="S3989"/>
    </row>
    <row r="3990" spans="13:19" ht="13.95" customHeight="1">
      <c r="M3990"/>
      <c r="N3990"/>
      <c r="O3990"/>
      <c r="P3990"/>
      <c r="Q3990"/>
      <c r="R3990"/>
      <c r="S3990"/>
    </row>
    <row r="3991" spans="13:19" ht="13.95" customHeight="1">
      <c r="M3991"/>
      <c r="N3991"/>
      <c r="O3991"/>
      <c r="P3991"/>
      <c r="Q3991"/>
      <c r="R3991"/>
      <c r="S3991"/>
    </row>
    <row r="3992" spans="13:19" ht="13.95" customHeight="1">
      <c r="M3992"/>
      <c r="N3992"/>
      <c r="O3992"/>
      <c r="P3992"/>
      <c r="Q3992"/>
      <c r="R3992"/>
      <c r="S3992"/>
    </row>
    <row r="3993" spans="13:19" ht="13.95" customHeight="1">
      <c r="M3993"/>
      <c r="N3993"/>
      <c r="O3993"/>
      <c r="P3993"/>
      <c r="Q3993"/>
      <c r="R3993"/>
      <c r="S3993"/>
    </row>
    <row r="3994" spans="13:19" ht="13.95" customHeight="1">
      <c r="M3994"/>
      <c r="N3994"/>
      <c r="O3994"/>
      <c r="P3994"/>
      <c r="Q3994"/>
      <c r="R3994"/>
      <c r="S3994"/>
    </row>
    <row r="3995" spans="13:19" ht="13.95" customHeight="1">
      <c r="M3995"/>
      <c r="N3995"/>
      <c r="O3995"/>
      <c r="P3995"/>
      <c r="Q3995"/>
      <c r="R3995"/>
      <c r="S3995"/>
    </row>
    <row r="3996" spans="13:19" ht="13.95" customHeight="1">
      <c r="M3996"/>
      <c r="N3996"/>
      <c r="O3996"/>
      <c r="P3996"/>
      <c r="Q3996"/>
      <c r="R3996"/>
      <c r="S3996"/>
    </row>
    <row r="3997" spans="13:19" ht="13.95" customHeight="1">
      <c r="M3997"/>
      <c r="N3997"/>
      <c r="O3997"/>
      <c r="P3997"/>
      <c r="Q3997"/>
      <c r="R3997"/>
      <c r="S3997"/>
    </row>
    <row r="3998" spans="13:19" ht="13.95" customHeight="1">
      <c r="M3998"/>
      <c r="N3998"/>
      <c r="O3998"/>
      <c r="P3998"/>
      <c r="Q3998"/>
      <c r="R3998"/>
      <c r="S3998"/>
    </row>
    <row r="3999" spans="13:19" ht="13.95" customHeight="1">
      <c r="M3999"/>
      <c r="N3999"/>
      <c r="O3999"/>
      <c r="P3999"/>
      <c r="Q3999"/>
      <c r="R3999"/>
      <c r="S3999"/>
    </row>
    <row r="4000" spans="13:19" ht="13.95" customHeight="1">
      <c r="M4000"/>
      <c r="N4000"/>
      <c r="O4000"/>
      <c r="P4000"/>
      <c r="Q4000"/>
      <c r="R4000"/>
      <c r="S4000"/>
    </row>
    <row r="4001" spans="13:19" ht="13.95" customHeight="1">
      <c r="M4001"/>
      <c r="N4001"/>
      <c r="O4001"/>
      <c r="P4001"/>
      <c r="Q4001"/>
      <c r="R4001"/>
      <c r="S4001"/>
    </row>
    <row r="4002" spans="13:19" ht="13.95" customHeight="1">
      <c r="M4002"/>
      <c r="N4002"/>
      <c r="O4002"/>
      <c r="P4002"/>
      <c r="Q4002"/>
      <c r="R4002"/>
      <c r="S4002"/>
    </row>
    <row r="4003" spans="13:19" ht="13.95" customHeight="1">
      <c r="M4003"/>
      <c r="N4003"/>
      <c r="O4003"/>
      <c r="P4003"/>
      <c r="Q4003"/>
      <c r="R4003"/>
      <c r="S4003"/>
    </row>
    <row r="4004" spans="13:19" ht="13.95" customHeight="1">
      <c r="M4004"/>
      <c r="N4004"/>
      <c r="O4004"/>
      <c r="P4004"/>
      <c r="Q4004"/>
      <c r="R4004"/>
      <c r="S4004"/>
    </row>
    <row r="4005" spans="13:19" ht="13.95" customHeight="1">
      <c r="M4005"/>
      <c r="N4005"/>
      <c r="O4005"/>
      <c r="P4005"/>
      <c r="Q4005"/>
      <c r="R4005"/>
      <c r="S4005"/>
    </row>
    <row r="4006" spans="13:19" ht="13.95" customHeight="1">
      <c r="M4006"/>
      <c r="N4006"/>
      <c r="O4006"/>
      <c r="P4006"/>
      <c r="Q4006"/>
      <c r="R4006"/>
      <c r="S4006"/>
    </row>
    <row r="4007" spans="13:19" ht="13.95" customHeight="1">
      <c r="M4007"/>
      <c r="N4007"/>
      <c r="O4007"/>
      <c r="P4007"/>
      <c r="Q4007"/>
      <c r="R4007"/>
      <c r="S4007"/>
    </row>
    <row r="4008" spans="13:19" ht="13.95" customHeight="1">
      <c r="M4008"/>
      <c r="N4008"/>
      <c r="O4008"/>
      <c r="P4008"/>
      <c r="Q4008"/>
      <c r="R4008"/>
      <c r="S4008"/>
    </row>
    <row r="4009" spans="13:19" ht="13.95" customHeight="1">
      <c r="M4009"/>
      <c r="N4009"/>
      <c r="O4009"/>
      <c r="P4009"/>
      <c r="Q4009"/>
      <c r="R4009"/>
      <c r="S4009"/>
    </row>
    <row r="4010" spans="13:19" ht="13.95" customHeight="1">
      <c r="M4010"/>
      <c r="N4010"/>
      <c r="O4010"/>
      <c r="P4010"/>
      <c r="Q4010"/>
      <c r="R4010"/>
      <c r="S4010"/>
    </row>
    <row r="4011" spans="13:19" ht="13.95" customHeight="1">
      <c r="M4011"/>
      <c r="N4011"/>
      <c r="O4011"/>
      <c r="P4011"/>
      <c r="Q4011"/>
      <c r="R4011"/>
      <c r="S4011"/>
    </row>
    <row r="4012" spans="13:19" ht="13.95" customHeight="1">
      <c r="M4012"/>
      <c r="N4012"/>
      <c r="O4012"/>
      <c r="P4012"/>
      <c r="Q4012"/>
      <c r="R4012"/>
      <c r="S4012"/>
    </row>
    <row r="4013" spans="13:19" ht="13.95" customHeight="1">
      <c r="M4013"/>
      <c r="N4013"/>
      <c r="O4013"/>
      <c r="P4013"/>
      <c r="Q4013"/>
      <c r="R4013"/>
      <c r="S4013"/>
    </row>
    <row r="4014" spans="13:19" ht="13.95" customHeight="1">
      <c r="M4014"/>
      <c r="N4014"/>
      <c r="O4014"/>
      <c r="P4014"/>
      <c r="Q4014"/>
      <c r="R4014"/>
      <c r="S4014"/>
    </row>
    <row r="4015" spans="13:19" ht="13.95" customHeight="1">
      <c r="M4015"/>
      <c r="N4015"/>
      <c r="O4015"/>
      <c r="P4015"/>
      <c r="Q4015"/>
      <c r="R4015"/>
      <c r="S4015"/>
    </row>
    <row r="4016" spans="13:19" ht="13.95" customHeight="1">
      <c r="M4016"/>
      <c r="N4016"/>
      <c r="O4016"/>
      <c r="P4016"/>
      <c r="Q4016"/>
      <c r="R4016"/>
      <c r="S4016"/>
    </row>
    <row r="4017" spans="13:19" ht="13.95" customHeight="1">
      <c r="M4017"/>
      <c r="N4017"/>
      <c r="O4017"/>
      <c r="P4017"/>
      <c r="Q4017"/>
      <c r="R4017"/>
      <c r="S4017"/>
    </row>
    <row r="4018" spans="13:19" ht="13.95" customHeight="1">
      <c r="M4018"/>
      <c r="N4018"/>
      <c r="O4018"/>
      <c r="P4018"/>
      <c r="Q4018"/>
      <c r="R4018"/>
      <c r="S4018"/>
    </row>
    <row r="4019" spans="13:19" ht="13.95" customHeight="1">
      <c r="M4019"/>
      <c r="N4019"/>
      <c r="O4019"/>
      <c r="P4019"/>
      <c r="Q4019"/>
      <c r="R4019"/>
      <c r="S4019"/>
    </row>
    <row r="4020" spans="13:19" ht="13.95" customHeight="1">
      <c r="M4020"/>
      <c r="N4020"/>
      <c r="O4020"/>
      <c r="P4020"/>
      <c r="Q4020"/>
      <c r="R4020"/>
      <c r="S4020"/>
    </row>
    <row r="4021" spans="13:19" ht="13.95" customHeight="1">
      <c r="M4021"/>
      <c r="N4021"/>
      <c r="O4021"/>
      <c r="P4021"/>
      <c r="Q4021"/>
      <c r="R4021"/>
      <c r="S4021"/>
    </row>
    <row r="4022" spans="13:19" ht="13.95" customHeight="1">
      <c r="M4022"/>
      <c r="N4022"/>
      <c r="O4022"/>
      <c r="P4022"/>
      <c r="Q4022"/>
      <c r="R4022"/>
      <c r="S4022"/>
    </row>
    <row r="4023" spans="13:19" ht="13.95" customHeight="1">
      <c r="M4023"/>
      <c r="N4023"/>
      <c r="O4023"/>
      <c r="P4023"/>
      <c r="Q4023"/>
      <c r="R4023"/>
      <c r="S4023"/>
    </row>
    <row r="4024" spans="13:19" ht="13.95" customHeight="1">
      <c r="M4024"/>
      <c r="N4024"/>
      <c r="O4024"/>
      <c r="P4024"/>
      <c r="Q4024"/>
      <c r="R4024"/>
      <c r="S4024"/>
    </row>
    <row r="4025" spans="13:19" ht="13.95" customHeight="1">
      <c r="M4025"/>
      <c r="N4025"/>
      <c r="O4025"/>
      <c r="P4025"/>
      <c r="Q4025"/>
      <c r="R4025"/>
      <c r="S4025"/>
    </row>
    <row r="4026" spans="13:19" ht="13.95" customHeight="1">
      <c r="M4026"/>
      <c r="N4026"/>
      <c r="O4026"/>
      <c r="P4026"/>
      <c r="Q4026"/>
      <c r="R4026"/>
      <c r="S4026"/>
    </row>
    <row r="4027" spans="13:19" ht="13.95" customHeight="1">
      <c r="M4027"/>
      <c r="N4027"/>
      <c r="O4027"/>
      <c r="P4027"/>
      <c r="Q4027"/>
      <c r="R4027"/>
      <c r="S4027"/>
    </row>
    <row r="4028" spans="13:19" ht="13.95" customHeight="1">
      <c r="M4028"/>
      <c r="N4028"/>
      <c r="O4028"/>
      <c r="P4028"/>
      <c r="Q4028"/>
      <c r="R4028"/>
      <c r="S4028"/>
    </row>
    <row r="4029" spans="13:19" ht="13.95" customHeight="1">
      <c r="M4029"/>
      <c r="N4029"/>
      <c r="O4029"/>
      <c r="P4029"/>
      <c r="Q4029"/>
      <c r="R4029"/>
      <c r="S4029"/>
    </row>
    <row r="4030" spans="13:19" ht="13.95" customHeight="1">
      <c r="M4030"/>
      <c r="N4030"/>
      <c r="O4030"/>
      <c r="P4030"/>
      <c r="Q4030"/>
      <c r="R4030"/>
      <c r="S4030"/>
    </row>
    <row r="4031" spans="13:19" ht="13.95" customHeight="1">
      <c r="M4031"/>
      <c r="N4031"/>
      <c r="O4031"/>
      <c r="P4031"/>
      <c r="Q4031"/>
      <c r="R4031"/>
      <c r="S4031"/>
    </row>
    <row r="4032" spans="13:19" ht="13.95" customHeight="1">
      <c r="M4032"/>
      <c r="N4032"/>
      <c r="O4032"/>
      <c r="P4032"/>
      <c r="Q4032"/>
      <c r="R4032"/>
      <c r="S4032"/>
    </row>
    <row r="4033" spans="13:19" ht="13.95" customHeight="1">
      <c r="M4033"/>
      <c r="N4033"/>
      <c r="O4033"/>
      <c r="P4033"/>
      <c r="Q4033"/>
      <c r="R4033"/>
      <c r="S4033"/>
    </row>
    <row r="4034" spans="13:19" ht="13.95" customHeight="1">
      <c r="M4034"/>
      <c r="N4034"/>
      <c r="O4034"/>
      <c r="P4034"/>
      <c r="Q4034"/>
      <c r="R4034"/>
      <c r="S4034"/>
    </row>
    <row r="4035" spans="13:19" ht="13.95" customHeight="1">
      <c r="M4035"/>
      <c r="N4035"/>
      <c r="O4035"/>
      <c r="P4035"/>
      <c r="Q4035"/>
      <c r="R4035"/>
      <c r="S4035"/>
    </row>
    <row r="4036" spans="13:19" ht="13.95" customHeight="1">
      <c r="M4036"/>
      <c r="N4036"/>
      <c r="O4036"/>
      <c r="P4036"/>
      <c r="Q4036"/>
      <c r="R4036"/>
      <c r="S4036"/>
    </row>
    <row r="4037" spans="13:19" ht="13.95" customHeight="1">
      <c r="M4037"/>
      <c r="N4037"/>
      <c r="O4037"/>
      <c r="P4037"/>
      <c r="Q4037"/>
      <c r="R4037"/>
      <c r="S4037"/>
    </row>
    <row r="4038" spans="13:19" ht="13.95" customHeight="1">
      <c r="M4038"/>
      <c r="N4038"/>
      <c r="O4038"/>
      <c r="P4038"/>
      <c r="Q4038"/>
      <c r="R4038"/>
      <c r="S4038"/>
    </row>
    <row r="4039" spans="13:19" ht="13.95" customHeight="1">
      <c r="M4039"/>
      <c r="N4039"/>
      <c r="O4039"/>
      <c r="P4039"/>
      <c r="Q4039"/>
      <c r="R4039"/>
      <c r="S4039"/>
    </row>
    <row r="4040" spans="13:19" ht="13.95" customHeight="1">
      <c r="M4040"/>
      <c r="N4040"/>
      <c r="O4040"/>
      <c r="P4040"/>
      <c r="Q4040"/>
      <c r="R4040"/>
      <c r="S4040"/>
    </row>
    <row r="4041" spans="13:19" ht="13.95" customHeight="1">
      <c r="M4041"/>
      <c r="N4041"/>
      <c r="O4041"/>
      <c r="P4041"/>
      <c r="Q4041"/>
      <c r="R4041"/>
      <c r="S4041"/>
    </row>
    <row r="4042" spans="13:19" ht="13.95" customHeight="1">
      <c r="M4042"/>
      <c r="N4042"/>
      <c r="O4042"/>
      <c r="P4042"/>
      <c r="Q4042"/>
      <c r="R4042"/>
      <c r="S4042"/>
    </row>
    <row r="4043" spans="13:19" ht="13.95" customHeight="1">
      <c r="M4043"/>
      <c r="N4043"/>
      <c r="O4043"/>
      <c r="P4043"/>
      <c r="Q4043"/>
      <c r="R4043"/>
      <c r="S4043"/>
    </row>
    <row r="4044" spans="13:19" ht="13.95" customHeight="1">
      <c r="M4044"/>
      <c r="N4044"/>
      <c r="O4044"/>
      <c r="P4044"/>
      <c r="Q4044"/>
      <c r="R4044"/>
      <c r="S4044"/>
    </row>
    <row r="4045" spans="13:19" ht="13.95" customHeight="1">
      <c r="M4045"/>
      <c r="N4045"/>
      <c r="O4045"/>
      <c r="P4045"/>
      <c r="Q4045"/>
      <c r="R4045"/>
      <c r="S4045"/>
    </row>
    <row r="4046" spans="13:19" ht="13.95" customHeight="1">
      <c r="M4046"/>
      <c r="N4046"/>
      <c r="O4046"/>
      <c r="P4046"/>
      <c r="Q4046"/>
      <c r="R4046"/>
      <c r="S4046"/>
    </row>
    <row r="4047" spans="13:19" ht="13.95" customHeight="1">
      <c r="M4047"/>
      <c r="N4047"/>
      <c r="O4047"/>
      <c r="P4047"/>
      <c r="Q4047"/>
      <c r="R4047"/>
      <c r="S4047"/>
    </row>
    <row r="4048" spans="13:19" ht="13.95" customHeight="1">
      <c r="M4048"/>
      <c r="N4048"/>
      <c r="O4048"/>
      <c r="P4048"/>
      <c r="Q4048"/>
      <c r="R4048"/>
      <c r="S4048"/>
    </row>
    <row r="4049" spans="13:19" ht="13.95" customHeight="1">
      <c r="M4049"/>
      <c r="N4049"/>
      <c r="O4049"/>
      <c r="P4049"/>
      <c r="Q4049"/>
      <c r="R4049"/>
      <c r="S4049"/>
    </row>
    <row r="4050" spans="13:19" ht="13.95" customHeight="1">
      <c r="M4050"/>
      <c r="N4050"/>
      <c r="O4050"/>
      <c r="P4050"/>
      <c r="Q4050"/>
      <c r="R4050"/>
      <c r="S4050"/>
    </row>
    <row r="4051" spans="13:19" ht="13.95" customHeight="1">
      <c r="M4051"/>
      <c r="N4051"/>
      <c r="O4051"/>
      <c r="P4051"/>
      <c r="Q4051"/>
      <c r="R4051"/>
      <c r="S4051"/>
    </row>
    <row r="4052" spans="13:19" ht="13.95" customHeight="1">
      <c r="M4052"/>
      <c r="N4052"/>
      <c r="O4052"/>
      <c r="P4052"/>
      <c r="Q4052"/>
      <c r="R4052"/>
      <c r="S4052"/>
    </row>
    <row r="4053" spans="13:19" ht="13.95" customHeight="1">
      <c r="M4053"/>
      <c r="N4053"/>
      <c r="O4053"/>
      <c r="P4053"/>
      <c r="Q4053"/>
      <c r="R4053"/>
      <c r="S4053"/>
    </row>
    <row r="4054" spans="13:19" ht="13.95" customHeight="1">
      <c r="M4054"/>
      <c r="N4054"/>
      <c r="O4054"/>
      <c r="P4054"/>
      <c r="Q4054"/>
      <c r="R4054"/>
      <c r="S4054"/>
    </row>
    <row r="4055" spans="13:19" ht="13.95" customHeight="1">
      <c r="M4055"/>
      <c r="N4055"/>
      <c r="O4055"/>
      <c r="P4055"/>
      <c r="Q4055"/>
      <c r="R4055"/>
      <c r="S4055"/>
    </row>
    <row r="4056" spans="13:19" ht="13.95" customHeight="1">
      <c r="M4056"/>
      <c r="N4056"/>
      <c r="O4056"/>
      <c r="P4056"/>
      <c r="Q4056"/>
      <c r="R4056"/>
      <c r="S4056"/>
    </row>
    <row r="4057" spans="13:19" ht="13.95" customHeight="1">
      <c r="M4057"/>
      <c r="N4057"/>
      <c r="O4057"/>
      <c r="P4057"/>
      <c r="Q4057"/>
      <c r="R4057"/>
      <c r="S4057"/>
    </row>
    <row r="4058" spans="13:19" ht="13.95" customHeight="1">
      <c r="M4058"/>
      <c r="N4058"/>
      <c r="O4058"/>
      <c r="P4058"/>
      <c r="Q4058"/>
      <c r="R4058"/>
      <c r="S4058"/>
    </row>
    <row r="4059" spans="13:19" ht="13.95" customHeight="1">
      <c r="M4059"/>
      <c r="N4059"/>
      <c r="O4059"/>
      <c r="P4059"/>
      <c r="Q4059"/>
      <c r="R4059"/>
      <c r="S4059"/>
    </row>
    <row r="4060" spans="13:19" ht="13.95" customHeight="1">
      <c r="M4060"/>
      <c r="N4060"/>
      <c r="O4060"/>
      <c r="P4060"/>
      <c r="Q4060"/>
      <c r="R4060"/>
      <c r="S4060"/>
    </row>
    <row r="4061" spans="13:19" ht="13.95" customHeight="1">
      <c r="M4061"/>
      <c r="N4061"/>
      <c r="O4061"/>
      <c r="P4061"/>
      <c r="Q4061"/>
      <c r="R4061"/>
      <c r="S4061"/>
    </row>
    <row r="4062" spans="13:19" ht="13.95" customHeight="1">
      <c r="M4062"/>
      <c r="N4062"/>
      <c r="O4062"/>
      <c r="P4062"/>
      <c r="Q4062"/>
      <c r="R4062"/>
      <c r="S4062"/>
    </row>
    <row r="4063" spans="13:19" ht="13.95" customHeight="1">
      <c r="M4063"/>
      <c r="N4063"/>
      <c r="O4063"/>
      <c r="P4063"/>
      <c r="Q4063"/>
      <c r="R4063"/>
      <c r="S4063"/>
    </row>
    <row r="4064" spans="13:19" ht="13.95" customHeight="1">
      <c r="M4064"/>
      <c r="N4064"/>
      <c r="O4064"/>
      <c r="P4064"/>
      <c r="Q4064"/>
      <c r="R4064"/>
      <c r="S4064"/>
    </row>
    <row r="4065" spans="13:19" ht="13.95" customHeight="1">
      <c r="M4065"/>
      <c r="N4065"/>
      <c r="O4065"/>
      <c r="P4065"/>
      <c r="Q4065"/>
      <c r="R4065"/>
      <c r="S4065"/>
    </row>
    <row r="4066" spans="13:19" ht="13.95" customHeight="1">
      <c r="M4066"/>
      <c r="N4066"/>
      <c r="O4066"/>
      <c r="P4066"/>
      <c r="Q4066"/>
      <c r="R4066"/>
      <c r="S4066"/>
    </row>
    <row r="4067" spans="13:19" ht="13.95" customHeight="1">
      <c r="M4067"/>
      <c r="N4067"/>
      <c r="O4067"/>
      <c r="P4067"/>
      <c r="Q4067"/>
      <c r="R4067"/>
      <c r="S4067"/>
    </row>
    <row r="4068" spans="13:19" ht="13.95" customHeight="1">
      <c r="M4068"/>
      <c r="N4068"/>
      <c r="O4068"/>
      <c r="P4068"/>
      <c r="Q4068"/>
      <c r="R4068"/>
      <c r="S4068"/>
    </row>
    <row r="4069" spans="13:19" ht="13.95" customHeight="1">
      <c r="M4069"/>
      <c r="N4069"/>
      <c r="O4069"/>
      <c r="P4069"/>
      <c r="Q4069"/>
      <c r="R4069"/>
      <c r="S4069"/>
    </row>
    <row r="4070" spans="13:19" ht="13.95" customHeight="1">
      <c r="M4070"/>
      <c r="N4070"/>
      <c r="O4070"/>
      <c r="P4070"/>
      <c r="Q4070"/>
      <c r="R4070"/>
      <c r="S4070"/>
    </row>
    <row r="4071" spans="13:19" ht="13.95" customHeight="1">
      <c r="M4071"/>
      <c r="N4071"/>
      <c r="O4071"/>
      <c r="P4071"/>
      <c r="Q4071"/>
      <c r="R4071"/>
      <c r="S4071"/>
    </row>
    <row r="4072" spans="13:19" ht="13.95" customHeight="1">
      <c r="M4072"/>
      <c r="N4072"/>
      <c r="O4072"/>
      <c r="P4072"/>
      <c r="Q4072"/>
      <c r="R4072"/>
      <c r="S4072"/>
    </row>
    <row r="4073" spans="13:19" ht="13.95" customHeight="1">
      <c r="M4073"/>
      <c r="N4073"/>
      <c r="O4073"/>
      <c r="P4073"/>
      <c r="Q4073"/>
      <c r="R4073"/>
      <c r="S4073"/>
    </row>
    <row r="4074" spans="13:19" ht="13.95" customHeight="1">
      <c r="M4074"/>
      <c r="N4074"/>
      <c r="O4074"/>
      <c r="P4074"/>
      <c r="Q4074"/>
      <c r="R4074"/>
      <c r="S4074"/>
    </row>
    <row r="4075" spans="13:19" ht="13.95" customHeight="1">
      <c r="M4075"/>
      <c r="N4075"/>
      <c r="O4075"/>
      <c r="P4075"/>
      <c r="Q4075"/>
      <c r="R4075"/>
      <c r="S4075"/>
    </row>
    <row r="4076" spans="13:19" ht="13.95" customHeight="1">
      <c r="M4076"/>
      <c r="N4076"/>
      <c r="O4076"/>
      <c r="P4076"/>
      <c r="Q4076"/>
      <c r="R4076"/>
      <c r="S4076"/>
    </row>
    <row r="4077" spans="13:19" ht="13.95" customHeight="1">
      <c r="M4077"/>
      <c r="N4077"/>
      <c r="O4077"/>
      <c r="P4077"/>
      <c r="Q4077"/>
      <c r="R4077"/>
      <c r="S4077"/>
    </row>
    <row r="4078" spans="13:19" ht="13.95" customHeight="1">
      <c r="M4078"/>
      <c r="N4078"/>
      <c r="O4078"/>
      <c r="P4078"/>
      <c r="Q4078"/>
      <c r="R4078"/>
      <c r="S4078"/>
    </row>
    <row r="4079" spans="13:19" ht="13.95" customHeight="1">
      <c r="M4079"/>
      <c r="N4079"/>
      <c r="O4079"/>
      <c r="P4079"/>
      <c r="Q4079"/>
      <c r="R4079"/>
      <c r="S4079"/>
    </row>
    <row r="4080" spans="13:19" ht="13.95" customHeight="1">
      <c r="M4080"/>
      <c r="N4080"/>
      <c r="O4080"/>
      <c r="P4080"/>
      <c r="Q4080"/>
      <c r="R4080"/>
      <c r="S4080"/>
    </row>
    <row r="4081" spans="13:19" ht="13.95" customHeight="1">
      <c r="M4081"/>
      <c r="N4081"/>
      <c r="O4081"/>
      <c r="P4081"/>
      <c r="Q4081"/>
      <c r="R4081"/>
      <c r="S4081"/>
    </row>
    <row r="4082" spans="13:19" ht="13.95" customHeight="1">
      <c r="M4082"/>
      <c r="N4082"/>
      <c r="O4082"/>
      <c r="P4082"/>
      <c r="Q4082"/>
      <c r="R4082"/>
      <c r="S4082"/>
    </row>
    <row r="4083" spans="13:19" ht="13.95" customHeight="1">
      <c r="M4083"/>
      <c r="N4083"/>
      <c r="O4083"/>
      <c r="P4083"/>
      <c r="Q4083"/>
      <c r="R4083"/>
      <c r="S4083"/>
    </row>
    <row r="4084" spans="13:19" ht="13.95" customHeight="1">
      <c r="M4084"/>
      <c r="N4084"/>
      <c r="O4084"/>
      <c r="P4084"/>
      <c r="Q4084"/>
      <c r="R4084"/>
      <c r="S4084"/>
    </row>
    <row r="4085" spans="13:19" ht="13.95" customHeight="1">
      <c r="M4085"/>
      <c r="N4085"/>
      <c r="O4085"/>
      <c r="P4085"/>
      <c r="Q4085"/>
      <c r="R4085"/>
      <c r="S4085"/>
    </row>
    <row r="4086" spans="13:19" ht="13.95" customHeight="1">
      <c r="M4086"/>
      <c r="N4086"/>
      <c r="O4086"/>
      <c r="P4086"/>
      <c r="Q4086"/>
      <c r="R4086"/>
      <c r="S4086"/>
    </row>
    <row r="4087" spans="13:19" ht="13.95" customHeight="1">
      <c r="M4087"/>
      <c r="N4087"/>
      <c r="O4087"/>
      <c r="P4087"/>
      <c r="Q4087"/>
      <c r="R4087"/>
      <c r="S4087"/>
    </row>
    <row r="4088" spans="13:19" ht="13.95" customHeight="1">
      <c r="M4088"/>
      <c r="N4088"/>
      <c r="O4088"/>
      <c r="P4088"/>
      <c r="Q4088"/>
      <c r="R4088"/>
      <c r="S4088"/>
    </row>
    <row r="4089" spans="13:19" ht="13.95" customHeight="1">
      <c r="M4089"/>
      <c r="N4089"/>
      <c r="O4089"/>
      <c r="P4089"/>
      <c r="Q4089"/>
      <c r="R4089"/>
      <c r="S4089"/>
    </row>
    <row r="4090" spans="13:19" ht="13.95" customHeight="1">
      <c r="M4090"/>
      <c r="N4090"/>
      <c r="O4090"/>
      <c r="P4090"/>
      <c r="Q4090"/>
      <c r="R4090"/>
      <c r="S4090"/>
    </row>
    <row r="4091" spans="13:19" ht="13.95" customHeight="1">
      <c r="M4091"/>
      <c r="N4091"/>
      <c r="O4091"/>
      <c r="P4091"/>
      <c r="Q4091"/>
      <c r="R4091"/>
      <c r="S4091"/>
    </row>
    <row r="4092" spans="13:19" ht="13.95" customHeight="1">
      <c r="M4092"/>
      <c r="N4092"/>
      <c r="O4092"/>
      <c r="P4092"/>
      <c r="Q4092"/>
      <c r="R4092"/>
      <c r="S4092"/>
    </row>
    <row r="4093" spans="13:19" ht="13.95" customHeight="1">
      <c r="M4093"/>
      <c r="N4093"/>
      <c r="O4093"/>
      <c r="P4093"/>
      <c r="Q4093"/>
      <c r="R4093"/>
      <c r="S4093"/>
    </row>
    <row r="4094" spans="13:19" ht="13.95" customHeight="1">
      <c r="M4094"/>
      <c r="N4094"/>
      <c r="O4094"/>
      <c r="P4094"/>
      <c r="Q4094"/>
      <c r="R4094"/>
      <c r="S4094"/>
    </row>
    <row r="4095" spans="13:19" ht="13.95" customHeight="1">
      <c r="M4095"/>
      <c r="N4095"/>
      <c r="O4095"/>
      <c r="P4095"/>
      <c r="Q4095"/>
      <c r="R4095"/>
      <c r="S4095"/>
    </row>
    <row r="4096" spans="13:19" ht="13.95" customHeight="1">
      <c r="M4096"/>
      <c r="N4096"/>
      <c r="O4096"/>
      <c r="P4096"/>
      <c r="Q4096"/>
      <c r="R4096"/>
      <c r="S4096"/>
    </row>
    <row r="4097" spans="13:19" ht="13.95" customHeight="1">
      <c r="M4097"/>
      <c r="N4097"/>
      <c r="O4097"/>
      <c r="P4097"/>
      <c r="Q4097"/>
      <c r="R4097"/>
      <c r="S4097"/>
    </row>
    <row r="4098" spans="13:19" ht="13.95" customHeight="1">
      <c r="M4098"/>
      <c r="N4098"/>
      <c r="O4098"/>
      <c r="P4098"/>
      <c r="Q4098"/>
      <c r="R4098"/>
      <c r="S4098"/>
    </row>
    <row r="4099" spans="13:19" ht="13.95" customHeight="1">
      <c r="M4099"/>
      <c r="N4099"/>
      <c r="O4099"/>
      <c r="P4099"/>
      <c r="Q4099"/>
      <c r="R4099"/>
      <c r="S4099"/>
    </row>
    <row r="4100" spans="13:19" ht="13.95" customHeight="1">
      <c r="M4100"/>
      <c r="N4100"/>
      <c r="O4100"/>
      <c r="P4100"/>
      <c r="Q4100"/>
      <c r="R4100"/>
      <c r="S4100"/>
    </row>
    <row r="4101" spans="13:19" ht="13.95" customHeight="1">
      <c r="M4101"/>
      <c r="N4101"/>
      <c r="O4101"/>
      <c r="P4101"/>
      <c r="Q4101"/>
      <c r="R4101"/>
      <c r="S4101"/>
    </row>
    <row r="4102" spans="13:19" ht="13.95" customHeight="1">
      <c r="M4102"/>
      <c r="N4102"/>
      <c r="O4102"/>
      <c r="P4102"/>
      <c r="Q4102"/>
      <c r="R4102"/>
      <c r="S4102"/>
    </row>
    <row r="4103" spans="13:19" ht="13.95" customHeight="1">
      <c r="M4103"/>
      <c r="N4103"/>
      <c r="O4103"/>
      <c r="P4103"/>
      <c r="Q4103"/>
      <c r="R4103"/>
      <c r="S4103"/>
    </row>
    <row r="4104" spans="13:19" ht="13.95" customHeight="1">
      <c r="M4104"/>
      <c r="N4104"/>
      <c r="O4104"/>
      <c r="P4104"/>
      <c r="Q4104"/>
      <c r="R4104"/>
      <c r="S4104"/>
    </row>
    <row r="4105" spans="13:19" ht="13.95" customHeight="1">
      <c r="M4105"/>
      <c r="N4105"/>
      <c r="O4105"/>
      <c r="P4105"/>
      <c r="Q4105"/>
      <c r="R4105"/>
      <c r="S4105"/>
    </row>
    <row r="4106" spans="13:19" ht="13.95" customHeight="1">
      <c r="M4106"/>
      <c r="N4106"/>
      <c r="O4106"/>
      <c r="P4106"/>
      <c r="Q4106"/>
      <c r="R4106"/>
      <c r="S4106"/>
    </row>
    <row r="4107" spans="13:19" ht="13.95" customHeight="1">
      <c r="M4107"/>
      <c r="N4107"/>
      <c r="O4107"/>
      <c r="P4107"/>
      <c r="Q4107"/>
      <c r="R4107"/>
      <c r="S4107"/>
    </row>
    <row r="4108" spans="13:19" ht="13.95" customHeight="1">
      <c r="M4108"/>
      <c r="N4108"/>
      <c r="O4108"/>
      <c r="P4108"/>
      <c r="Q4108"/>
      <c r="R4108"/>
      <c r="S4108"/>
    </row>
    <row r="4109" spans="13:19" ht="13.95" customHeight="1">
      <c r="M4109"/>
      <c r="N4109"/>
      <c r="O4109"/>
      <c r="P4109"/>
      <c r="Q4109"/>
      <c r="R4109"/>
      <c r="S4109"/>
    </row>
    <row r="4110" spans="13:19" ht="13.95" customHeight="1">
      <c r="M4110"/>
      <c r="N4110"/>
      <c r="O4110"/>
      <c r="P4110"/>
      <c r="Q4110"/>
      <c r="R4110"/>
      <c r="S4110"/>
    </row>
    <row r="4111" spans="13:19" ht="13.95" customHeight="1">
      <c r="M4111"/>
      <c r="N4111"/>
      <c r="O4111"/>
      <c r="P4111"/>
      <c r="Q4111"/>
      <c r="R4111"/>
      <c r="S4111"/>
    </row>
    <row r="4112" spans="13:19" ht="13.95" customHeight="1">
      <c r="M4112"/>
      <c r="N4112"/>
      <c r="O4112"/>
      <c r="P4112"/>
      <c r="Q4112"/>
      <c r="R4112"/>
      <c r="S4112"/>
    </row>
    <row r="4113" spans="13:19" ht="13.95" customHeight="1">
      <c r="M4113"/>
      <c r="N4113"/>
      <c r="O4113"/>
      <c r="P4113"/>
      <c r="Q4113"/>
      <c r="R4113"/>
      <c r="S4113"/>
    </row>
    <row r="4114" spans="13:19" ht="13.95" customHeight="1">
      <c r="M4114"/>
      <c r="N4114"/>
      <c r="O4114"/>
      <c r="P4114"/>
      <c r="Q4114"/>
      <c r="R4114"/>
      <c r="S4114"/>
    </row>
    <row r="4115" spans="13:19" ht="13.95" customHeight="1">
      <c r="M4115"/>
      <c r="N4115"/>
      <c r="O4115"/>
      <c r="P4115"/>
      <c r="Q4115"/>
      <c r="R4115"/>
      <c r="S4115"/>
    </row>
    <row r="4116" spans="13:19" ht="13.95" customHeight="1">
      <c r="M4116"/>
      <c r="N4116"/>
      <c r="O4116"/>
      <c r="P4116"/>
      <c r="Q4116"/>
      <c r="R4116"/>
      <c r="S4116"/>
    </row>
    <row r="4117" spans="13:19" ht="13.95" customHeight="1">
      <c r="M4117"/>
      <c r="N4117"/>
      <c r="O4117"/>
      <c r="P4117"/>
      <c r="Q4117"/>
      <c r="R4117"/>
      <c r="S4117"/>
    </row>
    <row r="4118" spans="13:19" ht="13.95" customHeight="1">
      <c r="M4118"/>
      <c r="N4118"/>
      <c r="O4118"/>
      <c r="P4118"/>
      <c r="Q4118"/>
      <c r="R4118"/>
      <c r="S4118"/>
    </row>
    <row r="4119" spans="13:19" ht="13.95" customHeight="1">
      <c r="M4119"/>
      <c r="N4119"/>
      <c r="O4119"/>
      <c r="P4119"/>
      <c r="Q4119"/>
      <c r="R4119"/>
      <c r="S4119"/>
    </row>
    <row r="4120" spans="13:19" ht="13.95" customHeight="1">
      <c r="M4120"/>
      <c r="N4120"/>
      <c r="O4120"/>
      <c r="P4120"/>
      <c r="Q4120"/>
      <c r="R4120"/>
      <c r="S4120"/>
    </row>
    <row r="4121" spans="13:19" ht="13.95" customHeight="1">
      <c r="M4121"/>
      <c r="N4121"/>
      <c r="O4121"/>
      <c r="P4121"/>
      <c r="Q4121"/>
      <c r="R4121"/>
      <c r="S4121"/>
    </row>
    <row r="4122" spans="13:19" ht="13.95" customHeight="1">
      <c r="M4122"/>
      <c r="N4122"/>
      <c r="O4122"/>
      <c r="P4122"/>
      <c r="Q4122"/>
      <c r="R4122"/>
      <c r="S4122"/>
    </row>
    <row r="4123" spans="13:19" ht="13.95" customHeight="1">
      <c r="M4123"/>
      <c r="N4123"/>
      <c r="O4123"/>
      <c r="P4123"/>
      <c r="Q4123"/>
      <c r="R4123"/>
      <c r="S4123"/>
    </row>
    <row r="4124" spans="13:19" ht="13.95" customHeight="1">
      <c r="M4124"/>
      <c r="N4124"/>
      <c r="O4124"/>
      <c r="P4124"/>
      <c r="Q4124"/>
      <c r="R4124"/>
      <c r="S4124"/>
    </row>
    <row r="4125" spans="13:19" ht="13.95" customHeight="1">
      <c r="M4125"/>
      <c r="N4125"/>
      <c r="O4125"/>
      <c r="P4125"/>
      <c r="Q4125"/>
      <c r="R4125"/>
      <c r="S4125"/>
    </row>
    <row r="4126" spans="13:19" ht="13.95" customHeight="1">
      <c r="M4126"/>
      <c r="N4126"/>
      <c r="O4126"/>
      <c r="P4126"/>
      <c r="Q4126"/>
      <c r="R4126"/>
      <c r="S4126"/>
    </row>
    <row r="4127" spans="13:19" ht="13.95" customHeight="1">
      <c r="M4127"/>
      <c r="N4127"/>
      <c r="O4127"/>
      <c r="P4127"/>
      <c r="Q4127"/>
      <c r="R4127"/>
      <c r="S4127"/>
    </row>
    <row r="4128" spans="13:19" ht="13.95" customHeight="1">
      <c r="M4128"/>
      <c r="N4128"/>
      <c r="O4128"/>
      <c r="P4128"/>
      <c r="Q4128"/>
      <c r="R4128"/>
      <c r="S4128"/>
    </row>
    <row r="4129" spans="13:19" ht="13.95" customHeight="1">
      <c r="M4129"/>
      <c r="N4129"/>
      <c r="O4129"/>
      <c r="P4129"/>
      <c r="Q4129"/>
      <c r="R4129"/>
      <c r="S4129"/>
    </row>
    <row r="4130" spans="13:19" ht="13.95" customHeight="1">
      <c r="M4130"/>
      <c r="N4130"/>
      <c r="O4130"/>
      <c r="P4130"/>
      <c r="Q4130"/>
      <c r="R4130"/>
      <c r="S4130"/>
    </row>
    <row r="4131" spans="13:19" ht="13.95" customHeight="1">
      <c r="M4131"/>
      <c r="N4131"/>
      <c r="O4131"/>
      <c r="P4131"/>
      <c r="Q4131"/>
      <c r="R4131"/>
      <c r="S4131"/>
    </row>
    <row r="4132" spans="13:19" ht="13.95" customHeight="1">
      <c r="M4132"/>
      <c r="N4132"/>
      <c r="O4132"/>
      <c r="P4132"/>
      <c r="Q4132"/>
      <c r="R4132"/>
      <c r="S4132"/>
    </row>
    <row r="4133" spans="13:19" ht="13.95" customHeight="1">
      <c r="M4133"/>
      <c r="N4133"/>
      <c r="O4133"/>
      <c r="P4133"/>
      <c r="Q4133"/>
      <c r="R4133"/>
      <c r="S4133"/>
    </row>
    <row r="4134" spans="13:19" ht="13.95" customHeight="1">
      <c r="M4134"/>
      <c r="N4134"/>
      <c r="O4134"/>
      <c r="P4134"/>
      <c r="Q4134"/>
      <c r="R4134"/>
      <c r="S4134"/>
    </row>
    <row r="4135" spans="13:19" ht="13.95" customHeight="1">
      <c r="M4135"/>
      <c r="N4135"/>
      <c r="O4135"/>
      <c r="P4135"/>
      <c r="Q4135"/>
      <c r="R4135"/>
      <c r="S4135"/>
    </row>
    <row r="4136" spans="13:19" ht="13.95" customHeight="1">
      <c r="M4136"/>
      <c r="N4136"/>
      <c r="O4136"/>
      <c r="P4136"/>
      <c r="Q4136"/>
      <c r="R4136"/>
      <c r="S4136"/>
    </row>
    <row r="4137" spans="13:19" ht="13.95" customHeight="1">
      <c r="M4137"/>
      <c r="N4137"/>
      <c r="O4137"/>
      <c r="P4137"/>
      <c r="Q4137"/>
      <c r="R4137"/>
      <c r="S4137"/>
    </row>
    <row r="4138" spans="13:19" ht="13.95" customHeight="1">
      <c r="M4138"/>
      <c r="N4138"/>
      <c r="O4138"/>
      <c r="P4138"/>
      <c r="Q4138"/>
      <c r="R4138"/>
      <c r="S4138"/>
    </row>
    <row r="4139" spans="13:19" ht="13.95" customHeight="1">
      <c r="M4139"/>
      <c r="N4139"/>
      <c r="O4139"/>
      <c r="P4139"/>
      <c r="Q4139"/>
      <c r="R4139"/>
      <c r="S4139"/>
    </row>
    <row r="4140" spans="13:19" ht="13.95" customHeight="1">
      <c r="M4140"/>
      <c r="N4140"/>
      <c r="O4140"/>
      <c r="P4140"/>
      <c r="Q4140"/>
      <c r="R4140"/>
      <c r="S4140"/>
    </row>
    <row r="4141" spans="13:19" ht="13.95" customHeight="1">
      <c r="M4141"/>
      <c r="N4141"/>
      <c r="O4141"/>
      <c r="P4141"/>
      <c r="Q4141"/>
      <c r="R4141"/>
      <c r="S4141"/>
    </row>
    <row r="4142" spans="13:19" ht="13.95" customHeight="1">
      <c r="M4142"/>
      <c r="N4142"/>
      <c r="O4142"/>
      <c r="P4142"/>
      <c r="Q4142"/>
      <c r="R4142"/>
      <c r="S4142"/>
    </row>
    <row r="4143" spans="13:19" ht="13.95" customHeight="1">
      <c r="M4143"/>
      <c r="N4143"/>
      <c r="O4143"/>
      <c r="P4143"/>
      <c r="Q4143"/>
      <c r="R4143"/>
      <c r="S4143"/>
    </row>
    <row r="4144" spans="13:19" ht="13.95" customHeight="1">
      <c r="M4144"/>
      <c r="N4144"/>
      <c r="O4144"/>
      <c r="P4144"/>
      <c r="Q4144"/>
      <c r="R4144"/>
      <c r="S4144"/>
    </row>
    <row r="4145" spans="13:19" ht="13.95" customHeight="1">
      <c r="M4145"/>
      <c r="N4145"/>
      <c r="O4145"/>
      <c r="P4145"/>
      <c r="Q4145"/>
      <c r="R4145"/>
      <c r="S4145"/>
    </row>
    <row r="4146" spans="13:19" ht="13.95" customHeight="1">
      <c r="M4146"/>
      <c r="N4146"/>
      <c r="O4146"/>
      <c r="P4146"/>
      <c r="Q4146"/>
      <c r="R4146"/>
      <c r="S4146"/>
    </row>
    <row r="4147" spans="13:19" ht="13.95" customHeight="1">
      <c r="M4147"/>
      <c r="N4147"/>
      <c r="O4147"/>
      <c r="P4147"/>
      <c r="Q4147"/>
      <c r="R4147"/>
      <c r="S4147"/>
    </row>
    <row r="4148" spans="13:19" ht="13.95" customHeight="1">
      <c r="M4148"/>
      <c r="N4148"/>
      <c r="O4148"/>
      <c r="P4148"/>
      <c r="Q4148"/>
      <c r="R4148"/>
      <c r="S4148"/>
    </row>
    <row r="4149" spans="13:19" ht="13.95" customHeight="1">
      <c r="M4149"/>
      <c r="N4149"/>
      <c r="O4149"/>
      <c r="P4149"/>
      <c r="Q4149"/>
      <c r="R4149"/>
      <c r="S4149"/>
    </row>
    <row r="4150" spans="13:19" ht="13.95" customHeight="1">
      <c r="M4150"/>
      <c r="N4150"/>
      <c r="O4150"/>
      <c r="P4150"/>
      <c r="Q4150"/>
      <c r="R4150"/>
      <c r="S4150"/>
    </row>
    <row r="4151" spans="13:19" ht="13.95" customHeight="1">
      <c r="M4151"/>
      <c r="N4151"/>
      <c r="O4151"/>
      <c r="P4151"/>
      <c r="Q4151"/>
      <c r="R4151"/>
      <c r="S4151"/>
    </row>
    <row r="4152" spans="13:19" ht="13.95" customHeight="1">
      <c r="M4152"/>
      <c r="N4152"/>
      <c r="O4152"/>
      <c r="P4152"/>
      <c r="Q4152"/>
      <c r="R4152"/>
      <c r="S4152"/>
    </row>
    <row r="4153" spans="13:19" ht="13.95" customHeight="1">
      <c r="M4153"/>
      <c r="N4153"/>
      <c r="O4153"/>
      <c r="P4153"/>
      <c r="Q4153"/>
      <c r="R4153"/>
      <c r="S4153"/>
    </row>
    <row r="4154" spans="13:19" ht="13.95" customHeight="1">
      <c r="M4154"/>
      <c r="N4154"/>
      <c r="O4154"/>
      <c r="P4154"/>
      <c r="Q4154"/>
      <c r="R4154"/>
      <c r="S4154"/>
    </row>
    <row r="4155" spans="13:19" ht="13.95" customHeight="1">
      <c r="M4155"/>
      <c r="N4155"/>
      <c r="O4155"/>
      <c r="P4155"/>
      <c r="Q4155"/>
      <c r="R4155"/>
      <c r="S4155"/>
    </row>
    <row r="4156" spans="13:19" ht="13.95" customHeight="1">
      <c r="M4156"/>
      <c r="N4156"/>
      <c r="O4156"/>
      <c r="P4156"/>
      <c r="Q4156"/>
      <c r="R4156"/>
      <c r="S4156"/>
    </row>
    <row r="4157" spans="13:19" ht="13.95" customHeight="1">
      <c r="M4157"/>
      <c r="N4157"/>
      <c r="O4157"/>
      <c r="P4157"/>
      <c r="Q4157"/>
      <c r="R4157"/>
      <c r="S4157"/>
    </row>
    <row r="4158" spans="13:19" ht="13.95" customHeight="1">
      <c r="M4158"/>
      <c r="N4158"/>
      <c r="O4158"/>
      <c r="P4158"/>
      <c r="Q4158"/>
      <c r="R4158"/>
      <c r="S4158"/>
    </row>
    <row r="4159" spans="13:19" ht="13.95" customHeight="1">
      <c r="M4159"/>
      <c r="N4159"/>
      <c r="O4159"/>
      <c r="P4159"/>
      <c r="Q4159"/>
      <c r="R4159"/>
      <c r="S4159"/>
    </row>
    <row r="4160" spans="13:19" ht="13.95" customHeight="1">
      <c r="M4160"/>
      <c r="N4160"/>
      <c r="O4160"/>
      <c r="P4160"/>
      <c r="Q4160"/>
      <c r="R4160"/>
      <c r="S4160"/>
    </row>
    <row r="4161" spans="13:19" ht="13.95" customHeight="1">
      <c r="M4161"/>
      <c r="N4161"/>
      <c r="O4161"/>
      <c r="P4161"/>
      <c r="Q4161"/>
      <c r="R4161"/>
      <c r="S4161"/>
    </row>
    <row r="4162" spans="13:19" ht="13.95" customHeight="1">
      <c r="M4162"/>
      <c r="N4162"/>
      <c r="O4162"/>
      <c r="P4162"/>
      <c r="Q4162"/>
      <c r="R4162"/>
      <c r="S4162"/>
    </row>
    <row r="4163" spans="13:19" ht="13.95" customHeight="1">
      <c r="M4163"/>
      <c r="N4163"/>
      <c r="O4163"/>
      <c r="P4163"/>
      <c r="Q4163"/>
      <c r="R4163"/>
      <c r="S4163"/>
    </row>
    <row r="4164" spans="13:19" ht="13.95" customHeight="1">
      <c r="M4164"/>
      <c r="N4164"/>
      <c r="O4164"/>
      <c r="P4164"/>
      <c r="Q4164"/>
      <c r="R4164"/>
      <c r="S4164"/>
    </row>
    <row r="4165" spans="13:19" ht="13.95" customHeight="1">
      <c r="M4165"/>
      <c r="N4165"/>
      <c r="O4165"/>
      <c r="P4165"/>
      <c r="Q4165"/>
      <c r="R4165"/>
      <c r="S4165"/>
    </row>
    <row r="4166" spans="13:19" ht="13.95" customHeight="1">
      <c r="M4166"/>
      <c r="N4166"/>
      <c r="O4166"/>
      <c r="P4166"/>
      <c r="Q4166"/>
      <c r="R4166"/>
      <c r="S4166"/>
    </row>
    <row r="4167" spans="13:19" ht="13.95" customHeight="1">
      <c r="M4167"/>
      <c r="N4167"/>
      <c r="O4167"/>
      <c r="P4167"/>
      <c r="Q4167"/>
      <c r="R4167"/>
      <c r="S4167"/>
    </row>
    <row r="4168" spans="13:19" ht="13.95" customHeight="1">
      <c r="M4168"/>
      <c r="N4168"/>
      <c r="O4168"/>
      <c r="P4168"/>
      <c r="Q4168"/>
      <c r="R4168"/>
      <c r="S4168"/>
    </row>
    <row r="4169" spans="13:19" ht="13.95" customHeight="1">
      <c r="M4169"/>
      <c r="N4169"/>
      <c r="O4169"/>
      <c r="P4169"/>
      <c r="Q4169"/>
      <c r="R4169"/>
      <c r="S4169"/>
    </row>
    <row r="4170" spans="13:19" ht="13.95" customHeight="1">
      <c r="M4170"/>
      <c r="N4170"/>
      <c r="O4170"/>
      <c r="P4170"/>
      <c r="Q4170"/>
      <c r="R4170"/>
      <c r="S4170"/>
    </row>
    <row r="4171" spans="13:19" ht="13.95" customHeight="1">
      <c r="M4171"/>
      <c r="N4171"/>
      <c r="O4171"/>
      <c r="P4171"/>
      <c r="Q4171"/>
      <c r="R4171"/>
      <c r="S4171"/>
    </row>
    <row r="4172" spans="13:19" ht="13.95" customHeight="1">
      <c r="M4172"/>
      <c r="N4172"/>
      <c r="O4172"/>
      <c r="P4172"/>
      <c r="Q4172"/>
      <c r="R4172"/>
      <c r="S4172"/>
    </row>
    <row r="4173" spans="13:19" ht="13.95" customHeight="1">
      <c r="M4173"/>
      <c r="N4173"/>
      <c r="O4173"/>
      <c r="P4173"/>
      <c r="Q4173"/>
      <c r="R4173"/>
      <c r="S4173"/>
    </row>
    <row r="4174" spans="13:19" ht="13.95" customHeight="1">
      <c r="M4174"/>
      <c r="N4174"/>
      <c r="O4174"/>
      <c r="P4174"/>
      <c r="Q4174"/>
      <c r="R4174"/>
      <c r="S4174"/>
    </row>
    <row r="4175" spans="13:19" ht="13.95" customHeight="1">
      <c r="M4175"/>
      <c r="N4175"/>
      <c r="O4175"/>
      <c r="P4175"/>
      <c r="Q4175"/>
      <c r="R4175"/>
      <c r="S4175"/>
    </row>
    <row r="4176" spans="13:19" ht="13.95" customHeight="1">
      <c r="M4176"/>
      <c r="N4176"/>
      <c r="O4176"/>
      <c r="P4176"/>
      <c r="Q4176"/>
      <c r="R4176"/>
      <c r="S4176"/>
    </row>
    <row r="4177" spans="13:19" ht="13.95" customHeight="1">
      <c r="M4177"/>
      <c r="N4177"/>
      <c r="O4177"/>
      <c r="P4177"/>
      <c r="Q4177"/>
      <c r="R4177"/>
      <c r="S4177"/>
    </row>
    <row r="4178" spans="13:19" ht="13.95" customHeight="1">
      <c r="M4178"/>
      <c r="N4178"/>
      <c r="O4178"/>
      <c r="P4178"/>
      <c r="Q4178"/>
      <c r="R4178"/>
      <c r="S4178"/>
    </row>
    <row r="4179" spans="13:19" ht="13.95" customHeight="1">
      <c r="M4179"/>
      <c r="N4179"/>
      <c r="O4179"/>
      <c r="P4179"/>
      <c r="Q4179"/>
      <c r="R4179"/>
      <c r="S4179"/>
    </row>
    <row r="4180" spans="13:19" ht="13.95" customHeight="1">
      <c r="M4180"/>
      <c r="N4180"/>
      <c r="O4180"/>
      <c r="P4180"/>
      <c r="Q4180"/>
      <c r="R4180"/>
      <c r="S4180"/>
    </row>
    <row r="4181" spans="13:19" ht="13.95" customHeight="1">
      <c r="M4181"/>
      <c r="N4181"/>
      <c r="O4181"/>
      <c r="P4181"/>
      <c r="Q4181"/>
      <c r="R4181"/>
      <c r="S4181"/>
    </row>
    <row r="4182" spans="13:19" ht="13.95" customHeight="1">
      <c r="M4182"/>
      <c r="N4182"/>
      <c r="O4182"/>
      <c r="P4182"/>
      <c r="Q4182"/>
      <c r="R4182"/>
      <c r="S4182"/>
    </row>
    <row r="4183" spans="13:19" ht="13.95" customHeight="1">
      <c r="M4183"/>
      <c r="N4183"/>
      <c r="O4183"/>
      <c r="P4183"/>
      <c r="Q4183"/>
      <c r="R4183"/>
      <c r="S4183"/>
    </row>
    <row r="4184" spans="13:19" ht="13.95" customHeight="1">
      <c r="M4184"/>
      <c r="N4184"/>
      <c r="O4184"/>
      <c r="P4184"/>
      <c r="Q4184"/>
      <c r="R4184"/>
      <c r="S4184"/>
    </row>
    <row r="4185" spans="13:19" ht="13.95" customHeight="1">
      <c r="M4185"/>
      <c r="N4185"/>
      <c r="O4185"/>
      <c r="P4185"/>
      <c r="Q4185"/>
      <c r="R4185"/>
      <c r="S4185"/>
    </row>
    <row r="4186" spans="13:19" ht="13.95" customHeight="1">
      <c r="M4186"/>
      <c r="N4186"/>
      <c r="O4186"/>
      <c r="P4186"/>
      <c r="Q4186"/>
      <c r="R4186"/>
      <c r="S4186"/>
    </row>
    <row r="4187" spans="13:19" ht="13.95" customHeight="1">
      <c r="M4187"/>
      <c r="N4187"/>
      <c r="O4187"/>
      <c r="P4187"/>
      <c r="Q4187"/>
      <c r="R4187"/>
      <c r="S4187"/>
    </row>
    <row r="4188" spans="13:19" ht="13.95" customHeight="1">
      <c r="M4188"/>
      <c r="N4188"/>
      <c r="O4188"/>
      <c r="P4188"/>
      <c r="Q4188"/>
      <c r="R4188"/>
      <c r="S4188"/>
    </row>
    <row r="4189" spans="13:19" ht="13.95" customHeight="1">
      <c r="M4189"/>
      <c r="N4189"/>
      <c r="O4189"/>
      <c r="P4189"/>
      <c r="Q4189"/>
      <c r="R4189"/>
      <c r="S4189"/>
    </row>
    <row r="4190" spans="13:19" ht="13.95" customHeight="1">
      <c r="M4190"/>
      <c r="N4190"/>
      <c r="O4190"/>
      <c r="P4190"/>
      <c r="Q4190"/>
      <c r="R4190"/>
      <c r="S4190"/>
    </row>
    <row r="4191" spans="13:19" ht="13.95" customHeight="1">
      <c r="M4191"/>
      <c r="N4191"/>
      <c r="O4191"/>
      <c r="P4191"/>
      <c r="Q4191"/>
      <c r="R4191"/>
      <c r="S4191"/>
    </row>
    <row r="4192" spans="13:19" ht="13.95" customHeight="1">
      <c r="M4192"/>
      <c r="N4192"/>
      <c r="O4192"/>
      <c r="P4192"/>
      <c r="Q4192"/>
      <c r="R4192"/>
      <c r="S4192"/>
    </row>
    <row r="4193" spans="13:19" ht="13.95" customHeight="1">
      <c r="M4193"/>
      <c r="N4193"/>
      <c r="O4193"/>
      <c r="P4193"/>
      <c r="Q4193"/>
      <c r="R4193"/>
      <c r="S4193"/>
    </row>
    <row r="4194" spans="13:19" ht="13.95" customHeight="1">
      <c r="M4194"/>
      <c r="N4194"/>
      <c r="O4194"/>
      <c r="P4194"/>
      <c r="Q4194"/>
      <c r="R4194"/>
      <c r="S4194"/>
    </row>
    <row r="4195" spans="13:19" ht="13.95" customHeight="1">
      <c r="M4195"/>
      <c r="N4195"/>
      <c r="O4195"/>
      <c r="P4195"/>
      <c r="Q4195"/>
      <c r="R4195"/>
      <c r="S4195"/>
    </row>
    <row r="4196" spans="13:19" ht="13.95" customHeight="1">
      <c r="M4196"/>
      <c r="N4196"/>
      <c r="O4196"/>
      <c r="P4196"/>
      <c r="Q4196"/>
      <c r="R4196"/>
      <c r="S4196"/>
    </row>
    <row r="4197" spans="13:19" ht="13.95" customHeight="1">
      <c r="M4197"/>
      <c r="N4197"/>
      <c r="O4197"/>
      <c r="P4197"/>
      <c r="Q4197"/>
      <c r="R4197"/>
      <c r="S4197"/>
    </row>
    <row r="4198" spans="13:19" ht="13.95" customHeight="1">
      <c r="M4198"/>
      <c r="N4198"/>
      <c r="O4198"/>
      <c r="P4198"/>
      <c r="Q4198"/>
      <c r="R4198"/>
      <c r="S4198"/>
    </row>
    <row r="4199" spans="13:19" ht="13.95" customHeight="1">
      <c r="M4199"/>
      <c r="N4199"/>
      <c r="O4199"/>
      <c r="P4199"/>
      <c r="Q4199"/>
      <c r="R4199"/>
      <c r="S4199"/>
    </row>
    <row r="4200" spans="13:19" ht="13.95" customHeight="1">
      <c r="M4200"/>
      <c r="N4200"/>
      <c r="O4200"/>
      <c r="P4200"/>
      <c r="Q4200"/>
      <c r="R4200"/>
      <c r="S4200"/>
    </row>
    <row r="4201" spans="13:19" ht="13.95" customHeight="1">
      <c r="M4201"/>
      <c r="N4201"/>
      <c r="O4201"/>
      <c r="P4201"/>
      <c r="Q4201"/>
      <c r="R4201"/>
      <c r="S4201"/>
    </row>
    <row r="4202" spans="13:19" ht="13.95" customHeight="1">
      <c r="M4202"/>
      <c r="N4202"/>
      <c r="O4202"/>
      <c r="P4202"/>
      <c r="Q4202"/>
      <c r="R4202"/>
      <c r="S4202"/>
    </row>
    <row r="4203" spans="13:19" ht="13.95" customHeight="1">
      <c r="M4203"/>
      <c r="N4203"/>
      <c r="O4203"/>
      <c r="P4203"/>
      <c r="Q4203"/>
      <c r="R4203"/>
      <c r="S4203"/>
    </row>
    <row r="4204" spans="13:19" ht="13.95" customHeight="1">
      <c r="M4204"/>
      <c r="N4204"/>
      <c r="O4204"/>
      <c r="P4204"/>
      <c r="Q4204"/>
      <c r="R4204"/>
      <c r="S4204"/>
    </row>
    <row r="4205" spans="13:19" ht="13.95" customHeight="1">
      <c r="M4205"/>
      <c r="N4205"/>
      <c r="O4205"/>
      <c r="P4205"/>
      <c r="Q4205"/>
      <c r="R4205"/>
      <c r="S4205"/>
    </row>
    <row r="4206" spans="13:19" ht="13.95" customHeight="1">
      <c r="M4206"/>
      <c r="N4206"/>
      <c r="O4206"/>
      <c r="P4206"/>
      <c r="Q4206"/>
      <c r="R4206"/>
      <c r="S4206"/>
    </row>
    <row r="4207" spans="13:19" ht="13.95" customHeight="1">
      <c r="M4207"/>
      <c r="N4207"/>
      <c r="O4207"/>
      <c r="P4207"/>
      <c r="Q4207"/>
      <c r="R4207"/>
      <c r="S4207"/>
    </row>
    <row r="4208" spans="13:19" ht="13.95" customHeight="1">
      <c r="M4208"/>
      <c r="N4208"/>
      <c r="O4208"/>
      <c r="P4208"/>
      <c r="Q4208"/>
      <c r="R4208"/>
      <c r="S4208"/>
    </row>
    <row r="4209" spans="13:19" ht="13.95" customHeight="1">
      <c r="M4209"/>
      <c r="N4209"/>
      <c r="O4209"/>
      <c r="P4209"/>
      <c r="Q4209"/>
      <c r="R4209"/>
      <c r="S4209"/>
    </row>
    <row r="4210" spans="13:19" ht="13.95" customHeight="1">
      <c r="M4210"/>
      <c r="N4210"/>
      <c r="O4210"/>
      <c r="P4210"/>
      <c r="Q4210"/>
      <c r="R4210"/>
      <c r="S4210"/>
    </row>
    <row r="4211" spans="13:19" ht="13.95" customHeight="1">
      <c r="M4211"/>
      <c r="N4211"/>
      <c r="O4211"/>
      <c r="P4211"/>
      <c r="Q4211"/>
      <c r="R4211"/>
      <c r="S4211"/>
    </row>
    <row r="4212" spans="13:19" ht="13.95" customHeight="1">
      <c r="M4212"/>
      <c r="N4212"/>
      <c r="O4212"/>
      <c r="P4212"/>
      <c r="Q4212"/>
      <c r="R4212"/>
      <c r="S4212"/>
    </row>
    <row r="4213" spans="13:19" ht="13.95" customHeight="1">
      <c r="M4213"/>
      <c r="N4213"/>
      <c r="O4213"/>
      <c r="P4213"/>
      <c r="Q4213"/>
      <c r="R4213"/>
      <c r="S4213"/>
    </row>
    <row r="4214" spans="13:19" ht="13.95" customHeight="1">
      <c r="M4214"/>
      <c r="N4214"/>
      <c r="O4214"/>
      <c r="P4214"/>
      <c r="Q4214"/>
      <c r="R4214"/>
      <c r="S4214"/>
    </row>
    <row r="4215" spans="13:19" ht="13.95" customHeight="1">
      <c r="M4215"/>
      <c r="N4215"/>
      <c r="O4215"/>
      <c r="P4215"/>
      <c r="Q4215"/>
      <c r="R4215"/>
      <c r="S4215"/>
    </row>
    <row r="4216" spans="13:19" ht="13.95" customHeight="1">
      <c r="M4216"/>
      <c r="N4216"/>
      <c r="O4216"/>
      <c r="P4216"/>
      <c r="Q4216"/>
      <c r="R4216"/>
      <c r="S4216"/>
    </row>
    <row r="4217" spans="13:19" ht="13.95" customHeight="1">
      <c r="M4217"/>
      <c r="N4217"/>
      <c r="O4217"/>
      <c r="P4217"/>
      <c r="Q4217"/>
      <c r="R4217"/>
      <c r="S4217"/>
    </row>
    <row r="4218" spans="13:19" ht="13.95" customHeight="1">
      <c r="M4218"/>
      <c r="N4218"/>
      <c r="O4218"/>
      <c r="P4218"/>
      <c r="Q4218"/>
      <c r="R4218"/>
      <c r="S4218"/>
    </row>
    <row r="4219" spans="13:19" ht="13.95" customHeight="1">
      <c r="M4219"/>
      <c r="N4219"/>
      <c r="O4219"/>
      <c r="P4219"/>
      <c r="Q4219"/>
      <c r="R4219"/>
      <c r="S4219"/>
    </row>
    <row r="4220" spans="13:19" ht="13.95" customHeight="1">
      <c r="M4220"/>
      <c r="N4220"/>
      <c r="O4220"/>
      <c r="P4220"/>
      <c r="Q4220"/>
      <c r="R4220"/>
      <c r="S4220"/>
    </row>
    <row r="4221" spans="13:19" ht="13.95" customHeight="1">
      <c r="M4221"/>
      <c r="N4221"/>
      <c r="O4221"/>
      <c r="P4221"/>
      <c r="Q4221"/>
      <c r="R4221"/>
      <c r="S4221"/>
    </row>
    <row r="4222" spans="13:19" ht="13.95" customHeight="1">
      <c r="M4222"/>
      <c r="N4222"/>
      <c r="O4222"/>
      <c r="P4222"/>
      <c r="Q4222"/>
      <c r="R4222"/>
      <c r="S4222"/>
    </row>
    <row r="4223" spans="13:19" ht="13.95" customHeight="1">
      <c r="M4223"/>
      <c r="N4223"/>
      <c r="O4223"/>
      <c r="P4223"/>
      <c r="Q4223"/>
      <c r="R4223"/>
      <c r="S4223"/>
    </row>
    <row r="4224" spans="13:19" ht="13.95" customHeight="1">
      <c r="M4224"/>
      <c r="N4224"/>
      <c r="O4224"/>
      <c r="P4224"/>
      <c r="Q4224"/>
      <c r="R4224"/>
      <c r="S4224"/>
    </row>
    <row r="4225" spans="13:19" ht="13.95" customHeight="1">
      <c r="M4225"/>
      <c r="N4225"/>
      <c r="O4225"/>
      <c r="P4225"/>
      <c r="Q4225"/>
      <c r="R4225"/>
      <c r="S4225"/>
    </row>
    <row r="4226" spans="13:19" ht="13.95" customHeight="1">
      <c r="M4226"/>
      <c r="N4226"/>
      <c r="O4226"/>
      <c r="P4226"/>
      <c r="Q4226"/>
      <c r="R4226"/>
      <c r="S4226"/>
    </row>
    <row r="4227" spans="13:19" ht="13.95" customHeight="1">
      <c r="M4227"/>
      <c r="N4227"/>
      <c r="O4227"/>
      <c r="P4227"/>
      <c r="Q4227"/>
      <c r="R4227"/>
      <c r="S4227"/>
    </row>
    <row r="4228" spans="13:19" ht="13.95" customHeight="1">
      <c r="M4228"/>
      <c r="N4228"/>
      <c r="O4228"/>
      <c r="P4228"/>
      <c r="Q4228"/>
      <c r="R4228"/>
      <c r="S4228"/>
    </row>
    <row r="4229" spans="13:19" ht="13.95" customHeight="1">
      <c r="M4229"/>
      <c r="N4229"/>
      <c r="O4229"/>
      <c r="P4229"/>
      <c r="Q4229"/>
      <c r="R4229"/>
      <c r="S4229"/>
    </row>
    <row r="4230" spans="13:19" ht="13.95" customHeight="1">
      <c r="M4230"/>
      <c r="N4230"/>
      <c r="O4230"/>
      <c r="P4230"/>
      <c r="Q4230"/>
      <c r="R4230"/>
      <c r="S4230"/>
    </row>
    <row r="4231" spans="13:19" ht="13.95" customHeight="1">
      <c r="M4231"/>
      <c r="N4231"/>
      <c r="O4231"/>
      <c r="P4231"/>
      <c r="Q4231"/>
      <c r="R4231"/>
      <c r="S4231"/>
    </row>
    <row r="4232" spans="13:19" ht="13.95" customHeight="1">
      <c r="M4232"/>
      <c r="N4232"/>
      <c r="O4232"/>
      <c r="P4232"/>
      <c r="Q4232"/>
      <c r="R4232"/>
      <c r="S4232"/>
    </row>
    <row r="4233" spans="13:19" ht="13.95" customHeight="1">
      <c r="M4233"/>
      <c r="N4233"/>
      <c r="O4233"/>
      <c r="P4233"/>
      <c r="Q4233"/>
      <c r="R4233"/>
      <c r="S4233"/>
    </row>
    <row r="4234" spans="13:19" ht="13.95" customHeight="1">
      <c r="M4234"/>
      <c r="N4234"/>
      <c r="O4234"/>
      <c r="P4234"/>
      <c r="Q4234"/>
      <c r="R4234"/>
      <c r="S4234"/>
    </row>
    <row r="4235" spans="13:19" ht="13.95" customHeight="1">
      <c r="M4235"/>
      <c r="N4235"/>
      <c r="O4235"/>
      <c r="P4235"/>
      <c r="Q4235"/>
      <c r="R4235"/>
      <c r="S4235"/>
    </row>
    <row r="4236" spans="13:19" ht="13.95" customHeight="1">
      <c r="M4236"/>
      <c r="N4236"/>
      <c r="O4236"/>
      <c r="P4236"/>
      <c r="Q4236"/>
      <c r="R4236"/>
      <c r="S4236"/>
    </row>
    <row r="4237" spans="13:19" ht="13.95" customHeight="1">
      <c r="M4237"/>
      <c r="N4237"/>
      <c r="O4237"/>
      <c r="P4237"/>
      <c r="Q4237"/>
      <c r="R4237"/>
      <c r="S4237"/>
    </row>
    <row r="4238" spans="13:19" ht="13.95" customHeight="1">
      <c r="M4238"/>
      <c r="N4238"/>
      <c r="O4238"/>
      <c r="P4238"/>
      <c r="Q4238"/>
      <c r="R4238"/>
      <c r="S4238"/>
    </row>
    <row r="4239" spans="13:19" ht="13.95" customHeight="1">
      <c r="M4239"/>
      <c r="N4239"/>
      <c r="O4239"/>
      <c r="P4239"/>
      <c r="Q4239"/>
      <c r="R4239"/>
      <c r="S4239"/>
    </row>
    <row r="4240" spans="13:19" ht="13.95" customHeight="1">
      <c r="M4240"/>
      <c r="N4240"/>
      <c r="O4240"/>
      <c r="P4240"/>
      <c r="Q4240"/>
      <c r="R4240"/>
      <c r="S4240"/>
    </row>
    <row r="4241" spans="13:19" ht="13.95" customHeight="1">
      <c r="M4241"/>
      <c r="N4241"/>
      <c r="O4241"/>
      <c r="P4241"/>
      <c r="Q4241"/>
      <c r="R4241"/>
      <c r="S4241"/>
    </row>
    <row r="4242" spans="13:19" ht="13.95" customHeight="1">
      <c r="M4242"/>
      <c r="N4242"/>
      <c r="O4242"/>
      <c r="P4242"/>
      <c r="Q4242"/>
      <c r="R4242"/>
      <c r="S4242"/>
    </row>
    <row r="4243" spans="13:19" ht="13.95" customHeight="1">
      <c r="M4243"/>
      <c r="N4243"/>
      <c r="O4243"/>
      <c r="P4243"/>
      <c r="Q4243"/>
      <c r="R4243"/>
      <c r="S4243"/>
    </row>
    <row r="4244" spans="13:19" ht="13.95" customHeight="1">
      <c r="M4244"/>
      <c r="N4244"/>
      <c r="O4244"/>
      <c r="P4244"/>
      <c r="Q4244"/>
      <c r="R4244"/>
      <c r="S4244"/>
    </row>
    <row r="4245" spans="13:19" ht="13.95" customHeight="1">
      <c r="M4245"/>
      <c r="N4245"/>
      <c r="O4245"/>
      <c r="P4245"/>
      <c r="Q4245"/>
      <c r="R4245"/>
      <c r="S4245"/>
    </row>
    <row r="4246" spans="13:19" ht="13.95" customHeight="1">
      <c r="M4246"/>
      <c r="N4246"/>
      <c r="O4246"/>
      <c r="P4246"/>
      <c r="Q4246"/>
      <c r="R4246"/>
      <c r="S4246"/>
    </row>
    <row r="4247" spans="13:19" ht="13.95" customHeight="1">
      <c r="M4247"/>
      <c r="N4247"/>
      <c r="O4247"/>
      <c r="P4247"/>
      <c r="Q4247"/>
      <c r="R4247"/>
      <c r="S4247"/>
    </row>
    <row r="4248" spans="13:19" ht="13.95" customHeight="1">
      <c r="M4248"/>
      <c r="N4248"/>
      <c r="O4248"/>
      <c r="P4248"/>
      <c r="Q4248"/>
      <c r="R4248"/>
      <c r="S4248"/>
    </row>
    <row r="4249" spans="13:19" ht="13.95" customHeight="1">
      <c r="M4249"/>
      <c r="N4249"/>
      <c r="O4249"/>
      <c r="P4249"/>
      <c r="Q4249"/>
      <c r="R4249"/>
      <c r="S4249"/>
    </row>
    <row r="4250" spans="13:19" ht="13.95" customHeight="1">
      <c r="M4250"/>
      <c r="N4250"/>
      <c r="O4250"/>
      <c r="P4250"/>
      <c r="Q4250"/>
      <c r="R4250"/>
      <c r="S4250"/>
    </row>
    <row r="4251" spans="13:19" ht="13.95" customHeight="1">
      <c r="M4251"/>
      <c r="N4251"/>
      <c r="O4251"/>
      <c r="P4251"/>
      <c r="Q4251"/>
      <c r="R4251"/>
      <c r="S4251"/>
    </row>
    <row r="4252" spans="13:19" ht="13.95" customHeight="1">
      <c r="M4252"/>
      <c r="N4252"/>
      <c r="O4252"/>
      <c r="P4252"/>
      <c r="Q4252"/>
      <c r="R4252"/>
      <c r="S4252"/>
    </row>
    <row r="4253" spans="13:19" ht="13.95" customHeight="1">
      <c r="M4253"/>
      <c r="N4253"/>
      <c r="O4253"/>
      <c r="P4253"/>
      <c r="Q4253"/>
      <c r="R4253"/>
      <c r="S4253"/>
    </row>
    <row r="4254" spans="13:19" ht="13.95" customHeight="1">
      <c r="M4254"/>
      <c r="N4254"/>
      <c r="O4254"/>
      <c r="P4254"/>
      <c r="Q4254"/>
      <c r="R4254"/>
      <c r="S4254"/>
    </row>
    <row r="4255" spans="13:19" ht="13.95" customHeight="1">
      <c r="M4255"/>
      <c r="N4255"/>
      <c r="O4255"/>
      <c r="P4255"/>
      <c r="Q4255"/>
      <c r="R4255"/>
      <c r="S4255"/>
    </row>
    <row r="4256" spans="13:19" ht="13.95" customHeight="1">
      <c r="M4256"/>
      <c r="N4256"/>
      <c r="O4256"/>
      <c r="P4256"/>
      <c r="Q4256"/>
      <c r="R4256"/>
      <c r="S4256"/>
    </row>
    <row r="4257" spans="13:19" ht="13.95" customHeight="1">
      <c r="M4257"/>
      <c r="N4257"/>
      <c r="O4257"/>
      <c r="P4257"/>
      <c r="Q4257"/>
      <c r="R4257"/>
      <c r="S4257"/>
    </row>
    <row r="4258" spans="13:19" ht="13.95" customHeight="1">
      <c r="M4258"/>
      <c r="N4258"/>
      <c r="O4258"/>
      <c r="P4258"/>
      <c r="Q4258"/>
      <c r="R4258"/>
      <c r="S4258"/>
    </row>
    <row r="4259" spans="13:19" ht="13.95" customHeight="1">
      <c r="M4259"/>
      <c r="N4259"/>
      <c r="O4259"/>
      <c r="P4259"/>
      <c r="Q4259"/>
      <c r="R4259"/>
      <c r="S4259"/>
    </row>
    <row r="4260" spans="13:19" ht="13.95" customHeight="1">
      <c r="M4260"/>
      <c r="N4260"/>
      <c r="O4260"/>
      <c r="P4260"/>
      <c r="Q4260"/>
      <c r="R4260"/>
      <c r="S4260"/>
    </row>
    <row r="4261" spans="13:19" ht="13.95" customHeight="1">
      <c r="M4261"/>
      <c r="N4261"/>
      <c r="O4261"/>
      <c r="P4261"/>
      <c r="Q4261"/>
      <c r="R4261"/>
      <c r="S4261"/>
    </row>
    <row r="4262" spans="13:19" ht="13.95" customHeight="1">
      <c r="M4262"/>
      <c r="N4262"/>
      <c r="O4262"/>
      <c r="P4262"/>
      <c r="Q4262"/>
      <c r="R4262"/>
      <c r="S4262"/>
    </row>
    <row r="4263" spans="13:19" ht="13.95" customHeight="1">
      <c r="M4263"/>
      <c r="N4263"/>
      <c r="O4263"/>
      <c r="P4263"/>
      <c r="Q4263"/>
      <c r="R4263"/>
      <c r="S4263"/>
    </row>
    <row r="4264" spans="13:19" ht="13.95" customHeight="1">
      <c r="M4264"/>
      <c r="N4264"/>
      <c r="O4264"/>
      <c r="P4264"/>
      <c r="Q4264"/>
      <c r="R4264"/>
      <c r="S4264"/>
    </row>
    <row r="4265" spans="13:19" ht="13.95" customHeight="1">
      <c r="M4265"/>
      <c r="N4265"/>
      <c r="O4265"/>
      <c r="P4265"/>
      <c r="Q4265"/>
      <c r="R4265"/>
      <c r="S4265"/>
    </row>
    <row r="4266" spans="13:19" ht="13.95" customHeight="1">
      <c r="M4266"/>
      <c r="N4266"/>
      <c r="O4266"/>
      <c r="P4266"/>
      <c r="Q4266"/>
      <c r="R4266"/>
      <c r="S4266"/>
    </row>
    <row r="4267" spans="13:19" ht="13.95" customHeight="1">
      <c r="M4267"/>
      <c r="N4267"/>
      <c r="O4267"/>
      <c r="P4267"/>
      <c r="Q4267"/>
      <c r="R4267"/>
      <c r="S4267"/>
    </row>
    <row r="4268" spans="13:19" ht="13.95" customHeight="1">
      <c r="M4268"/>
      <c r="N4268"/>
      <c r="O4268"/>
      <c r="P4268"/>
      <c r="Q4268"/>
      <c r="R4268"/>
      <c r="S4268"/>
    </row>
    <row r="4269" spans="13:19" ht="13.95" customHeight="1">
      <c r="M4269"/>
      <c r="N4269"/>
      <c r="O4269"/>
      <c r="P4269"/>
      <c r="Q4269"/>
      <c r="R4269"/>
      <c r="S4269"/>
    </row>
    <row r="4270" spans="13:19" ht="13.95" customHeight="1">
      <c r="M4270"/>
      <c r="N4270"/>
      <c r="O4270"/>
      <c r="P4270"/>
      <c r="Q4270"/>
      <c r="R4270"/>
      <c r="S4270"/>
    </row>
    <row r="4271" spans="13:19" ht="13.95" customHeight="1">
      <c r="M4271"/>
      <c r="N4271"/>
      <c r="O4271"/>
      <c r="P4271"/>
      <c r="Q4271"/>
      <c r="R4271"/>
      <c r="S4271"/>
    </row>
    <row r="4272" spans="13:19" ht="13.95" customHeight="1">
      <c r="M4272"/>
      <c r="N4272"/>
      <c r="O4272"/>
      <c r="P4272"/>
      <c r="Q4272"/>
      <c r="R4272"/>
      <c r="S4272"/>
    </row>
    <row r="4273" spans="13:19" ht="13.95" customHeight="1">
      <c r="M4273"/>
      <c r="N4273"/>
      <c r="O4273"/>
      <c r="P4273"/>
      <c r="Q4273"/>
      <c r="R4273"/>
      <c r="S4273"/>
    </row>
    <row r="4274" spans="13:19" ht="13.95" customHeight="1">
      <c r="M4274"/>
      <c r="N4274"/>
      <c r="O4274"/>
      <c r="P4274"/>
      <c r="Q4274"/>
      <c r="R4274"/>
      <c r="S4274"/>
    </row>
    <row r="4275" spans="13:19" ht="13.95" customHeight="1">
      <c r="M4275"/>
      <c r="N4275"/>
      <c r="O4275"/>
      <c r="P4275"/>
      <c r="Q4275"/>
      <c r="R4275"/>
      <c r="S4275"/>
    </row>
    <row r="4276" spans="13:19" ht="13.95" customHeight="1">
      <c r="M4276"/>
      <c r="N4276"/>
      <c r="O4276"/>
      <c r="P4276"/>
      <c r="Q4276"/>
      <c r="R4276"/>
      <c r="S4276"/>
    </row>
    <row r="4277" spans="13:19" ht="13.95" customHeight="1">
      <c r="M4277"/>
      <c r="N4277"/>
      <c r="O4277"/>
      <c r="P4277"/>
      <c r="Q4277"/>
      <c r="R4277"/>
      <c r="S4277"/>
    </row>
    <row r="4278" spans="13:19" ht="13.95" customHeight="1">
      <c r="M4278"/>
      <c r="N4278"/>
      <c r="O4278"/>
      <c r="P4278"/>
      <c r="Q4278"/>
      <c r="R4278"/>
      <c r="S4278"/>
    </row>
    <row r="4279" spans="13:19" ht="13.95" customHeight="1">
      <c r="M4279"/>
      <c r="N4279"/>
      <c r="O4279"/>
      <c r="P4279"/>
      <c r="Q4279"/>
      <c r="R4279"/>
      <c r="S4279"/>
    </row>
    <row r="4280" spans="13:19" ht="13.95" customHeight="1">
      <c r="M4280"/>
      <c r="N4280"/>
      <c r="O4280"/>
      <c r="P4280"/>
      <c r="Q4280"/>
      <c r="R4280"/>
      <c r="S4280"/>
    </row>
    <row r="4281" spans="13:19" ht="13.95" customHeight="1">
      <c r="M4281"/>
      <c r="N4281"/>
      <c r="O4281"/>
      <c r="P4281"/>
      <c r="Q4281"/>
      <c r="R4281"/>
      <c r="S4281"/>
    </row>
    <row r="4282" spans="13:19" ht="13.95" customHeight="1">
      <c r="M4282"/>
      <c r="N4282"/>
      <c r="O4282"/>
      <c r="P4282"/>
      <c r="Q4282"/>
      <c r="R4282"/>
      <c r="S4282"/>
    </row>
    <row r="4283" spans="13:19" ht="13.95" customHeight="1">
      <c r="M4283"/>
      <c r="N4283"/>
      <c r="O4283"/>
      <c r="P4283"/>
      <c r="Q4283"/>
      <c r="R4283"/>
      <c r="S4283"/>
    </row>
    <row r="4284" spans="13:19" ht="13.95" customHeight="1">
      <c r="M4284"/>
      <c r="N4284"/>
      <c r="O4284"/>
      <c r="P4284"/>
      <c r="Q4284"/>
      <c r="R4284"/>
      <c r="S4284"/>
    </row>
    <row r="4285" spans="13:19" ht="13.95" customHeight="1">
      <c r="M4285"/>
      <c r="N4285"/>
      <c r="O4285"/>
      <c r="P4285"/>
      <c r="Q4285"/>
      <c r="R4285"/>
      <c r="S4285"/>
    </row>
    <row r="4286" spans="13:19" ht="13.95" customHeight="1">
      <c r="M4286"/>
      <c r="N4286"/>
      <c r="O4286"/>
      <c r="P4286"/>
      <c r="Q4286"/>
      <c r="R4286"/>
      <c r="S4286"/>
    </row>
    <row r="4287" spans="13:19" ht="13.95" customHeight="1">
      <c r="M4287"/>
      <c r="N4287"/>
      <c r="O4287"/>
      <c r="P4287"/>
      <c r="Q4287"/>
      <c r="R4287"/>
      <c r="S4287"/>
    </row>
    <row r="4288" spans="13:19" ht="13.95" customHeight="1">
      <c r="M4288"/>
      <c r="N4288"/>
      <c r="O4288"/>
      <c r="P4288"/>
      <c r="Q4288"/>
      <c r="R4288"/>
      <c r="S4288"/>
    </row>
    <row r="4289" spans="13:19" ht="13.95" customHeight="1">
      <c r="M4289"/>
      <c r="N4289"/>
      <c r="O4289"/>
      <c r="P4289"/>
      <c r="Q4289"/>
      <c r="R4289"/>
      <c r="S4289"/>
    </row>
    <row r="4290" spans="13:19" ht="13.95" customHeight="1">
      <c r="M4290"/>
      <c r="N4290"/>
      <c r="O4290"/>
      <c r="P4290"/>
      <c r="Q4290"/>
      <c r="R4290"/>
      <c r="S4290"/>
    </row>
    <row r="4291" spans="13:19" ht="13.95" customHeight="1">
      <c r="M4291"/>
      <c r="N4291"/>
      <c r="O4291"/>
      <c r="P4291"/>
      <c r="Q4291"/>
      <c r="R4291"/>
      <c r="S4291"/>
    </row>
    <row r="4292" spans="13:19" ht="13.95" customHeight="1">
      <c r="M4292"/>
      <c r="N4292"/>
      <c r="O4292"/>
      <c r="P4292"/>
      <c r="Q4292"/>
      <c r="R4292"/>
      <c r="S4292"/>
    </row>
    <row r="4293" spans="13:19" ht="13.95" customHeight="1">
      <c r="M4293"/>
      <c r="N4293"/>
      <c r="O4293"/>
      <c r="P4293"/>
      <c r="Q4293"/>
      <c r="R4293"/>
      <c r="S4293"/>
    </row>
    <row r="4294" spans="13:19" ht="13.95" customHeight="1">
      <c r="M4294"/>
      <c r="N4294"/>
      <c r="O4294"/>
      <c r="P4294"/>
      <c r="Q4294"/>
      <c r="R4294"/>
      <c r="S4294"/>
    </row>
    <row r="4295" spans="13:19" ht="13.95" customHeight="1">
      <c r="M4295"/>
      <c r="N4295"/>
      <c r="O4295"/>
      <c r="P4295"/>
      <c r="Q4295"/>
      <c r="R4295"/>
      <c r="S4295"/>
    </row>
    <row r="4296" spans="13:19" ht="13.95" customHeight="1">
      <c r="M4296"/>
      <c r="N4296"/>
      <c r="O4296"/>
      <c r="P4296"/>
      <c r="Q4296"/>
      <c r="R4296"/>
      <c r="S4296"/>
    </row>
    <row r="4297" spans="13:19" ht="13.95" customHeight="1">
      <c r="M4297"/>
      <c r="N4297"/>
      <c r="O4297"/>
      <c r="P4297"/>
      <c r="Q4297"/>
      <c r="R4297"/>
      <c r="S4297"/>
    </row>
    <row r="4298" spans="13:19" ht="13.95" customHeight="1">
      <c r="M4298"/>
      <c r="N4298"/>
      <c r="O4298"/>
      <c r="P4298"/>
      <c r="Q4298"/>
      <c r="R4298"/>
      <c r="S4298"/>
    </row>
    <row r="4299" spans="13:19" ht="13.95" customHeight="1">
      <c r="M4299"/>
      <c r="N4299"/>
      <c r="O4299"/>
      <c r="P4299"/>
      <c r="Q4299"/>
      <c r="R4299"/>
      <c r="S4299"/>
    </row>
    <row r="4300" spans="13:19" ht="13.95" customHeight="1">
      <c r="M4300"/>
      <c r="N4300"/>
      <c r="O4300"/>
      <c r="P4300"/>
      <c r="Q4300"/>
      <c r="R4300"/>
      <c r="S4300"/>
    </row>
    <row r="4301" spans="13:19" ht="13.95" customHeight="1">
      <c r="M4301"/>
      <c r="N4301"/>
      <c r="O4301"/>
      <c r="P4301"/>
      <c r="Q4301"/>
      <c r="R4301"/>
      <c r="S4301"/>
    </row>
    <row r="4302" spans="13:19" ht="13.95" customHeight="1">
      <c r="M4302"/>
      <c r="N4302"/>
      <c r="O4302"/>
      <c r="P4302"/>
      <c r="Q4302"/>
      <c r="R4302"/>
      <c r="S4302"/>
    </row>
    <row r="4303" spans="13:19" ht="13.95" customHeight="1">
      <c r="M4303"/>
      <c r="N4303"/>
      <c r="O4303"/>
      <c r="P4303"/>
      <c r="Q4303"/>
      <c r="R4303"/>
      <c r="S4303"/>
    </row>
    <row r="4304" spans="13:19" ht="13.95" customHeight="1">
      <c r="M4304"/>
      <c r="N4304"/>
      <c r="O4304"/>
      <c r="P4304"/>
      <c r="Q4304"/>
      <c r="R4304"/>
      <c r="S4304"/>
    </row>
    <row r="4305" spans="13:19" ht="13.95" customHeight="1">
      <c r="M4305"/>
      <c r="N4305"/>
      <c r="O4305"/>
      <c r="P4305"/>
      <c r="Q4305"/>
      <c r="R4305"/>
      <c r="S4305"/>
    </row>
    <row r="4306" spans="13:19" ht="13.95" customHeight="1">
      <c r="M4306"/>
      <c r="N4306"/>
      <c r="O4306"/>
      <c r="P4306"/>
      <c r="Q4306"/>
      <c r="R4306"/>
      <c r="S4306"/>
    </row>
    <row r="4307" spans="13:19" ht="13.95" customHeight="1">
      <c r="M4307"/>
      <c r="N4307"/>
      <c r="O4307"/>
      <c r="P4307"/>
      <c r="Q4307"/>
      <c r="R4307"/>
      <c r="S4307"/>
    </row>
    <row r="4308" spans="13:19" ht="13.95" customHeight="1">
      <c r="M4308"/>
      <c r="N4308"/>
      <c r="O4308"/>
      <c r="P4308"/>
      <c r="Q4308"/>
      <c r="R4308"/>
      <c r="S4308"/>
    </row>
    <row r="4309" spans="13:19" ht="13.95" customHeight="1">
      <c r="M4309"/>
      <c r="N4309"/>
      <c r="O4309"/>
      <c r="P4309"/>
      <c r="Q4309"/>
      <c r="R4309"/>
      <c r="S4309"/>
    </row>
    <row r="4310" spans="13:19" ht="13.95" customHeight="1">
      <c r="M4310"/>
      <c r="N4310"/>
      <c r="O4310"/>
      <c r="P4310"/>
      <c r="Q4310"/>
      <c r="R4310"/>
      <c r="S4310"/>
    </row>
    <row r="4311" spans="13:19" ht="13.95" customHeight="1">
      <c r="M4311"/>
      <c r="N4311"/>
      <c r="O4311"/>
      <c r="P4311"/>
      <c r="Q4311"/>
      <c r="R4311"/>
      <c r="S4311"/>
    </row>
    <row r="4312" spans="13:19" ht="13.95" customHeight="1">
      <c r="M4312"/>
      <c r="N4312"/>
      <c r="O4312"/>
      <c r="P4312"/>
      <c r="Q4312"/>
      <c r="R4312"/>
      <c r="S4312"/>
    </row>
    <row r="4313" spans="13:19" ht="13.95" customHeight="1">
      <c r="M4313"/>
      <c r="N4313"/>
      <c r="O4313"/>
      <c r="P4313"/>
      <c r="Q4313"/>
      <c r="R4313"/>
      <c r="S4313"/>
    </row>
    <row r="4314" spans="13:19" ht="13.95" customHeight="1">
      <c r="M4314"/>
      <c r="N4314"/>
      <c r="O4314"/>
      <c r="P4314"/>
      <c r="Q4314"/>
      <c r="R4314"/>
      <c r="S4314"/>
    </row>
    <row r="4315" spans="13:19" ht="13.95" customHeight="1">
      <c r="M4315"/>
      <c r="N4315"/>
      <c r="O4315"/>
      <c r="P4315"/>
      <c r="Q4315"/>
      <c r="R4315"/>
      <c r="S4315"/>
    </row>
    <row r="4316" spans="13:19" ht="13.95" customHeight="1">
      <c r="M4316"/>
      <c r="N4316"/>
      <c r="O4316"/>
      <c r="P4316"/>
      <c r="Q4316"/>
      <c r="R4316"/>
      <c r="S4316"/>
    </row>
    <row r="4317" spans="13:19" ht="13.95" customHeight="1">
      <c r="M4317"/>
      <c r="N4317"/>
      <c r="O4317"/>
      <c r="P4317"/>
      <c r="Q4317"/>
      <c r="R4317"/>
      <c r="S4317"/>
    </row>
    <row r="4318" spans="13:19" ht="13.95" customHeight="1">
      <c r="M4318"/>
      <c r="N4318"/>
      <c r="O4318"/>
      <c r="P4318"/>
      <c r="Q4318"/>
      <c r="R4318"/>
      <c r="S4318"/>
    </row>
    <row r="4319" spans="13:19" ht="13.95" customHeight="1">
      <c r="M4319"/>
      <c r="N4319"/>
      <c r="O4319"/>
      <c r="P4319"/>
      <c r="Q4319"/>
      <c r="R4319"/>
      <c r="S4319"/>
    </row>
    <row r="4320" spans="13:19" ht="13.95" customHeight="1">
      <c r="M4320"/>
      <c r="N4320"/>
      <c r="O4320"/>
      <c r="P4320"/>
      <c r="Q4320"/>
      <c r="R4320"/>
      <c r="S4320"/>
    </row>
    <row r="4321" spans="13:19" ht="13.95" customHeight="1">
      <c r="M4321"/>
      <c r="N4321"/>
      <c r="O4321"/>
      <c r="P4321"/>
      <c r="Q4321"/>
      <c r="R4321"/>
      <c r="S4321"/>
    </row>
    <row r="4322" spans="13:19" ht="13.95" customHeight="1">
      <c r="M4322"/>
      <c r="N4322"/>
      <c r="O4322"/>
      <c r="P4322"/>
      <c r="Q4322"/>
      <c r="R4322"/>
      <c r="S4322"/>
    </row>
    <row r="4323" spans="13:19" ht="13.95" customHeight="1">
      <c r="M4323"/>
      <c r="N4323"/>
      <c r="O4323"/>
      <c r="P4323"/>
      <c r="Q4323"/>
      <c r="R4323"/>
      <c r="S4323"/>
    </row>
    <row r="4324" spans="13:19" ht="13.95" customHeight="1">
      <c r="M4324"/>
      <c r="N4324"/>
      <c r="O4324"/>
      <c r="P4324"/>
      <c r="Q4324"/>
      <c r="R4324"/>
      <c r="S4324"/>
    </row>
    <row r="4325" spans="13:19" ht="13.95" customHeight="1">
      <c r="M4325"/>
      <c r="N4325"/>
      <c r="O4325"/>
      <c r="P4325"/>
      <c r="Q4325"/>
      <c r="R4325"/>
      <c r="S4325"/>
    </row>
    <row r="4326" spans="13:19" ht="13.95" customHeight="1">
      <c r="M4326"/>
      <c r="N4326"/>
      <c r="O4326"/>
      <c r="P4326"/>
      <c r="Q4326"/>
      <c r="R4326"/>
      <c r="S4326"/>
    </row>
    <row r="4327" spans="13:19" ht="13.95" customHeight="1">
      <c r="M4327"/>
      <c r="N4327"/>
      <c r="O4327"/>
      <c r="P4327"/>
      <c r="Q4327"/>
      <c r="R4327"/>
      <c r="S4327"/>
    </row>
    <row r="4328" spans="13:19" ht="13.95" customHeight="1">
      <c r="M4328"/>
      <c r="N4328"/>
      <c r="O4328"/>
      <c r="P4328"/>
      <c r="Q4328"/>
      <c r="R4328"/>
      <c r="S4328"/>
    </row>
    <row r="4329" spans="13:19" ht="13.95" customHeight="1">
      <c r="M4329"/>
      <c r="N4329"/>
      <c r="O4329"/>
      <c r="P4329"/>
      <c r="Q4329"/>
      <c r="R4329"/>
      <c r="S4329"/>
    </row>
    <row r="4330" spans="13:19" ht="13.95" customHeight="1">
      <c r="M4330"/>
      <c r="N4330"/>
      <c r="O4330"/>
      <c r="P4330"/>
      <c r="Q4330"/>
      <c r="R4330"/>
      <c r="S4330"/>
    </row>
    <row r="4331" spans="13:19" ht="13.95" customHeight="1">
      <c r="M4331"/>
      <c r="N4331"/>
      <c r="O4331"/>
      <c r="P4331"/>
      <c r="Q4331"/>
      <c r="R4331"/>
      <c r="S4331"/>
    </row>
    <row r="4332" spans="13:19" ht="13.95" customHeight="1">
      <c r="M4332"/>
      <c r="N4332"/>
      <c r="O4332"/>
      <c r="P4332"/>
      <c r="Q4332"/>
      <c r="R4332"/>
      <c r="S4332"/>
    </row>
    <row r="4333" spans="13:19" ht="13.95" customHeight="1">
      <c r="M4333"/>
      <c r="N4333"/>
      <c r="O4333"/>
      <c r="P4333"/>
      <c r="Q4333"/>
      <c r="R4333"/>
      <c r="S4333"/>
    </row>
    <row r="4334" spans="13:19" ht="13.95" customHeight="1">
      <c r="M4334"/>
      <c r="N4334"/>
      <c r="O4334"/>
      <c r="P4334"/>
      <c r="Q4334"/>
      <c r="R4334"/>
      <c r="S4334"/>
    </row>
    <row r="4335" spans="13:19" ht="13.95" customHeight="1">
      <c r="M4335"/>
      <c r="N4335"/>
      <c r="O4335"/>
      <c r="P4335"/>
      <c r="Q4335"/>
      <c r="R4335"/>
      <c r="S4335"/>
    </row>
    <row r="4336" spans="13:19" ht="13.95" customHeight="1">
      <c r="M4336"/>
      <c r="N4336"/>
      <c r="O4336"/>
      <c r="P4336"/>
      <c r="Q4336"/>
      <c r="R4336"/>
      <c r="S4336"/>
    </row>
    <row r="4337" spans="13:19" ht="13.95" customHeight="1">
      <c r="M4337"/>
      <c r="N4337"/>
      <c r="O4337"/>
      <c r="P4337"/>
      <c r="Q4337"/>
      <c r="R4337"/>
      <c r="S4337"/>
    </row>
    <row r="4338" spans="13:19" ht="13.95" customHeight="1">
      <c r="M4338"/>
      <c r="N4338"/>
      <c r="O4338"/>
      <c r="P4338"/>
      <c r="Q4338"/>
      <c r="R4338"/>
      <c r="S4338"/>
    </row>
    <row r="4339" spans="13:19" ht="13.95" customHeight="1">
      <c r="M4339"/>
      <c r="N4339"/>
      <c r="O4339"/>
      <c r="P4339"/>
      <c r="Q4339"/>
      <c r="R4339"/>
      <c r="S4339"/>
    </row>
    <row r="4340" spans="13:19" ht="13.95" customHeight="1">
      <c r="M4340"/>
      <c r="N4340"/>
      <c r="O4340"/>
      <c r="P4340"/>
      <c r="Q4340"/>
      <c r="R4340"/>
      <c r="S4340"/>
    </row>
    <row r="4341" spans="13:19" ht="13.95" customHeight="1">
      <c r="M4341"/>
      <c r="N4341"/>
      <c r="O4341"/>
      <c r="P4341"/>
      <c r="Q4341"/>
      <c r="R4341"/>
      <c r="S4341"/>
    </row>
    <row r="4342" spans="13:19" ht="13.95" customHeight="1">
      <c r="M4342"/>
      <c r="N4342"/>
      <c r="O4342"/>
      <c r="P4342"/>
      <c r="Q4342"/>
      <c r="R4342"/>
      <c r="S4342"/>
    </row>
    <row r="4343" spans="13:19" ht="13.95" customHeight="1">
      <c r="M4343"/>
      <c r="N4343"/>
      <c r="O4343"/>
      <c r="P4343"/>
      <c r="Q4343"/>
      <c r="R4343"/>
      <c r="S4343"/>
    </row>
    <row r="4344" spans="13:19" ht="13.95" customHeight="1">
      <c r="M4344"/>
      <c r="N4344"/>
      <c r="O4344"/>
      <c r="P4344"/>
      <c r="Q4344"/>
      <c r="R4344"/>
      <c r="S4344"/>
    </row>
    <row r="4345" spans="13:19" ht="13.95" customHeight="1">
      <c r="M4345"/>
      <c r="N4345"/>
      <c r="O4345"/>
      <c r="P4345"/>
      <c r="Q4345"/>
      <c r="R4345"/>
      <c r="S4345"/>
    </row>
    <row r="4346" spans="13:19" ht="13.95" customHeight="1">
      <c r="M4346"/>
      <c r="N4346"/>
      <c r="O4346"/>
      <c r="P4346"/>
      <c r="Q4346"/>
      <c r="R4346"/>
      <c r="S4346"/>
    </row>
    <row r="4347" spans="13:19" ht="13.95" customHeight="1">
      <c r="M4347"/>
      <c r="N4347"/>
      <c r="O4347"/>
      <c r="P4347"/>
      <c r="Q4347"/>
      <c r="R4347"/>
      <c r="S4347"/>
    </row>
    <row r="4348" spans="13:19" ht="13.95" customHeight="1">
      <c r="M4348"/>
      <c r="N4348"/>
      <c r="O4348"/>
      <c r="P4348"/>
      <c r="Q4348"/>
      <c r="R4348"/>
      <c r="S4348"/>
    </row>
    <row r="4349" spans="13:19" ht="13.95" customHeight="1">
      <c r="M4349"/>
      <c r="N4349"/>
      <c r="O4349"/>
      <c r="P4349"/>
      <c r="Q4349"/>
      <c r="R4349"/>
      <c r="S4349"/>
    </row>
    <row r="4350" spans="13:19" ht="13.95" customHeight="1">
      <c r="M4350"/>
      <c r="N4350"/>
      <c r="O4350"/>
      <c r="P4350"/>
      <c r="Q4350"/>
      <c r="R4350"/>
      <c r="S4350"/>
    </row>
    <row r="4351" spans="13:19" ht="13.95" customHeight="1">
      <c r="M4351"/>
      <c r="N4351"/>
      <c r="O4351"/>
      <c r="P4351"/>
      <c r="Q4351"/>
      <c r="R4351"/>
      <c r="S4351"/>
    </row>
    <row r="4352" spans="13:19" ht="13.95" customHeight="1">
      <c r="M4352"/>
      <c r="N4352"/>
      <c r="O4352"/>
      <c r="P4352"/>
      <c r="Q4352"/>
      <c r="R4352"/>
      <c r="S4352"/>
    </row>
    <row r="4353" spans="13:19" ht="13.95" customHeight="1">
      <c r="M4353"/>
      <c r="N4353"/>
      <c r="O4353"/>
      <c r="P4353"/>
      <c r="Q4353"/>
      <c r="R4353"/>
      <c r="S4353"/>
    </row>
    <row r="4354" spans="13:19" ht="13.95" customHeight="1">
      <c r="M4354"/>
      <c r="N4354"/>
      <c r="O4354"/>
      <c r="P4354"/>
      <c r="Q4354"/>
      <c r="R4354"/>
      <c r="S4354"/>
    </row>
    <row r="4355" spans="13:19" ht="13.95" customHeight="1">
      <c r="M4355"/>
      <c r="N4355"/>
      <c r="O4355"/>
      <c r="P4355"/>
      <c r="Q4355"/>
      <c r="R4355"/>
      <c r="S4355"/>
    </row>
    <row r="4356" spans="13:19" ht="13.95" customHeight="1">
      <c r="M4356"/>
      <c r="N4356"/>
      <c r="O4356"/>
      <c r="P4356"/>
      <c r="Q4356"/>
      <c r="R4356"/>
      <c r="S4356"/>
    </row>
    <row r="4357" spans="13:19" ht="13.95" customHeight="1">
      <c r="M4357"/>
      <c r="N4357"/>
      <c r="O4357"/>
      <c r="P4357"/>
      <c r="Q4357"/>
      <c r="R4357"/>
      <c r="S4357"/>
    </row>
    <row r="4358" spans="13:19" ht="13.95" customHeight="1">
      <c r="M4358"/>
      <c r="N4358"/>
      <c r="O4358"/>
      <c r="P4358"/>
      <c r="Q4358"/>
      <c r="R4358"/>
      <c r="S4358"/>
    </row>
    <row r="4359" spans="13:19" ht="13.95" customHeight="1">
      <c r="M4359"/>
      <c r="N4359"/>
      <c r="O4359"/>
      <c r="P4359"/>
      <c r="Q4359"/>
      <c r="R4359"/>
      <c r="S4359"/>
    </row>
    <row r="4360" spans="13:19" ht="13.95" customHeight="1">
      <c r="M4360"/>
      <c r="N4360"/>
      <c r="O4360"/>
      <c r="P4360"/>
      <c r="Q4360"/>
      <c r="R4360"/>
      <c r="S4360"/>
    </row>
    <row r="4361" spans="13:19" ht="13.95" customHeight="1">
      <c r="M4361"/>
      <c r="N4361"/>
      <c r="O4361"/>
      <c r="P4361"/>
      <c r="Q4361"/>
      <c r="R4361"/>
      <c r="S4361"/>
    </row>
    <row r="4362" spans="13:19" ht="13.95" customHeight="1">
      <c r="M4362"/>
      <c r="N4362"/>
      <c r="O4362"/>
      <c r="P4362"/>
      <c r="Q4362"/>
      <c r="R4362"/>
      <c r="S4362"/>
    </row>
    <row r="4363" spans="13:19" ht="13.95" customHeight="1">
      <c r="M4363"/>
      <c r="N4363"/>
      <c r="O4363"/>
      <c r="P4363"/>
      <c r="Q4363"/>
      <c r="R4363"/>
      <c r="S4363"/>
    </row>
    <row r="4364" spans="13:19" ht="13.95" customHeight="1">
      <c r="M4364"/>
      <c r="N4364"/>
      <c r="O4364"/>
      <c r="P4364"/>
      <c r="Q4364"/>
      <c r="R4364"/>
      <c r="S4364"/>
    </row>
    <row r="4365" spans="13:19" ht="13.95" customHeight="1">
      <c r="M4365"/>
      <c r="N4365"/>
      <c r="O4365"/>
      <c r="P4365"/>
      <c r="Q4365"/>
      <c r="R4365"/>
      <c r="S4365"/>
    </row>
    <row r="4366" spans="13:19" ht="13.95" customHeight="1">
      <c r="M4366"/>
      <c r="N4366"/>
      <c r="O4366"/>
      <c r="P4366"/>
      <c r="Q4366"/>
      <c r="R4366"/>
      <c r="S4366"/>
    </row>
    <row r="4367" spans="13:19" ht="13.95" customHeight="1">
      <c r="M4367"/>
      <c r="N4367"/>
      <c r="O4367"/>
      <c r="P4367"/>
      <c r="Q4367"/>
      <c r="R4367"/>
      <c r="S4367"/>
    </row>
    <row r="4368" spans="13:19" ht="13.95" customHeight="1">
      <c r="M4368"/>
      <c r="N4368"/>
      <c r="O4368"/>
      <c r="P4368"/>
      <c r="Q4368"/>
      <c r="R4368"/>
      <c r="S4368"/>
    </row>
    <row r="4369" spans="13:19" ht="13.95" customHeight="1">
      <c r="M4369"/>
      <c r="N4369"/>
      <c r="O4369"/>
      <c r="P4369"/>
      <c r="Q4369"/>
      <c r="R4369"/>
      <c r="S4369"/>
    </row>
    <row r="4370" spans="13:19" ht="13.95" customHeight="1">
      <c r="M4370"/>
      <c r="N4370"/>
      <c r="O4370"/>
      <c r="P4370"/>
      <c r="Q4370"/>
      <c r="R4370"/>
      <c r="S4370"/>
    </row>
    <row r="4371" spans="13:19" ht="13.95" customHeight="1">
      <c r="M4371"/>
      <c r="N4371"/>
      <c r="O4371"/>
      <c r="P4371"/>
      <c r="Q4371"/>
      <c r="R4371"/>
      <c r="S4371"/>
    </row>
    <row r="4372" spans="13:19" ht="13.95" customHeight="1">
      <c r="M4372"/>
      <c r="N4372"/>
      <c r="O4372"/>
      <c r="P4372"/>
      <c r="Q4372"/>
      <c r="R4372"/>
      <c r="S4372"/>
    </row>
    <row r="4373" spans="13:19" ht="13.95" customHeight="1">
      <c r="M4373"/>
      <c r="N4373"/>
      <c r="O4373"/>
      <c r="P4373"/>
      <c r="Q4373"/>
      <c r="R4373"/>
      <c r="S4373"/>
    </row>
    <row r="4374" spans="13:19" ht="13.95" customHeight="1">
      <c r="M4374"/>
      <c r="N4374"/>
      <c r="O4374"/>
      <c r="P4374"/>
      <c r="Q4374"/>
      <c r="R4374"/>
      <c r="S4374"/>
    </row>
    <row r="4375" spans="13:19" ht="13.95" customHeight="1">
      <c r="M4375"/>
      <c r="N4375"/>
      <c r="O4375"/>
      <c r="P4375"/>
      <c r="Q4375"/>
      <c r="R4375"/>
      <c r="S4375"/>
    </row>
    <row r="4376" spans="13:19" ht="13.95" customHeight="1">
      <c r="M4376"/>
      <c r="N4376"/>
      <c r="O4376"/>
      <c r="P4376"/>
      <c r="Q4376"/>
      <c r="R4376"/>
      <c r="S4376"/>
    </row>
    <row r="4377" spans="13:19" ht="13.95" customHeight="1">
      <c r="M4377"/>
      <c r="N4377"/>
      <c r="O4377"/>
      <c r="P4377"/>
      <c r="Q4377"/>
      <c r="R4377"/>
      <c r="S4377"/>
    </row>
    <row r="4378" spans="13:19" ht="13.95" customHeight="1">
      <c r="M4378"/>
      <c r="N4378"/>
      <c r="O4378"/>
      <c r="P4378"/>
      <c r="Q4378"/>
      <c r="R4378"/>
      <c r="S4378"/>
    </row>
    <row r="4379" spans="13:19" ht="13.95" customHeight="1">
      <c r="M4379"/>
      <c r="N4379"/>
      <c r="O4379"/>
      <c r="P4379"/>
      <c r="Q4379"/>
      <c r="R4379"/>
      <c r="S4379"/>
    </row>
    <row r="4380" spans="13:19" ht="13.95" customHeight="1">
      <c r="M4380"/>
      <c r="N4380"/>
      <c r="O4380"/>
      <c r="P4380"/>
      <c r="Q4380"/>
      <c r="R4380"/>
      <c r="S4380"/>
    </row>
    <row r="4381" spans="13:19" ht="13.95" customHeight="1">
      <c r="M4381"/>
      <c r="N4381"/>
      <c r="O4381"/>
      <c r="P4381"/>
      <c r="Q4381"/>
      <c r="R4381"/>
      <c r="S4381"/>
    </row>
    <row r="4382" spans="13:19" ht="13.95" customHeight="1">
      <c r="M4382"/>
      <c r="N4382"/>
      <c r="O4382"/>
      <c r="P4382"/>
      <c r="Q4382"/>
      <c r="R4382"/>
      <c r="S4382"/>
    </row>
    <row r="4383" spans="13:19" ht="13.95" customHeight="1">
      <c r="M4383"/>
      <c r="N4383"/>
      <c r="O4383"/>
      <c r="P4383"/>
      <c r="Q4383"/>
      <c r="R4383"/>
      <c r="S4383"/>
    </row>
    <row r="4384" spans="13:19" ht="13.95" customHeight="1">
      <c r="M4384"/>
      <c r="N4384"/>
      <c r="O4384"/>
      <c r="P4384"/>
      <c r="Q4384"/>
      <c r="R4384"/>
      <c r="S4384"/>
    </row>
    <row r="4385" spans="13:19" ht="13.95" customHeight="1">
      <c r="M4385"/>
      <c r="N4385"/>
      <c r="O4385"/>
      <c r="P4385"/>
      <c r="Q4385"/>
      <c r="R4385"/>
      <c r="S4385"/>
    </row>
    <row r="4386" spans="13:19" ht="13.95" customHeight="1">
      <c r="M4386"/>
      <c r="N4386"/>
      <c r="O4386"/>
      <c r="P4386"/>
      <c r="Q4386"/>
      <c r="R4386"/>
      <c r="S4386"/>
    </row>
    <row r="4387" spans="13:19" ht="13.95" customHeight="1">
      <c r="M4387"/>
      <c r="N4387"/>
      <c r="O4387"/>
      <c r="P4387"/>
      <c r="Q4387"/>
      <c r="R4387"/>
      <c r="S4387"/>
    </row>
    <row r="4388" spans="13:19" ht="13.95" customHeight="1">
      <c r="M4388"/>
      <c r="N4388"/>
      <c r="O4388"/>
      <c r="P4388"/>
      <c r="Q4388"/>
      <c r="R4388"/>
      <c r="S4388"/>
    </row>
    <row r="4389" spans="13:19" ht="13.95" customHeight="1">
      <c r="M4389"/>
      <c r="N4389"/>
      <c r="O4389"/>
      <c r="P4389"/>
      <c r="Q4389"/>
      <c r="R4389"/>
      <c r="S4389"/>
    </row>
    <row r="4390" spans="13:19" ht="13.95" customHeight="1">
      <c r="M4390"/>
      <c r="N4390"/>
      <c r="O4390"/>
      <c r="P4390"/>
      <c r="Q4390"/>
      <c r="R4390"/>
      <c r="S4390"/>
    </row>
    <row r="4391" spans="13:19" ht="13.95" customHeight="1">
      <c r="M4391"/>
      <c r="N4391"/>
      <c r="O4391"/>
      <c r="P4391"/>
      <c r="Q4391"/>
      <c r="R4391"/>
      <c r="S4391"/>
    </row>
    <row r="4392" spans="13:19" ht="13.95" customHeight="1">
      <c r="M4392"/>
      <c r="N4392"/>
      <c r="O4392"/>
      <c r="P4392"/>
      <c r="Q4392"/>
      <c r="R4392"/>
      <c r="S4392"/>
    </row>
    <row r="4393" spans="13:19" ht="13.95" customHeight="1">
      <c r="M4393"/>
      <c r="N4393"/>
      <c r="O4393"/>
      <c r="P4393"/>
      <c r="Q4393"/>
      <c r="R4393"/>
      <c r="S4393"/>
    </row>
    <row r="4394" spans="13:19" ht="13.95" customHeight="1">
      <c r="M4394"/>
      <c r="N4394"/>
      <c r="O4394"/>
      <c r="P4394"/>
      <c r="Q4394"/>
      <c r="R4394"/>
      <c r="S4394"/>
    </row>
    <row r="4395" spans="13:19" ht="13.95" customHeight="1">
      <c r="M4395"/>
      <c r="N4395"/>
      <c r="O4395"/>
      <c r="P4395"/>
      <c r="Q4395"/>
      <c r="R4395"/>
      <c r="S4395"/>
    </row>
    <row r="4396" spans="13:19" ht="13.95" customHeight="1">
      <c r="M4396"/>
      <c r="N4396"/>
      <c r="O4396"/>
      <c r="P4396"/>
      <c r="Q4396"/>
      <c r="R4396"/>
      <c r="S4396"/>
    </row>
    <row r="4397" spans="13:19" ht="13.95" customHeight="1">
      <c r="M4397"/>
      <c r="N4397"/>
      <c r="O4397"/>
      <c r="P4397"/>
      <c r="Q4397"/>
      <c r="R4397"/>
      <c r="S4397"/>
    </row>
    <row r="4398" spans="13:19" ht="13.95" customHeight="1">
      <c r="M4398"/>
      <c r="N4398"/>
      <c r="O4398"/>
      <c r="P4398"/>
      <c r="Q4398"/>
      <c r="R4398"/>
      <c r="S4398"/>
    </row>
    <row r="4399" spans="13:19" ht="13.95" customHeight="1">
      <c r="M4399"/>
      <c r="N4399"/>
      <c r="O4399"/>
      <c r="P4399"/>
      <c r="Q4399"/>
      <c r="R4399"/>
      <c r="S4399"/>
    </row>
    <row r="4400" spans="13:19" ht="13.95" customHeight="1">
      <c r="M4400"/>
      <c r="N4400"/>
      <c r="O4400"/>
      <c r="P4400"/>
      <c r="Q4400"/>
      <c r="R4400"/>
      <c r="S4400"/>
    </row>
    <row r="4401" spans="13:19" ht="13.95" customHeight="1">
      <c r="M4401"/>
      <c r="N4401"/>
      <c r="O4401"/>
      <c r="P4401"/>
      <c r="Q4401"/>
      <c r="R4401"/>
      <c r="S4401"/>
    </row>
    <row r="4402" spans="13:19" ht="13.95" customHeight="1">
      <c r="M4402"/>
      <c r="N4402"/>
      <c r="O4402"/>
      <c r="P4402"/>
      <c r="Q4402"/>
      <c r="R4402"/>
      <c r="S4402"/>
    </row>
    <row r="4403" spans="13:19" ht="13.95" customHeight="1">
      <c r="M4403"/>
      <c r="N4403"/>
      <c r="O4403"/>
      <c r="P4403"/>
      <c r="Q4403"/>
      <c r="R4403"/>
      <c r="S4403"/>
    </row>
    <row r="4404" spans="13:19" ht="13.95" customHeight="1">
      <c r="M4404"/>
      <c r="N4404"/>
      <c r="O4404"/>
      <c r="P4404"/>
      <c r="Q4404"/>
      <c r="R4404"/>
      <c r="S4404"/>
    </row>
    <row r="4405" spans="13:19" ht="13.95" customHeight="1">
      <c r="M4405"/>
      <c r="N4405"/>
      <c r="O4405"/>
      <c r="P4405"/>
      <c r="Q4405"/>
      <c r="R4405"/>
      <c r="S4405"/>
    </row>
    <row r="4406" spans="13:19" ht="13.95" customHeight="1">
      <c r="M4406"/>
      <c r="N4406"/>
      <c r="O4406"/>
      <c r="P4406"/>
      <c r="Q4406"/>
      <c r="R4406"/>
      <c r="S4406"/>
    </row>
    <row r="4407" spans="13:19" ht="13.95" customHeight="1">
      <c r="M4407"/>
      <c r="N4407"/>
      <c r="O4407"/>
      <c r="P4407"/>
      <c r="Q4407"/>
      <c r="R4407"/>
      <c r="S4407"/>
    </row>
    <row r="4408" spans="13:19" ht="13.95" customHeight="1">
      <c r="M4408"/>
      <c r="N4408"/>
      <c r="O4408"/>
      <c r="P4408"/>
      <c r="Q4408"/>
      <c r="R4408"/>
      <c r="S4408"/>
    </row>
    <row r="4409" spans="13:19" ht="13.95" customHeight="1">
      <c r="M4409"/>
      <c r="N4409"/>
      <c r="O4409"/>
      <c r="P4409"/>
      <c r="Q4409"/>
      <c r="R4409"/>
      <c r="S4409"/>
    </row>
    <row r="4410" spans="13:19" ht="13.95" customHeight="1">
      <c r="M4410"/>
      <c r="N4410"/>
      <c r="O4410"/>
      <c r="P4410"/>
      <c r="Q4410"/>
      <c r="R4410"/>
      <c r="S4410"/>
    </row>
    <row r="4411" spans="13:19" ht="13.95" customHeight="1">
      <c r="M4411"/>
      <c r="N4411"/>
      <c r="O4411"/>
      <c r="P4411"/>
      <c r="Q4411"/>
      <c r="R4411"/>
      <c r="S4411"/>
    </row>
    <row r="4412" spans="13:19" ht="13.95" customHeight="1">
      <c r="M4412"/>
      <c r="N4412"/>
      <c r="O4412"/>
      <c r="P4412"/>
      <c r="Q4412"/>
      <c r="R4412"/>
      <c r="S4412"/>
    </row>
    <row r="4413" spans="13:19" ht="13.95" customHeight="1">
      <c r="M4413"/>
      <c r="N4413"/>
      <c r="O4413"/>
      <c r="P4413"/>
      <c r="Q4413"/>
      <c r="R4413"/>
      <c r="S4413"/>
    </row>
    <row r="4414" spans="13:19" ht="13.95" customHeight="1">
      <c r="M4414"/>
      <c r="N4414"/>
      <c r="O4414"/>
      <c r="P4414"/>
      <c r="Q4414"/>
      <c r="R4414"/>
      <c r="S4414"/>
    </row>
    <row r="4415" spans="13:19" ht="13.95" customHeight="1">
      <c r="M4415"/>
      <c r="N4415"/>
      <c r="O4415"/>
      <c r="P4415"/>
      <c r="Q4415"/>
      <c r="R4415"/>
      <c r="S4415"/>
    </row>
    <row r="4416" spans="13:19" ht="13.95" customHeight="1">
      <c r="M4416"/>
      <c r="N4416"/>
      <c r="O4416"/>
      <c r="P4416"/>
      <c r="Q4416"/>
      <c r="R4416"/>
      <c r="S4416"/>
    </row>
    <row r="4417" spans="13:19" ht="13.95" customHeight="1">
      <c r="M4417"/>
      <c r="N4417"/>
      <c r="O4417"/>
      <c r="P4417"/>
      <c r="Q4417"/>
      <c r="R4417"/>
      <c r="S4417"/>
    </row>
    <row r="4418" spans="13:19" ht="13.95" customHeight="1">
      <c r="M4418"/>
      <c r="N4418"/>
      <c r="O4418"/>
      <c r="P4418"/>
      <c r="Q4418"/>
      <c r="R4418"/>
      <c r="S4418"/>
    </row>
    <row r="4419" spans="13:19" ht="13.95" customHeight="1">
      <c r="M4419"/>
      <c r="N4419"/>
      <c r="O4419"/>
      <c r="P4419"/>
      <c r="Q4419"/>
      <c r="R4419"/>
      <c r="S4419"/>
    </row>
    <row r="4420" spans="13:19" ht="13.95" customHeight="1">
      <c r="M4420"/>
      <c r="N4420"/>
      <c r="O4420"/>
      <c r="P4420"/>
      <c r="Q4420"/>
      <c r="R4420"/>
      <c r="S4420"/>
    </row>
    <row r="4421" spans="13:19" ht="13.95" customHeight="1">
      <c r="M4421"/>
      <c r="N4421"/>
      <c r="O4421"/>
      <c r="P4421"/>
      <c r="Q4421"/>
      <c r="R4421"/>
      <c r="S4421"/>
    </row>
    <row r="4422" spans="13:19" ht="13.95" customHeight="1">
      <c r="M4422"/>
      <c r="N4422"/>
      <c r="O4422"/>
      <c r="P4422"/>
      <c r="Q4422"/>
      <c r="R4422"/>
      <c r="S4422"/>
    </row>
    <row r="4423" spans="13:19" ht="13.95" customHeight="1">
      <c r="M4423"/>
      <c r="N4423"/>
      <c r="O4423"/>
      <c r="P4423"/>
      <c r="Q4423"/>
      <c r="R4423"/>
      <c r="S4423"/>
    </row>
    <row r="4424" spans="13:19" ht="13.95" customHeight="1">
      <c r="M4424"/>
      <c r="N4424"/>
      <c r="O4424"/>
      <c r="P4424"/>
      <c r="Q4424"/>
      <c r="R4424"/>
      <c r="S4424"/>
    </row>
    <row r="4425" spans="13:19" ht="13.95" customHeight="1">
      <c r="M4425"/>
      <c r="N4425"/>
      <c r="O4425"/>
      <c r="P4425"/>
      <c r="Q4425"/>
      <c r="R4425"/>
      <c r="S4425"/>
    </row>
    <row r="4426" spans="13:19" ht="13.95" customHeight="1">
      <c r="M4426"/>
      <c r="N4426"/>
      <c r="O4426"/>
      <c r="P4426"/>
      <c r="Q4426"/>
      <c r="R4426"/>
      <c r="S4426"/>
    </row>
    <row r="4427" spans="13:19" ht="13.95" customHeight="1">
      <c r="M4427"/>
      <c r="N4427"/>
      <c r="O4427"/>
      <c r="P4427"/>
      <c r="Q4427"/>
      <c r="R4427"/>
      <c r="S4427"/>
    </row>
    <row r="4428" spans="13:19" ht="13.95" customHeight="1">
      <c r="M4428"/>
      <c r="N4428"/>
      <c r="O4428"/>
      <c r="P4428"/>
      <c r="Q4428"/>
      <c r="R4428"/>
      <c r="S4428"/>
    </row>
    <row r="4429" spans="13:19" ht="13.95" customHeight="1">
      <c r="M4429"/>
      <c r="N4429"/>
      <c r="O4429"/>
      <c r="P4429"/>
      <c r="Q4429"/>
      <c r="R4429"/>
      <c r="S4429"/>
    </row>
    <row r="4430" spans="13:19" ht="13.95" customHeight="1">
      <c r="M4430"/>
      <c r="N4430"/>
      <c r="O4430"/>
      <c r="P4430"/>
      <c r="Q4430"/>
      <c r="R4430"/>
      <c r="S4430"/>
    </row>
    <row r="4431" spans="13:19" ht="13.95" customHeight="1">
      <c r="M4431"/>
      <c r="N4431"/>
      <c r="O4431"/>
      <c r="P4431"/>
      <c r="Q4431"/>
      <c r="R4431"/>
      <c r="S4431"/>
    </row>
    <row r="4432" spans="13:19" ht="13.95" customHeight="1">
      <c r="M4432"/>
      <c r="N4432"/>
      <c r="O4432"/>
      <c r="P4432"/>
      <c r="Q4432"/>
      <c r="R4432"/>
      <c r="S4432"/>
    </row>
    <row r="4433" spans="13:19" ht="13.95" customHeight="1">
      <c r="M4433"/>
      <c r="N4433"/>
      <c r="O4433"/>
      <c r="P4433"/>
      <c r="Q4433"/>
      <c r="R4433"/>
      <c r="S4433"/>
    </row>
    <row r="4434" spans="13:19" ht="13.95" customHeight="1">
      <c r="M4434"/>
      <c r="N4434"/>
      <c r="O4434"/>
      <c r="P4434"/>
      <c r="Q4434"/>
      <c r="R4434"/>
      <c r="S4434"/>
    </row>
    <row r="4435" spans="13:19" ht="13.95" customHeight="1">
      <c r="M4435"/>
      <c r="N4435"/>
      <c r="O4435"/>
      <c r="P4435"/>
      <c r="Q4435"/>
      <c r="R4435"/>
      <c r="S4435"/>
    </row>
    <row r="4436" spans="13:19" ht="13.95" customHeight="1">
      <c r="M4436"/>
      <c r="N4436"/>
      <c r="O4436"/>
      <c r="P4436"/>
      <c r="Q4436"/>
      <c r="R4436"/>
      <c r="S4436"/>
    </row>
    <row r="4437" spans="13:19" ht="13.95" customHeight="1">
      <c r="M4437"/>
      <c r="N4437"/>
      <c r="O4437"/>
      <c r="P4437"/>
      <c r="Q4437"/>
      <c r="R4437"/>
      <c r="S4437"/>
    </row>
    <row r="4438" spans="13:19" ht="13.95" customHeight="1">
      <c r="M4438"/>
      <c r="N4438"/>
      <c r="O4438"/>
      <c r="P4438"/>
      <c r="Q4438"/>
      <c r="R4438"/>
      <c r="S4438"/>
    </row>
    <row r="4439" spans="13:19" ht="13.95" customHeight="1">
      <c r="M4439"/>
      <c r="N4439"/>
      <c r="O4439"/>
      <c r="P4439"/>
      <c r="Q4439"/>
      <c r="R4439"/>
      <c r="S4439"/>
    </row>
    <row r="4440" spans="13:19" ht="13.95" customHeight="1">
      <c r="M4440"/>
      <c r="N4440"/>
      <c r="O4440"/>
      <c r="P4440"/>
      <c r="Q4440"/>
      <c r="R4440"/>
      <c r="S4440"/>
    </row>
    <row r="4441" spans="13:19" ht="13.95" customHeight="1">
      <c r="M4441"/>
      <c r="N4441"/>
      <c r="O4441"/>
      <c r="P4441"/>
      <c r="Q4441"/>
      <c r="R4441"/>
      <c r="S4441"/>
    </row>
    <row r="4442" spans="13:19" ht="13.95" customHeight="1">
      <c r="M4442"/>
      <c r="N4442"/>
      <c r="O4442"/>
      <c r="P4442"/>
      <c r="Q4442"/>
      <c r="R4442"/>
      <c r="S4442"/>
    </row>
    <row r="4443" spans="13:19" ht="13.95" customHeight="1">
      <c r="M4443"/>
      <c r="N4443"/>
      <c r="O4443"/>
      <c r="P4443"/>
      <c r="Q4443"/>
      <c r="R4443"/>
      <c r="S4443"/>
    </row>
    <row r="4444" spans="13:19" ht="13.95" customHeight="1">
      <c r="M4444"/>
      <c r="N4444"/>
      <c r="O4444"/>
      <c r="P4444"/>
      <c r="Q4444"/>
      <c r="R4444"/>
      <c r="S4444"/>
    </row>
    <row r="4445" spans="13:19" ht="13.95" customHeight="1">
      <c r="M4445"/>
      <c r="N4445"/>
      <c r="O4445"/>
      <c r="P4445"/>
      <c r="Q4445"/>
      <c r="R4445"/>
      <c r="S4445"/>
    </row>
    <row r="4446" spans="13:19" ht="13.95" customHeight="1">
      <c r="M4446"/>
      <c r="N4446"/>
      <c r="O4446"/>
      <c r="P4446"/>
      <c r="Q4446"/>
      <c r="R4446"/>
      <c r="S4446"/>
    </row>
    <row r="4447" spans="13:19" ht="13.95" customHeight="1">
      <c r="M4447"/>
      <c r="N4447"/>
      <c r="O4447"/>
      <c r="P4447"/>
      <c r="Q4447"/>
      <c r="R4447"/>
      <c r="S4447"/>
    </row>
    <row r="4448" spans="13:19" ht="13.95" customHeight="1">
      <c r="M4448"/>
      <c r="N4448"/>
      <c r="O4448"/>
      <c r="P4448"/>
      <c r="Q4448"/>
      <c r="R4448"/>
      <c r="S4448"/>
    </row>
    <row r="4449" spans="13:19" ht="13.95" customHeight="1">
      <c r="M4449"/>
      <c r="N4449"/>
      <c r="O4449"/>
      <c r="P4449"/>
      <c r="Q4449"/>
      <c r="R4449"/>
      <c r="S4449"/>
    </row>
    <row r="4450" spans="13:19" ht="13.95" customHeight="1">
      <c r="M4450"/>
      <c r="N4450"/>
      <c r="O4450"/>
      <c r="P4450"/>
      <c r="Q4450"/>
      <c r="R4450"/>
      <c r="S4450"/>
    </row>
    <row r="4451" spans="13:19" ht="13.95" customHeight="1">
      <c r="M4451"/>
      <c r="N4451"/>
      <c r="O4451"/>
      <c r="P4451"/>
      <c r="Q4451"/>
      <c r="R4451"/>
      <c r="S4451"/>
    </row>
    <row r="4452" spans="13:19" ht="13.95" customHeight="1">
      <c r="M4452"/>
      <c r="N4452"/>
      <c r="O4452"/>
      <c r="P4452"/>
      <c r="Q4452"/>
      <c r="R4452"/>
      <c r="S4452"/>
    </row>
    <row r="4453" spans="13:19" ht="13.95" customHeight="1">
      <c r="M4453"/>
      <c r="N4453"/>
      <c r="O4453"/>
      <c r="P4453"/>
      <c r="Q4453"/>
      <c r="R4453"/>
      <c r="S4453"/>
    </row>
    <row r="4454" spans="13:19" ht="13.95" customHeight="1">
      <c r="M4454"/>
      <c r="N4454"/>
      <c r="O4454"/>
      <c r="P4454"/>
      <c r="Q4454"/>
      <c r="R4454"/>
      <c r="S4454"/>
    </row>
    <row r="4455" spans="13:19" ht="13.95" customHeight="1">
      <c r="M4455"/>
      <c r="N4455"/>
      <c r="O4455"/>
      <c r="P4455"/>
      <c r="Q4455"/>
      <c r="R4455"/>
      <c r="S4455"/>
    </row>
    <row r="4456" spans="13:19" ht="13.95" customHeight="1">
      <c r="M4456"/>
      <c r="N4456"/>
      <c r="O4456"/>
      <c r="P4456"/>
      <c r="Q4456"/>
      <c r="R4456"/>
      <c r="S4456"/>
    </row>
    <row r="4457" spans="13:19" ht="13.95" customHeight="1">
      <c r="M4457"/>
      <c r="N4457"/>
      <c r="O4457"/>
      <c r="P4457"/>
      <c r="Q4457"/>
      <c r="R4457"/>
      <c r="S4457"/>
    </row>
    <row r="4458" spans="13:19" ht="13.95" customHeight="1">
      <c r="M4458"/>
      <c r="N4458"/>
      <c r="O4458"/>
      <c r="P4458"/>
      <c r="Q4458"/>
      <c r="R4458"/>
      <c r="S4458"/>
    </row>
    <row r="4459" spans="13:19" ht="13.95" customHeight="1">
      <c r="M4459"/>
      <c r="N4459"/>
      <c r="O4459"/>
      <c r="P4459"/>
      <c r="Q4459"/>
      <c r="R4459"/>
      <c r="S4459"/>
    </row>
    <row r="4460" spans="13:19" ht="13.95" customHeight="1">
      <c r="M4460"/>
      <c r="N4460"/>
      <c r="O4460"/>
      <c r="P4460"/>
      <c r="Q4460"/>
      <c r="R4460"/>
      <c r="S4460"/>
    </row>
    <row r="4461" spans="13:19" ht="13.95" customHeight="1">
      <c r="M4461"/>
      <c r="N4461"/>
      <c r="O4461"/>
      <c r="P4461"/>
      <c r="Q4461"/>
      <c r="R4461"/>
      <c r="S4461"/>
    </row>
    <row r="4462" spans="13:19" ht="13.95" customHeight="1">
      <c r="M4462"/>
      <c r="N4462"/>
      <c r="O4462"/>
      <c r="P4462"/>
      <c r="Q4462"/>
      <c r="R4462"/>
      <c r="S4462"/>
    </row>
    <row r="4463" spans="13:19" ht="13.95" customHeight="1">
      <c r="M4463"/>
      <c r="N4463"/>
      <c r="O4463"/>
      <c r="P4463"/>
      <c r="Q4463"/>
      <c r="R4463"/>
      <c r="S4463"/>
    </row>
    <row r="4464" spans="13:19" ht="13.95" customHeight="1">
      <c r="M4464"/>
      <c r="N4464"/>
      <c r="O4464"/>
      <c r="P4464"/>
      <c r="Q4464"/>
      <c r="R4464"/>
      <c r="S4464"/>
    </row>
    <row r="4465" spans="13:19" ht="13.95" customHeight="1">
      <c r="M4465"/>
      <c r="N4465"/>
      <c r="O4465"/>
      <c r="P4465"/>
      <c r="Q4465"/>
      <c r="R4465"/>
      <c r="S4465"/>
    </row>
    <row r="4466" spans="13:19" ht="13.95" customHeight="1">
      <c r="M4466"/>
      <c r="N4466"/>
      <c r="O4466"/>
      <c r="P4466"/>
      <c r="Q4466"/>
      <c r="R4466"/>
      <c r="S4466"/>
    </row>
    <row r="4467" spans="13:19" ht="13.95" customHeight="1">
      <c r="M4467"/>
      <c r="N4467"/>
      <c r="O4467"/>
      <c r="P4467"/>
      <c r="Q4467"/>
      <c r="R4467"/>
      <c r="S4467"/>
    </row>
    <row r="4468" spans="13:19" ht="13.95" customHeight="1">
      <c r="M4468"/>
      <c r="N4468"/>
      <c r="O4468"/>
      <c r="P4468"/>
      <c r="Q4468"/>
      <c r="R4468"/>
      <c r="S4468"/>
    </row>
    <row r="4469" spans="13:19" ht="13.95" customHeight="1">
      <c r="M4469"/>
      <c r="N4469"/>
      <c r="O4469"/>
      <c r="P4469"/>
      <c r="Q4469"/>
      <c r="R4469"/>
      <c r="S4469"/>
    </row>
    <row r="4470" spans="13:19" ht="13.95" customHeight="1">
      <c r="M4470"/>
      <c r="N4470"/>
      <c r="O4470"/>
      <c r="P4470"/>
      <c r="Q4470"/>
      <c r="R4470"/>
      <c r="S4470"/>
    </row>
    <row r="4471" spans="13:19" ht="13.95" customHeight="1">
      <c r="M4471"/>
      <c r="N4471"/>
      <c r="O4471"/>
      <c r="P4471"/>
      <c r="Q4471"/>
      <c r="R4471"/>
      <c r="S4471"/>
    </row>
    <row r="4472" spans="13:19" ht="13.95" customHeight="1">
      <c r="M4472"/>
      <c r="N4472"/>
      <c r="O4472"/>
      <c r="P4472"/>
      <c r="Q4472"/>
      <c r="R4472"/>
      <c r="S4472"/>
    </row>
    <row r="4473" spans="13:19" ht="13.95" customHeight="1">
      <c r="M4473"/>
      <c r="N4473"/>
      <c r="O4473"/>
      <c r="P4473"/>
      <c r="Q4473"/>
      <c r="R4473"/>
      <c r="S4473"/>
    </row>
    <row r="4474" spans="13:19" ht="13.95" customHeight="1">
      <c r="M4474"/>
      <c r="N4474"/>
      <c r="O4474"/>
      <c r="P4474"/>
      <c r="Q4474"/>
      <c r="R4474"/>
      <c r="S4474"/>
    </row>
    <row r="4475" spans="13:19" ht="13.95" customHeight="1">
      <c r="M4475"/>
      <c r="N4475"/>
      <c r="O4475"/>
      <c r="P4475"/>
      <c r="Q4475"/>
      <c r="R4475"/>
      <c r="S4475"/>
    </row>
    <row r="4476" spans="13:19" ht="13.95" customHeight="1">
      <c r="M4476"/>
      <c r="N4476"/>
      <c r="O4476"/>
      <c r="P4476"/>
      <c r="Q4476"/>
      <c r="R4476"/>
      <c r="S4476"/>
    </row>
    <row r="4477" spans="13:19" ht="13.95" customHeight="1">
      <c r="M4477"/>
      <c r="N4477"/>
      <c r="O4477"/>
      <c r="P4477"/>
      <c r="Q4477"/>
      <c r="R4477"/>
      <c r="S4477"/>
    </row>
    <row r="4478" spans="13:19" ht="13.95" customHeight="1">
      <c r="M4478"/>
      <c r="N4478"/>
      <c r="O4478"/>
      <c r="P4478"/>
      <c r="Q4478"/>
      <c r="R4478"/>
      <c r="S4478"/>
    </row>
    <row r="4479" spans="13:19" ht="13.95" customHeight="1">
      <c r="M4479"/>
      <c r="N4479"/>
      <c r="O4479"/>
      <c r="P4479"/>
      <c r="Q4479"/>
      <c r="R4479"/>
      <c r="S4479"/>
    </row>
    <row r="4480" spans="13:19" ht="13.95" customHeight="1">
      <c r="M4480"/>
      <c r="N4480"/>
      <c r="O4480"/>
      <c r="P4480"/>
      <c r="Q4480"/>
      <c r="R4480"/>
      <c r="S4480"/>
    </row>
    <row r="4481" spans="13:19" ht="13.95" customHeight="1">
      <c r="M4481"/>
      <c r="N4481"/>
      <c r="O4481"/>
      <c r="P4481"/>
      <c r="Q4481"/>
      <c r="R4481"/>
      <c r="S4481"/>
    </row>
    <row r="4482" spans="13:19" ht="13.95" customHeight="1">
      <c r="M4482"/>
      <c r="N4482"/>
      <c r="O4482"/>
      <c r="P4482"/>
      <c r="Q4482"/>
      <c r="R4482"/>
      <c r="S4482"/>
    </row>
    <row r="4483" spans="13:19" ht="13.95" customHeight="1">
      <c r="M4483"/>
      <c r="N4483"/>
      <c r="O4483"/>
      <c r="P4483"/>
      <c r="Q4483"/>
      <c r="R4483"/>
      <c r="S4483"/>
    </row>
    <row r="4484" spans="13:19" ht="13.95" customHeight="1">
      <c r="M4484"/>
      <c r="N4484"/>
      <c r="O4484"/>
      <c r="P4484"/>
      <c r="Q4484"/>
      <c r="R4484"/>
      <c r="S4484"/>
    </row>
    <row r="4485" spans="13:19" ht="13.95" customHeight="1">
      <c r="M4485"/>
      <c r="N4485"/>
      <c r="O4485"/>
      <c r="P4485"/>
      <c r="Q4485"/>
      <c r="R4485"/>
      <c r="S4485"/>
    </row>
    <row r="4486" spans="13:19" ht="13.95" customHeight="1">
      <c r="M4486"/>
      <c r="N4486"/>
      <c r="O4486"/>
      <c r="P4486"/>
      <c r="Q4486"/>
      <c r="R4486"/>
      <c r="S4486"/>
    </row>
    <row r="4487" spans="13:19" ht="13.95" customHeight="1">
      <c r="M4487"/>
      <c r="N4487"/>
      <c r="O4487"/>
      <c r="P4487"/>
      <c r="Q4487"/>
      <c r="R4487"/>
      <c r="S4487"/>
    </row>
    <row r="4488" spans="13:19" ht="13.95" customHeight="1">
      <c r="M4488"/>
      <c r="N4488"/>
      <c r="O4488"/>
      <c r="P4488"/>
      <c r="Q4488"/>
      <c r="R4488"/>
      <c r="S4488"/>
    </row>
    <row r="4489" spans="13:19" ht="13.95" customHeight="1">
      <c r="M4489"/>
      <c r="N4489"/>
      <c r="O4489"/>
      <c r="P4489"/>
      <c r="Q4489"/>
      <c r="R4489"/>
      <c r="S4489"/>
    </row>
    <row r="4490" spans="13:19" ht="13.95" customHeight="1">
      <c r="M4490"/>
      <c r="N4490"/>
      <c r="O4490"/>
      <c r="P4490"/>
      <c r="Q4490"/>
      <c r="R4490"/>
      <c r="S4490"/>
    </row>
    <row r="4491" spans="13:19" ht="13.95" customHeight="1">
      <c r="M4491"/>
      <c r="N4491"/>
      <c r="O4491"/>
      <c r="P4491"/>
      <c r="Q4491"/>
      <c r="R4491"/>
      <c r="S4491"/>
    </row>
    <row r="4492" spans="13:19" ht="13.95" customHeight="1">
      <c r="M4492"/>
      <c r="N4492"/>
      <c r="O4492"/>
      <c r="P4492"/>
      <c r="Q4492"/>
      <c r="R4492"/>
      <c r="S4492"/>
    </row>
    <row r="4493" spans="13:19" ht="13.95" customHeight="1">
      <c r="M4493"/>
      <c r="N4493"/>
      <c r="O4493"/>
      <c r="P4493"/>
      <c r="Q4493"/>
      <c r="R4493"/>
      <c r="S4493"/>
    </row>
    <row r="4494" spans="13:19" ht="13.95" customHeight="1">
      <c r="M4494"/>
      <c r="N4494"/>
      <c r="O4494"/>
      <c r="P4494"/>
      <c r="Q4494"/>
      <c r="R4494"/>
      <c r="S4494"/>
    </row>
    <row r="4495" spans="13:19" ht="13.95" customHeight="1">
      <c r="M4495"/>
      <c r="N4495"/>
      <c r="O4495"/>
      <c r="P4495"/>
      <c r="Q4495"/>
      <c r="R4495"/>
      <c r="S4495"/>
    </row>
    <row r="4496" spans="13:19" ht="13.95" customHeight="1">
      <c r="M4496"/>
      <c r="N4496"/>
      <c r="O4496"/>
      <c r="P4496"/>
      <c r="Q4496"/>
      <c r="R4496"/>
      <c r="S4496"/>
    </row>
    <row r="4497" spans="13:19" ht="13.95" customHeight="1">
      <c r="M4497"/>
      <c r="N4497"/>
      <c r="O4497"/>
      <c r="P4497"/>
      <c r="Q4497"/>
      <c r="R4497"/>
      <c r="S4497"/>
    </row>
    <row r="4498" spans="13:19" ht="13.95" customHeight="1">
      <c r="M4498"/>
      <c r="N4498"/>
      <c r="O4498"/>
      <c r="P4498"/>
      <c r="Q4498"/>
      <c r="R4498"/>
      <c r="S4498"/>
    </row>
    <row r="4499" spans="13:19" ht="13.95" customHeight="1">
      <c r="M4499"/>
      <c r="N4499"/>
      <c r="O4499"/>
      <c r="P4499"/>
      <c r="Q4499"/>
      <c r="R4499"/>
      <c r="S4499"/>
    </row>
    <row r="4500" spans="13:19" ht="13.95" customHeight="1">
      <c r="M4500"/>
      <c r="N4500"/>
      <c r="O4500"/>
      <c r="P4500"/>
      <c r="Q4500"/>
      <c r="R4500"/>
      <c r="S4500"/>
    </row>
    <row r="4501" spans="13:19" ht="13.95" customHeight="1">
      <c r="M4501"/>
      <c r="N4501"/>
      <c r="O4501"/>
      <c r="P4501"/>
      <c r="Q4501"/>
      <c r="R4501"/>
      <c r="S4501"/>
    </row>
    <row r="4502" spans="13:19" ht="13.95" customHeight="1">
      <c r="M4502"/>
      <c r="N4502"/>
      <c r="O4502"/>
      <c r="P4502"/>
      <c r="Q4502"/>
      <c r="R4502"/>
      <c r="S4502"/>
    </row>
    <row r="4503" spans="13:19" ht="13.95" customHeight="1">
      <c r="M4503"/>
      <c r="N4503"/>
      <c r="O4503"/>
      <c r="P4503"/>
      <c r="Q4503"/>
      <c r="R4503"/>
      <c r="S4503"/>
    </row>
    <row r="4504" spans="13:19" ht="13.95" customHeight="1">
      <c r="M4504"/>
      <c r="N4504"/>
      <c r="O4504"/>
      <c r="P4504"/>
      <c r="Q4504"/>
      <c r="R4504"/>
      <c r="S4504"/>
    </row>
    <row r="4505" spans="13:19" ht="13.95" customHeight="1">
      <c r="M4505"/>
      <c r="N4505"/>
      <c r="O4505"/>
      <c r="P4505"/>
      <c r="Q4505"/>
      <c r="R4505"/>
      <c r="S4505"/>
    </row>
    <row r="4506" spans="13:19" ht="13.95" customHeight="1">
      <c r="M4506"/>
      <c r="N4506"/>
      <c r="O4506"/>
      <c r="P4506"/>
      <c r="Q4506"/>
      <c r="R4506"/>
      <c r="S4506"/>
    </row>
    <row r="4507" spans="13:19" ht="13.95" customHeight="1">
      <c r="M4507"/>
      <c r="N4507"/>
      <c r="O4507"/>
      <c r="P4507"/>
      <c r="Q4507"/>
      <c r="R4507"/>
      <c r="S4507"/>
    </row>
    <row r="4508" spans="13:19" ht="13.95" customHeight="1">
      <c r="M4508"/>
      <c r="N4508"/>
      <c r="O4508"/>
      <c r="P4508"/>
      <c r="Q4508"/>
      <c r="R4508"/>
      <c r="S4508"/>
    </row>
    <row r="4509" spans="13:19" ht="13.95" customHeight="1">
      <c r="M4509"/>
      <c r="N4509"/>
      <c r="O4509"/>
      <c r="P4509"/>
      <c r="Q4509"/>
      <c r="R4509"/>
      <c r="S4509"/>
    </row>
    <row r="4510" spans="13:19" ht="13.95" customHeight="1">
      <c r="M4510"/>
      <c r="N4510"/>
      <c r="O4510"/>
      <c r="P4510"/>
      <c r="Q4510"/>
      <c r="R4510"/>
      <c r="S4510"/>
    </row>
    <row r="4511" spans="13:19" ht="13.95" customHeight="1">
      <c r="M4511"/>
      <c r="N4511"/>
      <c r="O4511"/>
      <c r="P4511"/>
      <c r="Q4511"/>
      <c r="R4511"/>
      <c r="S4511"/>
    </row>
    <row r="4512" spans="13:19" ht="13.95" customHeight="1">
      <c r="M4512"/>
      <c r="N4512"/>
      <c r="O4512"/>
      <c r="P4512"/>
      <c r="Q4512"/>
      <c r="R4512"/>
      <c r="S4512"/>
    </row>
    <row r="4513" spans="13:19" ht="13.95" customHeight="1">
      <c r="M4513"/>
      <c r="N4513"/>
      <c r="O4513"/>
      <c r="P4513"/>
      <c r="Q4513"/>
      <c r="R4513"/>
      <c r="S4513"/>
    </row>
    <row r="4514" spans="13:19" ht="13.95" customHeight="1">
      <c r="M4514"/>
      <c r="N4514"/>
      <c r="O4514"/>
      <c r="P4514"/>
      <c r="Q4514"/>
      <c r="R4514"/>
      <c r="S4514"/>
    </row>
    <row r="4515" spans="13:19" ht="13.95" customHeight="1">
      <c r="M4515"/>
      <c r="N4515"/>
      <c r="O4515"/>
      <c r="P4515"/>
      <c r="Q4515"/>
      <c r="R4515"/>
      <c r="S4515"/>
    </row>
    <row r="4516" spans="13:19" ht="13.95" customHeight="1">
      <c r="M4516"/>
      <c r="N4516"/>
      <c r="O4516"/>
      <c r="P4516"/>
      <c r="Q4516"/>
      <c r="R4516"/>
      <c r="S4516"/>
    </row>
    <row r="4517" spans="13:19" ht="13.95" customHeight="1">
      <c r="M4517"/>
      <c r="N4517"/>
      <c r="O4517"/>
      <c r="P4517"/>
      <c r="Q4517"/>
      <c r="R4517"/>
      <c r="S4517"/>
    </row>
    <row r="4518" spans="13:19" ht="13.95" customHeight="1">
      <c r="M4518"/>
      <c r="N4518"/>
      <c r="O4518"/>
      <c r="P4518"/>
      <c r="Q4518"/>
      <c r="R4518"/>
      <c r="S4518"/>
    </row>
    <row r="4519" spans="13:19" ht="13.95" customHeight="1">
      <c r="M4519"/>
      <c r="N4519"/>
      <c r="O4519"/>
      <c r="P4519"/>
      <c r="Q4519"/>
      <c r="R4519"/>
      <c r="S4519"/>
    </row>
    <row r="4520" spans="13:19" ht="13.95" customHeight="1">
      <c r="M4520"/>
      <c r="N4520"/>
      <c r="O4520"/>
      <c r="P4520"/>
      <c r="Q4520"/>
      <c r="R4520"/>
      <c r="S4520"/>
    </row>
    <row r="4521" spans="13:19" ht="13.95" customHeight="1">
      <c r="M4521"/>
      <c r="N4521"/>
      <c r="O4521"/>
      <c r="P4521"/>
      <c r="Q4521"/>
      <c r="R4521"/>
      <c r="S4521"/>
    </row>
    <row r="4522" spans="13:19" ht="13.95" customHeight="1">
      <c r="M4522"/>
      <c r="N4522"/>
      <c r="O4522"/>
      <c r="P4522"/>
      <c r="Q4522"/>
      <c r="R4522"/>
      <c r="S4522"/>
    </row>
    <row r="4523" spans="13:19" ht="13.95" customHeight="1">
      <c r="M4523"/>
      <c r="N4523"/>
      <c r="O4523"/>
      <c r="P4523"/>
      <c r="Q4523"/>
      <c r="R4523"/>
      <c r="S4523"/>
    </row>
    <row r="4524" spans="13:19" ht="13.95" customHeight="1">
      <c r="M4524"/>
      <c r="N4524"/>
      <c r="O4524"/>
      <c r="P4524"/>
      <c r="Q4524"/>
      <c r="R4524"/>
      <c r="S4524"/>
    </row>
    <row r="4525" spans="13:19" ht="13.95" customHeight="1">
      <c r="M4525"/>
      <c r="N4525"/>
      <c r="O4525"/>
      <c r="P4525"/>
      <c r="Q4525"/>
      <c r="R4525"/>
      <c r="S4525"/>
    </row>
    <row r="4526" spans="13:19" ht="13.95" customHeight="1">
      <c r="M4526"/>
      <c r="N4526"/>
      <c r="O4526"/>
      <c r="P4526"/>
      <c r="Q4526"/>
      <c r="R4526"/>
      <c r="S4526"/>
    </row>
    <row r="4527" spans="13:19" ht="13.95" customHeight="1">
      <c r="M4527"/>
      <c r="N4527"/>
      <c r="O4527"/>
      <c r="P4527"/>
      <c r="Q4527"/>
      <c r="R4527"/>
      <c r="S4527"/>
    </row>
    <row r="4528" spans="13:19" ht="13.95" customHeight="1">
      <c r="M4528"/>
      <c r="N4528"/>
      <c r="O4528"/>
      <c r="P4528"/>
      <c r="Q4528"/>
      <c r="R4528"/>
      <c r="S4528"/>
    </row>
    <row r="4529" spans="13:19" ht="13.95" customHeight="1">
      <c r="M4529"/>
      <c r="N4529"/>
      <c r="O4529"/>
      <c r="P4529"/>
      <c r="Q4529"/>
      <c r="R4529"/>
      <c r="S4529"/>
    </row>
    <row r="4530" spans="13:19" ht="13.95" customHeight="1">
      <c r="M4530"/>
      <c r="N4530"/>
      <c r="O4530"/>
      <c r="P4530"/>
      <c r="Q4530"/>
      <c r="R4530"/>
      <c r="S4530"/>
    </row>
    <row r="4531" spans="13:19" ht="13.95" customHeight="1">
      <c r="M4531"/>
      <c r="N4531"/>
      <c r="O4531"/>
      <c r="P4531"/>
      <c r="Q4531"/>
      <c r="R4531"/>
      <c r="S4531"/>
    </row>
    <row r="4532" spans="13:19" ht="13.95" customHeight="1">
      <c r="M4532"/>
      <c r="N4532"/>
      <c r="O4532"/>
      <c r="P4532"/>
      <c r="Q4532"/>
      <c r="R4532"/>
      <c r="S4532"/>
    </row>
    <row r="4533" spans="13:19" ht="13.95" customHeight="1">
      <c r="M4533"/>
      <c r="N4533"/>
      <c r="O4533"/>
      <c r="P4533"/>
      <c r="Q4533"/>
      <c r="R4533"/>
      <c r="S4533"/>
    </row>
    <row r="4534" spans="13:19" ht="13.95" customHeight="1">
      <c r="M4534"/>
      <c r="N4534"/>
      <c r="O4534"/>
      <c r="P4534"/>
      <c r="Q4534"/>
      <c r="R4534"/>
      <c r="S4534"/>
    </row>
    <row r="4535" spans="13:19" ht="13.95" customHeight="1">
      <c r="M4535"/>
      <c r="N4535"/>
      <c r="O4535"/>
      <c r="P4535"/>
      <c r="Q4535"/>
      <c r="R4535"/>
      <c r="S4535"/>
    </row>
    <row r="4536" spans="13:19" ht="13.95" customHeight="1">
      <c r="M4536"/>
      <c r="N4536"/>
      <c r="O4536"/>
      <c r="P4536"/>
      <c r="Q4536"/>
      <c r="R4536"/>
      <c r="S4536"/>
    </row>
    <row r="4537" spans="13:19" ht="13.95" customHeight="1">
      <c r="M4537"/>
      <c r="N4537"/>
      <c r="O4537"/>
      <c r="P4537"/>
      <c r="Q4537"/>
      <c r="R4537"/>
      <c r="S4537"/>
    </row>
    <row r="4538" spans="13:19" ht="13.95" customHeight="1">
      <c r="M4538"/>
      <c r="N4538"/>
      <c r="O4538"/>
      <c r="P4538"/>
      <c r="Q4538"/>
      <c r="R4538"/>
      <c r="S4538"/>
    </row>
    <row r="4539" spans="13:19" ht="13.95" customHeight="1">
      <c r="M4539"/>
      <c r="N4539"/>
      <c r="O4539"/>
      <c r="P4539"/>
      <c r="Q4539"/>
      <c r="R4539"/>
      <c r="S4539"/>
    </row>
    <row r="4540" spans="13:19" ht="13.95" customHeight="1">
      <c r="M4540"/>
      <c r="N4540"/>
      <c r="O4540"/>
      <c r="P4540"/>
      <c r="Q4540"/>
      <c r="R4540"/>
      <c r="S4540"/>
    </row>
    <row r="4541" spans="13:19" ht="13.95" customHeight="1">
      <c r="M4541"/>
      <c r="N4541"/>
      <c r="O4541"/>
      <c r="P4541"/>
      <c r="Q4541"/>
      <c r="R4541"/>
      <c r="S4541"/>
    </row>
    <row r="4542" spans="13:19" ht="13.95" customHeight="1">
      <c r="M4542"/>
      <c r="N4542"/>
      <c r="O4542"/>
      <c r="P4542"/>
      <c r="Q4542"/>
      <c r="R4542"/>
      <c r="S4542"/>
    </row>
    <row r="4543" spans="13:19" ht="13.95" customHeight="1">
      <c r="M4543"/>
      <c r="N4543"/>
      <c r="O4543"/>
      <c r="P4543"/>
      <c r="Q4543"/>
      <c r="R4543"/>
      <c r="S4543"/>
    </row>
    <row r="4544" spans="13:19" ht="13.95" customHeight="1">
      <c r="M4544"/>
      <c r="N4544"/>
      <c r="O4544"/>
      <c r="P4544"/>
      <c r="Q4544"/>
      <c r="R4544"/>
      <c r="S4544"/>
    </row>
    <row r="4545" spans="13:19" ht="13.95" customHeight="1">
      <c r="M4545"/>
      <c r="N4545"/>
      <c r="O4545"/>
      <c r="P4545"/>
      <c r="Q4545"/>
      <c r="R4545"/>
      <c r="S4545"/>
    </row>
    <row r="4546" spans="13:19" ht="13.95" customHeight="1">
      <c r="M4546"/>
      <c r="N4546"/>
      <c r="O4546"/>
      <c r="P4546"/>
      <c r="Q4546"/>
      <c r="R4546"/>
      <c r="S4546"/>
    </row>
    <row r="4547" spans="13:19" ht="13.95" customHeight="1">
      <c r="M4547"/>
      <c r="N4547"/>
      <c r="O4547"/>
      <c r="P4547"/>
      <c r="Q4547"/>
      <c r="R4547"/>
      <c r="S4547"/>
    </row>
    <row r="4548" spans="13:19" ht="13.95" customHeight="1">
      <c r="M4548"/>
      <c r="N4548"/>
      <c r="O4548"/>
      <c r="P4548"/>
      <c r="Q4548"/>
      <c r="R4548"/>
      <c r="S4548"/>
    </row>
    <row r="4549" spans="13:19" ht="13.95" customHeight="1">
      <c r="M4549"/>
      <c r="N4549"/>
      <c r="O4549"/>
      <c r="P4549"/>
      <c r="Q4549"/>
      <c r="R4549"/>
      <c r="S4549"/>
    </row>
    <row r="4550" spans="13:19" ht="13.95" customHeight="1">
      <c r="M4550"/>
      <c r="N4550"/>
      <c r="O4550"/>
      <c r="P4550"/>
      <c r="Q4550"/>
      <c r="R4550"/>
      <c r="S4550"/>
    </row>
    <row r="4551" spans="13:19" ht="13.95" customHeight="1">
      <c r="M4551"/>
      <c r="N4551"/>
      <c r="O4551"/>
      <c r="P4551"/>
      <c r="Q4551"/>
      <c r="R4551"/>
      <c r="S4551"/>
    </row>
    <row r="4552" spans="13:19" ht="13.95" customHeight="1">
      <c r="M4552"/>
      <c r="N4552"/>
      <c r="O4552"/>
      <c r="P4552"/>
      <c r="Q4552"/>
      <c r="R4552"/>
      <c r="S4552"/>
    </row>
    <row r="4553" spans="13:19" ht="13.95" customHeight="1">
      <c r="M4553"/>
      <c r="N4553"/>
      <c r="O4553"/>
      <c r="P4553"/>
      <c r="Q4553"/>
      <c r="R4553"/>
      <c r="S4553"/>
    </row>
    <row r="4554" spans="13:19" ht="13.95" customHeight="1">
      <c r="M4554"/>
      <c r="N4554"/>
      <c r="O4554"/>
      <c r="P4554"/>
      <c r="Q4554"/>
      <c r="R4554"/>
      <c r="S4554"/>
    </row>
    <row r="4555" spans="13:19" ht="13.95" customHeight="1">
      <c r="M4555"/>
      <c r="N4555"/>
      <c r="O4555"/>
      <c r="P4555"/>
      <c r="Q4555"/>
      <c r="R4555"/>
      <c r="S4555"/>
    </row>
    <row r="4556" spans="13:19" ht="13.95" customHeight="1">
      <c r="M4556"/>
      <c r="N4556"/>
      <c r="O4556"/>
      <c r="P4556"/>
      <c r="Q4556"/>
      <c r="R4556"/>
      <c r="S4556"/>
    </row>
    <row r="4557" spans="13:19" ht="13.95" customHeight="1">
      <c r="M4557"/>
      <c r="N4557"/>
      <c r="O4557"/>
      <c r="P4557"/>
      <c r="Q4557"/>
      <c r="R4557"/>
      <c r="S4557"/>
    </row>
    <row r="4558" spans="13:19" ht="13.95" customHeight="1">
      <c r="M4558"/>
      <c r="N4558"/>
      <c r="O4558"/>
      <c r="P4558"/>
      <c r="Q4558"/>
      <c r="R4558"/>
      <c r="S4558"/>
    </row>
    <row r="4559" spans="13:19" ht="13.95" customHeight="1">
      <c r="M4559"/>
      <c r="N4559"/>
      <c r="O4559"/>
      <c r="P4559"/>
      <c r="Q4559"/>
      <c r="R4559"/>
      <c r="S4559"/>
    </row>
    <row r="4560" spans="13:19" ht="13.95" customHeight="1">
      <c r="M4560"/>
      <c r="N4560"/>
      <c r="O4560"/>
      <c r="P4560"/>
      <c r="Q4560"/>
      <c r="R4560"/>
      <c r="S4560"/>
    </row>
    <row r="4561" spans="13:19" ht="13.95" customHeight="1">
      <c r="M4561"/>
      <c r="N4561"/>
      <c r="O4561"/>
      <c r="P4561"/>
      <c r="Q4561"/>
      <c r="R4561"/>
      <c r="S4561"/>
    </row>
    <row r="4562" spans="13:19" ht="13.95" customHeight="1">
      <c r="M4562"/>
      <c r="N4562"/>
      <c r="O4562"/>
      <c r="P4562"/>
      <c r="Q4562"/>
      <c r="R4562"/>
      <c r="S4562"/>
    </row>
    <row r="4563" spans="13:19" ht="13.95" customHeight="1">
      <c r="M4563"/>
      <c r="N4563"/>
      <c r="O4563"/>
      <c r="P4563"/>
      <c r="Q4563"/>
      <c r="R4563"/>
      <c r="S4563"/>
    </row>
    <row r="4564" spans="13:19" ht="13.95" customHeight="1">
      <c r="M4564"/>
      <c r="N4564"/>
      <c r="O4564"/>
      <c r="P4564"/>
      <c r="Q4564"/>
      <c r="R4564"/>
      <c r="S4564"/>
    </row>
    <row r="4565" spans="13:19" ht="13.95" customHeight="1">
      <c r="M4565"/>
      <c r="N4565"/>
      <c r="O4565"/>
      <c r="P4565"/>
      <c r="Q4565"/>
      <c r="R4565"/>
      <c r="S4565"/>
    </row>
    <row r="4566" spans="13:19" ht="13.95" customHeight="1">
      <c r="M4566"/>
      <c r="N4566"/>
      <c r="O4566"/>
      <c r="P4566"/>
      <c r="Q4566"/>
      <c r="R4566"/>
      <c r="S4566"/>
    </row>
    <row r="4567" spans="13:19" ht="13.95" customHeight="1">
      <c r="M4567"/>
      <c r="N4567"/>
      <c r="O4567"/>
      <c r="P4567"/>
      <c r="Q4567"/>
      <c r="R4567"/>
      <c r="S4567"/>
    </row>
    <row r="4568" spans="13:19" ht="13.95" customHeight="1">
      <c r="M4568"/>
      <c r="N4568"/>
      <c r="O4568"/>
      <c r="P4568"/>
      <c r="Q4568"/>
      <c r="R4568"/>
      <c r="S4568"/>
    </row>
    <row r="4569" spans="13:19" ht="13.95" customHeight="1">
      <c r="M4569"/>
      <c r="N4569"/>
      <c r="O4569"/>
      <c r="P4569"/>
      <c r="Q4569"/>
      <c r="R4569"/>
      <c r="S4569"/>
    </row>
    <row r="4570" spans="13:19" ht="13.95" customHeight="1">
      <c r="M4570"/>
      <c r="N4570"/>
      <c r="O4570"/>
      <c r="P4570"/>
      <c r="Q4570"/>
      <c r="R4570"/>
      <c r="S4570"/>
    </row>
    <row r="4571" spans="13:19" ht="13.95" customHeight="1">
      <c r="M4571"/>
      <c r="N4571"/>
      <c r="O4571"/>
      <c r="P4571"/>
      <c r="Q4571"/>
      <c r="R4571"/>
      <c r="S4571"/>
    </row>
    <row r="4572" spans="13:19" ht="13.95" customHeight="1">
      <c r="M4572"/>
      <c r="N4572"/>
      <c r="O4572"/>
      <c r="P4572"/>
      <c r="Q4572"/>
      <c r="R4572"/>
      <c r="S4572"/>
    </row>
    <row r="4573" spans="13:19" ht="13.95" customHeight="1">
      <c r="M4573"/>
      <c r="N4573"/>
      <c r="O4573"/>
      <c r="P4573"/>
      <c r="Q4573"/>
      <c r="R4573"/>
      <c r="S4573"/>
    </row>
    <row r="4574" spans="13:19" ht="13.95" customHeight="1">
      <c r="M4574"/>
      <c r="N4574"/>
      <c r="O4574"/>
      <c r="P4574"/>
      <c r="Q4574"/>
      <c r="R4574"/>
      <c r="S4574"/>
    </row>
    <row r="4575" spans="13:19" ht="13.95" customHeight="1">
      <c r="M4575"/>
      <c r="N4575"/>
      <c r="O4575"/>
      <c r="P4575"/>
      <c r="Q4575"/>
      <c r="R4575"/>
      <c r="S4575"/>
    </row>
    <row r="4576" spans="13:19" ht="13.95" customHeight="1">
      <c r="M4576"/>
      <c r="N4576"/>
      <c r="O4576"/>
      <c r="P4576"/>
      <c r="Q4576"/>
      <c r="R4576"/>
      <c r="S4576"/>
    </row>
    <row r="4577" spans="13:19" ht="13.95" customHeight="1">
      <c r="M4577"/>
      <c r="N4577"/>
      <c r="O4577"/>
      <c r="P4577"/>
      <c r="Q4577"/>
      <c r="R4577"/>
      <c r="S4577"/>
    </row>
    <row r="4578" spans="13:19" ht="13.95" customHeight="1">
      <c r="M4578"/>
      <c r="N4578"/>
      <c r="O4578"/>
      <c r="P4578"/>
      <c r="Q4578"/>
      <c r="R4578"/>
      <c r="S4578"/>
    </row>
    <row r="4579" spans="13:19" ht="13.95" customHeight="1">
      <c r="M4579"/>
      <c r="N4579"/>
      <c r="O4579"/>
      <c r="P4579"/>
      <c r="Q4579"/>
      <c r="R4579"/>
      <c r="S4579"/>
    </row>
    <row r="4580" spans="13:19" ht="13.95" customHeight="1">
      <c r="M4580"/>
      <c r="N4580"/>
      <c r="O4580"/>
      <c r="P4580"/>
      <c r="Q4580"/>
      <c r="R4580"/>
      <c r="S4580"/>
    </row>
    <row r="4581" spans="13:19" ht="13.95" customHeight="1">
      <c r="M4581"/>
      <c r="N4581"/>
      <c r="O4581"/>
      <c r="P4581"/>
      <c r="Q4581"/>
      <c r="R4581"/>
      <c r="S4581"/>
    </row>
    <row r="4582" spans="13:19" ht="13.95" customHeight="1">
      <c r="M4582"/>
      <c r="N4582"/>
      <c r="O4582"/>
      <c r="P4582"/>
      <c r="Q4582"/>
      <c r="R4582"/>
      <c r="S4582"/>
    </row>
    <row r="4583" spans="13:19" ht="13.95" customHeight="1">
      <c r="M4583"/>
      <c r="N4583"/>
      <c r="O4583"/>
      <c r="P4583"/>
      <c r="Q4583"/>
      <c r="R4583"/>
      <c r="S4583"/>
    </row>
    <row r="4584" spans="13:19" ht="13.95" customHeight="1">
      <c r="M4584"/>
      <c r="N4584"/>
      <c r="O4584"/>
      <c r="P4584"/>
      <c r="Q4584"/>
      <c r="R4584"/>
      <c r="S4584"/>
    </row>
    <row r="4585" spans="13:19" ht="13.95" customHeight="1">
      <c r="M4585"/>
      <c r="N4585"/>
      <c r="O4585"/>
      <c r="P4585"/>
      <c r="Q4585"/>
      <c r="R4585"/>
      <c r="S4585"/>
    </row>
    <row r="4586" spans="13:19" ht="13.95" customHeight="1">
      <c r="M4586"/>
      <c r="N4586"/>
      <c r="O4586"/>
      <c r="P4586"/>
      <c r="Q4586"/>
      <c r="R4586"/>
      <c r="S4586"/>
    </row>
    <row r="4587" spans="13:19" ht="13.95" customHeight="1">
      <c r="M4587"/>
      <c r="N4587"/>
      <c r="O4587"/>
      <c r="P4587"/>
      <c r="Q4587"/>
      <c r="R4587"/>
      <c r="S4587"/>
    </row>
    <row r="4588" spans="13:19" ht="13.95" customHeight="1">
      <c r="M4588"/>
      <c r="N4588"/>
      <c r="O4588"/>
      <c r="P4588"/>
      <c r="Q4588"/>
      <c r="R4588"/>
      <c r="S4588"/>
    </row>
    <row r="4589" spans="13:19" ht="13.95" customHeight="1">
      <c r="M4589"/>
      <c r="N4589"/>
      <c r="O4589"/>
      <c r="P4589"/>
      <c r="Q4589"/>
      <c r="R4589"/>
      <c r="S4589"/>
    </row>
    <row r="4590" spans="13:19" ht="13.95" customHeight="1">
      <c r="M4590"/>
      <c r="N4590"/>
      <c r="O4590"/>
      <c r="P4590"/>
      <c r="Q4590"/>
      <c r="R4590"/>
      <c r="S4590"/>
    </row>
    <row r="4591" spans="13:19" ht="13.95" customHeight="1">
      <c r="M4591"/>
      <c r="N4591"/>
      <c r="O4591"/>
      <c r="P4591"/>
      <c r="Q4591"/>
      <c r="R4591"/>
      <c r="S4591"/>
    </row>
    <row r="4592" spans="13:19" ht="13.95" customHeight="1">
      <c r="M4592"/>
      <c r="N4592"/>
      <c r="O4592"/>
      <c r="P4592"/>
      <c r="Q4592"/>
      <c r="R4592"/>
      <c r="S4592"/>
    </row>
    <row r="4593" spans="13:19" ht="13.95" customHeight="1">
      <c r="M4593"/>
      <c r="N4593"/>
      <c r="O4593"/>
      <c r="P4593"/>
      <c r="Q4593"/>
      <c r="R4593"/>
      <c r="S4593"/>
    </row>
    <row r="4594" spans="13:19" ht="13.95" customHeight="1">
      <c r="M4594"/>
      <c r="N4594"/>
      <c r="O4594"/>
      <c r="P4594"/>
      <c r="Q4594"/>
      <c r="R4594"/>
      <c r="S4594"/>
    </row>
    <row r="4595" spans="13:19" ht="13.95" customHeight="1">
      <c r="M4595"/>
      <c r="N4595"/>
      <c r="O4595"/>
      <c r="P4595"/>
      <c r="Q4595"/>
      <c r="R4595"/>
      <c r="S4595"/>
    </row>
    <row r="4596" spans="13:19" ht="13.95" customHeight="1">
      <c r="M4596"/>
      <c r="N4596"/>
      <c r="O4596"/>
      <c r="P4596"/>
      <c r="Q4596"/>
      <c r="R4596"/>
      <c r="S4596"/>
    </row>
    <row r="4597" spans="13:19" ht="13.95" customHeight="1">
      <c r="M4597"/>
      <c r="N4597"/>
      <c r="O4597"/>
      <c r="P4597"/>
      <c r="Q4597"/>
      <c r="R4597"/>
      <c r="S4597"/>
    </row>
    <row r="4598" spans="13:19" ht="13.95" customHeight="1">
      <c r="M4598"/>
      <c r="N4598"/>
      <c r="O4598"/>
      <c r="P4598"/>
      <c r="Q4598"/>
      <c r="R4598"/>
      <c r="S4598"/>
    </row>
    <row r="4599" spans="13:19" ht="13.95" customHeight="1">
      <c r="M4599"/>
      <c r="N4599"/>
      <c r="O4599"/>
      <c r="P4599"/>
      <c r="Q4599"/>
      <c r="R4599"/>
      <c r="S4599"/>
    </row>
    <row r="4600" spans="13:19" ht="13.95" customHeight="1">
      <c r="M4600"/>
      <c r="N4600"/>
      <c r="O4600"/>
      <c r="P4600"/>
      <c r="Q4600"/>
      <c r="R4600"/>
      <c r="S4600"/>
    </row>
    <row r="4601" spans="13:19" ht="13.95" customHeight="1">
      <c r="M4601"/>
      <c r="N4601"/>
      <c r="O4601"/>
      <c r="P4601"/>
      <c r="Q4601"/>
      <c r="R4601"/>
      <c r="S4601"/>
    </row>
    <row r="4602" spans="13:19" ht="13.95" customHeight="1">
      <c r="M4602"/>
      <c r="N4602"/>
      <c r="O4602"/>
      <c r="P4602"/>
      <c r="Q4602"/>
      <c r="R4602"/>
      <c r="S4602"/>
    </row>
    <row r="4603" spans="13:19" ht="13.95" customHeight="1">
      <c r="M4603"/>
      <c r="N4603"/>
      <c r="O4603"/>
      <c r="P4603"/>
      <c r="Q4603"/>
      <c r="R4603"/>
      <c r="S4603"/>
    </row>
    <row r="4604" spans="13:19" ht="13.95" customHeight="1">
      <c r="M4604"/>
      <c r="N4604"/>
      <c r="O4604"/>
      <c r="P4604"/>
      <c r="Q4604"/>
      <c r="R4604"/>
      <c r="S4604"/>
    </row>
    <row r="4605" spans="13:19" ht="13.95" customHeight="1">
      <c r="M4605"/>
      <c r="N4605"/>
      <c r="O4605"/>
      <c r="P4605"/>
      <c r="Q4605"/>
      <c r="R4605"/>
      <c r="S4605"/>
    </row>
    <row r="4606" spans="13:19" ht="13.95" customHeight="1">
      <c r="M4606"/>
      <c r="N4606"/>
      <c r="O4606"/>
      <c r="P4606"/>
      <c r="Q4606"/>
      <c r="R4606"/>
      <c r="S4606"/>
    </row>
    <row r="4607" spans="13:19" ht="13.95" customHeight="1">
      <c r="M4607"/>
      <c r="N4607"/>
      <c r="O4607"/>
      <c r="P4607"/>
      <c r="Q4607"/>
      <c r="R4607"/>
      <c r="S4607"/>
    </row>
    <row r="4608" spans="13:19" ht="13.95" customHeight="1">
      <c r="M4608"/>
      <c r="N4608"/>
      <c r="O4608"/>
      <c r="P4608"/>
      <c r="Q4608"/>
      <c r="R4608"/>
      <c r="S4608"/>
    </row>
    <row r="4609" spans="13:19" ht="13.95" customHeight="1">
      <c r="M4609"/>
      <c r="N4609"/>
      <c r="O4609"/>
      <c r="P4609"/>
      <c r="Q4609"/>
      <c r="R4609"/>
      <c r="S4609"/>
    </row>
    <row r="4610" spans="13:19" ht="13.95" customHeight="1">
      <c r="M4610"/>
      <c r="N4610"/>
      <c r="O4610"/>
      <c r="P4610"/>
      <c r="Q4610"/>
      <c r="R4610"/>
      <c r="S4610"/>
    </row>
    <row r="4611" spans="13:19" ht="13.95" customHeight="1">
      <c r="M4611"/>
      <c r="N4611"/>
      <c r="O4611"/>
      <c r="P4611"/>
      <c r="Q4611"/>
      <c r="R4611"/>
      <c r="S4611"/>
    </row>
    <row r="4612" spans="13:19" ht="13.95" customHeight="1">
      <c r="M4612"/>
      <c r="N4612"/>
      <c r="O4612"/>
      <c r="P4612"/>
      <c r="Q4612"/>
      <c r="R4612"/>
      <c r="S4612"/>
    </row>
    <row r="4613" spans="13:19" ht="13.95" customHeight="1">
      <c r="M4613"/>
      <c r="N4613"/>
      <c r="O4613"/>
      <c r="P4613"/>
      <c r="Q4613"/>
      <c r="R4613"/>
      <c r="S4613"/>
    </row>
    <row r="4614" spans="13:19" ht="13.95" customHeight="1">
      <c r="M4614"/>
      <c r="N4614"/>
      <c r="O4614"/>
      <c r="P4614"/>
      <c r="Q4614"/>
      <c r="R4614"/>
      <c r="S4614"/>
    </row>
    <row r="4615" spans="13:19" ht="13.95" customHeight="1">
      <c r="M4615"/>
      <c r="N4615"/>
      <c r="O4615"/>
      <c r="P4615"/>
      <c r="Q4615"/>
      <c r="R4615"/>
      <c r="S4615"/>
    </row>
    <row r="4616" spans="13:19" ht="13.95" customHeight="1">
      <c r="M4616"/>
      <c r="N4616"/>
      <c r="O4616"/>
      <c r="P4616"/>
      <c r="Q4616"/>
      <c r="R4616"/>
      <c r="S4616"/>
    </row>
    <row r="4617" spans="13:19" ht="13.95" customHeight="1">
      <c r="M4617"/>
      <c r="N4617"/>
      <c r="O4617"/>
      <c r="P4617"/>
      <c r="Q4617"/>
      <c r="R4617"/>
      <c r="S4617"/>
    </row>
    <row r="4618" spans="13:19" ht="13.95" customHeight="1">
      <c r="M4618"/>
      <c r="N4618"/>
      <c r="O4618"/>
      <c r="P4618"/>
      <c r="Q4618"/>
      <c r="R4618"/>
      <c r="S4618"/>
    </row>
    <row r="4619" spans="13:19" ht="13.95" customHeight="1">
      <c r="M4619"/>
      <c r="N4619"/>
      <c r="O4619"/>
      <c r="P4619"/>
      <c r="Q4619"/>
      <c r="R4619"/>
      <c r="S4619"/>
    </row>
    <row r="4620" spans="13:19" ht="13.95" customHeight="1">
      <c r="M4620"/>
      <c r="N4620"/>
      <c r="O4620"/>
      <c r="P4620"/>
      <c r="Q4620"/>
      <c r="R4620"/>
      <c r="S4620"/>
    </row>
    <row r="4621" spans="13:19" ht="13.95" customHeight="1">
      <c r="M4621"/>
      <c r="N4621"/>
      <c r="O4621"/>
      <c r="P4621"/>
      <c r="Q4621"/>
      <c r="R4621"/>
      <c r="S4621"/>
    </row>
    <row r="4622" spans="13:19" ht="13.95" customHeight="1">
      <c r="M4622"/>
      <c r="N4622"/>
      <c r="O4622"/>
      <c r="P4622"/>
      <c r="Q4622"/>
      <c r="R4622"/>
      <c r="S4622"/>
    </row>
    <row r="4623" spans="13:19" ht="13.95" customHeight="1">
      <c r="M4623"/>
      <c r="N4623"/>
      <c r="O4623"/>
      <c r="P4623"/>
      <c r="Q4623"/>
      <c r="R4623"/>
      <c r="S4623"/>
    </row>
    <row r="4624" spans="13:19" ht="13.95" customHeight="1">
      <c r="M4624"/>
      <c r="N4624"/>
      <c r="O4624"/>
      <c r="P4624"/>
      <c r="Q4624"/>
      <c r="R4624"/>
      <c r="S4624"/>
    </row>
    <row r="4625" spans="13:19" ht="13.95" customHeight="1">
      <c r="M4625"/>
      <c r="N4625"/>
      <c r="O4625"/>
      <c r="P4625"/>
      <c r="Q4625"/>
      <c r="R4625"/>
      <c r="S4625"/>
    </row>
    <row r="4626" spans="13:19" ht="13.95" customHeight="1">
      <c r="M4626"/>
      <c r="N4626"/>
      <c r="O4626"/>
      <c r="P4626"/>
      <c r="Q4626"/>
      <c r="R4626"/>
      <c r="S4626"/>
    </row>
    <row r="4627" spans="13:19" ht="13.95" customHeight="1">
      <c r="M4627"/>
      <c r="N4627"/>
      <c r="O4627"/>
      <c r="P4627"/>
      <c r="Q4627"/>
      <c r="R4627"/>
      <c r="S4627"/>
    </row>
    <row r="4628" spans="13:19" ht="13.95" customHeight="1">
      <c r="M4628"/>
      <c r="N4628"/>
      <c r="O4628"/>
      <c r="P4628"/>
      <c r="Q4628"/>
      <c r="R4628"/>
      <c r="S4628"/>
    </row>
    <row r="4629" spans="13:19" ht="13.95" customHeight="1">
      <c r="M4629"/>
      <c r="N4629"/>
      <c r="O4629"/>
      <c r="P4629"/>
      <c r="Q4629"/>
      <c r="R4629"/>
      <c r="S4629"/>
    </row>
    <row r="4630" spans="13:19" ht="13.95" customHeight="1">
      <c r="M4630"/>
      <c r="N4630"/>
      <c r="O4630"/>
      <c r="P4630"/>
      <c r="Q4630"/>
      <c r="R4630"/>
      <c r="S4630"/>
    </row>
    <row r="4631" spans="13:19" ht="13.95" customHeight="1">
      <c r="M4631"/>
      <c r="N4631"/>
      <c r="O4631"/>
      <c r="P4631"/>
      <c r="Q4631"/>
      <c r="R4631"/>
      <c r="S4631"/>
    </row>
    <row r="4632" spans="13:19" ht="13.95" customHeight="1">
      <c r="M4632"/>
      <c r="N4632"/>
      <c r="O4632"/>
      <c r="P4632"/>
      <c r="Q4632"/>
      <c r="R4632"/>
      <c r="S4632"/>
    </row>
    <row r="4633" spans="13:19" ht="13.95" customHeight="1">
      <c r="M4633"/>
      <c r="N4633"/>
      <c r="O4633"/>
      <c r="P4633"/>
      <c r="Q4633"/>
      <c r="R4633"/>
      <c r="S4633"/>
    </row>
    <row r="4634" spans="13:19" ht="13.95" customHeight="1">
      <c r="M4634"/>
      <c r="N4634"/>
      <c r="O4634"/>
      <c r="P4634"/>
      <c r="Q4634"/>
      <c r="R4634"/>
      <c r="S4634"/>
    </row>
    <row r="4635" spans="13:19" ht="13.95" customHeight="1">
      <c r="M4635"/>
      <c r="N4635"/>
      <c r="O4635"/>
      <c r="P4635"/>
      <c r="Q4635"/>
      <c r="R4635"/>
      <c r="S4635"/>
    </row>
    <row r="4636" spans="13:19" ht="13.95" customHeight="1">
      <c r="M4636"/>
      <c r="N4636"/>
      <c r="O4636"/>
      <c r="P4636"/>
      <c r="Q4636"/>
      <c r="R4636"/>
      <c r="S4636"/>
    </row>
    <row r="4637" spans="13:19" ht="13.95" customHeight="1">
      <c r="M4637"/>
      <c r="N4637"/>
      <c r="O4637"/>
      <c r="P4637"/>
      <c r="Q4637"/>
      <c r="R4637"/>
      <c r="S4637"/>
    </row>
    <row r="4638" spans="13:19" ht="13.95" customHeight="1">
      <c r="M4638"/>
      <c r="N4638"/>
      <c r="O4638"/>
      <c r="P4638"/>
      <c r="Q4638"/>
      <c r="R4638"/>
      <c r="S4638"/>
    </row>
    <row r="4639" spans="13:19" ht="13.95" customHeight="1">
      <c r="M4639"/>
      <c r="N4639"/>
      <c r="O4639"/>
      <c r="P4639"/>
      <c r="Q4639"/>
      <c r="R4639"/>
      <c r="S4639"/>
    </row>
    <row r="4640" spans="13:19" ht="13.95" customHeight="1">
      <c r="M4640"/>
      <c r="N4640"/>
      <c r="O4640"/>
      <c r="P4640"/>
      <c r="Q4640"/>
      <c r="R4640"/>
      <c r="S4640"/>
    </row>
    <row r="4641" spans="13:19" ht="13.95" customHeight="1">
      <c r="M4641"/>
      <c r="N4641"/>
      <c r="O4641"/>
      <c r="P4641"/>
      <c r="Q4641"/>
      <c r="R4641"/>
      <c r="S4641"/>
    </row>
    <row r="4642" spans="13:19" ht="13.95" customHeight="1">
      <c r="M4642"/>
      <c r="N4642"/>
      <c r="O4642"/>
      <c r="P4642"/>
      <c r="Q4642"/>
      <c r="R4642"/>
      <c r="S4642"/>
    </row>
    <row r="4643" spans="13:19" ht="13.95" customHeight="1">
      <c r="M4643"/>
      <c r="N4643"/>
      <c r="O4643"/>
      <c r="P4643"/>
      <c r="Q4643"/>
      <c r="R4643"/>
      <c r="S4643"/>
    </row>
    <row r="4644" spans="13:19" ht="13.95" customHeight="1">
      <c r="M4644"/>
      <c r="N4644"/>
      <c r="O4644"/>
      <c r="P4644"/>
      <c r="Q4644"/>
      <c r="R4644"/>
      <c r="S4644"/>
    </row>
    <row r="4645" spans="13:19" ht="13.95" customHeight="1">
      <c r="M4645"/>
      <c r="N4645"/>
      <c r="O4645"/>
      <c r="P4645"/>
      <c r="Q4645"/>
      <c r="R4645"/>
      <c r="S4645"/>
    </row>
    <row r="4646" spans="13:19" ht="13.95" customHeight="1">
      <c r="M4646"/>
      <c r="N4646"/>
      <c r="O4646"/>
      <c r="P4646"/>
      <c r="Q4646"/>
      <c r="R4646"/>
      <c r="S4646"/>
    </row>
    <row r="4647" spans="13:19" ht="13.95" customHeight="1">
      <c r="M4647"/>
      <c r="N4647"/>
      <c r="O4647"/>
      <c r="P4647"/>
      <c r="Q4647"/>
      <c r="R4647"/>
      <c r="S4647"/>
    </row>
    <row r="4648" spans="13:19" ht="13.95" customHeight="1">
      <c r="M4648"/>
      <c r="N4648"/>
      <c r="O4648"/>
      <c r="P4648"/>
      <c r="Q4648"/>
      <c r="R4648"/>
      <c r="S4648"/>
    </row>
    <row r="4649" spans="13:19" ht="13.95" customHeight="1">
      <c r="M4649"/>
      <c r="N4649"/>
      <c r="O4649"/>
      <c r="P4649"/>
      <c r="Q4649"/>
      <c r="R4649"/>
      <c r="S4649"/>
    </row>
    <row r="4650" spans="13:19" ht="13.95" customHeight="1">
      <c r="M4650"/>
      <c r="N4650"/>
      <c r="O4650"/>
      <c r="P4650"/>
      <c r="Q4650"/>
      <c r="R4650"/>
      <c r="S4650"/>
    </row>
    <row r="4651" spans="13:19" ht="13.95" customHeight="1">
      <c r="M4651"/>
      <c r="N4651"/>
      <c r="O4651"/>
      <c r="P4651"/>
      <c r="Q4651"/>
      <c r="R4651"/>
      <c r="S4651"/>
    </row>
    <row r="4652" spans="13:19" ht="13.95" customHeight="1">
      <c r="M4652"/>
      <c r="N4652"/>
      <c r="O4652"/>
      <c r="P4652"/>
      <c r="Q4652"/>
      <c r="R4652"/>
      <c r="S4652"/>
    </row>
    <row r="4653" spans="13:19" ht="13.95" customHeight="1">
      <c r="M4653"/>
      <c r="N4653"/>
      <c r="O4653"/>
      <c r="P4653"/>
      <c r="Q4653"/>
      <c r="R4653"/>
      <c r="S4653"/>
    </row>
    <row r="4654" spans="13:19" ht="13.95" customHeight="1">
      <c r="M4654"/>
      <c r="N4654"/>
      <c r="O4654"/>
      <c r="P4654"/>
      <c r="Q4654"/>
      <c r="R4654"/>
      <c r="S4654"/>
    </row>
    <row r="4655" spans="13:19" ht="13.95" customHeight="1">
      <c r="M4655"/>
      <c r="N4655"/>
      <c r="O4655"/>
      <c r="P4655"/>
      <c r="Q4655"/>
      <c r="R4655"/>
      <c r="S4655"/>
    </row>
    <row r="4656" spans="13:19" ht="13.95" customHeight="1">
      <c r="M4656"/>
      <c r="N4656"/>
      <c r="O4656"/>
      <c r="P4656"/>
      <c r="Q4656"/>
      <c r="R4656"/>
      <c r="S4656"/>
    </row>
    <row r="4657" spans="13:19" ht="13.95" customHeight="1">
      <c r="M4657"/>
      <c r="N4657"/>
      <c r="O4657"/>
      <c r="P4657"/>
      <c r="Q4657"/>
      <c r="R4657"/>
      <c r="S4657"/>
    </row>
    <row r="4658" spans="13:19" ht="13.95" customHeight="1">
      <c r="M4658"/>
      <c r="N4658"/>
      <c r="O4658"/>
      <c r="P4658"/>
      <c r="Q4658"/>
      <c r="R4658"/>
      <c r="S4658"/>
    </row>
    <row r="4659" spans="13:19" ht="13.95" customHeight="1">
      <c r="M4659"/>
      <c r="N4659"/>
      <c r="O4659"/>
      <c r="P4659"/>
      <c r="Q4659"/>
      <c r="R4659"/>
      <c r="S4659"/>
    </row>
    <row r="4660" spans="13:19" ht="13.95" customHeight="1">
      <c r="M4660"/>
      <c r="N4660"/>
      <c r="O4660"/>
      <c r="P4660"/>
      <c r="Q4660"/>
      <c r="R4660"/>
      <c r="S4660"/>
    </row>
    <row r="4661" spans="13:19" ht="13.95" customHeight="1">
      <c r="M4661"/>
      <c r="N4661"/>
      <c r="O4661"/>
      <c r="P4661"/>
      <c r="Q4661"/>
      <c r="R4661"/>
      <c r="S4661"/>
    </row>
    <row r="4662" spans="13:19" ht="13.95" customHeight="1">
      <c r="M4662"/>
      <c r="N4662"/>
      <c r="O4662"/>
      <c r="P4662"/>
      <c r="Q4662"/>
      <c r="R4662"/>
      <c r="S4662"/>
    </row>
    <row r="4663" spans="13:19" ht="13.95" customHeight="1">
      <c r="M4663"/>
      <c r="N4663"/>
      <c r="O4663"/>
      <c r="P4663"/>
      <c r="Q4663"/>
      <c r="R4663"/>
      <c r="S4663"/>
    </row>
    <row r="4664" spans="13:19" ht="13.95" customHeight="1">
      <c r="M4664"/>
      <c r="N4664"/>
      <c r="O4664"/>
      <c r="P4664"/>
      <c r="Q4664"/>
      <c r="R4664"/>
      <c r="S4664"/>
    </row>
    <row r="4665" spans="13:19" ht="13.95" customHeight="1">
      <c r="M4665"/>
      <c r="N4665"/>
      <c r="O4665"/>
      <c r="P4665"/>
      <c r="Q4665"/>
      <c r="R4665"/>
      <c r="S4665"/>
    </row>
    <row r="4666" spans="13:19" ht="13.95" customHeight="1">
      <c r="M4666"/>
      <c r="N4666"/>
      <c r="O4666"/>
      <c r="P4666"/>
      <c r="Q4666"/>
      <c r="R4666"/>
      <c r="S4666"/>
    </row>
    <row r="4667" spans="13:19" ht="13.95" customHeight="1">
      <c r="M4667"/>
      <c r="N4667"/>
      <c r="O4667"/>
      <c r="P4667"/>
      <c r="Q4667"/>
      <c r="R4667"/>
      <c r="S4667"/>
    </row>
    <row r="4668" spans="13:19" ht="13.95" customHeight="1">
      <c r="M4668"/>
      <c r="N4668"/>
      <c r="O4668"/>
      <c r="P4668"/>
      <c r="Q4668"/>
      <c r="R4668"/>
      <c r="S4668"/>
    </row>
    <row r="4669" spans="13:19" ht="13.95" customHeight="1">
      <c r="M4669"/>
      <c r="N4669"/>
      <c r="O4669"/>
      <c r="P4669"/>
      <c r="Q4669"/>
      <c r="R4669"/>
      <c r="S4669"/>
    </row>
    <row r="4670" spans="13:19" ht="13.95" customHeight="1">
      <c r="M4670"/>
      <c r="N4670"/>
      <c r="O4670"/>
      <c r="P4670"/>
      <c r="Q4670"/>
      <c r="R4670"/>
      <c r="S4670"/>
    </row>
    <row r="4671" spans="13:19" ht="13.95" customHeight="1">
      <c r="M4671"/>
      <c r="N4671"/>
      <c r="O4671"/>
      <c r="P4671"/>
      <c r="Q4671"/>
      <c r="R4671"/>
      <c r="S4671"/>
    </row>
    <row r="4672" spans="13:19" ht="13.95" customHeight="1">
      <c r="M4672"/>
      <c r="N4672"/>
      <c r="O4672"/>
      <c r="P4672"/>
      <c r="Q4672"/>
      <c r="R4672"/>
      <c r="S4672"/>
    </row>
    <row r="4673" spans="13:19" ht="13.95" customHeight="1">
      <c r="M4673"/>
      <c r="N4673"/>
      <c r="O4673"/>
      <c r="P4673"/>
      <c r="Q4673"/>
      <c r="R4673"/>
      <c r="S4673"/>
    </row>
    <row r="4674" spans="13:19" ht="13.95" customHeight="1">
      <c r="M4674"/>
      <c r="N4674"/>
      <c r="O4674"/>
      <c r="P4674"/>
      <c r="Q4674"/>
      <c r="R4674"/>
      <c r="S4674"/>
    </row>
    <row r="4675" spans="13:19" ht="13.95" customHeight="1">
      <c r="M4675"/>
      <c r="N4675"/>
      <c r="O4675"/>
      <c r="P4675"/>
      <c r="Q4675"/>
      <c r="R4675"/>
      <c r="S4675"/>
    </row>
    <row r="4676" spans="13:19" ht="13.95" customHeight="1">
      <c r="M4676"/>
      <c r="N4676"/>
      <c r="O4676"/>
      <c r="P4676"/>
      <c r="Q4676"/>
      <c r="R4676"/>
      <c r="S4676"/>
    </row>
    <row r="4677" spans="13:19" ht="13.95" customHeight="1">
      <c r="M4677"/>
      <c r="N4677"/>
      <c r="O4677"/>
      <c r="P4677"/>
      <c r="Q4677"/>
      <c r="R4677"/>
      <c r="S4677"/>
    </row>
    <row r="4678" spans="13:19" ht="13.95" customHeight="1">
      <c r="M4678"/>
      <c r="N4678"/>
      <c r="O4678"/>
      <c r="P4678"/>
      <c r="Q4678"/>
      <c r="R4678"/>
      <c r="S4678"/>
    </row>
    <row r="4679" spans="13:19" ht="13.95" customHeight="1">
      <c r="M4679"/>
      <c r="N4679"/>
      <c r="O4679"/>
      <c r="P4679"/>
      <c r="Q4679"/>
      <c r="R4679"/>
      <c r="S4679"/>
    </row>
    <row r="4680" spans="13:19" ht="13.95" customHeight="1">
      <c r="M4680"/>
      <c r="N4680"/>
      <c r="O4680"/>
      <c r="P4680"/>
      <c r="Q4680"/>
      <c r="R4680"/>
      <c r="S4680"/>
    </row>
    <row r="4681" spans="13:19" ht="13.95" customHeight="1">
      <c r="M4681"/>
      <c r="N4681"/>
      <c r="O4681"/>
      <c r="P4681"/>
      <c r="Q4681"/>
      <c r="R4681"/>
      <c r="S4681"/>
    </row>
    <row r="4682" spans="13:19" ht="13.95" customHeight="1">
      <c r="M4682"/>
      <c r="N4682"/>
      <c r="O4682"/>
      <c r="P4682"/>
      <c r="Q4682"/>
      <c r="R4682"/>
      <c r="S4682"/>
    </row>
    <row r="4683" spans="13:19" ht="13.95" customHeight="1">
      <c r="M4683"/>
      <c r="N4683"/>
      <c r="O4683"/>
      <c r="P4683"/>
      <c r="Q4683"/>
      <c r="R4683"/>
      <c r="S4683"/>
    </row>
    <row r="4684" spans="13:19" ht="13.95" customHeight="1">
      <c r="M4684"/>
      <c r="N4684"/>
      <c r="O4684"/>
      <c r="P4684"/>
      <c r="Q4684"/>
      <c r="R4684"/>
      <c r="S4684"/>
    </row>
    <row r="4685" spans="13:19" ht="13.95" customHeight="1">
      <c r="M4685"/>
      <c r="N4685"/>
      <c r="O4685"/>
      <c r="P4685"/>
      <c r="Q4685"/>
      <c r="R4685"/>
      <c r="S4685"/>
    </row>
    <row r="4686" spans="13:19" ht="13.95" customHeight="1">
      <c r="M4686"/>
      <c r="N4686"/>
      <c r="O4686"/>
      <c r="P4686"/>
      <c r="Q4686"/>
      <c r="R4686"/>
      <c r="S4686"/>
    </row>
    <row r="4687" spans="13:19" ht="13.95" customHeight="1">
      <c r="M4687"/>
      <c r="N4687"/>
      <c r="O4687"/>
      <c r="P4687"/>
      <c r="Q4687"/>
      <c r="R4687"/>
      <c r="S4687"/>
    </row>
    <row r="4688" spans="13:19" ht="13.95" customHeight="1">
      <c r="M4688"/>
      <c r="N4688"/>
      <c r="O4688"/>
      <c r="P4688"/>
      <c r="Q4688"/>
      <c r="R4688"/>
      <c r="S4688"/>
    </row>
    <row r="4689" spans="13:19" ht="13.95" customHeight="1">
      <c r="M4689"/>
      <c r="N4689"/>
      <c r="O4689"/>
      <c r="P4689"/>
      <c r="Q4689"/>
      <c r="R4689"/>
      <c r="S4689"/>
    </row>
    <row r="4690" spans="13:19" ht="13.95" customHeight="1">
      <c r="M4690"/>
      <c r="N4690"/>
      <c r="O4690"/>
      <c r="P4690"/>
      <c r="Q4690"/>
      <c r="R4690"/>
      <c r="S4690"/>
    </row>
    <row r="4691" spans="13:19" ht="13.95" customHeight="1">
      <c r="M4691"/>
      <c r="N4691"/>
      <c r="O4691"/>
      <c r="P4691"/>
      <c r="Q4691"/>
      <c r="R4691"/>
      <c r="S4691"/>
    </row>
    <row r="4692" spans="13:19" ht="13.95" customHeight="1">
      <c r="M4692"/>
      <c r="N4692"/>
      <c r="O4692"/>
      <c r="P4692"/>
      <c r="Q4692"/>
      <c r="R4692"/>
      <c r="S4692"/>
    </row>
    <row r="4693" spans="13:19" ht="13.95" customHeight="1">
      <c r="M4693"/>
      <c r="N4693"/>
      <c r="O4693"/>
      <c r="P4693"/>
      <c r="Q4693"/>
      <c r="R4693"/>
      <c r="S4693"/>
    </row>
    <row r="4694" spans="13:19" ht="13.95" customHeight="1">
      <c r="M4694"/>
      <c r="N4694"/>
      <c r="O4694"/>
      <c r="P4694"/>
      <c r="Q4694"/>
      <c r="R4694"/>
      <c r="S4694"/>
    </row>
    <row r="4695" spans="13:19" ht="13.95" customHeight="1">
      <c r="M4695"/>
      <c r="N4695"/>
      <c r="O4695"/>
      <c r="P4695"/>
      <c r="Q4695"/>
      <c r="R4695"/>
      <c r="S4695"/>
    </row>
    <row r="4696" spans="13:19" ht="13.95" customHeight="1">
      <c r="M4696"/>
      <c r="N4696"/>
      <c r="O4696"/>
      <c r="P4696"/>
      <c r="Q4696"/>
      <c r="R4696"/>
      <c r="S4696"/>
    </row>
    <row r="4697" spans="13:19" ht="13.95" customHeight="1">
      <c r="M4697"/>
      <c r="N4697"/>
      <c r="O4697"/>
      <c r="P4697"/>
      <c r="Q4697"/>
      <c r="R4697"/>
      <c r="S4697"/>
    </row>
    <row r="4698" spans="13:19" ht="13.95" customHeight="1">
      <c r="M4698"/>
      <c r="N4698"/>
      <c r="O4698"/>
      <c r="P4698"/>
      <c r="Q4698"/>
      <c r="R4698"/>
      <c r="S4698"/>
    </row>
    <row r="4699" spans="13:19" ht="13.95" customHeight="1">
      <c r="M4699"/>
      <c r="N4699"/>
      <c r="O4699"/>
      <c r="P4699"/>
      <c r="Q4699"/>
      <c r="R4699"/>
      <c r="S4699"/>
    </row>
    <row r="4700" spans="13:19" ht="13.95" customHeight="1">
      <c r="M4700"/>
      <c r="N4700"/>
      <c r="O4700"/>
      <c r="P4700"/>
      <c r="Q4700"/>
      <c r="R4700"/>
      <c r="S4700"/>
    </row>
    <row r="4701" spans="13:19" ht="13.95" customHeight="1">
      <c r="M4701"/>
      <c r="N4701"/>
      <c r="O4701"/>
      <c r="P4701"/>
      <c r="Q4701"/>
      <c r="R4701"/>
      <c r="S4701"/>
    </row>
    <row r="4702" spans="13:19" ht="13.95" customHeight="1">
      <c r="M4702"/>
      <c r="N4702"/>
      <c r="O4702"/>
      <c r="P4702"/>
      <c r="Q4702"/>
      <c r="R4702"/>
      <c r="S4702"/>
    </row>
    <row r="4703" spans="13:19" ht="13.95" customHeight="1">
      <c r="M4703"/>
      <c r="N4703"/>
      <c r="O4703"/>
      <c r="P4703"/>
      <c r="Q4703"/>
      <c r="R4703"/>
      <c r="S4703"/>
    </row>
    <row r="4704" spans="13:19" ht="13.95" customHeight="1">
      <c r="M4704"/>
      <c r="N4704"/>
      <c r="O4704"/>
      <c r="P4704"/>
      <c r="Q4704"/>
      <c r="R4704"/>
      <c r="S4704"/>
    </row>
    <row r="4705" spans="13:19" ht="13.95" customHeight="1">
      <c r="M4705"/>
      <c r="N4705"/>
      <c r="O4705"/>
      <c r="P4705"/>
      <c r="Q4705"/>
      <c r="R4705"/>
      <c r="S4705"/>
    </row>
    <row r="4706" spans="13:19" ht="13.95" customHeight="1">
      <c r="M4706"/>
      <c r="N4706"/>
      <c r="O4706"/>
      <c r="P4706"/>
      <c r="Q4706"/>
      <c r="R4706"/>
      <c r="S4706"/>
    </row>
    <row r="4707" spans="13:19" ht="13.95" customHeight="1">
      <c r="M4707"/>
      <c r="N4707"/>
      <c r="O4707"/>
      <c r="P4707"/>
      <c r="Q4707"/>
      <c r="R4707"/>
      <c r="S4707"/>
    </row>
    <row r="4708" spans="13:19" ht="13.95" customHeight="1">
      <c r="M4708"/>
      <c r="N4708"/>
      <c r="O4708"/>
      <c r="P4708"/>
      <c r="Q4708"/>
      <c r="R4708"/>
      <c r="S4708"/>
    </row>
    <row r="4709" spans="13:19" ht="13.95" customHeight="1">
      <c r="M4709"/>
      <c r="N4709"/>
      <c r="O4709"/>
      <c r="P4709"/>
      <c r="Q4709"/>
      <c r="R4709"/>
      <c r="S4709"/>
    </row>
    <row r="4710" spans="13:19" ht="13.95" customHeight="1">
      <c r="M4710"/>
      <c r="N4710"/>
      <c r="O4710"/>
      <c r="P4710"/>
      <c r="Q4710"/>
      <c r="R4710"/>
      <c r="S4710"/>
    </row>
    <row r="4711" spans="13:19" ht="13.95" customHeight="1">
      <c r="M4711"/>
      <c r="N4711"/>
      <c r="O4711"/>
      <c r="P4711"/>
      <c r="Q4711"/>
      <c r="R4711"/>
      <c r="S4711"/>
    </row>
    <row r="4712" spans="13:19" ht="13.95" customHeight="1">
      <c r="M4712"/>
      <c r="N4712"/>
      <c r="O4712"/>
      <c r="P4712"/>
      <c r="Q4712"/>
      <c r="R4712"/>
      <c r="S4712"/>
    </row>
    <row r="4713" spans="13:19" ht="13.95" customHeight="1">
      <c r="M4713"/>
      <c r="N4713"/>
      <c r="O4713"/>
      <c r="P4713"/>
      <c r="Q4713"/>
      <c r="R4713"/>
      <c r="S4713"/>
    </row>
    <row r="4714" spans="13:19" ht="13.95" customHeight="1">
      <c r="M4714"/>
      <c r="N4714"/>
      <c r="O4714"/>
      <c r="P4714"/>
      <c r="Q4714"/>
      <c r="R4714"/>
      <c r="S4714"/>
    </row>
    <row r="4715" spans="13:19" ht="13.95" customHeight="1">
      <c r="M4715"/>
      <c r="N4715"/>
      <c r="O4715"/>
      <c r="P4715"/>
      <c r="Q4715"/>
      <c r="R4715"/>
      <c r="S4715"/>
    </row>
    <row r="4716" spans="13:19" ht="13.95" customHeight="1">
      <c r="M4716"/>
      <c r="N4716"/>
      <c r="O4716"/>
      <c r="P4716"/>
      <c r="Q4716"/>
      <c r="R4716"/>
      <c r="S4716"/>
    </row>
    <row r="4717" spans="13:19" ht="13.95" customHeight="1">
      <c r="M4717"/>
      <c r="N4717"/>
      <c r="O4717"/>
      <c r="P4717"/>
      <c r="Q4717"/>
      <c r="R4717"/>
      <c r="S4717"/>
    </row>
    <row r="4718" spans="13:19" ht="13.95" customHeight="1">
      <c r="M4718"/>
      <c r="N4718"/>
      <c r="O4718"/>
      <c r="P4718"/>
      <c r="Q4718"/>
      <c r="R4718"/>
      <c r="S4718"/>
    </row>
    <row r="4719" spans="13:19" ht="13.95" customHeight="1">
      <c r="M4719"/>
      <c r="N4719"/>
      <c r="O4719"/>
      <c r="P4719"/>
      <c r="Q4719"/>
      <c r="R4719"/>
      <c r="S4719"/>
    </row>
    <row r="4720" spans="13:19" ht="13.95" customHeight="1">
      <c r="M4720"/>
      <c r="N4720"/>
      <c r="O4720"/>
      <c r="P4720"/>
      <c r="Q4720"/>
      <c r="R4720"/>
      <c r="S4720"/>
    </row>
    <row r="4721" spans="13:19" ht="13.95" customHeight="1">
      <c r="M4721"/>
      <c r="N4721"/>
      <c r="O4721"/>
      <c r="P4721"/>
      <c r="Q4721"/>
      <c r="R4721"/>
      <c r="S4721"/>
    </row>
    <row r="4722" spans="13:19" ht="13.95" customHeight="1">
      <c r="M4722"/>
      <c r="N4722"/>
      <c r="O4722"/>
      <c r="P4722"/>
      <c r="Q4722"/>
      <c r="R4722"/>
      <c r="S4722"/>
    </row>
    <row r="4723" spans="13:19" ht="13.95" customHeight="1">
      <c r="M4723"/>
      <c r="N4723"/>
      <c r="O4723"/>
      <c r="P4723"/>
      <c r="Q4723"/>
      <c r="R4723"/>
      <c r="S4723"/>
    </row>
    <row r="4724" spans="13:19" ht="13.95" customHeight="1">
      <c r="M4724"/>
      <c r="N4724"/>
      <c r="O4724"/>
      <c r="P4724"/>
      <c r="Q4724"/>
      <c r="R4724"/>
      <c r="S4724"/>
    </row>
    <row r="4725" spans="13:19" ht="13.95" customHeight="1">
      <c r="M4725"/>
      <c r="N4725"/>
      <c r="O4725"/>
      <c r="P4725"/>
      <c r="Q4725"/>
      <c r="R4725"/>
      <c r="S4725"/>
    </row>
    <row r="4726" spans="13:19" ht="13.95" customHeight="1">
      <c r="M4726"/>
      <c r="N4726"/>
      <c r="O4726"/>
      <c r="P4726"/>
      <c r="Q4726"/>
      <c r="R4726"/>
      <c r="S4726"/>
    </row>
    <row r="4727" spans="13:19" ht="13.95" customHeight="1">
      <c r="M4727"/>
      <c r="N4727"/>
      <c r="O4727"/>
      <c r="P4727"/>
      <c r="Q4727"/>
      <c r="R4727"/>
      <c r="S4727"/>
    </row>
    <row r="4728" spans="13:19" ht="13.95" customHeight="1">
      <c r="M4728"/>
      <c r="N4728"/>
      <c r="O4728"/>
      <c r="P4728"/>
      <c r="Q4728"/>
      <c r="R4728"/>
      <c r="S4728"/>
    </row>
    <row r="4729" spans="13:19" ht="13.95" customHeight="1">
      <c r="M4729"/>
      <c r="N4729"/>
      <c r="O4729"/>
      <c r="P4729"/>
      <c r="Q4729"/>
      <c r="R4729"/>
      <c r="S4729"/>
    </row>
    <row r="4730" spans="13:19" ht="13.95" customHeight="1">
      <c r="M4730"/>
      <c r="N4730"/>
      <c r="O4730"/>
      <c r="P4730"/>
      <c r="Q4730"/>
      <c r="R4730"/>
      <c r="S4730"/>
    </row>
    <row r="4731" spans="13:19" ht="13.95" customHeight="1">
      <c r="M4731"/>
      <c r="N4731"/>
      <c r="O4731"/>
      <c r="P4731"/>
      <c r="Q4731"/>
      <c r="R4731"/>
      <c r="S4731"/>
    </row>
    <row r="4732" spans="13:19" ht="13.95" customHeight="1">
      <c r="M4732"/>
      <c r="N4732"/>
      <c r="O4732"/>
      <c r="P4732"/>
      <c r="Q4732"/>
      <c r="R4732"/>
      <c r="S4732"/>
    </row>
    <row r="4733" spans="13:19" ht="13.95" customHeight="1">
      <c r="M4733"/>
      <c r="N4733"/>
      <c r="O4733"/>
      <c r="P4733"/>
      <c r="Q4733"/>
      <c r="R4733"/>
      <c r="S4733"/>
    </row>
    <row r="4734" spans="13:19" ht="13.95" customHeight="1">
      <c r="M4734"/>
      <c r="N4734"/>
      <c r="O4734"/>
      <c r="P4734"/>
      <c r="Q4734"/>
      <c r="R4734"/>
      <c r="S4734"/>
    </row>
    <row r="4735" spans="13:19" ht="13.95" customHeight="1">
      <c r="M4735"/>
      <c r="N4735"/>
      <c r="O4735"/>
      <c r="P4735"/>
      <c r="Q4735"/>
      <c r="R4735"/>
      <c r="S4735"/>
    </row>
    <row r="4736" spans="13:19" ht="13.95" customHeight="1">
      <c r="M4736"/>
      <c r="N4736"/>
      <c r="O4736"/>
      <c r="P4736"/>
      <c r="Q4736"/>
      <c r="R4736"/>
      <c r="S4736"/>
    </row>
    <row r="4737" spans="13:19" ht="13.95" customHeight="1">
      <c r="M4737"/>
      <c r="N4737"/>
      <c r="O4737"/>
      <c r="P4737"/>
      <c r="Q4737"/>
      <c r="R4737"/>
      <c r="S4737"/>
    </row>
    <row r="4738" spans="13:19" ht="13.95" customHeight="1">
      <c r="M4738"/>
      <c r="N4738"/>
      <c r="O4738"/>
      <c r="P4738"/>
      <c r="Q4738"/>
      <c r="R4738"/>
      <c r="S4738"/>
    </row>
    <row r="4739" spans="13:19" ht="13.95" customHeight="1">
      <c r="M4739"/>
      <c r="N4739"/>
      <c r="O4739"/>
      <c r="P4739"/>
      <c r="Q4739"/>
      <c r="R4739"/>
      <c r="S4739"/>
    </row>
    <row r="4740" spans="13:19" ht="13.95" customHeight="1">
      <c r="M4740"/>
      <c r="N4740"/>
      <c r="O4740"/>
      <c r="P4740"/>
      <c r="Q4740"/>
      <c r="R4740"/>
      <c r="S4740"/>
    </row>
    <row r="4741" spans="13:19" ht="13.95" customHeight="1">
      <c r="M4741"/>
      <c r="N4741"/>
      <c r="O4741"/>
      <c r="P4741"/>
      <c r="Q4741"/>
      <c r="R4741"/>
      <c r="S4741"/>
    </row>
    <row r="4742" spans="13:19" ht="13.95" customHeight="1">
      <c r="M4742"/>
      <c r="N4742"/>
      <c r="O4742"/>
      <c r="P4742"/>
      <c r="Q4742"/>
      <c r="R4742"/>
      <c r="S4742"/>
    </row>
    <row r="4743" spans="13:19" ht="13.95" customHeight="1">
      <c r="M4743"/>
      <c r="N4743"/>
      <c r="O4743"/>
      <c r="P4743"/>
      <c r="Q4743"/>
      <c r="R4743"/>
      <c r="S4743"/>
    </row>
    <row r="4744" spans="13:19" ht="13.95" customHeight="1">
      <c r="M4744"/>
      <c r="N4744"/>
      <c r="O4744"/>
      <c r="P4744"/>
      <c r="Q4744"/>
      <c r="R4744"/>
      <c r="S4744"/>
    </row>
    <row r="4745" spans="13:19" ht="13.95" customHeight="1">
      <c r="M4745"/>
      <c r="N4745"/>
      <c r="O4745"/>
      <c r="P4745"/>
      <c r="Q4745"/>
      <c r="R4745"/>
      <c r="S4745"/>
    </row>
    <row r="4746" spans="13:19" ht="13.95" customHeight="1">
      <c r="M4746"/>
      <c r="N4746"/>
      <c r="O4746"/>
      <c r="P4746"/>
      <c r="Q4746"/>
      <c r="R4746"/>
      <c r="S4746"/>
    </row>
    <row r="4747" spans="13:19" ht="13.95" customHeight="1">
      <c r="M4747"/>
      <c r="N4747"/>
      <c r="O4747"/>
      <c r="P4747"/>
      <c r="Q4747"/>
      <c r="R4747"/>
      <c r="S4747"/>
    </row>
    <row r="4748" spans="13:19" ht="13.95" customHeight="1">
      <c r="M4748"/>
      <c r="N4748"/>
      <c r="O4748"/>
      <c r="P4748"/>
      <c r="Q4748"/>
      <c r="R4748"/>
      <c r="S4748"/>
    </row>
    <row r="4749" spans="13:19" ht="13.95" customHeight="1">
      <c r="M4749"/>
      <c r="N4749"/>
      <c r="O4749"/>
      <c r="P4749"/>
      <c r="Q4749"/>
      <c r="R4749"/>
      <c r="S4749"/>
    </row>
    <row r="4750" spans="13:19" ht="13.95" customHeight="1">
      <c r="M4750"/>
      <c r="N4750"/>
      <c r="O4750"/>
      <c r="P4750"/>
      <c r="Q4750"/>
      <c r="R4750"/>
      <c r="S4750"/>
    </row>
    <row r="4751" spans="13:19" ht="13.95" customHeight="1">
      <c r="M4751"/>
      <c r="N4751"/>
      <c r="O4751"/>
      <c r="P4751"/>
      <c r="Q4751"/>
      <c r="R4751"/>
      <c r="S4751"/>
    </row>
    <row r="4752" spans="13:19" ht="13.95" customHeight="1">
      <c r="M4752"/>
      <c r="N4752"/>
      <c r="O4752"/>
      <c r="P4752"/>
      <c r="Q4752"/>
      <c r="R4752"/>
      <c r="S4752"/>
    </row>
    <row r="4753" spans="13:19" ht="13.95" customHeight="1">
      <c r="M4753"/>
      <c r="N4753"/>
      <c r="O4753"/>
      <c r="P4753"/>
      <c r="Q4753"/>
      <c r="R4753"/>
      <c r="S4753"/>
    </row>
    <row r="4754" spans="13:19" ht="13.95" customHeight="1">
      <c r="M4754"/>
      <c r="N4754"/>
      <c r="O4754"/>
      <c r="P4754"/>
      <c r="Q4754"/>
      <c r="R4754"/>
      <c r="S4754"/>
    </row>
    <row r="4755" spans="13:19" ht="13.95" customHeight="1">
      <c r="M4755"/>
      <c r="N4755"/>
      <c r="O4755"/>
      <c r="P4755"/>
      <c r="Q4755"/>
      <c r="R4755"/>
      <c r="S4755"/>
    </row>
    <row r="4756" spans="13:19" ht="13.95" customHeight="1">
      <c r="M4756"/>
      <c r="N4756"/>
      <c r="O4756"/>
      <c r="P4756"/>
      <c r="Q4756"/>
      <c r="R4756"/>
      <c r="S4756"/>
    </row>
    <row r="4757" spans="13:19" ht="13.95" customHeight="1">
      <c r="M4757"/>
      <c r="N4757"/>
      <c r="O4757"/>
      <c r="P4757"/>
      <c r="Q4757"/>
      <c r="R4757"/>
      <c r="S4757"/>
    </row>
    <row r="4758" spans="13:19" ht="13.95" customHeight="1">
      <c r="M4758"/>
      <c r="N4758"/>
      <c r="O4758"/>
      <c r="P4758"/>
      <c r="Q4758"/>
      <c r="R4758"/>
      <c r="S4758"/>
    </row>
    <row r="4759" spans="13:19" ht="13.95" customHeight="1">
      <c r="M4759"/>
      <c r="N4759"/>
      <c r="O4759"/>
      <c r="P4759"/>
      <c r="Q4759"/>
      <c r="R4759"/>
      <c r="S4759"/>
    </row>
    <row r="4760" spans="13:19" ht="13.95" customHeight="1">
      <c r="M4760"/>
      <c r="N4760"/>
      <c r="O4760"/>
      <c r="P4760"/>
      <c r="Q4760"/>
      <c r="R4760"/>
      <c r="S4760"/>
    </row>
    <row r="4761" spans="13:19" ht="13.95" customHeight="1">
      <c r="M4761"/>
      <c r="N4761"/>
      <c r="O4761"/>
      <c r="P4761"/>
      <c r="Q4761"/>
      <c r="R4761"/>
      <c r="S4761"/>
    </row>
    <row r="4762" spans="13:19" ht="13.95" customHeight="1">
      <c r="M4762"/>
      <c r="N4762"/>
      <c r="O4762"/>
      <c r="P4762"/>
      <c r="Q4762"/>
      <c r="R4762"/>
      <c r="S4762"/>
    </row>
    <row r="4763" spans="13:19" ht="13.95" customHeight="1">
      <c r="M4763"/>
      <c r="N4763"/>
      <c r="O4763"/>
      <c r="P4763"/>
      <c r="Q4763"/>
      <c r="R4763"/>
      <c r="S4763"/>
    </row>
    <row r="4764" spans="13:19" ht="13.95" customHeight="1">
      <c r="M4764"/>
      <c r="N4764"/>
      <c r="O4764"/>
      <c r="P4764"/>
      <c r="Q4764"/>
      <c r="R4764"/>
      <c r="S4764"/>
    </row>
    <row r="4765" spans="13:19" ht="13.95" customHeight="1">
      <c r="M4765"/>
      <c r="N4765"/>
      <c r="O4765"/>
      <c r="P4765"/>
      <c r="Q4765"/>
      <c r="R4765"/>
      <c r="S4765"/>
    </row>
    <row r="4766" spans="13:19" ht="13.95" customHeight="1">
      <c r="M4766"/>
      <c r="N4766"/>
      <c r="O4766"/>
      <c r="P4766"/>
      <c r="Q4766"/>
      <c r="R4766"/>
      <c r="S4766"/>
    </row>
    <row r="4767" spans="13:19" ht="13.95" customHeight="1">
      <c r="M4767"/>
      <c r="N4767"/>
      <c r="O4767"/>
      <c r="P4767"/>
      <c r="Q4767"/>
      <c r="R4767"/>
      <c r="S4767"/>
    </row>
    <row r="4768" spans="13:19" ht="13.95" customHeight="1">
      <c r="M4768"/>
      <c r="N4768"/>
      <c r="O4768"/>
      <c r="P4768"/>
      <c r="Q4768"/>
      <c r="R4768"/>
      <c r="S4768"/>
    </row>
    <row r="4769" spans="13:19" ht="13.95" customHeight="1">
      <c r="M4769"/>
      <c r="N4769"/>
      <c r="O4769"/>
      <c r="P4769"/>
      <c r="Q4769"/>
      <c r="R4769"/>
      <c r="S4769"/>
    </row>
    <row r="4770" spans="13:19" ht="13.95" customHeight="1">
      <c r="M4770"/>
      <c r="N4770"/>
      <c r="O4770"/>
      <c r="P4770"/>
      <c r="Q4770"/>
      <c r="R4770"/>
      <c r="S4770"/>
    </row>
    <row r="4771" spans="13:19" ht="13.95" customHeight="1">
      <c r="M4771"/>
      <c r="N4771"/>
      <c r="O4771"/>
      <c r="P4771"/>
      <c r="Q4771"/>
      <c r="R4771"/>
      <c r="S4771"/>
    </row>
    <row r="4772" spans="13:19" ht="13.95" customHeight="1">
      <c r="M4772"/>
      <c r="N4772"/>
      <c r="O4772"/>
      <c r="P4772"/>
      <c r="Q4772"/>
      <c r="R4772"/>
      <c r="S4772"/>
    </row>
    <row r="4773" spans="13:19" ht="13.95" customHeight="1">
      <c r="M4773"/>
      <c r="N4773"/>
      <c r="O4773"/>
      <c r="P4773"/>
      <c r="Q4773"/>
      <c r="R4773"/>
      <c r="S4773"/>
    </row>
    <row r="4774" spans="13:19" ht="13.95" customHeight="1">
      <c r="M4774"/>
      <c r="N4774"/>
      <c r="O4774"/>
      <c r="P4774"/>
      <c r="Q4774"/>
      <c r="R4774"/>
      <c r="S4774"/>
    </row>
    <row r="4775" spans="13:19" ht="13.95" customHeight="1">
      <c r="M4775"/>
      <c r="N4775"/>
      <c r="O4775"/>
      <c r="P4775"/>
      <c r="Q4775"/>
      <c r="R4775"/>
      <c r="S4775"/>
    </row>
    <row r="4776" spans="13:19" ht="13.95" customHeight="1">
      <c r="M4776"/>
      <c r="N4776"/>
      <c r="O4776"/>
      <c r="P4776"/>
      <c r="Q4776"/>
      <c r="R4776"/>
      <c r="S4776"/>
    </row>
    <row r="4777" spans="13:19" ht="13.95" customHeight="1">
      <c r="M4777"/>
      <c r="N4777"/>
      <c r="O4777"/>
      <c r="P4777"/>
      <c r="Q4777"/>
      <c r="R4777"/>
      <c r="S4777"/>
    </row>
    <row r="4778" spans="13:19" ht="13.95" customHeight="1">
      <c r="M4778"/>
      <c r="N4778"/>
      <c r="O4778"/>
      <c r="P4778"/>
      <c r="Q4778"/>
      <c r="R4778"/>
      <c r="S4778"/>
    </row>
    <row r="4779" spans="13:19" ht="13.95" customHeight="1">
      <c r="M4779"/>
      <c r="N4779"/>
      <c r="O4779"/>
      <c r="P4779"/>
      <c r="Q4779"/>
      <c r="R4779"/>
      <c r="S4779"/>
    </row>
    <row r="4780" spans="13:19" ht="13.95" customHeight="1">
      <c r="M4780"/>
      <c r="N4780"/>
      <c r="O4780"/>
      <c r="P4780"/>
      <c r="Q4780"/>
      <c r="R4780"/>
      <c r="S4780"/>
    </row>
    <row r="4781" spans="13:19" ht="13.95" customHeight="1">
      <c r="M4781"/>
      <c r="N4781"/>
      <c r="O4781"/>
      <c r="P4781"/>
      <c r="Q4781"/>
      <c r="R4781"/>
      <c r="S4781"/>
    </row>
    <row r="4782" spans="13:19" ht="13.95" customHeight="1">
      <c r="M4782"/>
      <c r="N4782"/>
      <c r="O4782"/>
      <c r="P4782"/>
      <c r="Q4782"/>
      <c r="R4782"/>
      <c r="S4782"/>
    </row>
    <row r="4783" spans="13:19" ht="13.95" customHeight="1">
      <c r="M4783"/>
      <c r="N4783"/>
      <c r="O4783"/>
      <c r="P4783"/>
      <c r="Q4783"/>
      <c r="R4783"/>
      <c r="S4783"/>
    </row>
    <row r="4784" spans="13:19" ht="13.95" customHeight="1">
      <c r="M4784"/>
      <c r="N4784"/>
      <c r="O4784"/>
      <c r="P4784"/>
      <c r="Q4784"/>
      <c r="R4784"/>
      <c r="S4784"/>
    </row>
    <row r="4785" spans="13:19" ht="13.95" customHeight="1">
      <c r="M4785"/>
      <c r="N4785"/>
      <c r="O4785"/>
      <c r="P4785"/>
      <c r="Q4785"/>
      <c r="R4785"/>
      <c r="S4785"/>
    </row>
    <row r="4786" spans="13:19" ht="13.95" customHeight="1">
      <c r="M4786"/>
      <c r="N4786"/>
      <c r="O4786"/>
      <c r="P4786"/>
      <c r="Q4786"/>
      <c r="R4786"/>
      <c r="S4786"/>
    </row>
    <row r="4787" spans="13:19" ht="13.95" customHeight="1">
      <c r="M4787"/>
      <c r="N4787"/>
      <c r="O4787"/>
      <c r="P4787"/>
      <c r="Q4787"/>
      <c r="R4787"/>
      <c r="S4787"/>
    </row>
    <row r="4788" spans="13:19" ht="13.95" customHeight="1">
      <c r="M4788"/>
      <c r="N4788"/>
      <c r="O4788"/>
      <c r="P4788"/>
      <c r="Q4788"/>
      <c r="R4788"/>
      <c r="S4788"/>
    </row>
    <row r="4789" spans="13:19" ht="13.95" customHeight="1">
      <c r="M4789"/>
      <c r="N4789"/>
      <c r="O4789"/>
      <c r="P4789"/>
      <c r="Q4789"/>
      <c r="R4789"/>
      <c r="S4789"/>
    </row>
    <row r="4790" spans="13:19" ht="13.95" customHeight="1">
      <c r="M4790"/>
      <c r="N4790"/>
      <c r="O4790"/>
      <c r="P4790"/>
      <c r="Q4790"/>
      <c r="R4790"/>
      <c r="S4790"/>
    </row>
    <row r="4791" spans="13:19" ht="13.95" customHeight="1">
      <c r="M4791"/>
      <c r="N4791"/>
      <c r="O4791"/>
      <c r="P4791"/>
      <c r="Q4791"/>
      <c r="R4791"/>
      <c r="S4791"/>
    </row>
    <row r="4792" spans="13:19" ht="13.95" customHeight="1">
      <c r="M4792"/>
      <c r="N4792"/>
      <c r="O4792"/>
      <c r="P4792"/>
      <c r="Q4792"/>
      <c r="R4792"/>
      <c r="S4792"/>
    </row>
    <row r="4793" spans="13:19" ht="13.95" customHeight="1">
      <c r="M4793"/>
      <c r="N4793"/>
      <c r="O4793"/>
      <c r="P4793"/>
      <c r="Q4793"/>
      <c r="R4793"/>
      <c r="S4793"/>
    </row>
    <row r="4794" spans="13:19" ht="13.95" customHeight="1">
      <c r="M4794"/>
      <c r="N4794"/>
      <c r="O4794"/>
      <c r="P4794"/>
      <c r="Q4794"/>
      <c r="R4794"/>
      <c r="S4794"/>
    </row>
    <row r="4795" spans="13:19" ht="13.95" customHeight="1">
      <c r="M4795"/>
      <c r="N4795"/>
      <c r="O4795"/>
      <c r="P4795"/>
      <c r="Q4795"/>
      <c r="R4795"/>
      <c r="S4795"/>
    </row>
    <row r="4796" spans="13:19" ht="13.95" customHeight="1">
      <c r="M4796"/>
      <c r="N4796"/>
      <c r="O4796"/>
      <c r="P4796"/>
      <c r="Q4796"/>
      <c r="R4796"/>
      <c r="S4796"/>
    </row>
    <row r="4797" spans="13:19" ht="13.95" customHeight="1">
      <c r="M4797"/>
      <c r="N4797"/>
      <c r="O4797"/>
      <c r="P4797"/>
      <c r="Q4797"/>
      <c r="R4797"/>
      <c r="S4797"/>
    </row>
    <row r="4798" spans="13:19" ht="13.95" customHeight="1">
      <c r="M4798"/>
      <c r="N4798"/>
      <c r="O4798"/>
      <c r="P4798"/>
      <c r="Q4798"/>
      <c r="R4798"/>
      <c r="S4798"/>
    </row>
    <row r="4799" spans="13:19" ht="13.95" customHeight="1">
      <c r="M4799"/>
      <c r="N4799"/>
      <c r="O4799"/>
      <c r="P4799"/>
      <c r="Q4799"/>
      <c r="R4799"/>
      <c r="S4799"/>
    </row>
    <row r="4800" spans="13:19" ht="13.95" customHeight="1">
      <c r="M4800"/>
      <c r="N4800"/>
      <c r="O4800"/>
      <c r="P4800"/>
      <c r="Q4800"/>
      <c r="R4800"/>
      <c r="S4800"/>
    </row>
    <row r="4801" spans="13:19" ht="13.95" customHeight="1">
      <c r="M4801"/>
      <c r="N4801"/>
      <c r="O4801"/>
      <c r="P4801"/>
      <c r="Q4801"/>
      <c r="R4801"/>
      <c r="S4801"/>
    </row>
    <row r="4802" spans="13:19" ht="13.95" customHeight="1">
      <c r="M4802"/>
      <c r="N4802"/>
      <c r="O4802"/>
      <c r="P4802"/>
      <c r="Q4802"/>
      <c r="R4802"/>
      <c r="S4802"/>
    </row>
    <row r="4803" spans="13:19" ht="13.95" customHeight="1">
      <c r="M4803"/>
      <c r="N4803"/>
      <c r="O4803"/>
      <c r="P4803"/>
      <c r="Q4803"/>
      <c r="R4803"/>
      <c r="S4803"/>
    </row>
    <row r="4804" spans="13:19" ht="13.95" customHeight="1">
      <c r="M4804"/>
      <c r="N4804"/>
      <c r="O4804"/>
      <c r="P4804"/>
      <c r="Q4804"/>
      <c r="R4804"/>
      <c r="S4804"/>
    </row>
    <row r="4805" spans="13:19" ht="13.95" customHeight="1">
      <c r="M4805"/>
      <c r="N4805"/>
      <c r="O4805"/>
      <c r="P4805"/>
      <c r="Q4805"/>
      <c r="R4805"/>
      <c r="S4805"/>
    </row>
    <row r="4806" spans="13:19" ht="13.95" customHeight="1">
      <c r="M4806"/>
      <c r="N4806"/>
      <c r="O4806"/>
      <c r="P4806"/>
      <c r="Q4806"/>
      <c r="R4806"/>
      <c r="S4806"/>
    </row>
    <row r="4807" spans="13:19" ht="13.95" customHeight="1">
      <c r="M4807"/>
      <c r="N4807"/>
      <c r="O4807"/>
      <c r="P4807"/>
      <c r="Q4807"/>
      <c r="R4807"/>
      <c r="S4807"/>
    </row>
    <row r="4808" spans="13:19" ht="13.95" customHeight="1">
      <c r="M4808"/>
      <c r="N4808"/>
      <c r="O4808"/>
      <c r="P4808"/>
      <c r="Q4808"/>
      <c r="R4808"/>
      <c r="S4808"/>
    </row>
    <row r="4809" spans="13:19" ht="13.95" customHeight="1">
      <c r="M4809"/>
      <c r="N4809"/>
      <c r="O4809"/>
      <c r="P4809"/>
      <c r="Q4809"/>
      <c r="R4809"/>
      <c r="S4809"/>
    </row>
    <row r="4810" spans="13:19" ht="13.95" customHeight="1">
      <c r="M4810"/>
      <c r="N4810"/>
      <c r="O4810"/>
      <c r="P4810"/>
      <c r="Q4810"/>
      <c r="R4810"/>
      <c r="S4810"/>
    </row>
    <row r="4811" spans="13:19" ht="13.95" customHeight="1">
      <c r="M4811"/>
      <c r="N4811"/>
      <c r="O4811"/>
      <c r="P4811"/>
      <c r="Q4811"/>
      <c r="R4811"/>
      <c r="S4811"/>
    </row>
    <row r="4812" spans="13:19" ht="13.95" customHeight="1">
      <c r="M4812"/>
      <c r="N4812"/>
      <c r="O4812"/>
      <c r="P4812"/>
      <c r="Q4812"/>
      <c r="R4812"/>
      <c r="S4812"/>
    </row>
    <row r="4813" spans="13:19" ht="13.95" customHeight="1">
      <c r="M4813"/>
      <c r="N4813"/>
      <c r="O4813"/>
      <c r="P4813"/>
      <c r="Q4813"/>
      <c r="R4813"/>
      <c r="S4813"/>
    </row>
    <row r="4814" spans="13:19" ht="13.95" customHeight="1">
      <c r="M4814"/>
      <c r="N4814"/>
      <c r="O4814"/>
      <c r="P4814"/>
      <c r="Q4814"/>
      <c r="R4814"/>
      <c r="S4814"/>
    </row>
    <row r="4815" spans="13:19" ht="13.95" customHeight="1">
      <c r="M4815"/>
      <c r="N4815"/>
      <c r="O4815"/>
      <c r="P4815"/>
      <c r="Q4815"/>
      <c r="R4815"/>
      <c r="S4815"/>
    </row>
    <row r="4816" spans="13:19" ht="13.95" customHeight="1">
      <c r="M4816"/>
      <c r="N4816"/>
      <c r="O4816"/>
      <c r="P4816"/>
      <c r="Q4816"/>
      <c r="R4816"/>
      <c r="S4816"/>
    </row>
    <row r="4817" spans="13:19" ht="13.95" customHeight="1">
      <c r="M4817"/>
      <c r="N4817"/>
      <c r="O4817"/>
      <c r="P4817"/>
      <c r="Q4817"/>
      <c r="R4817"/>
      <c r="S4817"/>
    </row>
    <row r="4818" spans="13:19" ht="13.95" customHeight="1">
      <c r="M4818"/>
      <c r="N4818"/>
      <c r="O4818"/>
      <c r="P4818"/>
      <c r="Q4818"/>
      <c r="R4818"/>
      <c r="S4818"/>
    </row>
    <row r="4819" spans="13:19" ht="13.95" customHeight="1">
      <c r="M4819"/>
      <c r="N4819"/>
      <c r="O4819"/>
      <c r="P4819"/>
      <c r="Q4819"/>
      <c r="R4819"/>
      <c r="S4819"/>
    </row>
    <row r="4820" spans="13:19" ht="13.95" customHeight="1">
      <c r="M4820"/>
      <c r="N4820"/>
      <c r="O4820"/>
      <c r="P4820"/>
      <c r="Q4820"/>
      <c r="R4820"/>
      <c r="S4820"/>
    </row>
    <row r="4821" spans="13:19" ht="13.95" customHeight="1">
      <c r="M4821"/>
      <c r="N4821"/>
      <c r="O4821"/>
      <c r="P4821"/>
      <c r="Q4821"/>
      <c r="R4821"/>
      <c r="S4821"/>
    </row>
    <row r="4822" spans="13:19" ht="13.95" customHeight="1">
      <c r="M4822"/>
      <c r="N4822"/>
      <c r="O4822"/>
      <c r="P4822"/>
      <c r="Q4822"/>
      <c r="R4822"/>
      <c r="S4822"/>
    </row>
    <row r="4823" spans="13:19" ht="13.95" customHeight="1">
      <c r="M4823"/>
      <c r="N4823"/>
      <c r="O4823"/>
      <c r="P4823"/>
      <c r="Q4823"/>
      <c r="R4823"/>
      <c r="S4823"/>
    </row>
    <row r="4824" spans="13:19" ht="13.95" customHeight="1">
      <c r="M4824"/>
      <c r="N4824"/>
      <c r="O4824"/>
      <c r="P4824"/>
      <c r="Q4824"/>
      <c r="R4824"/>
      <c r="S4824"/>
    </row>
    <row r="4825" spans="13:19" ht="13.95" customHeight="1">
      <c r="M4825"/>
      <c r="N4825"/>
      <c r="O4825"/>
      <c r="P4825"/>
      <c r="Q4825"/>
      <c r="R4825"/>
      <c r="S4825"/>
    </row>
    <row r="4826" spans="13:19" ht="13.95" customHeight="1">
      <c r="M4826"/>
      <c r="N4826"/>
      <c r="O4826"/>
      <c r="P4826"/>
      <c r="Q4826"/>
      <c r="R4826"/>
      <c r="S4826"/>
    </row>
    <row r="4827" spans="13:19" ht="13.95" customHeight="1">
      <c r="M4827"/>
      <c r="N4827"/>
      <c r="O4827"/>
      <c r="P4827"/>
      <c r="Q4827"/>
      <c r="R4827"/>
      <c r="S4827"/>
    </row>
    <row r="4828" spans="13:19" ht="13.95" customHeight="1">
      <c r="M4828"/>
      <c r="N4828"/>
      <c r="O4828"/>
      <c r="P4828"/>
      <c r="Q4828"/>
      <c r="R4828"/>
      <c r="S4828"/>
    </row>
    <row r="4829" spans="13:19" ht="13.95" customHeight="1">
      <c r="M4829"/>
      <c r="N4829"/>
      <c r="O4829"/>
      <c r="P4829"/>
      <c r="Q4829"/>
      <c r="R4829"/>
      <c r="S4829"/>
    </row>
    <row r="4830" spans="13:19" ht="13.95" customHeight="1">
      <c r="M4830"/>
      <c r="N4830"/>
      <c r="O4830"/>
      <c r="P4830"/>
      <c r="Q4830"/>
      <c r="R4830"/>
      <c r="S4830"/>
    </row>
    <row r="4831" spans="13:19" ht="13.95" customHeight="1">
      <c r="M4831"/>
      <c r="N4831"/>
      <c r="O4831"/>
      <c r="P4831"/>
      <c r="Q4831"/>
      <c r="R4831"/>
      <c r="S4831"/>
    </row>
    <row r="4832" spans="13:19" ht="13.95" customHeight="1">
      <c r="M4832"/>
      <c r="N4832"/>
      <c r="O4832"/>
      <c r="P4832"/>
      <c r="Q4832"/>
      <c r="R4832"/>
      <c r="S4832"/>
    </row>
    <row r="4833" spans="13:19" ht="13.95" customHeight="1">
      <c r="M4833"/>
      <c r="N4833"/>
      <c r="O4833"/>
      <c r="P4833"/>
      <c r="Q4833"/>
      <c r="R4833"/>
      <c r="S4833"/>
    </row>
    <row r="4834" spans="13:19" ht="13.95" customHeight="1">
      <c r="M4834"/>
      <c r="N4834"/>
      <c r="O4834"/>
      <c r="P4834"/>
      <c r="Q4834"/>
      <c r="R4834"/>
      <c r="S4834"/>
    </row>
    <row r="4835" spans="13:19" ht="13.95" customHeight="1">
      <c r="M4835"/>
      <c r="N4835"/>
      <c r="O4835"/>
      <c r="P4835"/>
      <c r="Q4835"/>
      <c r="R4835"/>
      <c r="S4835"/>
    </row>
    <row r="4836" spans="13:19" ht="13.95" customHeight="1">
      <c r="M4836"/>
      <c r="N4836"/>
      <c r="O4836"/>
      <c r="P4836"/>
      <c r="Q4836"/>
      <c r="R4836"/>
      <c r="S4836"/>
    </row>
    <row r="4837" spans="13:19" ht="13.95" customHeight="1">
      <c r="M4837"/>
      <c r="N4837"/>
      <c r="O4837"/>
      <c r="P4837"/>
      <c r="Q4837"/>
      <c r="R4837"/>
      <c r="S4837"/>
    </row>
    <row r="4838" spans="13:19" ht="13.95" customHeight="1">
      <c r="M4838"/>
      <c r="N4838"/>
      <c r="O4838"/>
      <c r="P4838"/>
      <c r="Q4838"/>
      <c r="R4838"/>
      <c r="S4838"/>
    </row>
    <row r="4839" spans="13:19" ht="13.95" customHeight="1">
      <c r="M4839"/>
      <c r="N4839"/>
      <c r="O4839"/>
      <c r="P4839"/>
      <c r="Q4839"/>
      <c r="R4839"/>
      <c r="S4839"/>
    </row>
    <row r="4840" spans="13:19" ht="13.95" customHeight="1">
      <c r="M4840"/>
      <c r="N4840"/>
      <c r="O4840"/>
      <c r="P4840"/>
      <c r="Q4840"/>
      <c r="R4840"/>
      <c r="S4840"/>
    </row>
    <row r="4841" spans="13:19" ht="13.95" customHeight="1">
      <c r="M4841"/>
      <c r="N4841"/>
      <c r="O4841"/>
      <c r="P4841"/>
      <c r="Q4841"/>
      <c r="R4841"/>
      <c r="S4841"/>
    </row>
    <row r="4842" spans="13:19" ht="13.95" customHeight="1">
      <c r="M4842"/>
      <c r="N4842"/>
      <c r="O4842"/>
      <c r="P4842"/>
      <c r="Q4842"/>
      <c r="R4842"/>
      <c r="S4842"/>
    </row>
    <row r="4843" spans="13:19" ht="13.95" customHeight="1">
      <c r="M4843"/>
      <c r="N4843"/>
      <c r="O4843"/>
      <c r="P4843"/>
      <c r="Q4843"/>
      <c r="R4843"/>
      <c r="S4843"/>
    </row>
    <row r="4844" spans="13:19" ht="13.95" customHeight="1">
      <c r="M4844"/>
      <c r="N4844"/>
      <c r="O4844"/>
      <c r="P4844"/>
      <c r="Q4844"/>
      <c r="R4844"/>
      <c r="S4844"/>
    </row>
    <row r="4845" spans="13:19" ht="13.95" customHeight="1">
      <c r="M4845"/>
      <c r="N4845"/>
      <c r="O4845"/>
      <c r="P4845"/>
      <c r="Q4845"/>
      <c r="R4845"/>
      <c r="S4845"/>
    </row>
    <row r="4846" spans="13:19" ht="13.95" customHeight="1">
      <c r="M4846"/>
      <c r="N4846"/>
      <c r="O4846"/>
      <c r="P4846"/>
      <c r="Q4846"/>
      <c r="R4846"/>
      <c r="S4846"/>
    </row>
    <row r="4847" spans="13:19" ht="13.95" customHeight="1">
      <c r="M4847"/>
      <c r="N4847"/>
      <c r="O4847"/>
      <c r="P4847"/>
      <c r="Q4847"/>
      <c r="R4847"/>
      <c r="S4847"/>
    </row>
    <row r="4848" spans="13:19" ht="13.95" customHeight="1">
      <c r="M4848"/>
      <c r="N4848"/>
      <c r="O4848"/>
      <c r="P4848"/>
      <c r="Q4848"/>
      <c r="R4848"/>
      <c r="S4848"/>
    </row>
    <row r="4849" spans="13:19" ht="13.95" customHeight="1">
      <c r="M4849"/>
      <c r="N4849"/>
      <c r="O4849"/>
      <c r="P4849"/>
      <c r="Q4849"/>
      <c r="R4849"/>
      <c r="S4849"/>
    </row>
    <row r="4850" spans="13:19" ht="13.95" customHeight="1">
      <c r="M4850"/>
      <c r="N4850"/>
      <c r="O4850"/>
      <c r="P4850"/>
      <c r="Q4850"/>
      <c r="R4850"/>
      <c r="S4850"/>
    </row>
    <row r="4851" spans="13:19" ht="13.95" customHeight="1">
      <c r="M4851"/>
      <c r="N4851"/>
      <c r="O4851"/>
      <c r="P4851"/>
      <c r="Q4851"/>
      <c r="R4851"/>
      <c r="S4851"/>
    </row>
    <row r="4852" spans="13:19" ht="13.95" customHeight="1">
      <c r="M4852"/>
      <c r="N4852"/>
      <c r="O4852"/>
      <c r="P4852"/>
      <c r="Q4852"/>
      <c r="R4852"/>
      <c r="S4852"/>
    </row>
    <row r="4853" spans="13:19" ht="13.95" customHeight="1">
      <c r="M4853"/>
      <c r="N4853"/>
      <c r="O4853"/>
      <c r="P4853"/>
      <c r="Q4853"/>
      <c r="R4853"/>
      <c r="S4853"/>
    </row>
    <row r="4854" spans="13:19" ht="13.95" customHeight="1">
      <c r="M4854"/>
      <c r="N4854"/>
      <c r="O4854"/>
      <c r="P4854"/>
      <c r="Q4854"/>
      <c r="R4854"/>
      <c r="S4854"/>
    </row>
    <row r="4855" spans="13:19" ht="13.95" customHeight="1">
      <c r="M4855"/>
      <c r="N4855"/>
      <c r="O4855"/>
      <c r="P4855"/>
      <c r="Q4855"/>
      <c r="R4855"/>
      <c r="S4855"/>
    </row>
    <row r="4856" spans="13:19" ht="13.95" customHeight="1">
      <c r="M4856"/>
      <c r="N4856"/>
      <c r="O4856"/>
      <c r="P4856"/>
      <c r="Q4856"/>
      <c r="R4856"/>
      <c r="S4856"/>
    </row>
    <row r="4857" spans="13:19" ht="13.95" customHeight="1">
      <c r="M4857"/>
      <c r="N4857"/>
      <c r="O4857"/>
      <c r="P4857"/>
      <c r="Q4857"/>
      <c r="R4857"/>
      <c r="S4857"/>
    </row>
    <row r="4858" spans="13:19" ht="13.95" customHeight="1">
      <c r="M4858"/>
      <c r="N4858"/>
      <c r="O4858"/>
      <c r="P4858"/>
      <c r="Q4858"/>
      <c r="R4858"/>
      <c r="S4858"/>
    </row>
    <row r="4859" spans="13:19" ht="13.95" customHeight="1">
      <c r="M4859"/>
      <c r="N4859"/>
      <c r="O4859"/>
      <c r="P4859"/>
      <c r="Q4859"/>
      <c r="R4859"/>
      <c r="S4859"/>
    </row>
    <row r="4860" spans="13:19" ht="13.95" customHeight="1">
      <c r="M4860"/>
      <c r="N4860"/>
      <c r="O4860"/>
      <c r="P4860"/>
      <c r="Q4860"/>
      <c r="R4860"/>
      <c r="S4860"/>
    </row>
    <row r="4861" spans="13:19" ht="13.95" customHeight="1">
      <c r="M4861"/>
      <c r="N4861"/>
      <c r="O4861"/>
      <c r="P4861"/>
      <c r="Q4861"/>
      <c r="R4861"/>
      <c r="S4861"/>
    </row>
    <row r="4862" spans="13:19" ht="13.95" customHeight="1">
      <c r="M4862"/>
      <c r="N4862"/>
      <c r="O4862"/>
      <c r="P4862"/>
      <c r="Q4862"/>
      <c r="R4862"/>
      <c r="S4862"/>
    </row>
    <row r="4863" spans="13:19" ht="13.95" customHeight="1">
      <c r="M4863"/>
      <c r="N4863"/>
      <c r="O4863"/>
      <c r="P4863"/>
      <c r="Q4863"/>
      <c r="R4863"/>
      <c r="S4863"/>
    </row>
    <row r="4864" spans="13:19" ht="13.95" customHeight="1">
      <c r="M4864"/>
      <c r="N4864"/>
      <c r="O4864"/>
      <c r="P4864"/>
      <c r="Q4864"/>
      <c r="R4864"/>
      <c r="S4864"/>
    </row>
    <row r="4865" spans="13:19" ht="13.95" customHeight="1">
      <c r="M4865"/>
      <c r="N4865"/>
      <c r="O4865"/>
      <c r="P4865"/>
      <c r="Q4865"/>
      <c r="R4865"/>
      <c r="S4865"/>
    </row>
    <row r="4866" spans="13:19" ht="13.95" customHeight="1">
      <c r="M4866"/>
      <c r="N4866"/>
      <c r="O4866"/>
      <c r="P4866"/>
      <c r="Q4866"/>
      <c r="R4866"/>
      <c r="S4866"/>
    </row>
    <row r="4867" spans="13:19" ht="13.95" customHeight="1">
      <c r="M4867"/>
      <c r="N4867"/>
      <c r="O4867"/>
      <c r="P4867"/>
      <c r="Q4867"/>
      <c r="R4867"/>
      <c r="S4867"/>
    </row>
    <row r="4868" spans="13:19" ht="13.95" customHeight="1">
      <c r="M4868"/>
      <c r="N4868"/>
      <c r="O4868"/>
      <c r="P4868"/>
      <c r="Q4868"/>
      <c r="R4868"/>
      <c r="S4868"/>
    </row>
    <row r="4869" spans="13:19" ht="13.95" customHeight="1">
      <c r="M4869"/>
      <c r="N4869"/>
      <c r="O4869"/>
      <c r="P4869"/>
      <c r="Q4869"/>
      <c r="R4869"/>
      <c r="S4869"/>
    </row>
    <row r="4870" spans="13:19" ht="13.95" customHeight="1">
      <c r="M4870"/>
      <c r="N4870"/>
      <c r="O4870"/>
      <c r="P4870"/>
      <c r="Q4870"/>
      <c r="R4870"/>
      <c r="S4870"/>
    </row>
    <row r="4871" spans="13:19" ht="13.95" customHeight="1">
      <c r="M4871"/>
      <c r="N4871"/>
      <c r="O4871"/>
      <c r="P4871"/>
      <c r="Q4871"/>
      <c r="R4871"/>
      <c r="S4871"/>
    </row>
    <row r="4872" spans="13:19" ht="13.95" customHeight="1">
      <c r="M4872"/>
      <c r="N4872"/>
      <c r="O4872"/>
      <c r="P4872"/>
      <c r="Q4872"/>
      <c r="R4872"/>
      <c r="S4872"/>
    </row>
    <row r="4873" spans="13:19" ht="13.95" customHeight="1">
      <c r="M4873"/>
      <c r="N4873"/>
      <c r="O4873"/>
      <c r="P4873"/>
      <c r="Q4873"/>
      <c r="R4873"/>
      <c r="S4873"/>
    </row>
    <row r="4874" spans="13:19" ht="13.95" customHeight="1">
      <c r="M4874"/>
      <c r="N4874"/>
      <c r="O4874"/>
      <c r="P4874"/>
      <c r="Q4874"/>
      <c r="R4874"/>
      <c r="S4874"/>
    </row>
    <row r="4875" spans="13:19" ht="13.95" customHeight="1">
      <c r="M4875"/>
      <c r="N4875"/>
      <c r="O4875"/>
      <c r="P4875"/>
      <c r="Q4875"/>
      <c r="R4875"/>
      <c r="S4875"/>
    </row>
    <row r="4876" spans="13:19" ht="13.95" customHeight="1">
      <c r="M4876"/>
      <c r="N4876"/>
      <c r="O4876"/>
      <c r="P4876"/>
      <c r="Q4876"/>
      <c r="R4876"/>
      <c r="S4876"/>
    </row>
    <row r="4877" spans="13:19" ht="13.95" customHeight="1">
      <c r="M4877"/>
      <c r="N4877"/>
      <c r="O4877"/>
      <c r="P4877"/>
      <c r="Q4877"/>
      <c r="R4877"/>
      <c r="S4877"/>
    </row>
    <row r="4878" spans="13:19" ht="13.95" customHeight="1">
      <c r="M4878"/>
      <c r="N4878"/>
      <c r="O4878"/>
      <c r="P4878"/>
      <c r="Q4878"/>
      <c r="R4878"/>
      <c r="S4878"/>
    </row>
    <row r="4879" spans="13:19" ht="13.95" customHeight="1">
      <c r="M4879"/>
      <c r="N4879"/>
      <c r="O4879"/>
      <c r="P4879"/>
      <c r="Q4879"/>
      <c r="R4879"/>
      <c r="S4879"/>
    </row>
    <row r="4880" spans="13:19" ht="13.95" customHeight="1">
      <c r="M4880"/>
      <c r="N4880"/>
      <c r="O4880"/>
      <c r="P4880"/>
      <c r="Q4880"/>
      <c r="R4880"/>
      <c r="S4880"/>
    </row>
    <row r="4881" spans="13:19" ht="13.95" customHeight="1">
      <c r="M4881"/>
      <c r="N4881"/>
      <c r="O4881"/>
      <c r="P4881"/>
      <c r="Q4881"/>
      <c r="R4881"/>
      <c r="S4881"/>
    </row>
    <row r="4882" spans="13:19" ht="13.95" customHeight="1">
      <c r="M4882"/>
      <c r="N4882"/>
      <c r="O4882"/>
      <c r="P4882"/>
      <c r="Q4882"/>
      <c r="R4882"/>
      <c r="S4882"/>
    </row>
    <row r="4883" spans="13:19" ht="13.95" customHeight="1">
      <c r="M4883"/>
      <c r="N4883"/>
      <c r="O4883"/>
      <c r="P4883"/>
      <c r="Q4883"/>
      <c r="R4883"/>
      <c r="S4883"/>
    </row>
    <row r="4884" spans="13:19" ht="13.95" customHeight="1">
      <c r="M4884"/>
      <c r="N4884"/>
      <c r="O4884"/>
      <c r="P4884"/>
      <c r="Q4884"/>
      <c r="R4884"/>
      <c r="S4884"/>
    </row>
    <row r="4885" spans="13:19" ht="13.95" customHeight="1">
      <c r="M4885"/>
      <c r="N4885"/>
      <c r="O4885"/>
      <c r="P4885"/>
      <c r="Q4885"/>
      <c r="R4885"/>
      <c r="S4885"/>
    </row>
    <row r="4886" spans="13:19" ht="13.95" customHeight="1">
      <c r="M4886"/>
      <c r="N4886"/>
      <c r="O4886"/>
      <c r="P4886"/>
      <c r="Q4886"/>
      <c r="R4886"/>
      <c r="S4886"/>
    </row>
    <row r="4887" spans="13:19" ht="13.95" customHeight="1">
      <c r="M4887"/>
      <c r="N4887"/>
      <c r="O4887"/>
      <c r="P4887"/>
      <c r="Q4887"/>
      <c r="R4887"/>
      <c r="S4887"/>
    </row>
    <row r="4888" spans="13:19" ht="13.95" customHeight="1">
      <c r="M4888"/>
      <c r="N4888"/>
      <c r="O4888"/>
      <c r="P4888"/>
      <c r="Q4888"/>
      <c r="R4888"/>
      <c r="S4888"/>
    </row>
    <row r="4889" spans="13:19" ht="13.95" customHeight="1">
      <c r="M4889"/>
      <c r="N4889"/>
      <c r="O4889"/>
      <c r="P4889"/>
      <c r="Q4889"/>
      <c r="R4889"/>
      <c r="S4889"/>
    </row>
    <row r="4890" spans="13:19" ht="13.95" customHeight="1">
      <c r="M4890"/>
      <c r="N4890"/>
      <c r="O4890"/>
      <c r="P4890"/>
      <c r="Q4890"/>
      <c r="R4890"/>
      <c r="S4890"/>
    </row>
    <row r="4891" spans="13:19" ht="13.95" customHeight="1">
      <c r="M4891"/>
      <c r="N4891"/>
      <c r="O4891"/>
      <c r="P4891"/>
      <c r="Q4891"/>
      <c r="R4891"/>
      <c r="S4891"/>
    </row>
    <row r="4892" spans="13:19" ht="13.95" customHeight="1">
      <c r="M4892"/>
      <c r="N4892"/>
      <c r="O4892"/>
      <c r="P4892"/>
      <c r="Q4892"/>
      <c r="R4892"/>
      <c r="S4892"/>
    </row>
    <row r="4893" spans="13:19" ht="13.95" customHeight="1">
      <c r="M4893"/>
      <c r="N4893"/>
      <c r="O4893"/>
      <c r="P4893"/>
      <c r="Q4893"/>
      <c r="R4893"/>
      <c r="S4893"/>
    </row>
    <row r="4894" spans="13:19" ht="13.95" customHeight="1">
      <c r="M4894"/>
      <c r="N4894"/>
      <c r="O4894"/>
      <c r="P4894"/>
      <c r="Q4894"/>
      <c r="R4894"/>
      <c r="S4894"/>
    </row>
    <row r="4895" spans="13:19" ht="13.95" customHeight="1">
      <c r="M4895"/>
      <c r="N4895"/>
      <c r="O4895"/>
      <c r="P4895"/>
      <c r="Q4895"/>
      <c r="R4895"/>
      <c r="S4895"/>
    </row>
    <row r="4896" spans="13:19" ht="13.95" customHeight="1">
      <c r="M4896"/>
      <c r="N4896"/>
      <c r="O4896"/>
      <c r="P4896"/>
      <c r="Q4896"/>
      <c r="R4896"/>
      <c r="S4896"/>
    </row>
    <row r="4897" spans="13:19" ht="13.95" customHeight="1">
      <c r="M4897"/>
      <c r="N4897"/>
      <c r="O4897"/>
      <c r="P4897"/>
      <c r="Q4897"/>
      <c r="R4897"/>
      <c r="S4897"/>
    </row>
    <row r="4898" spans="13:19" ht="13.95" customHeight="1">
      <c r="M4898"/>
      <c r="N4898"/>
      <c r="O4898"/>
      <c r="P4898"/>
      <c r="Q4898"/>
      <c r="R4898"/>
      <c r="S4898"/>
    </row>
    <row r="4899" spans="13:19" ht="13.95" customHeight="1">
      <c r="M4899"/>
      <c r="N4899"/>
      <c r="O4899"/>
      <c r="P4899"/>
      <c r="Q4899"/>
      <c r="R4899"/>
      <c r="S4899"/>
    </row>
    <row r="4900" spans="13:19" ht="13.95" customHeight="1">
      <c r="M4900"/>
      <c r="N4900"/>
      <c r="O4900"/>
      <c r="P4900"/>
      <c r="Q4900"/>
      <c r="R4900"/>
      <c r="S4900"/>
    </row>
    <row r="4901" spans="13:19" ht="13.95" customHeight="1">
      <c r="M4901"/>
      <c r="N4901"/>
      <c r="O4901"/>
      <c r="P4901"/>
      <c r="Q4901"/>
      <c r="R4901"/>
      <c r="S4901"/>
    </row>
    <row r="4902" spans="13:19" ht="13.95" customHeight="1">
      <c r="M4902"/>
      <c r="N4902"/>
      <c r="O4902"/>
      <c r="P4902"/>
      <c r="Q4902"/>
      <c r="R4902"/>
      <c r="S4902"/>
    </row>
    <row r="4903" spans="13:19" ht="13.95" customHeight="1">
      <c r="M4903"/>
      <c r="N4903"/>
      <c r="O4903"/>
      <c r="P4903"/>
      <c r="Q4903"/>
      <c r="R4903"/>
      <c r="S4903"/>
    </row>
    <row r="4904" spans="13:19" ht="13.95" customHeight="1">
      <c r="M4904"/>
      <c r="N4904"/>
      <c r="O4904"/>
      <c r="P4904"/>
      <c r="Q4904"/>
      <c r="R4904"/>
      <c r="S4904"/>
    </row>
    <row r="4905" spans="13:19" ht="13.95" customHeight="1">
      <c r="M4905"/>
      <c r="N4905"/>
      <c r="O4905"/>
      <c r="P4905"/>
      <c r="Q4905"/>
      <c r="R4905"/>
      <c r="S4905"/>
    </row>
    <row r="4906" spans="13:19" ht="13.95" customHeight="1">
      <c r="M4906"/>
      <c r="N4906"/>
      <c r="O4906"/>
      <c r="P4906"/>
      <c r="Q4906"/>
      <c r="R4906"/>
      <c r="S4906"/>
    </row>
    <row r="4907" spans="13:19" ht="13.95" customHeight="1">
      <c r="M4907"/>
      <c r="N4907"/>
      <c r="O4907"/>
      <c r="P4907"/>
      <c r="Q4907"/>
      <c r="R4907"/>
      <c r="S4907"/>
    </row>
    <row r="4908" spans="13:19" ht="13.95" customHeight="1">
      <c r="M4908"/>
      <c r="N4908"/>
      <c r="O4908"/>
      <c r="P4908"/>
      <c r="Q4908"/>
      <c r="R4908"/>
      <c r="S4908"/>
    </row>
    <row r="4909" spans="13:19" ht="13.95" customHeight="1">
      <c r="M4909"/>
      <c r="N4909"/>
      <c r="O4909"/>
      <c r="P4909"/>
      <c r="Q4909"/>
      <c r="R4909"/>
      <c r="S4909"/>
    </row>
    <row r="4910" spans="13:19" ht="13.95" customHeight="1">
      <c r="M4910"/>
      <c r="N4910"/>
      <c r="O4910"/>
      <c r="P4910"/>
      <c r="Q4910"/>
      <c r="R4910"/>
      <c r="S4910"/>
    </row>
    <row r="4911" spans="13:19" ht="13.95" customHeight="1">
      <c r="M4911"/>
      <c r="N4911"/>
      <c r="O4911"/>
      <c r="P4911"/>
      <c r="Q4911"/>
      <c r="R4911"/>
      <c r="S4911"/>
    </row>
    <row r="4912" spans="13:19" ht="13.95" customHeight="1">
      <c r="M4912"/>
      <c r="N4912"/>
      <c r="O4912"/>
      <c r="P4912"/>
      <c r="Q4912"/>
      <c r="R4912"/>
      <c r="S4912"/>
    </row>
    <row r="4913" spans="13:19" ht="13.95" customHeight="1">
      <c r="M4913"/>
      <c r="N4913"/>
      <c r="O4913"/>
      <c r="P4913"/>
      <c r="Q4913"/>
      <c r="R4913"/>
      <c r="S4913"/>
    </row>
    <row r="4914" spans="13:19" ht="13.95" customHeight="1">
      <c r="M4914"/>
      <c r="N4914"/>
      <c r="O4914"/>
      <c r="P4914"/>
      <c r="Q4914"/>
      <c r="R4914"/>
      <c r="S4914"/>
    </row>
    <row r="4915" spans="13:19" ht="13.95" customHeight="1">
      <c r="M4915"/>
      <c r="N4915"/>
      <c r="O4915"/>
      <c r="P4915"/>
      <c r="Q4915"/>
      <c r="R4915"/>
      <c r="S4915"/>
    </row>
    <row r="4916" spans="13:19" ht="13.95" customHeight="1">
      <c r="M4916"/>
      <c r="N4916"/>
      <c r="O4916"/>
      <c r="P4916"/>
      <c r="Q4916"/>
      <c r="R4916"/>
      <c r="S4916"/>
    </row>
    <row r="4917" spans="13:19" ht="13.95" customHeight="1">
      <c r="M4917"/>
      <c r="N4917"/>
      <c r="O4917"/>
      <c r="P4917"/>
      <c r="Q4917"/>
      <c r="R4917"/>
      <c r="S4917"/>
    </row>
    <row r="4918" spans="13:19" ht="13.95" customHeight="1">
      <c r="M4918"/>
      <c r="N4918"/>
      <c r="O4918"/>
      <c r="P4918"/>
      <c r="Q4918"/>
      <c r="R4918"/>
      <c r="S4918"/>
    </row>
    <row r="4919" spans="13:19" ht="13.95" customHeight="1">
      <c r="M4919"/>
      <c r="N4919"/>
      <c r="O4919"/>
      <c r="P4919"/>
      <c r="Q4919"/>
      <c r="R4919"/>
      <c r="S4919"/>
    </row>
    <row r="4920" spans="13:19" ht="13.95" customHeight="1">
      <c r="M4920"/>
      <c r="N4920"/>
      <c r="O4920"/>
      <c r="P4920"/>
      <c r="Q4920"/>
      <c r="R4920"/>
      <c r="S4920"/>
    </row>
    <row r="4921" spans="13:19" ht="13.95" customHeight="1">
      <c r="M4921"/>
      <c r="N4921"/>
      <c r="O4921"/>
      <c r="P4921"/>
      <c r="Q4921"/>
      <c r="R4921"/>
      <c r="S4921"/>
    </row>
    <row r="4922" spans="13:19" ht="13.95" customHeight="1">
      <c r="M4922"/>
      <c r="N4922"/>
      <c r="O4922"/>
      <c r="P4922"/>
      <c r="Q4922"/>
      <c r="R4922"/>
      <c r="S4922"/>
    </row>
    <row r="4923" spans="13:19" ht="13.95" customHeight="1">
      <c r="M4923"/>
      <c r="N4923"/>
      <c r="O4923"/>
      <c r="P4923"/>
      <c r="Q4923"/>
      <c r="R4923"/>
      <c r="S4923"/>
    </row>
    <row r="4924" spans="13:19" ht="13.95" customHeight="1">
      <c r="M4924"/>
      <c r="N4924"/>
      <c r="O4924"/>
      <c r="P4924"/>
      <c r="Q4924"/>
      <c r="R4924"/>
      <c r="S4924"/>
    </row>
    <row r="4925" spans="13:19" ht="13.95" customHeight="1">
      <c r="M4925"/>
      <c r="N4925"/>
      <c r="O4925"/>
      <c r="P4925"/>
      <c r="Q4925"/>
      <c r="R4925"/>
      <c r="S4925"/>
    </row>
    <row r="4926" spans="13:19" ht="13.95" customHeight="1">
      <c r="M4926"/>
      <c r="N4926"/>
      <c r="O4926"/>
      <c r="P4926"/>
      <c r="Q4926"/>
      <c r="R4926"/>
      <c r="S4926"/>
    </row>
    <row r="4927" spans="13:19" ht="13.95" customHeight="1">
      <c r="M4927"/>
      <c r="N4927"/>
      <c r="O4927"/>
      <c r="P4927"/>
      <c r="Q4927"/>
      <c r="R4927"/>
      <c r="S4927"/>
    </row>
    <row r="4928" spans="13:19" ht="13.95" customHeight="1">
      <c r="M4928"/>
      <c r="N4928"/>
      <c r="O4928"/>
      <c r="P4928"/>
      <c r="Q4928"/>
      <c r="R4928"/>
      <c r="S4928"/>
    </row>
    <row r="4929" spans="13:19" ht="13.95" customHeight="1">
      <c r="M4929"/>
      <c r="N4929"/>
      <c r="O4929"/>
      <c r="P4929"/>
      <c r="Q4929"/>
      <c r="R4929"/>
      <c r="S4929"/>
    </row>
    <row r="4930" spans="13:19" ht="13.95" customHeight="1">
      <c r="M4930"/>
      <c r="N4930"/>
      <c r="O4930"/>
      <c r="P4930"/>
      <c r="Q4930"/>
      <c r="R4930"/>
      <c r="S4930"/>
    </row>
    <row r="4931" spans="13:19" ht="13.95" customHeight="1">
      <c r="M4931"/>
      <c r="N4931"/>
      <c r="O4931"/>
      <c r="P4931"/>
      <c r="Q4931"/>
      <c r="R4931"/>
      <c r="S4931"/>
    </row>
    <row r="4932" spans="13:19" ht="13.95" customHeight="1">
      <c r="M4932"/>
      <c r="N4932"/>
      <c r="O4932"/>
      <c r="P4932"/>
      <c r="Q4932"/>
      <c r="R4932"/>
      <c r="S4932"/>
    </row>
    <row r="4933" spans="13:19" ht="13.95" customHeight="1">
      <c r="M4933"/>
      <c r="N4933"/>
      <c r="O4933"/>
      <c r="P4933"/>
      <c r="Q4933"/>
      <c r="R4933"/>
      <c r="S4933"/>
    </row>
    <row r="4934" spans="13:19" ht="13.95" customHeight="1">
      <c r="M4934"/>
      <c r="N4934"/>
      <c r="O4934"/>
      <c r="P4934"/>
      <c r="Q4934"/>
      <c r="R4934"/>
      <c r="S4934"/>
    </row>
    <row r="4935" spans="13:19" ht="13.95" customHeight="1">
      <c r="M4935"/>
      <c r="N4935"/>
      <c r="O4935"/>
      <c r="P4935"/>
      <c r="Q4935"/>
      <c r="R4935"/>
      <c r="S4935"/>
    </row>
    <row r="4936" spans="13:19" ht="13.95" customHeight="1">
      <c r="M4936"/>
      <c r="N4936"/>
      <c r="O4936"/>
      <c r="P4936"/>
      <c r="Q4936"/>
      <c r="R4936"/>
      <c r="S4936"/>
    </row>
    <row r="4937" spans="13:19" ht="13.95" customHeight="1">
      <c r="M4937"/>
      <c r="N4937"/>
      <c r="O4937"/>
      <c r="P4937"/>
      <c r="Q4937"/>
      <c r="R4937"/>
      <c r="S4937"/>
    </row>
    <row r="4938" spans="13:19" ht="13.95" customHeight="1">
      <c r="M4938"/>
      <c r="N4938"/>
      <c r="O4938"/>
      <c r="P4938"/>
      <c r="Q4938"/>
      <c r="R4938"/>
      <c r="S4938"/>
    </row>
    <row r="4939" spans="13:19" ht="13.95" customHeight="1">
      <c r="M4939"/>
      <c r="N4939"/>
      <c r="O4939"/>
      <c r="P4939"/>
      <c r="Q4939"/>
      <c r="R4939"/>
      <c r="S4939"/>
    </row>
    <row r="4940" spans="13:19" ht="13.95" customHeight="1">
      <c r="M4940"/>
      <c r="N4940"/>
      <c r="O4940"/>
      <c r="P4940"/>
      <c r="Q4940"/>
      <c r="R4940"/>
      <c r="S4940"/>
    </row>
    <row r="4941" spans="13:19" ht="13.95" customHeight="1">
      <c r="M4941"/>
      <c r="N4941"/>
      <c r="O4941"/>
      <c r="P4941"/>
      <c r="Q4941"/>
      <c r="R4941"/>
      <c r="S4941"/>
    </row>
    <row r="4942" spans="13:19" ht="13.95" customHeight="1">
      <c r="M4942"/>
      <c r="N4942"/>
      <c r="O4942"/>
      <c r="P4942"/>
      <c r="Q4942"/>
      <c r="R4942"/>
      <c r="S4942"/>
    </row>
    <row r="4943" spans="13:19" ht="13.95" customHeight="1">
      <c r="M4943"/>
      <c r="N4943"/>
      <c r="O4943"/>
      <c r="P4943"/>
      <c r="Q4943"/>
      <c r="R4943"/>
      <c r="S4943"/>
    </row>
    <row r="4944" spans="13:19" ht="13.95" customHeight="1">
      <c r="M4944"/>
      <c r="N4944"/>
      <c r="O4944"/>
      <c r="P4944"/>
      <c r="Q4944"/>
      <c r="R4944"/>
      <c r="S4944"/>
    </row>
    <row r="4945" spans="13:19" ht="13.95" customHeight="1">
      <c r="M4945"/>
      <c r="N4945"/>
      <c r="O4945"/>
      <c r="P4945"/>
      <c r="Q4945"/>
      <c r="R4945"/>
      <c r="S4945"/>
    </row>
    <row r="4946" spans="13:19" ht="13.95" customHeight="1">
      <c r="M4946"/>
      <c r="N4946"/>
      <c r="O4946"/>
      <c r="P4946"/>
      <c r="Q4946"/>
      <c r="R4946"/>
      <c r="S4946"/>
    </row>
    <row r="4947" spans="13:19" ht="13.95" customHeight="1">
      <c r="M4947"/>
      <c r="N4947"/>
      <c r="O4947"/>
      <c r="P4947"/>
      <c r="Q4947"/>
      <c r="R4947"/>
      <c r="S4947"/>
    </row>
    <row r="4948" spans="13:19" ht="13.95" customHeight="1">
      <c r="M4948"/>
      <c r="N4948"/>
      <c r="O4948"/>
      <c r="P4948"/>
      <c r="Q4948"/>
      <c r="R4948"/>
      <c r="S4948"/>
    </row>
    <row r="4949" spans="13:19" ht="13.95" customHeight="1">
      <c r="M4949"/>
      <c r="N4949"/>
      <c r="O4949"/>
      <c r="P4949"/>
      <c r="Q4949"/>
      <c r="R4949"/>
      <c r="S4949"/>
    </row>
    <row r="4950" spans="13:19" ht="13.95" customHeight="1">
      <c r="M4950"/>
      <c r="N4950"/>
      <c r="O4950"/>
      <c r="P4950"/>
      <c r="Q4950"/>
      <c r="R4950"/>
      <c r="S4950"/>
    </row>
    <row r="4951" spans="13:19" ht="13.95" customHeight="1">
      <c r="M4951"/>
      <c r="N4951"/>
      <c r="O4951"/>
      <c r="P4951"/>
      <c r="Q4951"/>
      <c r="R4951"/>
      <c r="S4951"/>
    </row>
    <row r="4952" spans="13:19" ht="13.95" customHeight="1">
      <c r="M4952"/>
      <c r="N4952"/>
      <c r="O4952"/>
      <c r="P4952"/>
      <c r="Q4952"/>
      <c r="R4952"/>
      <c r="S4952"/>
    </row>
    <row r="4953" spans="13:19" ht="13.95" customHeight="1">
      <c r="M4953"/>
      <c r="N4953"/>
      <c r="O4953"/>
      <c r="P4953"/>
      <c r="Q4953"/>
      <c r="R4953"/>
      <c r="S4953"/>
    </row>
    <row r="4954" spans="13:19" ht="13.95" customHeight="1">
      <c r="M4954"/>
      <c r="N4954"/>
      <c r="O4954"/>
      <c r="P4954"/>
      <c r="Q4954"/>
      <c r="R4954"/>
      <c r="S4954"/>
    </row>
    <row r="4955" spans="13:19" ht="13.95" customHeight="1">
      <c r="M4955"/>
      <c r="N4955"/>
      <c r="O4955"/>
      <c r="P4955"/>
      <c r="Q4955"/>
      <c r="R4955"/>
      <c r="S4955"/>
    </row>
    <row r="4956" spans="13:19" ht="13.95" customHeight="1">
      <c r="M4956"/>
      <c r="N4956"/>
      <c r="O4956"/>
      <c r="P4956"/>
      <c r="Q4956"/>
      <c r="R4956"/>
      <c r="S4956"/>
    </row>
    <row r="4957" spans="13:19" ht="13.95" customHeight="1">
      <c r="M4957"/>
      <c r="N4957"/>
      <c r="O4957"/>
      <c r="P4957"/>
      <c r="Q4957"/>
      <c r="R4957"/>
      <c r="S4957"/>
    </row>
    <row r="4958" spans="13:19" ht="13.95" customHeight="1">
      <c r="M4958"/>
      <c r="N4958"/>
      <c r="O4958"/>
      <c r="P4958"/>
      <c r="Q4958"/>
      <c r="R4958"/>
      <c r="S4958"/>
    </row>
    <row r="4959" spans="13:19" ht="13.95" customHeight="1">
      <c r="M4959"/>
      <c r="N4959"/>
      <c r="O4959"/>
      <c r="P4959"/>
      <c r="Q4959"/>
      <c r="R4959"/>
      <c r="S4959"/>
    </row>
    <row r="4960" spans="13:19" ht="13.95" customHeight="1">
      <c r="M4960"/>
      <c r="N4960"/>
      <c r="O4960"/>
      <c r="P4960"/>
      <c r="Q4960"/>
      <c r="R4960"/>
      <c r="S4960"/>
    </row>
    <row r="4961" spans="13:19" ht="13.95" customHeight="1">
      <c r="M4961"/>
      <c r="N4961"/>
      <c r="O4961"/>
      <c r="P4961"/>
      <c r="Q4961"/>
      <c r="R4961"/>
      <c r="S4961"/>
    </row>
    <row r="4962" spans="13:19" ht="13.95" customHeight="1">
      <c r="M4962"/>
      <c r="N4962"/>
      <c r="O4962"/>
      <c r="P4962"/>
      <c r="Q4962"/>
      <c r="R4962"/>
      <c r="S4962"/>
    </row>
    <row r="4963" spans="13:19" ht="13.95" customHeight="1">
      <c r="M4963"/>
      <c r="N4963"/>
      <c r="O4963"/>
      <c r="P4963"/>
      <c r="Q4963"/>
      <c r="R4963"/>
      <c r="S4963"/>
    </row>
    <row r="4964" spans="13:19" ht="13.95" customHeight="1">
      <c r="M4964"/>
      <c r="N4964"/>
      <c r="O4964"/>
      <c r="P4964"/>
      <c r="Q4964"/>
      <c r="R4964"/>
      <c r="S4964"/>
    </row>
    <row r="4965" spans="13:19" ht="13.95" customHeight="1">
      <c r="M4965"/>
      <c r="N4965"/>
      <c r="O4965"/>
      <c r="P4965"/>
      <c r="Q4965"/>
      <c r="R4965"/>
      <c r="S4965"/>
    </row>
    <row r="4966" spans="13:19" ht="13.95" customHeight="1">
      <c r="M4966"/>
      <c r="N4966"/>
      <c r="O4966"/>
      <c r="P4966"/>
      <c r="Q4966"/>
      <c r="R4966"/>
      <c r="S4966"/>
    </row>
    <row r="4967" spans="13:19" ht="13.95" customHeight="1">
      <c r="M4967"/>
      <c r="N4967"/>
      <c r="O4967"/>
      <c r="P4967"/>
      <c r="Q4967"/>
      <c r="R4967"/>
      <c r="S4967"/>
    </row>
    <row r="4968" spans="13:19" ht="13.95" customHeight="1">
      <c r="M4968"/>
      <c r="N4968"/>
      <c r="O4968"/>
      <c r="P4968"/>
      <c r="Q4968"/>
      <c r="R4968"/>
      <c r="S4968"/>
    </row>
    <row r="4969" spans="13:19" ht="13.95" customHeight="1">
      <c r="M4969"/>
      <c r="N4969"/>
      <c r="O4969"/>
      <c r="P4969"/>
      <c r="Q4969"/>
      <c r="R4969"/>
      <c r="S4969"/>
    </row>
    <row r="4970" spans="13:19" ht="13.95" customHeight="1">
      <c r="M4970"/>
      <c r="N4970"/>
      <c r="O4970"/>
      <c r="P4970"/>
      <c r="Q4970"/>
      <c r="R4970"/>
      <c r="S4970"/>
    </row>
    <row r="4971" spans="13:19" ht="13.95" customHeight="1">
      <c r="M4971"/>
      <c r="N4971"/>
      <c r="O4971"/>
      <c r="P4971"/>
      <c r="Q4971"/>
      <c r="R4971"/>
      <c r="S4971"/>
    </row>
    <row r="4972" spans="13:19" ht="13.95" customHeight="1">
      <c r="M4972"/>
      <c r="N4972"/>
      <c r="O4972"/>
      <c r="P4972"/>
      <c r="Q4972"/>
      <c r="R4972"/>
      <c r="S4972"/>
    </row>
    <row r="4973" spans="13:19" ht="13.95" customHeight="1">
      <c r="M4973"/>
      <c r="N4973"/>
      <c r="O4973"/>
      <c r="P4973"/>
      <c r="Q4973"/>
      <c r="R4973"/>
      <c r="S4973"/>
    </row>
    <row r="4974" spans="13:19" ht="13.95" customHeight="1">
      <c r="M4974"/>
      <c r="N4974"/>
      <c r="O4974"/>
      <c r="P4974"/>
      <c r="Q4974"/>
      <c r="R4974"/>
      <c r="S4974"/>
    </row>
    <row r="4975" spans="13:19" ht="13.95" customHeight="1">
      <c r="M4975"/>
      <c r="N4975"/>
      <c r="O4975"/>
      <c r="P4975"/>
      <c r="Q4975"/>
      <c r="R4975"/>
      <c r="S4975"/>
    </row>
    <row r="4976" spans="13:19" ht="13.95" customHeight="1">
      <c r="M4976"/>
      <c r="N4976"/>
      <c r="O4976"/>
      <c r="P4976"/>
      <c r="Q4976"/>
      <c r="R4976"/>
      <c r="S4976"/>
    </row>
    <row r="4977" spans="13:19" ht="13.95" customHeight="1">
      <c r="M4977"/>
      <c r="N4977"/>
      <c r="O4977"/>
      <c r="P4977"/>
      <c r="Q4977"/>
      <c r="R4977"/>
      <c r="S4977"/>
    </row>
    <row r="4978" spans="13:19" ht="13.95" customHeight="1">
      <c r="M4978"/>
      <c r="N4978"/>
      <c r="O4978"/>
      <c r="P4978"/>
      <c r="Q4978"/>
      <c r="R4978"/>
      <c r="S4978"/>
    </row>
    <row r="4979" spans="13:19" ht="13.95" customHeight="1">
      <c r="M4979"/>
      <c r="N4979"/>
      <c r="O4979"/>
      <c r="P4979"/>
      <c r="Q4979"/>
      <c r="R4979"/>
      <c r="S4979"/>
    </row>
    <row r="4980" spans="13:19" ht="13.95" customHeight="1">
      <c r="M4980"/>
      <c r="N4980"/>
      <c r="O4980"/>
      <c r="P4980"/>
      <c r="Q4980"/>
      <c r="R4980"/>
      <c r="S4980"/>
    </row>
    <row r="4981" spans="13:19" ht="13.95" customHeight="1">
      <c r="M4981"/>
      <c r="N4981"/>
      <c r="O4981"/>
      <c r="P4981"/>
      <c r="Q4981"/>
      <c r="R4981"/>
      <c r="S4981"/>
    </row>
    <row r="4982" spans="13:19" ht="13.95" customHeight="1">
      <c r="M4982"/>
      <c r="N4982"/>
      <c r="O4982"/>
      <c r="P4982"/>
      <c r="Q4982"/>
      <c r="R4982"/>
      <c r="S4982"/>
    </row>
    <row r="4983" spans="13:19" ht="13.95" customHeight="1">
      <c r="M4983"/>
      <c r="N4983"/>
      <c r="O4983"/>
      <c r="P4983"/>
      <c r="Q4983"/>
      <c r="R4983"/>
      <c r="S4983"/>
    </row>
    <row r="4984" spans="13:19" ht="13.95" customHeight="1">
      <c r="M4984"/>
      <c r="N4984"/>
      <c r="O4984"/>
      <c r="P4984"/>
      <c r="Q4984"/>
      <c r="R4984"/>
      <c r="S4984"/>
    </row>
    <row r="4985" spans="13:19" ht="13.95" customHeight="1">
      <c r="M4985"/>
      <c r="N4985"/>
      <c r="O4985"/>
      <c r="P4985"/>
      <c r="Q4985"/>
      <c r="R4985"/>
      <c r="S4985"/>
    </row>
    <row r="4986" spans="13:19" ht="13.95" customHeight="1">
      <c r="M4986"/>
      <c r="N4986"/>
      <c r="O4986"/>
      <c r="P4986"/>
      <c r="Q4986"/>
      <c r="R4986"/>
      <c r="S4986"/>
    </row>
    <row r="4987" spans="13:19" ht="13.95" customHeight="1">
      <c r="M4987"/>
      <c r="N4987"/>
      <c r="O4987"/>
      <c r="P4987"/>
      <c r="Q4987"/>
      <c r="R4987"/>
      <c r="S4987"/>
    </row>
    <row r="4988" spans="13:19" ht="13.95" customHeight="1">
      <c r="M4988"/>
      <c r="N4988"/>
      <c r="O4988"/>
      <c r="P4988"/>
      <c r="Q4988"/>
      <c r="R4988"/>
      <c r="S4988"/>
    </row>
    <row r="4989" spans="13:19" ht="13.95" customHeight="1">
      <c r="M4989"/>
      <c r="N4989"/>
      <c r="O4989"/>
      <c r="P4989"/>
      <c r="Q4989"/>
      <c r="R4989"/>
      <c r="S4989"/>
    </row>
    <row r="4990" spans="13:19" ht="13.95" customHeight="1">
      <c r="M4990"/>
      <c r="N4990"/>
      <c r="O4990"/>
      <c r="P4990"/>
      <c r="Q4990"/>
      <c r="R4990"/>
      <c r="S4990"/>
    </row>
    <row r="4991" spans="13:19" ht="13.95" customHeight="1">
      <c r="M4991"/>
      <c r="N4991"/>
      <c r="O4991"/>
      <c r="P4991"/>
      <c r="Q4991"/>
      <c r="R4991"/>
      <c r="S4991"/>
    </row>
    <row r="4992" spans="13:19" ht="13.95" customHeight="1">
      <c r="M4992"/>
      <c r="N4992"/>
      <c r="O4992"/>
      <c r="P4992"/>
      <c r="Q4992"/>
      <c r="R4992"/>
      <c r="S4992"/>
    </row>
    <row r="4993" spans="13:19" ht="13.95" customHeight="1">
      <c r="M4993"/>
      <c r="N4993"/>
      <c r="O4993"/>
      <c r="P4993"/>
      <c r="Q4993"/>
      <c r="R4993"/>
      <c r="S4993"/>
    </row>
    <row r="4994" spans="13:19" ht="13.95" customHeight="1">
      <c r="M4994"/>
      <c r="N4994"/>
      <c r="O4994"/>
      <c r="P4994"/>
      <c r="Q4994"/>
      <c r="R4994"/>
      <c r="S4994"/>
    </row>
    <row r="4995" spans="13:19" ht="13.95" customHeight="1">
      <c r="M4995"/>
      <c r="N4995"/>
      <c r="O4995"/>
      <c r="P4995"/>
      <c r="Q4995"/>
      <c r="R4995"/>
      <c r="S4995"/>
    </row>
    <row r="4996" spans="13:19" ht="13.95" customHeight="1">
      <c r="M4996"/>
      <c r="N4996"/>
      <c r="O4996"/>
      <c r="P4996"/>
      <c r="Q4996"/>
      <c r="R4996"/>
      <c r="S4996"/>
    </row>
    <row r="4997" spans="13:19" ht="13.95" customHeight="1">
      <c r="M4997"/>
      <c r="N4997"/>
      <c r="O4997"/>
      <c r="P4997"/>
      <c r="Q4997"/>
      <c r="R4997"/>
      <c r="S4997"/>
    </row>
    <row r="4998" spans="13:19" ht="13.95" customHeight="1">
      <c r="M4998"/>
      <c r="N4998"/>
      <c r="O4998"/>
      <c r="P4998"/>
      <c r="Q4998"/>
      <c r="R4998"/>
      <c r="S4998"/>
    </row>
    <row r="4999" spans="13:19" ht="13.95" customHeight="1">
      <c r="M4999"/>
      <c r="N4999"/>
      <c r="O4999"/>
      <c r="P4999"/>
      <c r="Q4999"/>
      <c r="R4999"/>
      <c r="S4999"/>
    </row>
    <row r="5000" spans="13:19" ht="13.95" customHeight="1">
      <c r="M5000"/>
      <c r="N5000"/>
      <c r="O5000"/>
      <c r="P5000"/>
      <c r="Q5000"/>
      <c r="R5000"/>
      <c r="S5000"/>
    </row>
    <row r="5001" spans="13:19" ht="13.95" customHeight="1">
      <c r="M5001"/>
      <c r="N5001"/>
      <c r="O5001"/>
      <c r="P5001"/>
      <c r="Q5001"/>
      <c r="R5001"/>
      <c r="S5001"/>
    </row>
    <row r="5002" spans="13:19" ht="13.95" customHeight="1">
      <c r="M5002"/>
      <c r="N5002"/>
      <c r="O5002"/>
      <c r="P5002"/>
      <c r="Q5002"/>
      <c r="R5002"/>
      <c r="S5002"/>
    </row>
    <row r="5003" spans="13:19" ht="13.95" customHeight="1">
      <c r="M5003"/>
      <c r="N5003"/>
      <c r="O5003"/>
      <c r="P5003"/>
      <c r="Q5003"/>
      <c r="R5003"/>
      <c r="S5003"/>
    </row>
    <row r="5004" spans="13:19" ht="13.95" customHeight="1">
      <c r="M5004"/>
      <c r="N5004"/>
      <c r="O5004"/>
      <c r="P5004"/>
      <c r="Q5004"/>
      <c r="R5004"/>
      <c r="S5004"/>
    </row>
    <row r="5005" spans="13:19" ht="13.95" customHeight="1">
      <c r="M5005"/>
      <c r="N5005"/>
      <c r="O5005"/>
      <c r="P5005"/>
      <c r="Q5005"/>
      <c r="R5005"/>
      <c r="S5005"/>
    </row>
    <row r="5006" spans="13:19" ht="13.95" customHeight="1">
      <c r="M5006"/>
      <c r="N5006"/>
      <c r="O5006"/>
      <c r="P5006"/>
      <c r="Q5006"/>
      <c r="R5006"/>
      <c r="S5006"/>
    </row>
    <row r="5007" spans="13:19" ht="13.95" customHeight="1">
      <c r="M5007"/>
      <c r="N5007"/>
      <c r="O5007"/>
      <c r="P5007"/>
      <c r="Q5007"/>
      <c r="R5007"/>
      <c r="S5007"/>
    </row>
    <row r="5008" spans="13:19" ht="13.95" customHeight="1">
      <c r="M5008"/>
      <c r="N5008"/>
      <c r="O5008"/>
      <c r="P5008"/>
      <c r="Q5008"/>
      <c r="R5008"/>
      <c r="S5008"/>
    </row>
    <row r="5009" spans="13:19" ht="13.95" customHeight="1">
      <c r="M5009"/>
      <c r="N5009"/>
      <c r="O5009"/>
      <c r="P5009"/>
      <c r="Q5009"/>
      <c r="R5009"/>
      <c r="S5009"/>
    </row>
    <row r="5010" spans="13:19" ht="13.95" customHeight="1">
      <c r="M5010"/>
      <c r="N5010"/>
      <c r="O5010"/>
      <c r="P5010"/>
      <c r="Q5010"/>
      <c r="R5010"/>
      <c r="S5010"/>
    </row>
    <row r="5011" spans="13:19" ht="13.95" customHeight="1">
      <c r="M5011"/>
      <c r="N5011"/>
      <c r="O5011"/>
      <c r="P5011"/>
      <c r="Q5011"/>
      <c r="R5011"/>
      <c r="S5011"/>
    </row>
    <row r="5012" spans="13:19" ht="13.95" customHeight="1">
      <c r="M5012"/>
      <c r="N5012"/>
      <c r="O5012"/>
      <c r="P5012"/>
      <c r="Q5012"/>
      <c r="R5012"/>
      <c r="S5012"/>
    </row>
    <row r="5013" spans="13:19" ht="13.95" customHeight="1">
      <c r="M5013"/>
      <c r="N5013"/>
      <c r="O5013"/>
      <c r="P5013"/>
      <c r="Q5013"/>
      <c r="R5013"/>
      <c r="S5013"/>
    </row>
    <row r="5014" spans="13:19" ht="13.95" customHeight="1">
      <c r="M5014"/>
      <c r="N5014"/>
      <c r="O5014"/>
      <c r="P5014"/>
      <c r="Q5014"/>
      <c r="R5014"/>
      <c r="S5014"/>
    </row>
    <row r="5015" spans="13:19" ht="13.95" customHeight="1">
      <c r="M5015"/>
      <c r="N5015"/>
      <c r="O5015"/>
      <c r="P5015"/>
      <c r="Q5015"/>
      <c r="R5015"/>
      <c r="S5015"/>
    </row>
    <row r="5016" spans="13:19" ht="13.95" customHeight="1">
      <c r="M5016"/>
      <c r="N5016"/>
      <c r="O5016"/>
      <c r="P5016"/>
      <c r="Q5016"/>
      <c r="R5016"/>
      <c r="S5016"/>
    </row>
    <row r="5017" spans="13:19" ht="13.95" customHeight="1">
      <c r="M5017"/>
      <c r="N5017"/>
      <c r="O5017"/>
      <c r="P5017"/>
      <c r="Q5017"/>
      <c r="R5017"/>
      <c r="S5017"/>
    </row>
    <row r="5018" spans="13:19" ht="13.95" customHeight="1">
      <c r="M5018"/>
      <c r="N5018"/>
      <c r="O5018"/>
      <c r="P5018"/>
      <c r="Q5018"/>
      <c r="R5018"/>
      <c r="S5018"/>
    </row>
    <row r="5019" spans="13:19" ht="13.95" customHeight="1">
      <c r="M5019"/>
      <c r="N5019"/>
      <c r="O5019"/>
      <c r="P5019"/>
      <c r="Q5019"/>
      <c r="R5019"/>
      <c r="S5019"/>
    </row>
    <row r="5020" spans="13:19" ht="13.95" customHeight="1">
      <c r="M5020"/>
      <c r="N5020"/>
      <c r="O5020"/>
      <c r="P5020"/>
      <c r="Q5020"/>
      <c r="R5020"/>
      <c r="S5020"/>
    </row>
    <row r="5021" spans="13:19" ht="13.95" customHeight="1">
      <c r="M5021"/>
      <c r="N5021"/>
      <c r="O5021"/>
      <c r="P5021"/>
      <c r="Q5021"/>
      <c r="R5021"/>
      <c r="S5021"/>
    </row>
    <row r="5022" spans="13:19" ht="13.95" customHeight="1">
      <c r="M5022"/>
      <c r="N5022"/>
      <c r="O5022"/>
      <c r="P5022"/>
      <c r="Q5022"/>
      <c r="R5022"/>
      <c r="S5022"/>
    </row>
    <row r="5023" spans="13:19" ht="13.95" customHeight="1">
      <c r="M5023"/>
      <c r="N5023"/>
      <c r="O5023"/>
      <c r="P5023"/>
      <c r="Q5023"/>
      <c r="R5023"/>
      <c r="S5023"/>
    </row>
    <row r="5024" spans="13:19" ht="13.95" customHeight="1">
      <c r="M5024"/>
      <c r="N5024"/>
      <c r="O5024"/>
      <c r="P5024"/>
      <c r="Q5024"/>
      <c r="R5024"/>
      <c r="S5024"/>
    </row>
    <row r="5025" spans="13:19" ht="13.95" customHeight="1">
      <c r="M5025"/>
      <c r="N5025"/>
      <c r="O5025"/>
      <c r="P5025"/>
      <c r="Q5025"/>
      <c r="R5025"/>
      <c r="S5025"/>
    </row>
    <row r="5026" spans="13:19" ht="13.95" customHeight="1">
      <c r="M5026"/>
      <c r="N5026"/>
      <c r="O5026"/>
      <c r="P5026"/>
      <c r="Q5026"/>
      <c r="R5026"/>
      <c r="S5026"/>
    </row>
    <row r="5027" spans="13:19" ht="13.95" customHeight="1">
      <c r="M5027"/>
      <c r="N5027"/>
      <c r="O5027"/>
      <c r="P5027"/>
      <c r="Q5027"/>
      <c r="R5027"/>
      <c r="S5027"/>
    </row>
    <row r="5028" spans="13:19" ht="13.95" customHeight="1">
      <c r="M5028"/>
      <c r="N5028"/>
      <c r="O5028"/>
      <c r="P5028"/>
      <c r="Q5028"/>
      <c r="R5028"/>
      <c r="S5028"/>
    </row>
    <row r="5029" spans="13:19" ht="13.95" customHeight="1">
      <c r="M5029"/>
      <c r="N5029"/>
      <c r="O5029"/>
      <c r="P5029"/>
      <c r="Q5029"/>
      <c r="R5029"/>
      <c r="S5029"/>
    </row>
    <row r="5030" spans="13:19" ht="13.95" customHeight="1">
      <c r="M5030"/>
      <c r="N5030"/>
      <c r="O5030"/>
      <c r="P5030"/>
      <c r="Q5030"/>
      <c r="R5030"/>
      <c r="S5030"/>
    </row>
    <row r="5031" spans="13:19" ht="13.95" customHeight="1">
      <c r="M5031"/>
      <c r="N5031"/>
      <c r="O5031"/>
      <c r="P5031"/>
      <c r="Q5031"/>
      <c r="R5031"/>
      <c r="S5031"/>
    </row>
    <row r="5032" spans="13:19" ht="13.95" customHeight="1">
      <c r="M5032"/>
      <c r="N5032"/>
      <c r="O5032"/>
      <c r="P5032"/>
      <c r="Q5032"/>
      <c r="R5032"/>
      <c r="S5032"/>
    </row>
    <row r="5033" spans="13:19" ht="13.95" customHeight="1">
      <c r="M5033"/>
      <c r="N5033"/>
      <c r="O5033"/>
      <c r="P5033"/>
      <c r="Q5033"/>
      <c r="R5033"/>
      <c r="S5033"/>
    </row>
    <row r="5034" spans="13:19" ht="13.95" customHeight="1">
      <c r="M5034"/>
      <c r="N5034"/>
      <c r="O5034"/>
      <c r="P5034"/>
      <c r="Q5034"/>
      <c r="R5034"/>
      <c r="S5034"/>
    </row>
    <row r="5035" spans="13:19" ht="13.95" customHeight="1">
      <c r="M5035"/>
      <c r="N5035"/>
      <c r="O5035"/>
      <c r="P5035"/>
      <c r="Q5035"/>
      <c r="R5035"/>
      <c r="S5035"/>
    </row>
    <row r="5036" spans="13:19" ht="13.95" customHeight="1">
      <c r="M5036"/>
      <c r="N5036"/>
      <c r="O5036"/>
      <c r="P5036"/>
      <c r="Q5036"/>
      <c r="R5036"/>
      <c r="S5036"/>
    </row>
    <row r="5037" spans="13:19" ht="13.95" customHeight="1">
      <c r="M5037"/>
      <c r="N5037"/>
      <c r="O5037"/>
      <c r="P5037"/>
      <c r="Q5037"/>
      <c r="R5037"/>
      <c r="S5037"/>
    </row>
    <row r="5038" spans="13:19" ht="13.95" customHeight="1">
      <c r="M5038"/>
      <c r="N5038"/>
      <c r="O5038"/>
      <c r="P5038"/>
      <c r="Q5038"/>
      <c r="R5038"/>
      <c r="S5038"/>
    </row>
    <row r="5039" spans="13:19" ht="13.95" customHeight="1">
      <c r="M5039"/>
      <c r="N5039"/>
      <c r="O5039"/>
      <c r="P5039"/>
      <c r="Q5039"/>
      <c r="R5039"/>
      <c r="S5039"/>
    </row>
    <row r="5040" spans="13:19" ht="13.95" customHeight="1">
      <c r="M5040"/>
      <c r="N5040"/>
      <c r="O5040"/>
      <c r="P5040"/>
      <c r="Q5040"/>
      <c r="R5040"/>
      <c r="S5040"/>
    </row>
    <row r="5041" spans="13:19" ht="13.95" customHeight="1">
      <c r="M5041"/>
      <c r="N5041"/>
      <c r="O5041"/>
      <c r="P5041"/>
      <c r="Q5041"/>
      <c r="R5041"/>
      <c r="S5041"/>
    </row>
    <row r="5042" spans="13:19" ht="13.95" customHeight="1">
      <c r="M5042"/>
      <c r="N5042"/>
      <c r="O5042"/>
      <c r="P5042"/>
      <c r="Q5042"/>
      <c r="R5042"/>
      <c r="S5042"/>
    </row>
    <row r="5043" spans="13:19" ht="13.95" customHeight="1">
      <c r="M5043"/>
      <c r="N5043"/>
      <c r="O5043"/>
      <c r="P5043"/>
      <c r="Q5043"/>
      <c r="R5043"/>
      <c r="S5043"/>
    </row>
    <row r="5044" spans="13:19" ht="13.95" customHeight="1">
      <c r="M5044"/>
      <c r="N5044"/>
      <c r="O5044"/>
      <c r="P5044"/>
      <c r="Q5044"/>
      <c r="R5044"/>
      <c r="S5044"/>
    </row>
    <row r="5045" spans="13:19" ht="13.95" customHeight="1">
      <c r="M5045"/>
      <c r="N5045"/>
      <c r="O5045"/>
      <c r="P5045"/>
      <c r="Q5045"/>
      <c r="R5045"/>
      <c r="S5045"/>
    </row>
    <row r="5046" spans="13:19" ht="13.95" customHeight="1">
      <c r="M5046"/>
      <c r="N5046"/>
      <c r="O5046"/>
      <c r="P5046"/>
      <c r="Q5046"/>
      <c r="R5046"/>
      <c r="S5046"/>
    </row>
    <row r="5047" spans="13:19" ht="13.95" customHeight="1">
      <c r="M5047"/>
      <c r="N5047"/>
      <c r="O5047"/>
      <c r="P5047"/>
      <c r="Q5047"/>
      <c r="R5047"/>
      <c r="S5047"/>
    </row>
    <row r="5048" spans="13:19" ht="13.95" customHeight="1">
      <c r="M5048"/>
      <c r="N5048"/>
      <c r="O5048"/>
      <c r="P5048"/>
      <c r="Q5048"/>
      <c r="R5048"/>
      <c r="S5048"/>
    </row>
    <row r="5049" spans="13:19" ht="13.95" customHeight="1">
      <c r="M5049"/>
      <c r="N5049"/>
      <c r="O5049"/>
      <c r="P5049"/>
      <c r="Q5049"/>
      <c r="R5049"/>
      <c r="S5049"/>
    </row>
    <row r="5050" spans="13:19" ht="13.95" customHeight="1">
      <c r="M5050"/>
      <c r="N5050"/>
      <c r="O5050"/>
      <c r="P5050"/>
      <c r="Q5050"/>
      <c r="R5050"/>
      <c r="S5050"/>
    </row>
    <row r="5051" spans="13:19" ht="13.95" customHeight="1">
      <c r="M5051"/>
      <c r="N5051"/>
      <c r="O5051"/>
      <c r="P5051"/>
      <c r="Q5051"/>
      <c r="R5051"/>
      <c r="S5051"/>
    </row>
    <row r="5052" spans="13:19" ht="13.95" customHeight="1">
      <c r="M5052"/>
      <c r="N5052"/>
      <c r="O5052"/>
      <c r="P5052"/>
      <c r="Q5052"/>
      <c r="R5052"/>
      <c r="S5052"/>
    </row>
    <row r="5053" spans="13:19" ht="13.95" customHeight="1">
      <c r="M5053"/>
      <c r="N5053"/>
      <c r="O5053"/>
      <c r="P5053"/>
      <c r="Q5053"/>
      <c r="R5053"/>
      <c r="S5053"/>
    </row>
    <row r="5054" spans="13:19" ht="13.95" customHeight="1">
      <c r="M5054"/>
      <c r="N5054"/>
      <c r="O5054"/>
      <c r="P5054"/>
      <c r="Q5054"/>
      <c r="R5054"/>
      <c r="S5054"/>
    </row>
    <row r="5055" spans="13:19" ht="13.95" customHeight="1">
      <c r="M5055"/>
      <c r="N5055"/>
      <c r="O5055"/>
      <c r="P5055"/>
      <c r="Q5055"/>
      <c r="R5055"/>
      <c r="S5055"/>
    </row>
    <row r="5056" spans="13:19" ht="13.95" customHeight="1">
      <c r="M5056"/>
      <c r="N5056"/>
      <c r="O5056"/>
      <c r="P5056"/>
      <c r="Q5056"/>
      <c r="R5056"/>
      <c r="S5056"/>
    </row>
    <row r="5057" spans="13:19" ht="13.95" customHeight="1">
      <c r="M5057"/>
      <c r="N5057"/>
      <c r="O5057"/>
      <c r="P5057"/>
      <c r="Q5057"/>
      <c r="R5057"/>
      <c r="S5057"/>
    </row>
    <row r="5058" spans="13:19" ht="13.95" customHeight="1">
      <c r="M5058"/>
      <c r="N5058"/>
      <c r="O5058"/>
      <c r="P5058"/>
      <c r="Q5058"/>
      <c r="R5058"/>
      <c r="S5058"/>
    </row>
    <row r="5059" spans="13:19" ht="13.95" customHeight="1">
      <c r="M5059"/>
      <c r="N5059"/>
      <c r="O5059"/>
      <c r="P5059"/>
      <c r="Q5059"/>
      <c r="R5059"/>
      <c r="S5059"/>
    </row>
    <row r="5060" spans="13:19" ht="13.95" customHeight="1">
      <c r="M5060"/>
      <c r="N5060"/>
      <c r="O5060"/>
      <c r="P5060"/>
      <c r="Q5060"/>
      <c r="R5060"/>
      <c r="S5060"/>
    </row>
    <row r="5061" spans="13:19" ht="13.95" customHeight="1">
      <c r="M5061"/>
      <c r="N5061"/>
      <c r="O5061"/>
      <c r="P5061"/>
      <c r="Q5061"/>
      <c r="R5061"/>
      <c r="S5061"/>
    </row>
    <row r="5062" spans="13:19" ht="13.95" customHeight="1">
      <c r="M5062"/>
      <c r="N5062"/>
      <c r="O5062"/>
      <c r="P5062"/>
      <c r="Q5062"/>
      <c r="R5062"/>
      <c r="S5062"/>
    </row>
    <row r="5063" spans="13:19" ht="13.95" customHeight="1">
      <c r="M5063"/>
      <c r="N5063"/>
      <c r="O5063"/>
      <c r="P5063"/>
      <c r="Q5063"/>
      <c r="R5063"/>
      <c r="S5063"/>
    </row>
    <row r="5064" spans="13:19" ht="13.95" customHeight="1">
      <c r="M5064"/>
      <c r="N5064"/>
      <c r="O5064"/>
      <c r="P5064"/>
      <c r="Q5064"/>
      <c r="R5064"/>
      <c r="S5064"/>
    </row>
    <row r="5065" spans="13:19" ht="13.95" customHeight="1">
      <c r="M5065"/>
      <c r="N5065"/>
      <c r="O5065"/>
      <c r="P5065"/>
      <c r="Q5065"/>
      <c r="R5065"/>
      <c r="S5065"/>
    </row>
    <row r="5066" spans="13:19" ht="13.95" customHeight="1">
      <c r="M5066"/>
      <c r="N5066"/>
      <c r="O5066"/>
      <c r="P5066"/>
      <c r="Q5066"/>
      <c r="R5066"/>
      <c r="S5066"/>
    </row>
    <row r="5067" spans="13:19" ht="13.95" customHeight="1">
      <c r="M5067"/>
      <c r="N5067"/>
      <c r="O5067"/>
      <c r="P5067"/>
      <c r="Q5067"/>
      <c r="R5067"/>
      <c r="S5067"/>
    </row>
    <row r="5068" spans="13:19" ht="13.95" customHeight="1">
      <c r="M5068"/>
      <c r="N5068"/>
      <c r="O5068"/>
      <c r="P5068"/>
      <c r="Q5068"/>
      <c r="R5068"/>
      <c r="S5068"/>
    </row>
    <row r="5069" spans="13:19" ht="13.95" customHeight="1">
      <c r="M5069"/>
      <c r="N5069"/>
      <c r="O5069"/>
      <c r="P5069"/>
      <c r="Q5069"/>
      <c r="R5069"/>
      <c r="S5069"/>
    </row>
    <row r="5070" spans="13:19" ht="13.95" customHeight="1">
      <c r="M5070"/>
      <c r="N5070"/>
      <c r="O5070"/>
      <c r="P5070"/>
      <c r="Q5070"/>
      <c r="R5070"/>
      <c r="S5070"/>
    </row>
    <row r="5071" spans="13:19" ht="13.95" customHeight="1">
      <c r="M5071"/>
      <c r="N5071"/>
      <c r="O5071"/>
      <c r="P5071"/>
      <c r="Q5071"/>
      <c r="R5071"/>
      <c r="S5071"/>
    </row>
    <row r="5072" spans="13:19" ht="13.95" customHeight="1">
      <c r="M5072"/>
      <c r="N5072"/>
      <c r="O5072"/>
      <c r="P5072"/>
      <c r="Q5072"/>
      <c r="R5072"/>
      <c r="S5072"/>
    </row>
    <row r="5073" spans="13:19" ht="13.95" customHeight="1">
      <c r="M5073"/>
      <c r="N5073"/>
      <c r="O5073"/>
      <c r="P5073"/>
      <c r="Q5073"/>
      <c r="R5073"/>
      <c r="S5073"/>
    </row>
    <row r="5074" spans="13:19" ht="13.95" customHeight="1">
      <c r="M5074"/>
      <c r="N5074"/>
      <c r="O5074"/>
      <c r="P5074"/>
      <c r="Q5074"/>
      <c r="R5074"/>
      <c r="S5074"/>
    </row>
    <row r="5075" spans="13:19" ht="13.95" customHeight="1">
      <c r="M5075"/>
      <c r="N5075"/>
      <c r="O5075"/>
      <c r="P5075"/>
      <c r="Q5075"/>
      <c r="R5075"/>
      <c r="S5075"/>
    </row>
    <row r="5076" spans="13:19" ht="13.95" customHeight="1">
      <c r="M5076"/>
      <c r="N5076"/>
      <c r="O5076"/>
      <c r="P5076"/>
      <c r="Q5076"/>
      <c r="R5076"/>
      <c r="S5076"/>
    </row>
    <row r="5077" spans="13:19" ht="13.95" customHeight="1">
      <c r="M5077"/>
      <c r="N5077"/>
      <c r="O5077"/>
      <c r="P5077"/>
      <c r="Q5077"/>
      <c r="R5077"/>
      <c r="S5077"/>
    </row>
    <row r="5078" spans="13:19" ht="13.95" customHeight="1">
      <c r="M5078"/>
      <c r="N5078"/>
      <c r="O5078"/>
      <c r="P5078"/>
      <c r="Q5078"/>
      <c r="R5078"/>
      <c r="S5078"/>
    </row>
    <row r="5079" spans="13:19" ht="13.95" customHeight="1">
      <c r="M5079"/>
      <c r="N5079"/>
      <c r="O5079"/>
      <c r="P5079"/>
      <c r="Q5079"/>
      <c r="R5079"/>
      <c r="S5079"/>
    </row>
    <row r="5080" spans="13:19" ht="13.95" customHeight="1">
      <c r="M5080"/>
      <c r="N5080"/>
      <c r="O5080"/>
      <c r="P5080"/>
      <c r="Q5080"/>
      <c r="R5080"/>
      <c r="S5080"/>
    </row>
    <row r="5081" spans="13:19" ht="13.95" customHeight="1">
      <c r="M5081"/>
      <c r="N5081"/>
      <c r="O5081"/>
      <c r="P5081"/>
      <c r="Q5081"/>
      <c r="R5081"/>
      <c r="S5081"/>
    </row>
    <row r="5082" spans="13:19" ht="13.95" customHeight="1">
      <c r="M5082"/>
      <c r="N5082"/>
      <c r="O5082"/>
      <c r="P5082"/>
      <c r="Q5082"/>
      <c r="R5082"/>
      <c r="S5082"/>
    </row>
    <row r="5083" spans="13:19" ht="13.95" customHeight="1">
      <c r="M5083"/>
      <c r="N5083"/>
      <c r="O5083"/>
      <c r="P5083"/>
      <c r="Q5083"/>
      <c r="R5083"/>
      <c r="S5083"/>
    </row>
    <row r="5084" spans="13:19" ht="13.95" customHeight="1">
      <c r="M5084"/>
      <c r="N5084"/>
      <c r="O5084"/>
      <c r="P5084"/>
      <c r="Q5084"/>
      <c r="R5084"/>
      <c r="S5084"/>
    </row>
    <row r="5085" spans="13:19" ht="13.95" customHeight="1">
      <c r="M5085"/>
      <c r="N5085"/>
      <c r="O5085"/>
      <c r="P5085"/>
      <c r="Q5085"/>
      <c r="R5085"/>
      <c r="S5085"/>
    </row>
    <row r="5086" spans="13:19" ht="13.95" customHeight="1">
      <c r="M5086"/>
      <c r="N5086"/>
      <c r="O5086"/>
      <c r="P5086"/>
      <c r="Q5086"/>
      <c r="R5086"/>
      <c r="S5086"/>
    </row>
    <row r="5087" spans="13:19" ht="13.95" customHeight="1">
      <c r="M5087"/>
      <c r="N5087"/>
      <c r="O5087"/>
      <c r="P5087"/>
      <c r="Q5087"/>
      <c r="R5087"/>
      <c r="S5087"/>
    </row>
    <row r="5088" spans="13:19" ht="13.95" customHeight="1">
      <c r="M5088"/>
      <c r="N5088"/>
      <c r="O5088"/>
      <c r="P5088"/>
      <c r="Q5088"/>
      <c r="R5088"/>
      <c r="S5088"/>
    </row>
    <row r="5089" spans="13:19" ht="13.95" customHeight="1">
      <c r="M5089"/>
      <c r="N5089"/>
      <c r="O5089"/>
      <c r="P5089"/>
      <c r="Q5089"/>
      <c r="R5089"/>
      <c r="S5089"/>
    </row>
    <row r="5090" spans="13:19" ht="13.95" customHeight="1">
      <c r="M5090"/>
      <c r="N5090"/>
      <c r="O5090"/>
      <c r="P5090"/>
      <c r="Q5090"/>
      <c r="R5090"/>
      <c r="S5090"/>
    </row>
    <row r="5091" spans="13:19" ht="13.95" customHeight="1">
      <c r="M5091"/>
      <c r="N5091"/>
      <c r="O5091"/>
      <c r="P5091"/>
      <c r="Q5091"/>
      <c r="R5091"/>
      <c r="S5091"/>
    </row>
    <row r="5092" spans="13:19" ht="13.95" customHeight="1">
      <c r="M5092"/>
      <c r="N5092"/>
      <c r="O5092"/>
      <c r="P5092"/>
      <c r="Q5092"/>
      <c r="R5092"/>
      <c r="S5092"/>
    </row>
    <row r="5093" spans="13:19" ht="13.95" customHeight="1">
      <c r="M5093"/>
      <c r="N5093"/>
      <c r="O5093"/>
      <c r="P5093"/>
      <c r="Q5093"/>
      <c r="R5093"/>
      <c r="S5093"/>
    </row>
    <row r="5094" spans="13:19" ht="13.95" customHeight="1">
      <c r="M5094"/>
      <c r="N5094"/>
      <c r="O5094"/>
      <c r="P5094"/>
      <c r="Q5094"/>
      <c r="R5094"/>
      <c r="S5094"/>
    </row>
    <row r="5095" spans="13:19" ht="13.95" customHeight="1">
      <c r="M5095"/>
      <c r="N5095"/>
      <c r="O5095"/>
      <c r="P5095"/>
      <c r="Q5095"/>
      <c r="R5095"/>
      <c r="S5095"/>
    </row>
    <row r="5096" spans="13:19" ht="13.95" customHeight="1">
      <c r="M5096"/>
      <c r="N5096"/>
      <c r="O5096"/>
      <c r="P5096"/>
      <c r="Q5096"/>
      <c r="R5096"/>
      <c r="S5096"/>
    </row>
    <row r="5097" spans="13:19" ht="13.95" customHeight="1">
      <c r="M5097"/>
      <c r="N5097"/>
      <c r="O5097"/>
      <c r="P5097"/>
      <c r="Q5097"/>
      <c r="R5097"/>
      <c r="S5097"/>
    </row>
    <row r="5098" spans="13:19" ht="13.95" customHeight="1">
      <c r="M5098"/>
      <c r="N5098"/>
      <c r="O5098"/>
      <c r="P5098"/>
      <c r="Q5098"/>
      <c r="R5098"/>
      <c r="S5098"/>
    </row>
    <row r="5099" spans="13:19" ht="13.95" customHeight="1">
      <c r="M5099"/>
      <c r="N5099"/>
      <c r="O5099"/>
      <c r="P5099"/>
      <c r="Q5099"/>
      <c r="R5099"/>
      <c r="S5099"/>
    </row>
    <row r="5100" spans="13:19" ht="13.95" customHeight="1">
      <c r="M5100"/>
      <c r="N5100"/>
      <c r="O5100"/>
      <c r="P5100"/>
      <c r="Q5100"/>
      <c r="R5100"/>
      <c r="S5100"/>
    </row>
    <row r="5101" spans="13:19" ht="13.95" customHeight="1">
      <c r="M5101"/>
      <c r="N5101"/>
      <c r="O5101"/>
      <c r="P5101"/>
      <c r="Q5101"/>
      <c r="R5101"/>
      <c r="S5101"/>
    </row>
    <row r="5102" spans="13:19" ht="13.95" customHeight="1">
      <c r="M5102"/>
      <c r="N5102"/>
      <c r="O5102"/>
      <c r="P5102"/>
      <c r="Q5102"/>
      <c r="R5102"/>
      <c r="S5102"/>
    </row>
    <row r="5103" spans="13:19" ht="13.95" customHeight="1">
      <c r="M5103"/>
      <c r="N5103"/>
      <c r="O5103"/>
      <c r="P5103"/>
      <c r="Q5103"/>
      <c r="R5103"/>
      <c r="S5103"/>
    </row>
    <row r="5104" spans="13:19" ht="13.95" customHeight="1">
      <c r="M5104"/>
      <c r="N5104"/>
      <c r="O5104"/>
      <c r="P5104"/>
      <c r="Q5104"/>
      <c r="R5104"/>
      <c r="S5104"/>
    </row>
    <row r="5105" spans="13:19" ht="13.95" customHeight="1">
      <c r="M5105"/>
      <c r="N5105"/>
      <c r="O5105"/>
      <c r="P5105"/>
      <c r="Q5105"/>
      <c r="R5105"/>
      <c r="S5105"/>
    </row>
    <row r="5106" spans="13:19" ht="13.95" customHeight="1">
      <c r="M5106"/>
      <c r="N5106"/>
      <c r="O5106"/>
      <c r="P5106"/>
      <c r="Q5106"/>
      <c r="R5106"/>
      <c r="S5106"/>
    </row>
    <row r="5107" spans="13:19" ht="13.95" customHeight="1">
      <c r="M5107"/>
      <c r="N5107"/>
      <c r="O5107"/>
      <c r="P5107"/>
      <c r="Q5107"/>
      <c r="R5107"/>
      <c r="S5107"/>
    </row>
    <row r="5108" spans="13:19" ht="13.95" customHeight="1">
      <c r="M5108"/>
      <c r="N5108"/>
      <c r="O5108"/>
      <c r="P5108"/>
      <c r="Q5108"/>
      <c r="R5108"/>
      <c r="S5108"/>
    </row>
    <row r="5109" spans="13:19" ht="13.95" customHeight="1">
      <c r="M5109"/>
      <c r="N5109"/>
      <c r="O5109"/>
      <c r="P5109"/>
      <c r="Q5109"/>
      <c r="R5109"/>
      <c r="S5109"/>
    </row>
    <row r="5110" spans="13:19" ht="13.95" customHeight="1">
      <c r="M5110"/>
      <c r="N5110"/>
      <c r="O5110"/>
      <c r="P5110"/>
      <c r="Q5110"/>
      <c r="R5110"/>
      <c r="S5110"/>
    </row>
    <row r="5111" spans="13:19" ht="13.95" customHeight="1">
      <c r="M5111"/>
      <c r="N5111"/>
      <c r="O5111"/>
      <c r="P5111"/>
      <c r="Q5111"/>
      <c r="R5111"/>
      <c r="S5111"/>
    </row>
    <row r="5112" spans="13:19" ht="13.95" customHeight="1">
      <c r="M5112"/>
      <c r="N5112"/>
      <c r="O5112"/>
      <c r="P5112"/>
      <c r="Q5112"/>
      <c r="R5112"/>
      <c r="S5112"/>
    </row>
    <row r="5113" spans="13:19" ht="13.95" customHeight="1">
      <c r="M5113"/>
      <c r="N5113"/>
      <c r="O5113"/>
      <c r="P5113"/>
      <c r="Q5113"/>
      <c r="R5113"/>
      <c r="S5113"/>
    </row>
    <row r="5114" spans="13:19" ht="13.95" customHeight="1">
      <c r="M5114"/>
      <c r="N5114"/>
      <c r="O5114"/>
      <c r="P5114"/>
      <c r="Q5114"/>
      <c r="R5114"/>
      <c r="S5114"/>
    </row>
    <row r="5115" spans="13:19" ht="13.95" customHeight="1">
      <c r="M5115"/>
      <c r="N5115"/>
      <c r="O5115"/>
      <c r="P5115"/>
      <c r="Q5115"/>
      <c r="R5115"/>
      <c r="S5115"/>
    </row>
    <row r="5116" spans="13:19" ht="13.95" customHeight="1">
      <c r="M5116"/>
      <c r="N5116"/>
      <c r="O5116"/>
      <c r="P5116"/>
      <c r="Q5116"/>
      <c r="R5116"/>
      <c r="S5116"/>
    </row>
    <row r="5117" spans="13:19" ht="13.95" customHeight="1">
      <c r="M5117"/>
      <c r="N5117"/>
      <c r="O5117"/>
      <c r="P5117"/>
      <c r="Q5117"/>
      <c r="R5117"/>
      <c r="S5117"/>
    </row>
    <row r="5118" spans="13:19" ht="13.95" customHeight="1">
      <c r="M5118"/>
      <c r="N5118"/>
      <c r="O5118"/>
      <c r="P5118"/>
      <c r="Q5118"/>
      <c r="R5118"/>
      <c r="S5118"/>
    </row>
    <row r="5119" spans="13:19" ht="13.95" customHeight="1">
      <c r="M5119"/>
      <c r="N5119"/>
      <c r="O5119"/>
      <c r="P5119"/>
      <c r="Q5119"/>
      <c r="R5119"/>
      <c r="S5119"/>
    </row>
    <row r="5120" spans="13:19" ht="13.95" customHeight="1">
      <c r="M5120"/>
      <c r="N5120"/>
      <c r="O5120"/>
      <c r="P5120"/>
      <c r="Q5120"/>
      <c r="R5120"/>
      <c r="S5120"/>
    </row>
    <row r="5121" spans="13:19" ht="13.95" customHeight="1">
      <c r="M5121"/>
      <c r="N5121"/>
      <c r="O5121"/>
      <c r="P5121"/>
      <c r="Q5121"/>
      <c r="R5121"/>
      <c r="S5121"/>
    </row>
    <row r="5122" spans="13:19" ht="13.95" customHeight="1">
      <c r="M5122"/>
      <c r="N5122"/>
      <c r="O5122"/>
      <c r="P5122"/>
      <c r="Q5122"/>
      <c r="R5122"/>
      <c r="S5122"/>
    </row>
    <row r="5123" spans="13:19" ht="13.95" customHeight="1">
      <c r="M5123"/>
      <c r="N5123"/>
      <c r="O5123"/>
      <c r="P5123"/>
      <c r="Q5123"/>
      <c r="R5123"/>
      <c r="S5123"/>
    </row>
    <row r="5124" spans="13:19" ht="13.95" customHeight="1">
      <c r="M5124"/>
      <c r="N5124"/>
      <c r="O5124"/>
      <c r="P5124"/>
      <c r="Q5124"/>
      <c r="R5124"/>
      <c r="S5124"/>
    </row>
    <row r="5125" spans="13:19" ht="13.95" customHeight="1">
      <c r="M5125"/>
      <c r="N5125"/>
      <c r="O5125"/>
      <c r="P5125"/>
      <c r="Q5125"/>
      <c r="R5125"/>
      <c r="S5125"/>
    </row>
    <row r="5126" spans="13:19" ht="13.95" customHeight="1">
      <c r="M5126"/>
      <c r="N5126"/>
      <c r="O5126"/>
      <c r="P5126"/>
      <c r="Q5126"/>
      <c r="R5126"/>
      <c r="S5126"/>
    </row>
    <row r="5127" spans="13:19" ht="13.95" customHeight="1">
      <c r="M5127"/>
      <c r="N5127"/>
      <c r="O5127"/>
      <c r="P5127"/>
      <c r="Q5127"/>
      <c r="R5127"/>
      <c r="S5127"/>
    </row>
    <row r="5128" spans="13:19" ht="13.95" customHeight="1">
      <c r="M5128"/>
      <c r="N5128"/>
      <c r="O5128"/>
      <c r="P5128"/>
      <c r="Q5128"/>
      <c r="R5128"/>
      <c r="S5128"/>
    </row>
    <row r="5129" spans="13:19" ht="13.95" customHeight="1">
      <c r="M5129"/>
      <c r="N5129"/>
      <c r="O5129"/>
      <c r="P5129"/>
      <c r="Q5129"/>
      <c r="R5129"/>
      <c r="S5129"/>
    </row>
    <row r="5130" spans="13:19" ht="13.95" customHeight="1">
      <c r="M5130"/>
      <c r="N5130"/>
      <c r="O5130"/>
      <c r="P5130"/>
      <c r="Q5130"/>
      <c r="R5130"/>
      <c r="S5130"/>
    </row>
    <row r="5131" spans="13:19" ht="13.95" customHeight="1">
      <c r="M5131"/>
      <c r="N5131"/>
      <c r="O5131"/>
      <c r="P5131"/>
      <c r="Q5131"/>
      <c r="R5131"/>
      <c r="S5131"/>
    </row>
    <row r="5132" spans="13:19" ht="13.95" customHeight="1">
      <c r="M5132"/>
      <c r="N5132"/>
      <c r="O5132"/>
      <c r="P5132"/>
      <c r="Q5132"/>
      <c r="R5132"/>
      <c r="S5132"/>
    </row>
    <row r="5133" spans="13:19" ht="13.95" customHeight="1">
      <c r="M5133"/>
      <c r="N5133"/>
      <c r="O5133"/>
      <c r="P5133"/>
      <c r="Q5133"/>
      <c r="R5133"/>
      <c r="S5133"/>
    </row>
    <row r="5134" spans="13:19" ht="13.95" customHeight="1">
      <c r="M5134"/>
      <c r="N5134"/>
      <c r="O5134"/>
      <c r="P5134"/>
      <c r="Q5134"/>
      <c r="R5134"/>
      <c r="S5134"/>
    </row>
    <row r="5135" spans="13:19" ht="13.95" customHeight="1">
      <c r="M5135"/>
      <c r="N5135"/>
      <c r="O5135"/>
      <c r="P5135"/>
      <c r="Q5135"/>
      <c r="R5135"/>
      <c r="S5135"/>
    </row>
    <row r="5136" spans="13:19" ht="13.95" customHeight="1">
      <c r="M5136"/>
      <c r="N5136"/>
      <c r="O5136"/>
      <c r="P5136"/>
      <c r="Q5136"/>
      <c r="R5136"/>
      <c r="S5136"/>
    </row>
    <row r="5137" spans="13:19" ht="13.95" customHeight="1">
      <c r="M5137"/>
      <c r="N5137"/>
      <c r="O5137"/>
      <c r="P5137"/>
      <c r="Q5137"/>
      <c r="R5137"/>
      <c r="S5137"/>
    </row>
    <row r="5138" spans="13:19" ht="13.95" customHeight="1">
      <c r="M5138"/>
      <c r="N5138"/>
      <c r="O5138"/>
      <c r="P5138"/>
      <c r="Q5138"/>
      <c r="R5138"/>
      <c r="S5138"/>
    </row>
    <row r="5139" spans="13:19" ht="13.95" customHeight="1">
      <c r="M5139"/>
      <c r="N5139"/>
      <c r="O5139"/>
      <c r="P5139"/>
      <c r="Q5139"/>
      <c r="R5139"/>
      <c r="S5139"/>
    </row>
    <row r="5140" spans="13:19" ht="13.95" customHeight="1">
      <c r="M5140"/>
      <c r="N5140"/>
      <c r="O5140"/>
      <c r="P5140"/>
      <c r="Q5140"/>
      <c r="R5140"/>
      <c r="S5140"/>
    </row>
    <row r="5141" spans="13:19" ht="13.95" customHeight="1">
      <c r="M5141"/>
      <c r="N5141"/>
      <c r="O5141"/>
      <c r="P5141"/>
      <c r="Q5141"/>
      <c r="R5141"/>
      <c r="S5141"/>
    </row>
    <row r="5142" spans="13:19" ht="13.95" customHeight="1">
      <c r="M5142"/>
      <c r="N5142"/>
      <c r="O5142"/>
      <c r="P5142"/>
      <c r="Q5142"/>
      <c r="R5142"/>
      <c r="S5142"/>
    </row>
    <row r="5143" spans="13:19" ht="13.95" customHeight="1">
      <c r="M5143"/>
      <c r="N5143"/>
      <c r="O5143"/>
      <c r="P5143"/>
      <c r="Q5143"/>
      <c r="R5143"/>
      <c r="S5143"/>
    </row>
    <row r="5144" spans="13:19" ht="13.95" customHeight="1">
      <c r="M5144"/>
      <c r="N5144"/>
      <c r="O5144"/>
      <c r="P5144"/>
      <c r="Q5144"/>
      <c r="R5144"/>
      <c r="S5144"/>
    </row>
    <row r="5145" spans="13:19" ht="13.95" customHeight="1">
      <c r="M5145"/>
      <c r="N5145"/>
      <c r="O5145"/>
      <c r="P5145"/>
      <c r="Q5145"/>
      <c r="R5145"/>
      <c r="S5145"/>
    </row>
    <row r="5146" spans="13:19" ht="13.95" customHeight="1">
      <c r="M5146"/>
      <c r="N5146"/>
      <c r="O5146"/>
      <c r="P5146"/>
      <c r="Q5146"/>
      <c r="R5146"/>
      <c r="S5146"/>
    </row>
    <row r="5147" spans="13:19" ht="13.95" customHeight="1">
      <c r="M5147"/>
      <c r="N5147"/>
      <c r="O5147"/>
      <c r="P5147"/>
      <c r="Q5147"/>
      <c r="R5147"/>
      <c r="S5147"/>
    </row>
    <row r="5148" spans="13:19" ht="13.95" customHeight="1">
      <c r="M5148"/>
      <c r="N5148"/>
      <c r="O5148"/>
      <c r="P5148"/>
      <c r="Q5148"/>
      <c r="R5148"/>
      <c r="S5148"/>
    </row>
    <row r="5149" spans="13:19" ht="13.95" customHeight="1">
      <c r="M5149"/>
      <c r="N5149"/>
      <c r="O5149"/>
      <c r="P5149"/>
      <c r="Q5149"/>
      <c r="R5149"/>
      <c r="S5149"/>
    </row>
    <row r="5150" spans="13:19" ht="13.95" customHeight="1">
      <c r="M5150"/>
      <c r="N5150"/>
      <c r="O5150"/>
      <c r="P5150"/>
      <c r="Q5150"/>
      <c r="R5150"/>
      <c r="S5150"/>
    </row>
    <row r="5151" spans="13:19" ht="13.95" customHeight="1">
      <c r="M5151"/>
      <c r="N5151"/>
      <c r="O5151"/>
      <c r="P5151"/>
      <c r="Q5151"/>
      <c r="R5151"/>
      <c r="S5151"/>
    </row>
    <row r="5152" spans="13:19" ht="13.95" customHeight="1">
      <c r="M5152"/>
      <c r="N5152"/>
      <c r="O5152"/>
      <c r="P5152"/>
      <c r="Q5152"/>
      <c r="R5152"/>
      <c r="S5152"/>
    </row>
    <row r="5153" spans="13:19" ht="13.95" customHeight="1">
      <c r="M5153"/>
      <c r="N5153"/>
      <c r="O5153"/>
      <c r="P5153"/>
      <c r="Q5153"/>
      <c r="R5153"/>
      <c r="S5153"/>
    </row>
    <row r="5154" spans="13:19" ht="13.95" customHeight="1">
      <c r="M5154"/>
      <c r="N5154"/>
      <c r="O5154"/>
      <c r="P5154"/>
      <c r="Q5154"/>
      <c r="R5154"/>
      <c r="S5154"/>
    </row>
    <row r="5155" spans="13:19" ht="13.95" customHeight="1">
      <c r="M5155"/>
      <c r="N5155"/>
      <c r="O5155"/>
      <c r="P5155"/>
      <c r="Q5155"/>
      <c r="R5155"/>
      <c r="S5155"/>
    </row>
    <row r="5156" spans="13:19" ht="13.95" customHeight="1">
      <c r="M5156"/>
      <c r="N5156"/>
      <c r="O5156"/>
      <c r="P5156"/>
      <c r="Q5156"/>
      <c r="R5156"/>
      <c r="S5156"/>
    </row>
    <row r="5157" spans="13:19" ht="13.95" customHeight="1">
      <c r="M5157"/>
      <c r="N5157"/>
      <c r="O5157"/>
      <c r="P5157"/>
      <c r="Q5157"/>
      <c r="R5157"/>
      <c r="S5157"/>
    </row>
    <row r="5158" spans="13:19" ht="13.95" customHeight="1">
      <c r="M5158"/>
      <c r="N5158"/>
      <c r="O5158"/>
      <c r="P5158"/>
      <c r="Q5158"/>
      <c r="R5158"/>
      <c r="S5158"/>
    </row>
    <row r="5159" spans="13:19" ht="13.95" customHeight="1">
      <c r="M5159"/>
      <c r="N5159"/>
      <c r="O5159"/>
      <c r="P5159"/>
      <c r="Q5159"/>
      <c r="R5159"/>
      <c r="S5159"/>
    </row>
    <row r="5160" spans="13:19" ht="13.95" customHeight="1">
      <c r="M5160"/>
      <c r="N5160"/>
      <c r="O5160"/>
      <c r="P5160"/>
      <c r="Q5160"/>
      <c r="R5160"/>
      <c r="S5160"/>
    </row>
    <row r="5161" spans="13:19" ht="13.95" customHeight="1">
      <c r="M5161"/>
      <c r="N5161"/>
      <c r="O5161"/>
      <c r="P5161"/>
      <c r="Q5161"/>
      <c r="R5161"/>
      <c r="S5161"/>
    </row>
    <row r="5162" spans="13:19" ht="13.95" customHeight="1">
      <c r="M5162"/>
      <c r="N5162"/>
      <c r="O5162"/>
      <c r="P5162"/>
      <c r="Q5162"/>
      <c r="R5162"/>
      <c r="S5162"/>
    </row>
    <row r="5163" spans="13:19" ht="13.95" customHeight="1">
      <c r="M5163"/>
      <c r="N5163"/>
      <c r="O5163"/>
      <c r="P5163"/>
      <c r="Q5163"/>
      <c r="R5163"/>
      <c r="S5163"/>
    </row>
    <row r="5164" spans="13:19" ht="13.95" customHeight="1">
      <c r="M5164"/>
      <c r="N5164"/>
      <c r="O5164"/>
      <c r="P5164"/>
      <c r="Q5164"/>
      <c r="R5164"/>
      <c r="S5164"/>
    </row>
    <row r="5165" spans="13:19" ht="13.95" customHeight="1">
      <c r="M5165"/>
      <c r="N5165"/>
      <c r="O5165"/>
      <c r="P5165"/>
      <c r="Q5165"/>
      <c r="R5165"/>
      <c r="S5165"/>
    </row>
    <row r="5166" spans="13:19" ht="13.95" customHeight="1">
      <c r="M5166"/>
      <c r="N5166"/>
      <c r="O5166"/>
      <c r="P5166"/>
      <c r="Q5166"/>
      <c r="R5166"/>
      <c r="S5166"/>
    </row>
    <row r="5167" spans="13:19" ht="13.95" customHeight="1">
      <c r="M5167"/>
      <c r="N5167"/>
      <c r="O5167"/>
      <c r="P5167"/>
      <c r="Q5167"/>
      <c r="R5167"/>
      <c r="S5167"/>
    </row>
    <row r="5168" spans="13:19" ht="13.95" customHeight="1">
      <c r="M5168"/>
      <c r="N5168"/>
      <c r="O5168"/>
      <c r="P5168"/>
      <c r="Q5168"/>
      <c r="R5168"/>
      <c r="S5168"/>
    </row>
    <row r="5169" spans="13:19" ht="13.95" customHeight="1">
      <c r="M5169"/>
      <c r="N5169"/>
      <c r="O5169"/>
      <c r="P5169"/>
      <c r="Q5169"/>
      <c r="R5169"/>
      <c r="S5169"/>
    </row>
    <row r="5170" spans="13:19" ht="13.95" customHeight="1">
      <c r="M5170"/>
      <c r="N5170"/>
      <c r="O5170"/>
      <c r="P5170"/>
      <c r="Q5170"/>
      <c r="R5170"/>
      <c r="S5170"/>
    </row>
    <row r="5171" spans="13:19" ht="13.95" customHeight="1">
      <c r="M5171"/>
      <c r="N5171"/>
      <c r="O5171"/>
      <c r="P5171"/>
      <c r="Q5171"/>
      <c r="R5171"/>
      <c r="S5171"/>
    </row>
    <row r="5172" spans="13:19" ht="13.95" customHeight="1">
      <c r="M5172"/>
      <c r="N5172"/>
      <c r="O5172"/>
      <c r="P5172"/>
      <c r="Q5172"/>
      <c r="R5172"/>
      <c r="S5172"/>
    </row>
    <row r="5173" spans="13:19" ht="13.95" customHeight="1">
      <c r="M5173"/>
      <c r="N5173"/>
      <c r="O5173"/>
      <c r="P5173"/>
      <c r="Q5173"/>
      <c r="R5173"/>
      <c r="S5173"/>
    </row>
    <row r="5174" spans="13:19" ht="13.95" customHeight="1">
      <c r="M5174"/>
      <c r="N5174"/>
      <c r="O5174"/>
      <c r="P5174"/>
      <c r="Q5174"/>
      <c r="R5174"/>
      <c r="S5174"/>
    </row>
    <row r="5175" spans="13:19" ht="13.95" customHeight="1">
      <c r="M5175"/>
      <c r="N5175"/>
      <c r="O5175"/>
      <c r="P5175"/>
      <c r="Q5175"/>
      <c r="R5175"/>
      <c r="S5175"/>
    </row>
    <row r="5176" spans="13:19" ht="13.95" customHeight="1">
      <c r="M5176"/>
      <c r="N5176"/>
      <c r="O5176"/>
      <c r="P5176"/>
      <c r="Q5176"/>
      <c r="R5176"/>
      <c r="S5176"/>
    </row>
    <row r="5177" spans="13:19" ht="13.95" customHeight="1">
      <c r="M5177"/>
      <c r="N5177"/>
      <c r="O5177"/>
      <c r="P5177"/>
      <c r="Q5177"/>
      <c r="R5177"/>
      <c r="S5177"/>
    </row>
    <row r="5178" spans="13:19" ht="13.95" customHeight="1">
      <c r="M5178"/>
      <c r="N5178"/>
      <c r="O5178"/>
      <c r="P5178"/>
      <c r="Q5178"/>
      <c r="R5178"/>
      <c r="S5178"/>
    </row>
    <row r="5179" spans="13:19" ht="13.95" customHeight="1">
      <c r="M5179"/>
      <c r="N5179"/>
      <c r="O5179"/>
      <c r="P5179"/>
      <c r="Q5179"/>
      <c r="R5179"/>
      <c r="S5179"/>
    </row>
    <row r="5180" spans="13:19" ht="13.95" customHeight="1">
      <c r="M5180"/>
      <c r="N5180"/>
      <c r="O5180"/>
      <c r="P5180"/>
      <c r="Q5180"/>
      <c r="R5180"/>
      <c r="S5180"/>
    </row>
    <row r="5181" spans="13:19" ht="13.95" customHeight="1">
      <c r="M5181"/>
      <c r="N5181"/>
      <c r="O5181"/>
      <c r="P5181"/>
      <c r="Q5181"/>
      <c r="R5181"/>
      <c r="S5181"/>
    </row>
    <row r="5182" spans="13:19" ht="13.95" customHeight="1">
      <c r="M5182"/>
      <c r="N5182"/>
      <c r="O5182"/>
      <c r="P5182"/>
      <c r="Q5182"/>
      <c r="R5182"/>
      <c r="S5182"/>
    </row>
    <row r="5183" spans="13:19" ht="13.95" customHeight="1">
      <c r="M5183"/>
      <c r="N5183"/>
      <c r="O5183"/>
      <c r="P5183"/>
      <c r="Q5183"/>
      <c r="R5183"/>
      <c r="S5183"/>
    </row>
    <row r="5184" spans="13:19" ht="13.95" customHeight="1">
      <c r="M5184"/>
      <c r="N5184"/>
      <c r="O5184"/>
      <c r="P5184"/>
      <c r="Q5184"/>
      <c r="R5184"/>
      <c r="S5184"/>
    </row>
    <row r="5185" spans="13:19" ht="13.95" customHeight="1">
      <c r="M5185"/>
      <c r="N5185"/>
      <c r="O5185"/>
      <c r="P5185"/>
      <c r="Q5185"/>
      <c r="R5185"/>
      <c r="S5185"/>
    </row>
    <row r="5186" spans="13:19" ht="13.95" customHeight="1">
      <c r="M5186"/>
      <c r="N5186"/>
      <c r="O5186"/>
      <c r="P5186"/>
      <c r="Q5186"/>
      <c r="R5186"/>
      <c r="S5186"/>
    </row>
    <row r="5187" spans="13:19" ht="13.95" customHeight="1">
      <c r="M5187"/>
      <c r="N5187"/>
      <c r="O5187"/>
      <c r="P5187"/>
      <c r="Q5187"/>
      <c r="R5187"/>
      <c r="S5187"/>
    </row>
    <row r="5188" spans="13:19" ht="13.95" customHeight="1">
      <c r="M5188"/>
      <c r="N5188"/>
      <c r="O5188"/>
      <c r="P5188"/>
      <c r="Q5188"/>
      <c r="R5188"/>
      <c r="S5188"/>
    </row>
    <row r="5189" spans="13:19" ht="13.95" customHeight="1">
      <c r="M5189"/>
      <c r="N5189"/>
      <c r="O5189"/>
      <c r="P5189"/>
      <c r="Q5189"/>
      <c r="R5189"/>
      <c r="S5189"/>
    </row>
    <row r="5190" spans="13:19" ht="13.95" customHeight="1">
      <c r="M5190"/>
      <c r="N5190"/>
      <c r="O5190"/>
      <c r="P5190"/>
      <c r="Q5190"/>
      <c r="R5190"/>
      <c r="S5190"/>
    </row>
    <row r="5191" spans="13:19" ht="13.95" customHeight="1">
      <c r="M5191"/>
      <c r="N5191"/>
      <c r="O5191"/>
      <c r="P5191"/>
      <c r="Q5191"/>
      <c r="R5191"/>
      <c r="S5191"/>
    </row>
    <row r="5192" spans="13:19" ht="13.95" customHeight="1">
      <c r="M5192"/>
      <c r="N5192"/>
      <c r="O5192"/>
      <c r="P5192"/>
      <c r="Q5192"/>
      <c r="R5192"/>
      <c r="S5192"/>
    </row>
    <row r="5193" spans="13:19" ht="13.95" customHeight="1">
      <c r="M5193"/>
      <c r="N5193"/>
      <c r="O5193"/>
      <c r="P5193"/>
      <c r="Q5193"/>
      <c r="R5193"/>
      <c r="S5193"/>
    </row>
    <row r="5194" spans="13:19" ht="13.95" customHeight="1">
      <c r="M5194"/>
      <c r="N5194"/>
      <c r="O5194"/>
      <c r="P5194"/>
      <c r="Q5194"/>
      <c r="R5194"/>
      <c r="S5194"/>
    </row>
    <row r="5195" spans="13:19" ht="13.95" customHeight="1">
      <c r="M5195"/>
      <c r="N5195"/>
      <c r="O5195"/>
      <c r="P5195"/>
      <c r="Q5195"/>
      <c r="R5195"/>
      <c r="S5195"/>
    </row>
    <row r="5196" spans="13:19" ht="13.95" customHeight="1">
      <c r="M5196"/>
      <c r="N5196"/>
      <c r="O5196"/>
      <c r="P5196"/>
      <c r="Q5196"/>
      <c r="R5196"/>
      <c r="S5196"/>
    </row>
    <row r="5197" spans="13:19" ht="13.95" customHeight="1">
      <c r="M5197"/>
      <c r="N5197"/>
      <c r="O5197"/>
      <c r="P5197"/>
      <c r="Q5197"/>
      <c r="R5197"/>
      <c r="S5197"/>
    </row>
    <row r="5198" spans="13:19" ht="13.95" customHeight="1">
      <c r="M5198"/>
      <c r="N5198"/>
      <c r="O5198"/>
      <c r="P5198"/>
      <c r="Q5198"/>
      <c r="R5198"/>
      <c r="S5198"/>
    </row>
    <row r="5199" spans="13:19" ht="13.95" customHeight="1">
      <c r="M5199"/>
      <c r="N5199"/>
      <c r="O5199"/>
      <c r="P5199"/>
      <c r="Q5199"/>
      <c r="R5199"/>
      <c r="S5199"/>
    </row>
    <row r="5200" spans="13:19" ht="13.95" customHeight="1">
      <c r="M5200"/>
      <c r="N5200"/>
      <c r="O5200"/>
      <c r="P5200"/>
      <c r="Q5200"/>
      <c r="R5200"/>
      <c r="S5200"/>
    </row>
    <row r="5201" spans="13:19" ht="13.95" customHeight="1">
      <c r="M5201"/>
      <c r="N5201"/>
      <c r="O5201"/>
      <c r="P5201"/>
      <c r="Q5201"/>
      <c r="R5201"/>
      <c r="S5201"/>
    </row>
    <row r="5202" spans="13:19" ht="13.95" customHeight="1">
      <c r="M5202"/>
      <c r="N5202"/>
      <c r="O5202"/>
      <c r="P5202"/>
      <c r="Q5202"/>
      <c r="R5202"/>
      <c r="S5202"/>
    </row>
    <row r="5203" spans="13:19" ht="13.95" customHeight="1">
      <c r="M5203"/>
      <c r="N5203"/>
      <c r="O5203"/>
      <c r="P5203"/>
      <c r="Q5203"/>
      <c r="R5203"/>
      <c r="S5203"/>
    </row>
    <row r="5204" spans="13:19" ht="13.95" customHeight="1">
      <c r="M5204"/>
      <c r="N5204"/>
      <c r="O5204"/>
      <c r="P5204"/>
      <c r="Q5204"/>
      <c r="R5204"/>
      <c r="S5204"/>
    </row>
    <row r="5205" spans="13:19" ht="13.95" customHeight="1">
      <c r="M5205"/>
      <c r="N5205"/>
      <c r="O5205"/>
      <c r="P5205"/>
      <c r="Q5205"/>
      <c r="R5205"/>
      <c r="S5205"/>
    </row>
    <row r="5206" spans="13:19" ht="13.95" customHeight="1">
      <c r="M5206"/>
      <c r="N5206"/>
      <c r="O5206"/>
      <c r="P5206"/>
      <c r="Q5206"/>
      <c r="R5206"/>
      <c r="S5206"/>
    </row>
    <row r="5207" spans="13:19" ht="13.95" customHeight="1">
      <c r="M5207"/>
      <c r="N5207"/>
      <c r="O5207"/>
      <c r="P5207"/>
      <c r="Q5207"/>
      <c r="R5207"/>
      <c r="S5207"/>
    </row>
    <row r="5208" spans="13:19" ht="13.95" customHeight="1">
      <c r="M5208"/>
      <c r="N5208"/>
      <c r="O5208"/>
      <c r="P5208"/>
      <c r="Q5208"/>
      <c r="R5208"/>
      <c r="S5208"/>
    </row>
    <row r="5209" spans="13:19" ht="13.95" customHeight="1">
      <c r="M5209"/>
      <c r="N5209"/>
      <c r="O5209"/>
      <c r="P5209"/>
      <c r="Q5209"/>
      <c r="R5209"/>
      <c r="S5209"/>
    </row>
    <row r="5210" spans="13:19" ht="13.95" customHeight="1">
      <c r="M5210"/>
      <c r="N5210"/>
      <c r="O5210"/>
      <c r="P5210"/>
      <c r="Q5210"/>
      <c r="R5210"/>
      <c r="S5210"/>
    </row>
    <row r="5211" spans="13:19" ht="13.95" customHeight="1">
      <c r="M5211"/>
      <c r="N5211"/>
      <c r="O5211"/>
      <c r="P5211"/>
      <c r="Q5211"/>
      <c r="R5211"/>
      <c r="S5211"/>
    </row>
    <row r="5212" spans="13:19" ht="13.95" customHeight="1">
      <c r="M5212"/>
      <c r="N5212"/>
      <c r="O5212"/>
      <c r="P5212"/>
      <c r="Q5212"/>
      <c r="R5212"/>
      <c r="S5212"/>
    </row>
    <row r="5213" spans="13:19" ht="13.95" customHeight="1">
      <c r="M5213"/>
      <c r="N5213"/>
      <c r="O5213"/>
      <c r="P5213"/>
      <c r="Q5213"/>
      <c r="R5213"/>
      <c r="S5213"/>
    </row>
    <row r="5214" spans="13:19" ht="13.95" customHeight="1">
      <c r="M5214"/>
      <c r="N5214"/>
      <c r="O5214"/>
      <c r="P5214"/>
      <c r="Q5214"/>
      <c r="R5214"/>
      <c r="S5214"/>
    </row>
    <row r="5215" spans="13:19" ht="13.95" customHeight="1">
      <c r="M5215"/>
      <c r="N5215"/>
      <c r="O5215"/>
      <c r="P5215"/>
      <c r="Q5215"/>
      <c r="R5215"/>
      <c r="S5215"/>
    </row>
    <row r="5216" spans="13:19" ht="13.95" customHeight="1">
      <c r="M5216"/>
      <c r="N5216"/>
      <c r="O5216"/>
      <c r="P5216"/>
      <c r="Q5216"/>
      <c r="R5216"/>
      <c r="S5216"/>
    </row>
    <row r="5217" spans="13:19" ht="13.95" customHeight="1">
      <c r="M5217"/>
      <c r="N5217"/>
      <c r="O5217"/>
      <c r="P5217"/>
      <c r="Q5217"/>
      <c r="R5217"/>
      <c r="S5217"/>
    </row>
    <row r="5218" spans="13:19" ht="13.95" customHeight="1">
      <c r="M5218"/>
      <c r="N5218"/>
      <c r="O5218"/>
      <c r="P5218"/>
      <c r="Q5218"/>
      <c r="R5218"/>
      <c r="S5218"/>
    </row>
    <row r="5219" spans="13:19" ht="13.95" customHeight="1">
      <c r="M5219"/>
      <c r="N5219"/>
      <c r="O5219"/>
      <c r="P5219"/>
      <c r="Q5219"/>
      <c r="R5219"/>
      <c r="S5219"/>
    </row>
    <row r="5220" spans="13:19" ht="13.95" customHeight="1">
      <c r="M5220"/>
      <c r="N5220"/>
      <c r="O5220"/>
      <c r="P5220"/>
      <c r="Q5220"/>
      <c r="R5220"/>
      <c r="S5220"/>
    </row>
    <row r="5221" spans="13:19" ht="13.95" customHeight="1">
      <c r="M5221"/>
      <c r="N5221"/>
      <c r="O5221"/>
      <c r="P5221"/>
      <c r="Q5221"/>
      <c r="R5221"/>
      <c r="S5221"/>
    </row>
    <row r="5222" spans="13:19" ht="13.95" customHeight="1">
      <c r="M5222"/>
      <c r="N5222"/>
      <c r="O5222"/>
      <c r="P5222"/>
      <c r="Q5222"/>
      <c r="R5222"/>
      <c r="S5222"/>
    </row>
    <row r="5223" spans="13:19" ht="13.95" customHeight="1">
      <c r="M5223"/>
      <c r="N5223"/>
      <c r="O5223"/>
      <c r="P5223"/>
      <c r="Q5223"/>
      <c r="R5223"/>
      <c r="S5223"/>
    </row>
    <row r="5224" spans="13:19" ht="13.95" customHeight="1">
      <c r="M5224"/>
      <c r="N5224"/>
      <c r="O5224"/>
      <c r="P5224"/>
      <c r="Q5224"/>
      <c r="R5224"/>
      <c r="S5224"/>
    </row>
    <row r="5225" spans="13:19" ht="13.95" customHeight="1">
      <c r="M5225"/>
      <c r="N5225"/>
      <c r="O5225"/>
      <c r="P5225"/>
      <c r="Q5225"/>
      <c r="R5225"/>
      <c r="S5225"/>
    </row>
    <row r="5226" spans="13:19" ht="13.95" customHeight="1">
      <c r="M5226"/>
      <c r="N5226"/>
      <c r="O5226"/>
      <c r="P5226"/>
      <c r="Q5226"/>
      <c r="R5226"/>
      <c r="S5226"/>
    </row>
    <row r="5227" spans="13:19" ht="13.95" customHeight="1">
      <c r="M5227"/>
      <c r="N5227"/>
      <c r="O5227"/>
      <c r="P5227"/>
      <c r="Q5227"/>
      <c r="R5227"/>
      <c r="S5227"/>
    </row>
    <row r="5228" spans="13:19" ht="13.95" customHeight="1">
      <c r="M5228"/>
      <c r="N5228"/>
      <c r="O5228"/>
      <c r="P5228"/>
      <c r="Q5228"/>
      <c r="R5228"/>
      <c r="S5228"/>
    </row>
    <row r="5229" spans="13:19" ht="13.95" customHeight="1">
      <c r="M5229"/>
      <c r="N5229"/>
      <c r="O5229"/>
      <c r="P5229"/>
      <c r="Q5229"/>
      <c r="R5229"/>
      <c r="S5229"/>
    </row>
    <row r="5230" spans="13:19" ht="13.95" customHeight="1">
      <c r="M5230"/>
      <c r="N5230"/>
      <c r="O5230"/>
      <c r="P5230"/>
      <c r="Q5230"/>
      <c r="R5230"/>
      <c r="S5230"/>
    </row>
    <row r="5231" spans="13:19" ht="13.95" customHeight="1">
      <c r="M5231"/>
      <c r="N5231"/>
      <c r="O5231"/>
      <c r="P5231"/>
      <c r="Q5231"/>
      <c r="R5231"/>
      <c r="S5231"/>
    </row>
    <row r="5232" spans="13:19" ht="13.95" customHeight="1">
      <c r="M5232"/>
      <c r="N5232"/>
      <c r="O5232"/>
      <c r="P5232"/>
      <c r="Q5232"/>
      <c r="R5232"/>
      <c r="S5232"/>
    </row>
    <row r="5233" spans="13:19" ht="13.95" customHeight="1">
      <c r="M5233"/>
      <c r="N5233"/>
      <c r="O5233"/>
      <c r="P5233"/>
      <c r="Q5233"/>
      <c r="R5233"/>
      <c r="S5233"/>
    </row>
    <row r="5234" spans="13:19" ht="13.95" customHeight="1">
      <c r="M5234"/>
      <c r="N5234"/>
      <c r="O5234"/>
      <c r="P5234"/>
      <c r="Q5234"/>
      <c r="R5234"/>
      <c r="S5234"/>
    </row>
    <row r="5235" spans="13:19" ht="13.95" customHeight="1">
      <c r="M5235"/>
      <c r="N5235"/>
      <c r="O5235"/>
      <c r="P5235"/>
      <c r="Q5235"/>
      <c r="R5235"/>
      <c r="S5235"/>
    </row>
    <row r="5236" spans="13:19" ht="13.95" customHeight="1">
      <c r="M5236"/>
      <c r="N5236"/>
      <c r="O5236"/>
      <c r="P5236"/>
      <c r="Q5236"/>
      <c r="R5236"/>
      <c r="S5236"/>
    </row>
    <row r="5237" spans="13:19" ht="13.95" customHeight="1">
      <c r="M5237"/>
      <c r="N5237"/>
      <c r="O5237"/>
      <c r="P5237"/>
      <c r="Q5237"/>
      <c r="R5237"/>
      <c r="S5237"/>
    </row>
    <row r="5238" spans="13:19" ht="13.95" customHeight="1">
      <c r="M5238"/>
      <c r="N5238"/>
      <c r="O5238"/>
      <c r="P5238"/>
      <c r="Q5238"/>
      <c r="R5238"/>
      <c r="S5238"/>
    </row>
    <row r="5239" spans="13:19" ht="13.95" customHeight="1">
      <c r="M5239"/>
      <c r="N5239"/>
      <c r="O5239"/>
      <c r="P5239"/>
      <c r="Q5239"/>
      <c r="R5239"/>
      <c r="S5239"/>
    </row>
    <row r="5240" spans="13:19" ht="13.95" customHeight="1">
      <c r="M5240"/>
      <c r="N5240"/>
      <c r="O5240"/>
      <c r="P5240"/>
      <c r="Q5240"/>
      <c r="R5240"/>
      <c r="S5240"/>
    </row>
    <row r="5241" spans="13:19" ht="13.95" customHeight="1">
      <c r="M5241"/>
      <c r="N5241"/>
      <c r="O5241"/>
      <c r="P5241"/>
      <c r="Q5241"/>
      <c r="R5241"/>
      <c r="S5241"/>
    </row>
    <row r="5242" spans="13:19" ht="13.95" customHeight="1">
      <c r="M5242"/>
      <c r="N5242"/>
      <c r="O5242"/>
      <c r="P5242"/>
      <c r="Q5242"/>
      <c r="R5242"/>
      <c r="S5242"/>
    </row>
    <row r="5243" spans="13:19" ht="13.95" customHeight="1">
      <c r="M5243"/>
      <c r="N5243"/>
      <c r="O5243"/>
      <c r="P5243"/>
      <c r="Q5243"/>
      <c r="R5243"/>
      <c r="S5243"/>
    </row>
    <row r="5244" spans="13:19" ht="13.95" customHeight="1">
      <c r="M5244"/>
      <c r="N5244"/>
      <c r="O5244"/>
      <c r="P5244"/>
      <c r="Q5244"/>
      <c r="R5244"/>
      <c r="S5244"/>
    </row>
    <row r="5245" spans="13:19" ht="13.95" customHeight="1">
      <c r="M5245"/>
      <c r="N5245"/>
      <c r="O5245"/>
      <c r="P5245"/>
      <c r="Q5245"/>
      <c r="R5245"/>
      <c r="S5245"/>
    </row>
    <row r="5246" spans="13:19" ht="13.95" customHeight="1">
      <c r="M5246"/>
      <c r="N5246"/>
      <c r="O5246"/>
      <c r="P5246"/>
      <c r="Q5246"/>
      <c r="R5246"/>
      <c r="S5246"/>
    </row>
    <row r="5247" spans="13:19" ht="13.95" customHeight="1">
      <c r="M5247"/>
      <c r="N5247"/>
      <c r="O5247"/>
      <c r="P5247"/>
      <c r="Q5247"/>
      <c r="R5247"/>
      <c r="S5247"/>
    </row>
    <row r="5248" spans="13:19" ht="13.95" customHeight="1">
      <c r="M5248"/>
      <c r="N5248"/>
      <c r="O5248"/>
      <c r="P5248"/>
      <c r="Q5248"/>
      <c r="R5248"/>
      <c r="S5248"/>
    </row>
    <row r="5249" spans="13:19" ht="13.95" customHeight="1">
      <c r="M5249"/>
      <c r="N5249"/>
      <c r="O5249"/>
      <c r="P5249"/>
      <c r="Q5249"/>
      <c r="R5249"/>
      <c r="S5249"/>
    </row>
    <row r="5250" spans="13:19" ht="13.95" customHeight="1">
      <c r="M5250"/>
      <c r="N5250"/>
      <c r="O5250"/>
      <c r="P5250"/>
      <c r="Q5250"/>
      <c r="R5250"/>
      <c r="S5250"/>
    </row>
    <row r="5251" spans="13:19" ht="13.95" customHeight="1">
      <c r="M5251"/>
      <c r="N5251"/>
      <c r="O5251"/>
      <c r="P5251"/>
      <c r="Q5251"/>
      <c r="R5251"/>
      <c r="S5251"/>
    </row>
    <row r="5252" spans="13:19" ht="13.95" customHeight="1">
      <c r="M5252"/>
      <c r="N5252"/>
      <c r="O5252"/>
      <c r="P5252"/>
      <c r="Q5252"/>
      <c r="R5252"/>
      <c r="S5252"/>
    </row>
    <row r="5253" spans="13:19" ht="13.95" customHeight="1">
      <c r="M5253"/>
      <c r="N5253"/>
      <c r="O5253"/>
      <c r="P5253"/>
      <c r="Q5253"/>
      <c r="R5253"/>
      <c r="S5253"/>
    </row>
    <row r="5254" spans="13:19" ht="13.95" customHeight="1">
      <c r="M5254"/>
      <c r="N5254"/>
      <c r="O5254"/>
      <c r="P5254"/>
      <c r="Q5254"/>
      <c r="R5254"/>
      <c r="S5254"/>
    </row>
    <row r="5255" spans="13:19" ht="13.95" customHeight="1">
      <c r="M5255"/>
      <c r="N5255"/>
      <c r="O5255"/>
      <c r="P5255"/>
      <c r="Q5255"/>
      <c r="R5255"/>
      <c r="S5255"/>
    </row>
    <row r="5256" spans="13:19" ht="13.95" customHeight="1">
      <c r="M5256"/>
      <c r="N5256"/>
      <c r="O5256"/>
      <c r="P5256"/>
      <c r="Q5256"/>
      <c r="R5256"/>
      <c r="S5256"/>
    </row>
    <row r="5257" spans="13:19" ht="13.95" customHeight="1">
      <c r="M5257"/>
      <c r="N5257"/>
      <c r="O5257"/>
      <c r="P5257"/>
      <c r="Q5257"/>
      <c r="R5257"/>
      <c r="S5257"/>
    </row>
    <row r="5258" spans="13:19" ht="13.95" customHeight="1">
      <c r="M5258"/>
      <c r="N5258"/>
      <c r="O5258"/>
      <c r="P5258"/>
      <c r="Q5258"/>
      <c r="R5258"/>
      <c r="S5258"/>
    </row>
    <row r="5259" spans="13:19" ht="13.95" customHeight="1">
      <c r="M5259"/>
      <c r="N5259"/>
      <c r="O5259"/>
      <c r="P5259"/>
      <c r="Q5259"/>
      <c r="R5259"/>
      <c r="S5259"/>
    </row>
    <row r="5260" spans="13:19" ht="13.95" customHeight="1">
      <c r="M5260"/>
      <c r="N5260"/>
      <c r="O5260"/>
      <c r="P5260"/>
      <c r="Q5260"/>
      <c r="R5260"/>
      <c r="S5260"/>
    </row>
    <row r="5261" spans="13:19" ht="13.95" customHeight="1">
      <c r="M5261"/>
      <c r="N5261"/>
      <c r="O5261"/>
      <c r="P5261"/>
      <c r="Q5261"/>
      <c r="R5261"/>
      <c r="S5261"/>
    </row>
    <row r="5262" spans="13:19" ht="13.95" customHeight="1">
      <c r="M5262"/>
      <c r="N5262"/>
      <c r="O5262"/>
      <c r="P5262"/>
      <c r="Q5262"/>
      <c r="R5262"/>
      <c r="S5262"/>
    </row>
    <row r="5263" spans="13:19" ht="13.95" customHeight="1">
      <c r="M5263"/>
      <c r="N5263"/>
      <c r="O5263"/>
      <c r="P5263"/>
      <c r="Q5263"/>
      <c r="R5263"/>
      <c r="S5263"/>
    </row>
    <row r="5264" spans="13:19" ht="13.95" customHeight="1">
      <c r="M5264"/>
      <c r="N5264"/>
      <c r="O5264"/>
      <c r="P5264"/>
      <c r="Q5264"/>
      <c r="R5264"/>
      <c r="S5264"/>
    </row>
    <row r="5265" spans="13:19" ht="13.95" customHeight="1">
      <c r="M5265"/>
      <c r="N5265"/>
      <c r="O5265"/>
      <c r="P5265"/>
      <c r="Q5265"/>
      <c r="R5265"/>
      <c r="S5265"/>
    </row>
    <row r="5266" spans="13:19" ht="13.95" customHeight="1">
      <c r="M5266"/>
      <c r="N5266"/>
      <c r="O5266"/>
      <c r="P5266"/>
      <c r="Q5266"/>
      <c r="R5266"/>
      <c r="S5266"/>
    </row>
    <row r="5267" spans="13:19" ht="13.95" customHeight="1">
      <c r="M5267"/>
      <c r="N5267"/>
      <c r="O5267"/>
      <c r="P5267"/>
      <c r="Q5267"/>
      <c r="R5267"/>
      <c r="S5267"/>
    </row>
    <row r="5268" spans="13:19" ht="13.95" customHeight="1">
      <c r="M5268"/>
      <c r="N5268"/>
      <c r="O5268"/>
      <c r="P5268"/>
      <c r="Q5268"/>
      <c r="R5268"/>
      <c r="S5268"/>
    </row>
    <row r="5269" spans="13:19" ht="13.95" customHeight="1">
      <c r="M5269"/>
      <c r="N5269"/>
      <c r="O5269"/>
      <c r="P5269"/>
      <c r="Q5269"/>
      <c r="R5269"/>
      <c r="S5269"/>
    </row>
    <row r="5270" spans="13:19" ht="13.95" customHeight="1">
      <c r="M5270"/>
      <c r="N5270"/>
      <c r="O5270"/>
      <c r="P5270"/>
      <c r="Q5270"/>
      <c r="R5270"/>
      <c r="S5270"/>
    </row>
    <row r="5271" spans="13:19" ht="13.95" customHeight="1">
      <c r="M5271"/>
      <c r="N5271"/>
      <c r="O5271"/>
      <c r="P5271"/>
      <c r="Q5271"/>
      <c r="R5271"/>
      <c r="S5271"/>
    </row>
    <row r="5272" spans="13:19" ht="13.95" customHeight="1">
      <c r="M5272"/>
      <c r="N5272"/>
      <c r="O5272"/>
      <c r="P5272"/>
      <c r="Q5272"/>
      <c r="R5272"/>
      <c r="S5272"/>
    </row>
    <row r="5273" spans="13:19" ht="13.95" customHeight="1">
      <c r="M5273"/>
      <c r="N5273"/>
      <c r="O5273"/>
      <c r="P5273"/>
      <c r="Q5273"/>
      <c r="R5273"/>
      <c r="S5273"/>
    </row>
    <row r="5274" spans="13:19" ht="13.95" customHeight="1">
      <c r="M5274"/>
      <c r="N5274"/>
      <c r="O5274"/>
      <c r="P5274"/>
      <c r="Q5274"/>
      <c r="R5274"/>
      <c r="S5274"/>
    </row>
    <row r="5275" spans="13:19" ht="13.95" customHeight="1">
      <c r="M5275"/>
      <c r="N5275"/>
      <c r="O5275"/>
      <c r="P5275"/>
      <c r="Q5275"/>
      <c r="R5275"/>
      <c r="S5275"/>
    </row>
    <row r="5276" spans="13:19" ht="13.95" customHeight="1">
      <c r="M5276"/>
      <c r="N5276"/>
      <c r="O5276"/>
      <c r="P5276"/>
      <c r="Q5276"/>
      <c r="R5276"/>
      <c r="S5276"/>
    </row>
    <row r="5277" spans="13:19" ht="13.95" customHeight="1">
      <c r="M5277"/>
      <c r="N5277"/>
      <c r="O5277"/>
      <c r="P5277"/>
      <c r="Q5277"/>
      <c r="R5277"/>
      <c r="S5277"/>
    </row>
    <row r="5278" spans="13:19" ht="13.95" customHeight="1">
      <c r="M5278"/>
      <c r="N5278"/>
      <c r="O5278"/>
      <c r="P5278"/>
      <c r="Q5278"/>
      <c r="R5278"/>
      <c r="S5278"/>
    </row>
    <row r="5279" spans="13:19" ht="13.95" customHeight="1">
      <c r="M5279"/>
      <c r="N5279"/>
      <c r="O5279"/>
      <c r="P5279"/>
      <c r="Q5279"/>
      <c r="R5279"/>
      <c r="S5279"/>
    </row>
    <row r="5280" spans="13:19" ht="13.95" customHeight="1">
      <c r="M5280"/>
      <c r="N5280"/>
      <c r="O5280"/>
      <c r="P5280"/>
      <c r="Q5280"/>
      <c r="R5280"/>
      <c r="S5280"/>
    </row>
    <row r="5281" spans="13:19" ht="13.95" customHeight="1">
      <c r="M5281"/>
      <c r="N5281"/>
      <c r="O5281"/>
      <c r="P5281"/>
      <c r="Q5281"/>
      <c r="R5281"/>
      <c r="S5281"/>
    </row>
    <row r="5282" spans="13:19" ht="13.95" customHeight="1">
      <c r="M5282"/>
      <c r="N5282"/>
      <c r="O5282"/>
      <c r="P5282"/>
      <c r="Q5282"/>
      <c r="R5282"/>
      <c r="S5282"/>
    </row>
    <row r="5283" spans="13:19" ht="13.95" customHeight="1">
      <c r="M5283"/>
      <c r="N5283"/>
      <c r="O5283"/>
      <c r="P5283"/>
      <c r="Q5283"/>
      <c r="R5283"/>
      <c r="S5283"/>
    </row>
    <row r="5284" spans="13:19" ht="13.95" customHeight="1">
      <c r="M5284"/>
      <c r="N5284"/>
      <c r="O5284"/>
      <c r="P5284"/>
      <c r="Q5284"/>
      <c r="R5284"/>
      <c r="S5284"/>
    </row>
    <row r="5285" spans="13:19" ht="13.95" customHeight="1">
      <c r="M5285"/>
      <c r="N5285"/>
      <c r="O5285"/>
      <c r="P5285"/>
      <c r="Q5285"/>
      <c r="R5285"/>
      <c r="S5285"/>
    </row>
    <row r="5286" spans="13:19" ht="13.95" customHeight="1">
      <c r="M5286"/>
      <c r="N5286"/>
      <c r="O5286"/>
      <c r="P5286"/>
      <c r="Q5286"/>
      <c r="R5286"/>
      <c r="S5286"/>
    </row>
    <row r="5287" spans="13:19" ht="13.95" customHeight="1">
      <c r="M5287"/>
      <c r="N5287"/>
      <c r="O5287"/>
      <c r="P5287"/>
      <c r="Q5287"/>
      <c r="R5287"/>
      <c r="S5287"/>
    </row>
    <row r="5288" spans="13:19" ht="13.95" customHeight="1">
      <c r="M5288"/>
      <c r="N5288"/>
      <c r="O5288"/>
      <c r="P5288"/>
      <c r="Q5288"/>
      <c r="R5288"/>
      <c r="S5288"/>
    </row>
    <row r="5289" spans="13:19" ht="13.95" customHeight="1">
      <c r="M5289"/>
      <c r="N5289"/>
      <c r="O5289"/>
      <c r="P5289"/>
      <c r="Q5289"/>
      <c r="R5289"/>
      <c r="S5289"/>
    </row>
    <row r="5290" spans="13:19" ht="13.95" customHeight="1">
      <c r="M5290"/>
      <c r="N5290"/>
      <c r="O5290"/>
      <c r="P5290"/>
      <c r="Q5290"/>
      <c r="R5290"/>
      <c r="S5290"/>
    </row>
    <row r="5291" spans="13:19" ht="13.95" customHeight="1">
      <c r="M5291"/>
      <c r="N5291"/>
      <c r="O5291"/>
      <c r="P5291"/>
      <c r="Q5291"/>
      <c r="R5291"/>
      <c r="S5291"/>
    </row>
    <row r="5292" spans="13:19" ht="13.95" customHeight="1">
      <c r="M5292"/>
      <c r="N5292"/>
      <c r="O5292"/>
      <c r="P5292"/>
      <c r="Q5292"/>
      <c r="R5292"/>
      <c r="S5292"/>
    </row>
    <row r="5293" spans="13:19" ht="13.95" customHeight="1">
      <c r="M5293"/>
      <c r="N5293"/>
      <c r="O5293"/>
      <c r="P5293"/>
      <c r="Q5293"/>
      <c r="R5293"/>
      <c r="S5293"/>
    </row>
    <row r="5294" spans="13:19" ht="13.95" customHeight="1">
      <c r="M5294"/>
      <c r="N5294"/>
      <c r="O5294"/>
      <c r="P5294"/>
      <c r="Q5294"/>
      <c r="R5294"/>
      <c r="S5294"/>
    </row>
    <row r="5295" spans="13:19" ht="13.95" customHeight="1">
      <c r="M5295"/>
      <c r="N5295"/>
      <c r="O5295"/>
      <c r="P5295"/>
      <c r="Q5295"/>
      <c r="R5295"/>
      <c r="S5295"/>
    </row>
    <row r="5296" spans="13:19" ht="13.95" customHeight="1">
      <c r="M5296"/>
      <c r="N5296"/>
      <c r="O5296"/>
      <c r="P5296"/>
      <c r="Q5296"/>
      <c r="R5296"/>
      <c r="S5296"/>
    </row>
    <row r="5297" spans="13:19" ht="13.95" customHeight="1">
      <c r="M5297"/>
      <c r="N5297"/>
      <c r="O5297"/>
      <c r="P5297"/>
      <c r="Q5297"/>
      <c r="R5297"/>
      <c r="S5297"/>
    </row>
    <row r="5298" spans="13:19" ht="13.95" customHeight="1">
      <c r="M5298"/>
      <c r="N5298"/>
      <c r="O5298"/>
      <c r="P5298"/>
      <c r="Q5298"/>
      <c r="R5298"/>
      <c r="S5298"/>
    </row>
    <row r="5299" spans="13:19" ht="13.95" customHeight="1">
      <c r="M5299"/>
      <c r="N5299"/>
      <c r="O5299"/>
      <c r="P5299"/>
      <c r="Q5299"/>
      <c r="R5299"/>
      <c r="S5299"/>
    </row>
    <row r="5300" spans="13:19" ht="13.95" customHeight="1">
      <c r="M5300"/>
      <c r="N5300"/>
      <c r="O5300"/>
      <c r="P5300"/>
      <c r="Q5300"/>
      <c r="R5300"/>
      <c r="S5300"/>
    </row>
    <row r="5301" spans="13:19" ht="13.95" customHeight="1">
      <c r="M5301"/>
      <c r="N5301"/>
      <c r="O5301"/>
      <c r="P5301"/>
      <c r="Q5301"/>
      <c r="R5301"/>
      <c r="S5301"/>
    </row>
    <row r="5302" spans="13:19" ht="13.95" customHeight="1">
      <c r="M5302"/>
      <c r="N5302"/>
      <c r="O5302"/>
      <c r="P5302"/>
      <c r="Q5302"/>
      <c r="R5302"/>
      <c r="S5302"/>
    </row>
    <row r="5303" spans="13:19" ht="13.95" customHeight="1">
      <c r="M5303"/>
      <c r="N5303"/>
      <c r="O5303"/>
      <c r="P5303"/>
      <c r="Q5303"/>
      <c r="R5303"/>
      <c r="S5303"/>
    </row>
    <row r="5304" spans="13:19" ht="13.95" customHeight="1">
      <c r="M5304"/>
      <c r="N5304"/>
      <c r="O5304"/>
      <c r="P5304"/>
      <c r="Q5304"/>
      <c r="R5304"/>
      <c r="S5304"/>
    </row>
    <row r="5305" spans="13:19" ht="13.95" customHeight="1">
      <c r="M5305"/>
      <c r="N5305"/>
      <c r="O5305"/>
      <c r="P5305"/>
      <c r="Q5305"/>
      <c r="R5305"/>
      <c r="S5305"/>
    </row>
    <row r="5306" spans="13:19" ht="13.95" customHeight="1">
      <c r="M5306"/>
      <c r="N5306"/>
      <c r="O5306"/>
      <c r="P5306"/>
      <c r="Q5306"/>
      <c r="R5306"/>
      <c r="S5306"/>
    </row>
    <row r="5307" spans="13:19" ht="13.95" customHeight="1">
      <c r="M5307"/>
      <c r="N5307"/>
      <c r="O5307"/>
      <c r="P5307"/>
      <c r="Q5307"/>
      <c r="R5307"/>
      <c r="S5307"/>
    </row>
    <row r="5308" spans="13:19" ht="13.95" customHeight="1">
      <c r="M5308"/>
      <c r="N5308"/>
      <c r="O5308"/>
      <c r="P5308"/>
      <c r="Q5308"/>
      <c r="R5308"/>
      <c r="S5308"/>
    </row>
    <row r="5309" spans="13:19" ht="13.95" customHeight="1">
      <c r="M5309"/>
      <c r="N5309"/>
      <c r="O5309"/>
      <c r="P5309"/>
      <c r="Q5309"/>
      <c r="R5309"/>
      <c r="S5309"/>
    </row>
    <row r="5310" spans="13:19" ht="13.95" customHeight="1">
      <c r="M5310"/>
      <c r="N5310"/>
      <c r="O5310"/>
      <c r="P5310"/>
      <c r="Q5310"/>
      <c r="R5310"/>
      <c r="S5310"/>
    </row>
    <row r="5311" spans="13:19" ht="13.95" customHeight="1">
      <c r="M5311"/>
      <c r="N5311"/>
      <c r="O5311"/>
      <c r="P5311"/>
      <c r="Q5311"/>
      <c r="R5311"/>
      <c r="S5311"/>
    </row>
    <row r="5312" spans="13:19" ht="13.95" customHeight="1">
      <c r="M5312"/>
      <c r="N5312"/>
      <c r="O5312"/>
      <c r="P5312"/>
      <c r="Q5312"/>
      <c r="R5312"/>
      <c r="S5312"/>
    </row>
    <row r="5313" spans="13:19" ht="13.95" customHeight="1">
      <c r="M5313"/>
      <c r="N5313"/>
      <c r="O5313"/>
      <c r="P5313"/>
      <c r="Q5313"/>
      <c r="R5313"/>
      <c r="S5313"/>
    </row>
    <row r="5314" spans="13:19" ht="13.95" customHeight="1">
      <c r="M5314"/>
      <c r="N5314"/>
      <c r="O5314"/>
      <c r="P5314"/>
      <c r="Q5314"/>
      <c r="R5314"/>
      <c r="S5314"/>
    </row>
    <row r="5315" spans="13:19" ht="13.95" customHeight="1">
      <c r="M5315"/>
      <c r="N5315"/>
      <c r="O5315"/>
      <c r="P5315"/>
      <c r="Q5315"/>
      <c r="R5315"/>
      <c r="S5315"/>
    </row>
    <row r="5316" spans="13:19" ht="13.95" customHeight="1">
      <c r="M5316"/>
      <c r="N5316"/>
      <c r="O5316"/>
      <c r="P5316"/>
      <c r="Q5316"/>
      <c r="R5316"/>
      <c r="S5316"/>
    </row>
    <row r="5317" spans="13:19" ht="13.95" customHeight="1">
      <c r="M5317"/>
      <c r="N5317"/>
      <c r="O5317"/>
      <c r="P5317"/>
      <c r="Q5317"/>
      <c r="R5317"/>
      <c r="S5317"/>
    </row>
    <row r="5318" spans="13:19" ht="13.95" customHeight="1">
      <c r="M5318"/>
      <c r="N5318"/>
      <c r="O5318"/>
      <c r="P5318"/>
      <c r="Q5318"/>
      <c r="R5318"/>
      <c r="S5318"/>
    </row>
    <row r="5319" spans="13:19" ht="13.95" customHeight="1">
      <c r="M5319"/>
      <c r="N5319"/>
      <c r="O5319"/>
      <c r="P5319"/>
      <c r="Q5319"/>
      <c r="R5319"/>
      <c r="S5319"/>
    </row>
    <row r="5320" spans="13:19" ht="13.95" customHeight="1">
      <c r="M5320"/>
      <c r="N5320"/>
      <c r="O5320"/>
      <c r="P5320"/>
      <c r="Q5320"/>
      <c r="R5320"/>
      <c r="S5320"/>
    </row>
    <row r="5321" spans="13:19" ht="13.95" customHeight="1">
      <c r="M5321"/>
      <c r="N5321"/>
      <c r="O5321"/>
      <c r="P5321"/>
      <c r="Q5321"/>
      <c r="R5321"/>
      <c r="S5321"/>
    </row>
    <row r="5322" spans="13:19" ht="13.95" customHeight="1">
      <c r="M5322"/>
      <c r="N5322"/>
      <c r="O5322"/>
      <c r="P5322"/>
      <c r="Q5322"/>
      <c r="R5322"/>
      <c r="S5322"/>
    </row>
    <row r="5323" spans="13:19" ht="13.95" customHeight="1">
      <c r="M5323"/>
      <c r="N5323"/>
      <c r="O5323"/>
      <c r="P5323"/>
      <c r="Q5323"/>
      <c r="R5323"/>
      <c r="S5323"/>
    </row>
    <row r="5324" spans="13:19" ht="13.95" customHeight="1">
      <c r="M5324"/>
      <c r="N5324"/>
      <c r="O5324"/>
      <c r="P5324"/>
      <c r="Q5324"/>
      <c r="R5324"/>
      <c r="S5324"/>
    </row>
    <row r="5325" spans="13:19" ht="13.95" customHeight="1">
      <c r="M5325"/>
      <c r="N5325"/>
      <c r="O5325"/>
      <c r="P5325"/>
      <c r="Q5325"/>
      <c r="R5325"/>
      <c r="S5325"/>
    </row>
    <row r="5326" spans="13:19" ht="13.95" customHeight="1">
      <c r="M5326"/>
      <c r="N5326"/>
      <c r="O5326"/>
      <c r="P5326"/>
      <c r="Q5326"/>
      <c r="R5326"/>
      <c r="S5326"/>
    </row>
    <row r="5327" spans="13:19" ht="13.95" customHeight="1">
      <c r="M5327"/>
      <c r="N5327"/>
      <c r="O5327"/>
      <c r="P5327"/>
      <c r="Q5327"/>
      <c r="R5327"/>
      <c r="S5327"/>
    </row>
    <row r="5328" spans="13:19" ht="13.95" customHeight="1">
      <c r="M5328"/>
      <c r="N5328"/>
      <c r="O5328"/>
      <c r="P5328"/>
      <c r="Q5328"/>
      <c r="R5328"/>
      <c r="S5328"/>
    </row>
    <row r="5329" spans="13:19" ht="13.95" customHeight="1">
      <c r="M5329"/>
      <c r="N5329"/>
      <c r="O5329"/>
      <c r="P5329"/>
      <c r="Q5329"/>
      <c r="R5329"/>
      <c r="S5329"/>
    </row>
    <row r="5330" spans="13:19" ht="13.95" customHeight="1">
      <c r="M5330"/>
      <c r="N5330"/>
      <c r="O5330"/>
      <c r="P5330"/>
      <c r="Q5330"/>
      <c r="R5330"/>
      <c r="S5330"/>
    </row>
    <row r="5331" spans="13:19" ht="13.95" customHeight="1">
      <c r="M5331"/>
      <c r="N5331"/>
      <c r="O5331"/>
      <c r="P5331"/>
      <c r="Q5331"/>
      <c r="R5331"/>
      <c r="S5331"/>
    </row>
    <row r="5332" spans="13:19" ht="13.95" customHeight="1">
      <c r="M5332"/>
      <c r="N5332"/>
      <c r="O5332"/>
      <c r="P5332"/>
      <c r="Q5332"/>
      <c r="R5332"/>
      <c r="S5332"/>
    </row>
    <row r="5333" spans="13:19" ht="13.95" customHeight="1">
      <c r="M5333"/>
      <c r="N5333"/>
      <c r="O5333"/>
      <c r="P5333"/>
      <c r="Q5333"/>
      <c r="R5333"/>
      <c r="S5333"/>
    </row>
    <row r="5334" spans="13:19" ht="13.95" customHeight="1">
      <c r="M5334"/>
      <c r="N5334"/>
      <c r="O5334"/>
      <c r="P5334"/>
      <c r="Q5334"/>
      <c r="R5334"/>
      <c r="S5334"/>
    </row>
    <row r="5335" spans="13:19" ht="13.95" customHeight="1">
      <c r="M5335"/>
      <c r="N5335"/>
      <c r="O5335"/>
      <c r="P5335"/>
      <c r="Q5335"/>
      <c r="R5335"/>
      <c r="S5335"/>
    </row>
    <row r="5336" spans="13:19" ht="13.95" customHeight="1">
      <c r="M5336"/>
      <c r="N5336"/>
      <c r="O5336"/>
      <c r="P5336"/>
      <c r="Q5336"/>
      <c r="R5336"/>
      <c r="S5336"/>
    </row>
    <row r="5337" spans="13:19" ht="13.95" customHeight="1">
      <c r="M5337"/>
      <c r="N5337"/>
      <c r="O5337"/>
      <c r="P5337"/>
      <c r="Q5337"/>
      <c r="R5337"/>
      <c r="S5337"/>
    </row>
    <row r="5338" spans="13:19" ht="13.95" customHeight="1">
      <c r="M5338"/>
      <c r="N5338"/>
      <c r="O5338"/>
      <c r="P5338"/>
      <c r="Q5338"/>
      <c r="R5338"/>
      <c r="S5338"/>
    </row>
    <row r="5339" spans="13:19" ht="13.95" customHeight="1">
      <c r="M5339"/>
      <c r="N5339"/>
      <c r="O5339"/>
      <c r="P5339"/>
      <c r="Q5339"/>
      <c r="R5339"/>
      <c r="S5339"/>
    </row>
    <row r="5340" spans="13:19" ht="13.95" customHeight="1">
      <c r="M5340"/>
      <c r="N5340"/>
      <c r="O5340"/>
      <c r="P5340"/>
      <c r="Q5340"/>
      <c r="R5340"/>
      <c r="S5340"/>
    </row>
    <row r="5341" spans="13:19" ht="13.95" customHeight="1">
      <c r="M5341"/>
      <c r="N5341"/>
      <c r="O5341"/>
      <c r="P5341"/>
      <c r="Q5341"/>
      <c r="R5341"/>
      <c r="S5341"/>
    </row>
    <row r="5342" spans="13:19" ht="13.95" customHeight="1">
      <c r="M5342"/>
      <c r="N5342"/>
      <c r="O5342"/>
      <c r="P5342"/>
      <c r="Q5342"/>
      <c r="R5342"/>
      <c r="S5342"/>
    </row>
    <row r="5343" spans="13:19" ht="13.95" customHeight="1">
      <c r="M5343"/>
      <c r="N5343"/>
      <c r="O5343"/>
      <c r="P5343"/>
      <c r="Q5343"/>
      <c r="R5343"/>
      <c r="S5343"/>
    </row>
    <row r="5344" spans="13:19" ht="13.95" customHeight="1">
      <c r="M5344"/>
      <c r="N5344"/>
      <c r="O5344"/>
      <c r="P5344"/>
      <c r="Q5344"/>
      <c r="R5344"/>
      <c r="S5344"/>
    </row>
    <row r="5345" spans="13:19" ht="13.95" customHeight="1">
      <c r="M5345"/>
      <c r="N5345"/>
      <c r="O5345"/>
      <c r="P5345"/>
      <c r="Q5345"/>
      <c r="R5345"/>
      <c r="S5345"/>
    </row>
    <row r="5346" spans="13:19" ht="13.95" customHeight="1">
      <c r="M5346"/>
      <c r="N5346"/>
      <c r="O5346"/>
      <c r="P5346"/>
      <c r="Q5346"/>
      <c r="R5346"/>
      <c r="S5346"/>
    </row>
    <row r="5347" spans="13:19" ht="13.95" customHeight="1">
      <c r="M5347"/>
      <c r="N5347"/>
      <c r="O5347"/>
      <c r="P5347"/>
      <c r="Q5347"/>
      <c r="R5347"/>
      <c r="S5347"/>
    </row>
    <row r="5348" spans="13:19" ht="13.95" customHeight="1">
      <c r="M5348"/>
      <c r="N5348"/>
      <c r="O5348"/>
      <c r="P5348"/>
      <c r="Q5348"/>
      <c r="R5348"/>
      <c r="S5348"/>
    </row>
    <row r="5349" spans="13:19" ht="13.95" customHeight="1">
      <c r="M5349"/>
      <c r="N5349"/>
      <c r="O5349"/>
      <c r="P5349"/>
      <c r="Q5349"/>
      <c r="R5349"/>
      <c r="S5349"/>
    </row>
    <row r="5350" spans="13:19" ht="13.95" customHeight="1">
      <c r="M5350"/>
      <c r="N5350"/>
      <c r="O5350"/>
      <c r="P5350"/>
      <c r="Q5350"/>
      <c r="R5350"/>
      <c r="S5350"/>
    </row>
    <row r="5351" spans="13:19" ht="13.95" customHeight="1">
      <c r="M5351"/>
      <c r="N5351"/>
      <c r="O5351"/>
      <c r="P5351"/>
      <c r="Q5351"/>
      <c r="R5351"/>
      <c r="S5351"/>
    </row>
    <row r="5352" spans="13:19" ht="13.95" customHeight="1">
      <c r="M5352"/>
      <c r="N5352"/>
      <c r="O5352"/>
      <c r="P5352"/>
      <c r="Q5352"/>
      <c r="R5352"/>
      <c r="S5352"/>
    </row>
    <row r="5353" spans="13:19" ht="13.95" customHeight="1">
      <c r="M5353"/>
      <c r="N5353"/>
      <c r="O5353"/>
      <c r="P5353"/>
      <c r="Q5353"/>
      <c r="R5353"/>
      <c r="S5353"/>
    </row>
    <row r="5354" spans="13:19" ht="13.95" customHeight="1">
      <c r="M5354"/>
      <c r="N5354"/>
      <c r="O5354"/>
      <c r="P5354"/>
      <c r="Q5354"/>
      <c r="R5354"/>
      <c r="S5354"/>
    </row>
    <row r="5355" spans="13:19" ht="13.95" customHeight="1">
      <c r="M5355"/>
      <c r="N5355"/>
      <c r="O5355"/>
      <c r="P5355"/>
      <c r="Q5355"/>
      <c r="R5355"/>
      <c r="S5355"/>
    </row>
    <row r="5356" spans="13:19" ht="13.95" customHeight="1">
      <c r="M5356"/>
      <c r="N5356"/>
      <c r="O5356"/>
      <c r="P5356"/>
      <c r="Q5356"/>
      <c r="R5356"/>
      <c r="S5356"/>
    </row>
    <row r="5357" spans="13:19" ht="13.95" customHeight="1">
      <c r="M5357"/>
      <c r="N5357"/>
      <c r="O5357"/>
      <c r="P5357"/>
      <c r="Q5357"/>
      <c r="R5357"/>
      <c r="S5357"/>
    </row>
    <row r="5358" spans="13:19" ht="13.95" customHeight="1">
      <c r="M5358"/>
      <c r="N5358"/>
      <c r="O5358"/>
      <c r="P5358"/>
      <c r="Q5358"/>
      <c r="R5358"/>
      <c r="S5358"/>
    </row>
    <row r="5359" spans="13:19" ht="13.95" customHeight="1">
      <c r="M5359"/>
      <c r="N5359"/>
      <c r="O5359"/>
      <c r="P5359"/>
      <c r="Q5359"/>
      <c r="R5359"/>
      <c r="S5359"/>
    </row>
    <row r="5360" spans="13:19" ht="13.95" customHeight="1">
      <c r="M5360"/>
      <c r="N5360"/>
      <c r="O5360"/>
      <c r="P5360"/>
      <c r="Q5360"/>
      <c r="R5360"/>
      <c r="S5360"/>
    </row>
    <row r="5361" spans="13:19" ht="13.95" customHeight="1">
      <c r="M5361"/>
      <c r="N5361"/>
      <c r="O5361"/>
      <c r="P5361"/>
      <c r="Q5361"/>
      <c r="R5361"/>
      <c r="S5361"/>
    </row>
    <row r="5362" spans="13:19" ht="13.95" customHeight="1">
      <c r="M5362"/>
      <c r="N5362"/>
      <c r="O5362"/>
      <c r="P5362"/>
      <c r="Q5362"/>
      <c r="R5362"/>
      <c r="S5362"/>
    </row>
    <row r="5363" spans="13:19" ht="13.95" customHeight="1">
      <c r="M5363"/>
      <c r="N5363"/>
      <c r="O5363"/>
      <c r="P5363"/>
      <c r="Q5363"/>
      <c r="R5363"/>
      <c r="S5363"/>
    </row>
    <row r="5364" spans="13:19" ht="13.95" customHeight="1">
      <c r="M5364"/>
      <c r="N5364"/>
      <c r="O5364"/>
      <c r="P5364"/>
      <c r="Q5364"/>
      <c r="R5364"/>
      <c r="S5364"/>
    </row>
    <row r="5365" spans="13:19" ht="13.95" customHeight="1">
      <c r="M5365"/>
      <c r="N5365"/>
      <c r="O5365"/>
      <c r="P5365"/>
      <c r="Q5365"/>
      <c r="R5365"/>
      <c r="S5365"/>
    </row>
    <row r="5366" spans="13:19" ht="13.95" customHeight="1">
      <c r="M5366"/>
      <c r="N5366"/>
      <c r="O5366"/>
      <c r="P5366"/>
      <c r="Q5366"/>
      <c r="R5366"/>
      <c r="S5366"/>
    </row>
    <row r="5367" spans="13:19" ht="13.95" customHeight="1">
      <c r="M5367"/>
      <c r="N5367"/>
      <c r="O5367"/>
      <c r="P5367"/>
      <c r="Q5367"/>
      <c r="R5367"/>
      <c r="S5367"/>
    </row>
    <row r="5368" spans="13:19" ht="13.95" customHeight="1">
      <c r="M5368"/>
      <c r="N5368"/>
      <c r="O5368"/>
      <c r="P5368"/>
      <c r="Q5368"/>
      <c r="R5368"/>
      <c r="S5368"/>
    </row>
    <row r="5369" spans="13:19" ht="13.95" customHeight="1">
      <c r="M5369"/>
      <c r="N5369"/>
      <c r="O5369"/>
      <c r="P5369"/>
      <c r="Q5369"/>
      <c r="R5369"/>
      <c r="S5369"/>
    </row>
    <row r="5370" spans="13:19" ht="13.95" customHeight="1">
      <c r="M5370"/>
      <c r="N5370"/>
      <c r="O5370"/>
      <c r="P5370"/>
      <c r="Q5370"/>
      <c r="R5370"/>
      <c r="S5370"/>
    </row>
    <row r="5371" spans="13:19" ht="13.95" customHeight="1">
      <c r="M5371"/>
      <c r="N5371"/>
      <c r="O5371"/>
      <c r="P5371"/>
      <c r="Q5371"/>
      <c r="R5371"/>
      <c r="S5371"/>
    </row>
    <row r="5372" spans="13:19" ht="13.95" customHeight="1">
      <c r="M5372"/>
      <c r="N5372"/>
      <c r="O5372"/>
      <c r="P5372"/>
      <c r="Q5372"/>
      <c r="R5372"/>
      <c r="S5372"/>
    </row>
    <row r="5373" spans="13:19" ht="13.95" customHeight="1">
      <c r="M5373"/>
      <c r="N5373"/>
      <c r="O5373"/>
      <c r="P5373"/>
      <c r="Q5373"/>
      <c r="R5373"/>
      <c r="S5373"/>
    </row>
    <row r="5374" spans="13:19" ht="13.95" customHeight="1">
      <c r="M5374"/>
      <c r="N5374"/>
      <c r="O5374"/>
      <c r="P5374"/>
      <c r="Q5374"/>
      <c r="R5374"/>
      <c r="S5374"/>
    </row>
    <row r="5375" spans="13:19" ht="13.95" customHeight="1">
      <c r="M5375"/>
      <c r="N5375"/>
      <c r="O5375"/>
      <c r="P5375"/>
      <c r="Q5375"/>
      <c r="R5375"/>
      <c r="S5375"/>
    </row>
    <row r="5376" spans="13:19" ht="13.95" customHeight="1">
      <c r="M5376"/>
      <c r="N5376"/>
      <c r="O5376"/>
      <c r="P5376"/>
      <c r="Q5376"/>
      <c r="R5376"/>
      <c r="S5376"/>
    </row>
    <row r="5377" spans="13:19" ht="13.95" customHeight="1">
      <c r="M5377"/>
      <c r="N5377"/>
      <c r="O5377"/>
      <c r="P5377"/>
      <c r="Q5377"/>
      <c r="R5377"/>
      <c r="S5377"/>
    </row>
    <row r="5378" spans="13:19" ht="13.95" customHeight="1">
      <c r="M5378"/>
      <c r="N5378"/>
      <c r="O5378"/>
      <c r="P5378"/>
      <c r="Q5378"/>
      <c r="R5378"/>
      <c r="S5378"/>
    </row>
    <row r="5379" spans="13:19" ht="13.95" customHeight="1">
      <c r="M5379"/>
      <c r="N5379"/>
      <c r="O5379"/>
      <c r="P5379"/>
      <c r="Q5379"/>
      <c r="R5379"/>
      <c r="S5379"/>
    </row>
    <row r="5380" spans="13:19" ht="13.95" customHeight="1">
      <c r="M5380"/>
      <c r="N5380"/>
      <c r="O5380"/>
      <c r="P5380"/>
      <c r="Q5380"/>
      <c r="R5380"/>
      <c r="S5380"/>
    </row>
    <row r="5381" spans="13:19" ht="13.95" customHeight="1">
      <c r="M5381"/>
      <c r="N5381"/>
      <c r="O5381"/>
      <c r="P5381"/>
      <c r="Q5381"/>
      <c r="R5381"/>
      <c r="S5381"/>
    </row>
    <row r="5382" spans="13:19" ht="13.95" customHeight="1">
      <c r="M5382"/>
      <c r="N5382"/>
      <c r="O5382"/>
      <c r="P5382"/>
      <c r="Q5382"/>
      <c r="R5382"/>
      <c r="S5382"/>
    </row>
    <row r="5383" spans="13:19" ht="13.95" customHeight="1">
      <c r="M5383"/>
      <c r="N5383"/>
      <c r="O5383"/>
      <c r="P5383"/>
      <c r="Q5383"/>
      <c r="R5383"/>
      <c r="S5383"/>
    </row>
    <row r="5384" spans="13:19" ht="13.95" customHeight="1">
      <c r="M5384"/>
      <c r="N5384"/>
      <c r="O5384"/>
      <c r="P5384"/>
      <c r="Q5384"/>
      <c r="R5384"/>
      <c r="S5384"/>
    </row>
    <row r="5385" spans="13:19" ht="13.95" customHeight="1">
      <c r="M5385"/>
      <c r="N5385"/>
      <c r="O5385"/>
      <c r="P5385"/>
      <c r="Q5385"/>
      <c r="R5385"/>
      <c r="S5385"/>
    </row>
    <row r="5386" spans="13:19" ht="13.95" customHeight="1">
      <c r="M5386"/>
      <c r="N5386"/>
      <c r="O5386"/>
      <c r="P5386"/>
      <c r="Q5386"/>
      <c r="R5386"/>
      <c r="S5386"/>
    </row>
    <row r="5387" spans="13:19" ht="13.95" customHeight="1">
      <c r="M5387"/>
      <c r="N5387"/>
      <c r="O5387"/>
      <c r="P5387"/>
      <c r="Q5387"/>
      <c r="R5387"/>
      <c r="S5387"/>
    </row>
    <row r="5388" spans="13:19" ht="13.95" customHeight="1">
      <c r="M5388"/>
      <c r="N5388"/>
      <c r="O5388"/>
      <c r="P5388"/>
      <c r="Q5388"/>
      <c r="R5388"/>
      <c r="S5388"/>
    </row>
    <row r="5389" spans="13:19" ht="13.95" customHeight="1">
      <c r="M5389"/>
      <c r="N5389"/>
      <c r="O5389"/>
      <c r="P5389"/>
      <c r="Q5389"/>
      <c r="R5389"/>
      <c r="S5389"/>
    </row>
    <row r="5390" spans="13:19" ht="13.95" customHeight="1">
      <c r="M5390"/>
      <c r="N5390"/>
      <c r="O5390"/>
      <c r="P5390"/>
      <c r="Q5390"/>
      <c r="R5390"/>
      <c r="S5390"/>
    </row>
    <row r="5391" spans="13:19" ht="13.95" customHeight="1">
      <c r="M5391"/>
      <c r="N5391"/>
      <c r="O5391"/>
      <c r="P5391"/>
      <c r="Q5391"/>
      <c r="R5391"/>
      <c r="S5391"/>
    </row>
    <row r="5392" spans="13:19" ht="13.95" customHeight="1">
      <c r="M5392"/>
      <c r="N5392"/>
      <c r="O5392"/>
      <c r="P5392"/>
      <c r="Q5392"/>
      <c r="R5392"/>
      <c r="S5392"/>
    </row>
    <row r="5393" spans="13:19" ht="13.95" customHeight="1">
      <c r="M5393"/>
      <c r="N5393"/>
      <c r="O5393"/>
      <c r="P5393"/>
      <c r="Q5393"/>
      <c r="R5393"/>
      <c r="S5393"/>
    </row>
    <row r="5394" spans="13:19" ht="13.95" customHeight="1">
      <c r="M5394"/>
      <c r="N5394"/>
      <c r="O5394"/>
      <c r="P5394"/>
      <c r="Q5394"/>
      <c r="R5394"/>
      <c r="S5394"/>
    </row>
    <row r="5395" spans="13:19" ht="13.95" customHeight="1">
      <c r="M5395"/>
      <c r="N5395"/>
      <c r="O5395"/>
      <c r="P5395"/>
      <c r="Q5395"/>
      <c r="R5395"/>
      <c r="S5395"/>
    </row>
    <row r="5396" spans="13:19" ht="13.95" customHeight="1">
      <c r="M5396"/>
      <c r="N5396"/>
      <c r="O5396"/>
      <c r="P5396"/>
      <c r="Q5396"/>
      <c r="R5396"/>
      <c r="S5396"/>
    </row>
    <row r="5397" spans="13:19" ht="13.95" customHeight="1">
      <c r="M5397"/>
      <c r="N5397"/>
      <c r="O5397"/>
      <c r="P5397"/>
      <c r="Q5397"/>
      <c r="R5397"/>
      <c r="S5397"/>
    </row>
    <row r="5398" spans="13:19" ht="13.95" customHeight="1">
      <c r="M5398"/>
      <c r="N5398"/>
      <c r="O5398"/>
      <c r="P5398"/>
      <c r="Q5398"/>
      <c r="R5398"/>
      <c r="S5398"/>
    </row>
    <row r="5399" spans="13:19" ht="13.95" customHeight="1">
      <c r="M5399"/>
      <c r="N5399"/>
      <c r="O5399"/>
      <c r="P5399"/>
      <c r="Q5399"/>
      <c r="R5399"/>
      <c r="S5399"/>
    </row>
    <row r="5400" spans="13:19" ht="13.95" customHeight="1">
      <c r="M5400"/>
      <c r="N5400"/>
      <c r="O5400"/>
      <c r="P5400"/>
      <c r="Q5400"/>
      <c r="R5400"/>
      <c r="S5400"/>
    </row>
    <row r="5401" spans="13:19" ht="13.95" customHeight="1">
      <c r="M5401"/>
      <c r="N5401"/>
      <c r="O5401"/>
      <c r="P5401"/>
      <c r="Q5401"/>
      <c r="R5401"/>
      <c r="S5401"/>
    </row>
    <row r="5402" spans="13:19" ht="13.95" customHeight="1">
      <c r="M5402"/>
      <c r="N5402"/>
      <c r="O5402"/>
      <c r="P5402"/>
      <c r="Q5402"/>
      <c r="R5402"/>
      <c r="S5402"/>
    </row>
    <row r="5403" spans="13:19" ht="13.95" customHeight="1">
      <c r="M5403"/>
      <c r="N5403"/>
      <c r="O5403"/>
      <c r="P5403"/>
      <c r="Q5403"/>
      <c r="R5403"/>
      <c r="S5403"/>
    </row>
    <row r="5404" spans="13:19" ht="13.95" customHeight="1">
      <c r="M5404"/>
      <c r="N5404"/>
      <c r="O5404"/>
      <c r="P5404"/>
      <c r="Q5404"/>
      <c r="R5404"/>
      <c r="S5404"/>
    </row>
    <row r="5405" spans="13:19" ht="13.95" customHeight="1">
      <c r="M5405"/>
      <c r="N5405"/>
      <c r="O5405"/>
      <c r="P5405"/>
      <c r="Q5405"/>
      <c r="R5405"/>
      <c r="S5405"/>
    </row>
    <row r="5406" spans="13:19" ht="13.95" customHeight="1">
      <c r="M5406"/>
      <c r="N5406"/>
      <c r="O5406"/>
      <c r="P5406"/>
      <c r="Q5406"/>
      <c r="R5406"/>
      <c r="S5406"/>
    </row>
    <row r="5407" spans="13:19" ht="13.95" customHeight="1">
      <c r="M5407"/>
      <c r="N5407"/>
      <c r="O5407"/>
      <c r="P5407"/>
      <c r="Q5407"/>
      <c r="R5407"/>
      <c r="S5407"/>
    </row>
    <row r="5408" spans="13:19" ht="13.95" customHeight="1">
      <c r="M5408"/>
      <c r="N5408"/>
      <c r="O5408"/>
      <c r="P5408"/>
      <c r="Q5408"/>
      <c r="R5408"/>
      <c r="S5408"/>
    </row>
    <row r="5409" spans="13:19" ht="13.95" customHeight="1">
      <c r="M5409"/>
      <c r="N5409"/>
      <c r="O5409"/>
      <c r="P5409"/>
      <c r="Q5409"/>
      <c r="R5409"/>
      <c r="S5409"/>
    </row>
    <row r="5410" spans="13:19" ht="13.95" customHeight="1">
      <c r="M5410"/>
      <c r="N5410"/>
      <c r="O5410"/>
      <c r="P5410"/>
      <c r="Q5410"/>
      <c r="R5410"/>
      <c r="S5410"/>
    </row>
    <row r="5411" spans="13:19" ht="13.95" customHeight="1">
      <c r="M5411"/>
      <c r="N5411"/>
      <c r="O5411"/>
      <c r="P5411"/>
      <c r="Q5411"/>
      <c r="R5411"/>
      <c r="S5411"/>
    </row>
    <row r="5412" spans="13:19" ht="13.95" customHeight="1">
      <c r="M5412"/>
      <c r="N5412"/>
      <c r="O5412"/>
      <c r="P5412"/>
      <c r="Q5412"/>
      <c r="R5412"/>
      <c r="S5412"/>
    </row>
    <row r="5413" spans="13:19" ht="13.95" customHeight="1">
      <c r="M5413"/>
      <c r="N5413"/>
      <c r="O5413"/>
      <c r="P5413"/>
      <c r="Q5413"/>
      <c r="R5413"/>
      <c r="S5413"/>
    </row>
    <row r="5414" spans="13:19" ht="13.95" customHeight="1">
      <c r="M5414"/>
      <c r="N5414"/>
      <c r="O5414"/>
      <c r="P5414"/>
      <c r="Q5414"/>
      <c r="R5414"/>
      <c r="S5414"/>
    </row>
    <row r="5415" spans="13:19" ht="13.95" customHeight="1">
      <c r="M5415"/>
      <c r="N5415"/>
      <c r="O5415"/>
      <c r="P5415"/>
      <c r="Q5415"/>
      <c r="R5415"/>
      <c r="S5415"/>
    </row>
    <row r="5416" spans="13:19" ht="13.95" customHeight="1">
      <c r="M5416"/>
      <c r="N5416"/>
      <c r="O5416"/>
      <c r="P5416"/>
      <c r="Q5416"/>
      <c r="R5416"/>
      <c r="S5416"/>
    </row>
    <row r="5417" spans="13:19" ht="13.95" customHeight="1">
      <c r="M5417"/>
      <c r="N5417"/>
      <c r="O5417"/>
      <c r="P5417"/>
      <c r="Q5417"/>
      <c r="R5417"/>
      <c r="S5417"/>
    </row>
    <row r="5418" spans="13:19" ht="13.95" customHeight="1">
      <c r="M5418"/>
      <c r="N5418"/>
      <c r="O5418"/>
      <c r="P5418"/>
      <c r="Q5418"/>
      <c r="R5418"/>
      <c r="S5418"/>
    </row>
    <row r="5419" spans="13:19" ht="13.95" customHeight="1">
      <c r="M5419"/>
      <c r="N5419"/>
      <c r="O5419"/>
      <c r="P5419"/>
      <c r="Q5419"/>
      <c r="R5419"/>
      <c r="S5419"/>
    </row>
    <row r="5420" spans="13:19" ht="13.95" customHeight="1">
      <c r="M5420"/>
      <c r="N5420"/>
      <c r="O5420"/>
      <c r="P5420"/>
      <c r="Q5420"/>
      <c r="R5420"/>
      <c r="S5420"/>
    </row>
    <row r="5421" spans="13:19" ht="13.95" customHeight="1">
      <c r="M5421"/>
      <c r="N5421"/>
      <c r="O5421"/>
      <c r="P5421"/>
      <c r="Q5421"/>
      <c r="R5421"/>
      <c r="S5421"/>
    </row>
    <row r="5422" spans="13:19" ht="13.95" customHeight="1">
      <c r="M5422"/>
      <c r="N5422"/>
      <c r="O5422"/>
      <c r="P5422"/>
      <c r="Q5422"/>
      <c r="R5422"/>
      <c r="S5422"/>
    </row>
    <row r="5423" spans="13:19" ht="13.95" customHeight="1">
      <c r="M5423"/>
      <c r="N5423"/>
      <c r="O5423"/>
      <c r="P5423"/>
      <c r="Q5423"/>
      <c r="R5423"/>
      <c r="S5423"/>
    </row>
    <row r="5424" spans="13:19" ht="13.95" customHeight="1">
      <c r="M5424"/>
      <c r="N5424"/>
      <c r="O5424"/>
      <c r="P5424"/>
      <c r="Q5424"/>
      <c r="R5424"/>
      <c r="S5424"/>
    </row>
    <row r="5425" spans="13:19" ht="13.95" customHeight="1">
      <c r="M5425"/>
      <c r="N5425"/>
      <c r="O5425"/>
      <c r="P5425"/>
      <c r="Q5425"/>
      <c r="R5425"/>
      <c r="S5425"/>
    </row>
    <row r="5426" spans="13:19" ht="13.95" customHeight="1">
      <c r="M5426"/>
      <c r="N5426"/>
      <c r="O5426"/>
      <c r="P5426"/>
      <c r="Q5426"/>
      <c r="R5426"/>
      <c r="S5426"/>
    </row>
    <row r="5427" spans="13:19" ht="13.95" customHeight="1">
      <c r="M5427"/>
      <c r="N5427"/>
      <c r="O5427"/>
      <c r="P5427"/>
      <c r="Q5427"/>
      <c r="R5427"/>
      <c r="S5427"/>
    </row>
    <row r="5428" spans="13:19" ht="13.95" customHeight="1">
      <c r="M5428"/>
      <c r="N5428"/>
      <c r="O5428"/>
      <c r="P5428"/>
      <c r="Q5428"/>
      <c r="R5428"/>
      <c r="S5428"/>
    </row>
    <row r="5429" spans="13:19" ht="13.95" customHeight="1">
      <c r="M5429"/>
      <c r="N5429"/>
      <c r="O5429"/>
      <c r="P5429"/>
      <c r="Q5429"/>
      <c r="R5429"/>
      <c r="S5429"/>
    </row>
    <row r="5430" spans="13:19" ht="13.95" customHeight="1">
      <c r="M5430"/>
      <c r="N5430"/>
      <c r="O5430"/>
      <c r="P5430"/>
      <c r="Q5430"/>
      <c r="R5430"/>
      <c r="S5430"/>
    </row>
    <row r="5431" spans="13:19" ht="13.95" customHeight="1">
      <c r="M5431"/>
      <c r="N5431"/>
      <c r="O5431"/>
      <c r="P5431"/>
      <c r="Q5431"/>
      <c r="R5431"/>
      <c r="S5431"/>
    </row>
    <row r="5432" spans="13:19" ht="13.95" customHeight="1">
      <c r="M5432"/>
      <c r="N5432"/>
      <c r="O5432"/>
      <c r="P5432"/>
      <c r="Q5432"/>
      <c r="R5432"/>
      <c r="S5432"/>
    </row>
    <row r="5433" spans="13:19" ht="13.95" customHeight="1">
      <c r="M5433"/>
      <c r="N5433"/>
      <c r="O5433"/>
      <c r="P5433"/>
      <c r="Q5433"/>
      <c r="R5433"/>
      <c r="S5433"/>
    </row>
    <row r="5434" spans="13:19" ht="13.95" customHeight="1">
      <c r="M5434"/>
      <c r="N5434"/>
      <c r="O5434"/>
      <c r="P5434"/>
      <c r="Q5434"/>
      <c r="R5434"/>
      <c r="S5434"/>
    </row>
    <row r="5435" spans="13:19" ht="13.95" customHeight="1">
      <c r="M5435"/>
      <c r="N5435"/>
      <c r="O5435"/>
      <c r="P5435"/>
      <c r="Q5435"/>
      <c r="R5435"/>
      <c r="S5435"/>
    </row>
    <row r="5436" spans="13:19" ht="13.95" customHeight="1">
      <c r="M5436"/>
      <c r="N5436"/>
      <c r="O5436"/>
      <c r="P5436"/>
      <c r="Q5436"/>
      <c r="R5436"/>
      <c r="S5436"/>
    </row>
    <row r="5437" spans="13:19" ht="13.95" customHeight="1">
      <c r="M5437"/>
      <c r="N5437"/>
      <c r="O5437"/>
      <c r="P5437"/>
      <c r="Q5437"/>
      <c r="R5437"/>
      <c r="S5437"/>
    </row>
    <row r="5438" spans="13:19" ht="13.95" customHeight="1">
      <c r="M5438"/>
      <c r="N5438"/>
      <c r="O5438"/>
      <c r="P5438"/>
      <c r="Q5438"/>
      <c r="R5438"/>
      <c r="S5438"/>
    </row>
    <row r="5439" spans="13:19" ht="13.95" customHeight="1">
      <c r="M5439"/>
      <c r="N5439"/>
      <c r="O5439"/>
      <c r="P5439"/>
      <c r="Q5439"/>
      <c r="R5439"/>
      <c r="S5439"/>
    </row>
    <row r="5440" spans="13:19" ht="13.95" customHeight="1">
      <c r="M5440"/>
      <c r="N5440"/>
      <c r="O5440"/>
      <c r="P5440"/>
      <c r="Q5440"/>
      <c r="R5440"/>
      <c r="S5440"/>
    </row>
    <row r="5441" spans="13:19" ht="13.95" customHeight="1">
      <c r="M5441"/>
      <c r="N5441"/>
      <c r="O5441"/>
      <c r="P5441"/>
      <c r="Q5441"/>
      <c r="R5441"/>
      <c r="S5441"/>
    </row>
    <row r="5442" spans="13:19" ht="13.95" customHeight="1">
      <c r="M5442"/>
      <c r="N5442"/>
      <c r="O5442"/>
      <c r="P5442"/>
      <c r="Q5442"/>
      <c r="R5442"/>
      <c r="S5442"/>
    </row>
    <row r="5443" spans="13:19" ht="13.95" customHeight="1">
      <c r="M5443"/>
      <c r="N5443"/>
      <c r="O5443"/>
      <c r="P5443"/>
      <c r="Q5443"/>
      <c r="R5443"/>
      <c r="S5443"/>
    </row>
    <row r="5444" spans="13:19" ht="13.95" customHeight="1">
      <c r="M5444"/>
      <c r="N5444"/>
      <c r="O5444"/>
      <c r="P5444"/>
      <c r="Q5444"/>
      <c r="R5444"/>
      <c r="S5444"/>
    </row>
    <row r="5445" spans="13:19" ht="13.95" customHeight="1">
      <c r="M5445"/>
      <c r="N5445"/>
      <c r="O5445"/>
      <c r="P5445"/>
      <c r="Q5445"/>
      <c r="R5445"/>
      <c r="S5445"/>
    </row>
    <row r="5446" spans="13:19" ht="13.95" customHeight="1">
      <c r="M5446"/>
      <c r="N5446"/>
      <c r="O5446"/>
      <c r="P5446"/>
      <c r="Q5446"/>
      <c r="R5446"/>
      <c r="S5446"/>
    </row>
    <row r="5447" spans="13:19" ht="13.95" customHeight="1">
      <c r="M5447"/>
      <c r="N5447"/>
      <c r="O5447"/>
      <c r="P5447"/>
      <c r="Q5447"/>
      <c r="R5447"/>
      <c r="S5447"/>
    </row>
    <row r="5448" spans="13:19" ht="13.95" customHeight="1">
      <c r="M5448"/>
      <c r="N5448"/>
      <c r="O5448"/>
      <c r="P5448"/>
      <c r="Q5448"/>
      <c r="R5448"/>
      <c r="S5448"/>
    </row>
    <row r="5449" spans="13:19" ht="13.95" customHeight="1">
      <c r="M5449"/>
      <c r="N5449"/>
      <c r="O5449"/>
      <c r="P5449"/>
      <c r="Q5449"/>
      <c r="R5449"/>
      <c r="S5449"/>
    </row>
    <row r="5450" spans="13:19" ht="13.95" customHeight="1">
      <c r="M5450"/>
      <c r="N5450"/>
      <c r="O5450"/>
      <c r="P5450"/>
      <c r="Q5450"/>
      <c r="R5450"/>
      <c r="S5450"/>
    </row>
    <row r="5451" spans="13:19" ht="13.95" customHeight="1">
      <c r="M5451"/>
      <c r="N5451"/>
      <c r="O5451"/>
      <c r="P5451"/>
      <c r="Q5451"/>
      <c r="R5451"/>
      <c r="S5451"/>
    </row>
    <row r="5452" spans="13:19" ht="13.95" customHeight="1">
      <c r="M5452"/>
      <c r="N5452"/>
      <c r="O5452"/>
      <c r="P5452"/>
      <c r="Q5452"/>
      <c r="R5452"/>
      <c r="S5452"/>
    </row>
    <row r="5453" spans="13:19" ht="13.95" customHeight="1">
      <c r="M5453"/>
      <c r="N5453"/>
      <c r="O5453"/>
      <c r="P5453"/>
      <c r="Q5453"/>
      <c r="R5453"/>
      <c r="S5453"/>
    </row>
    <row r="5454" spans="13:19" ht="13.95" customHeight="1">
      <c r="M5454"/>
      <c r="N5454"/>
      <c r="O5454"/>
      <c r="P5454"/>
      <c r="Q5454"/>
      <c r="R5454"/>
      <c r="S5454"/>
    </row>
    <row r="5455" spans="13:19" ht="13.95" customHeight="1">
      <c r="M5455"/>
      <c r="N5455"/>
      <c r="O5455"/>
      <c r="P5455"/>
      <c r="Q5455"/>
      <c r="R5455"/>
      <c r="S5455"/>
    </row>
    <row r="5456" spans="13:19" ht="13.95" customHeight="1">
      <c r="M5456"/>
      <c r="N5456"/>
      <c r="O5456"/>
      <c r="P5456"/>
      <c r="Q5456"/>
      <c r="R5456"/>
      <c r="S5456"/>
    </row>
    <row r="5457" spans="13:19" ht="13.95" customHeight="1">
      <c r="M5457"/>
      <c r="N5457"/>
      <c r="O5457"/>
      <c r="P5457"/>
      <c r="Q5457"/>
      <c r="R5457"/>
      <c r="S5457"/>
    </row>
    <row r="5458" spans="13:19" ht="13.95" customHeight="1">
      <c r="M5458"/>
      <c r="N5458"/>
      <c r="O5458"/>
      <c r="P5458"/>
      <c r="Q5458"/>
      <c r="R5458"/>
      <c r="S5458"/>
    </row>
    <row r="5459" spans="13:19" ht="13.95" customHeight="1">
      <c r="M5459"/>
      <c r="N5459"/>
      <c r="O5459"/>
      <c r="P5459"/>
      <c r="Q5459"/>
      <c r="R5459"/>
      <c r="S5459"/>
    </row>
    <row r="5460" spans="13:19" ht="13.95" customHeight="1">
      <c r="M5460"/>
      <c r="N5460"/>
      <c r="O5460"/>
      <c r="P5460"/>
      <c r="Q5460"/>
      <c r="R5460"/>
      <c r="S5460"/>
    </row>
    <row r="5461" spans="13:19" ht="13.95" customHeight="1">
      <c r="M5461"/>
      <c r="N5461"/>
      <c r="O5461"/>
      <c r="P5461"/>
      <c r="Q5461"/>
      <c r="R5461"/>
      <c r="S5461"/>
    </row>
    <row r="5462" spans="13:19" ht="13.95" customHeight="1">
      <c r="M5462"/>
      <c r="N5462"/>
      <c r="O5462"/>
      <c r="P5462"/>
      <c r="Q5462"/>
      <c r="R5462"/>
      <c r="S5462"/>
    </row>
    <row r="5463" spans="13:19" ht="13.95" customHeight="1">
      <c r="M5463"/>
      <c r="N5463"/>
      <c r="O5463"/>
      <c r="P5463"/>
      <c r="Q5463"/>
      <c r="R5463"/>
      <c r="S5463"/>
    </row>
    <row r="5464" spans="13:19" ht="13.95" customHeight="1">
      <c r="M5464"/>
      <c r="N5464"/>
      <c r="O5464"/>
      <c r="P5464"/>
      <c r="Q5464"/>
      <c r="R5464"/>
      <c r="S5464"/>
    </row>
    <row r="5465" spans="13:19" ht="13.95" customHeight="1">
      <c r="M5465"/>
      <c r="N5465"/>
      <c r="O5465"/>
      <c r="P5465"/>
      <c r="Q5465"/>
      <c r="R5465"/>
      <c r="S5465"/>
    </row>
    <row r="5466" spans="13:19" ht="13.95" customHeight="1">
      <c r="M5466"/>
      <c r="N5466"/>
      <c r="O5466"/>
      <c r="P5466"/>
      <c r="Q5466"/>
      <c r="R5466"/>
      <c r="S5466"/>
    </row>
    <row r="5467" spans="13:19" ht="13.95" customHeight="1">
      <c r="M5467"/>
      <c r="N5467"/>
      <c r="O5467"/>
      <c r="P5467"/>
      <c r="Q5467"/>
      <c r="R5467"/>
      <c r="S5467"/>
    </row>
    <row r="5468" spans="13:19" ht="13.95" customHeight="1">
      <c r="M5468"/>
      <c r="N5468"/>
      <c r="O5468"/>
      <c r="P5468"/>
      <c r="Q5468"/>
      <c r="R5468"/>
      <c r="S5468"/>
    </row>
    <row r="5469" spans="13:19" ht="13.95" customHeight="1">
      <c r="M5469"/>
      <c r="N5469"/>
      <c r="O5469"/>
      <c r="P5469"/>
      <c r="Q5469"/>
      <c r="R5469"/>
      <c r="S5469"/>
    </row>
    <row r="5470" spans="13:19" ht="13.95" customHeight="1">
      <c r="M5470"/>
      <c r="N5470"/>
      <c r="O5470"/>
      <c r="P5470"/>
      <c r="Q5470"/>
      <c r="R5470"/>
      <c r="S5470"/>
    </row>
    <row r="5471" spans="13:19" ht="13.95" customHeight="1">
      <c r="M5471"/>
      <c r="N5471"/>
      <c r="O5471"/>
      <c r="P5471"/>
      <c r="Q5471"/>
      <c r="R5471"/>
      <c r="S5471"/>
    </row>
    <row r="5472" spans="13:19" ht="13.95" customHeight="1">
      <c r="M5472"/>
      <c r="N5472"/>
      <c r="O5472"/>
      <c r="P5472"/>
      <c r="Q5472"/>
      <c r="R5472"/>
      <c r="S5472"/>
    </row>
    <row r="5473" spans="13:19" ht="13.95" customHeight="1">
      <c r="M5473"/>
      <c r="N5473"/>
      <c r="O5473"/>
      <c r="P5473"/>
      <c r="Q5473"/>
      <c r="R5473"/>
      <c r="S5473"/>
    </row>
    <row r="5474" spans="13:19" ht="13.95" customHeight="1">
      <c r="M5474"/>
      <c r="N5474"/>
      <c r="O5474"/>
      <c r="P5474"/>
      <c r="Q5474"/>
      <c r="R5474"/>
      <c r="S5474"/>
    </row>
    <row r="5475" spans="13:19" ht="13.95" customHeight="1">
      <c r="M5475"/>
      <c r="N5475"/>
      <c r="O5475"/>
      <c r="P5475"/>
      <c r="Q5475"/>
      <c r="R5475"/>
      <c r="S5475"/>
    </row>
    <row r="5476" spans="13:19" ht="13.95" customHeight="1">
      <c r="M5476"/>
      <c r="N5476"/>
      <c r="O5476"/>
      <c r="P5476"/>
      <c r="Q5476"/>
      <c r="R5476"/>
      <c r="S5476"/>
    </row>
    <row r="5477" spans="13:19" ht="13.95" customHeight="1">
      <c r="M5477"/>
      <c r="N5477"/>
      <c r="O5477"/>
      <c r="P5477"/>
      <c r="Q5477"/>
      <c r="R5477"/>
      <c r="S5477"/>
    </row>
    <row r="5478" spans="13:19" ht="13.95" customHeight="1">
      <c r="M5478"/>
      <c r="N5478"/>
      <c r="O5478"/>
      <c r="P5478"/>
      <c r="Q5478"/>
      <c r="R5478"/>
      <c r="S5478"/>
    </row>
    <row r="5479" spans="13:19" ht="13.95" customHeight="1">
      <c r="M5479"/>
      <c r="N5479"/>
      <c r="O5479"/>
      <c r="P5479"/>
      <c r="Q5479"/>
      <c r="R5479"/>
      <c r="S5479"/>
    </row>
    <row r="5480" spans="13:19" ht="13.95" customHeight="1">
      <c r="M5480"/>
      <c r="N5480"/>
      <c r="O5480"/>
      <c r="P5480"/>
      <c r="Q5480"/>
      <c r="R5480"/>
      <c r="S5480"/>
    </row>
    <row r="5481" spans="13:19" ht="13.95" customHeight="1">
      <c r="M5481"/>
      <c r="N5481"/>
      <c r="O5481"/>
      <c r="P5481"/>
      <c r="Q5481"/>
      <c r="R5481"/>
      <c r="S5481"/>
    </row>
    <row r="5482" spans="13:19" ht="13.95" customHeight="1">
      <c r="M5482"/>
      <c r="N5482"/>
      <c r="O5482"/>
      <c r="P5482"/>
      <c r="Q5482"/>
      <c r="R5482"/>
      <c r="S5482"/>
    </row>
    <row r="5483" spans="13:19" ht="13.95" customHeight="1">
      <c r="M5483"/>
      <c r="N5483"/>
      <c r="O5483"/>
      <c r="P5483"/>
      <c r="Q5483"/>
      <c r="R5483"/>
      <c r="S5483"/>
    </row>
    <row r="5484" spans="13:19" ht="13.95" customHeight="1">
      <c r="M5484"/>
      <c r="N5484"/>
      <c r="O5484"/>
      <c r="P5484"/>
      <c r="Q5484"/>
      <c r="R5484"/>
      <c r="S5484"/>
    </row>
    <row r="5485" spans="13:19" ht="13.95" customHeight="1">
      <c r="M5485"/>
      <c r="N5485"/>
      <c r="O5485"/>
      <c r="P5485"/>
      <c r="Q5485"/>
      <c r="R5485"/>
      <c r="S5485"/>
    </row>
    <row r="5486" spans="13:19" ht="13.95" customHeight="1">
      <c r="M5486"/>
      <c r="N5486"/>
      <c r="O5486"/>
      <c r="P5486"/>
      <c r="Q5486"/>
      <c r="R5486"/>
      <c r="S5486"/>
    </row>
    <row r="5487" spans="13:19" ht="13.95" customHeight="1">
      <c r="M5487"/>
      <c r="N5487"/>
      <c r="O5487"/>
      <c r="P5487"/>
      <c r="Q5487"/>
      <c r="R5487"/>
      <c r="S5487"/>
    </row>
    <row r="5488" spans="13:19" ht="13.95" customHeight="1">
      <c r="M5488"/>
      <c r="N5488"/>
      <c r="O5488"/>
      <c r="P5488"/>
      <c r="Q5488"/>
      <c r="R5488"/>
      <c r="S5488"/>
    </row>
    <row r="5489" spans="13:19" ht="13.95" customHeight="1">
      <c r="M5489"/>
      <c r="N5489"/>
      <c r="O5489"/>
      <c r="P5489"/>
      <c r="Q5489"/>
      <c r="R5489"/>
      <c r="S5489"/>
    </row>
    <row r="5490" spans="13:19" ht="13.95" customHeight="1">
      <c r="M5490"/>
      <c r="N5490"/>
      <c r="O5490"/>
      <c r="P5490"/>
      <c r="Q5490"/>
      <c r="R5490"/>
      <c r="S5490"/>
    </row>
    <row r="5491" spans="13:19" ht="13.95" customHeight="1">
      <c r="M5491"/>
      <c r="N5491"/>
      <c r="O5491"/>
      <c r="P5491"/>
      <c r="Q5491"/>
      <c r="R5491"/>
      <c r="S5491"/>
    </row>
    <row r="5492" spans="13:19" ht="13.95" customHeight="1">
      <c r="M5492"/>
      <c r="N5492"/>
      <c r="O5492"/>
      <c r="P5492"/>
      <c r="Q5492"/>
      <c r="R5492"/>
      <c r="S5492"/>
    </row>
    <row r="5493" spans="13:19" ht="13.95" customHeight="1">
      <c r="M5493"/>
      <c r="N5493"/>
      <c r="O5493"/>
      <c r="P5493"/>
      <c r="Q5493"/>
      <c r="R5493"/>
      <c r="S5493"/>
    </row>
    <row r="5494" spans="13:19" ht="13.95" customHeight="1">
      <c r="M5494"/>
      <c r="N5494"/>
      <c r="O5494"/>
      <c r="P5494"/>
      <c r="Q5494"/>
      <c r="R5494"/>
      <c r="S5494"/>
    </row>
    <row r="5495" spans="13:19" ht="13.95" customHeight="1">
      <c r="M5495"/>
      <c r="N5495"/>
      <c r="O5495"/>
      <c r="P5495"/>
      <c r="Q5495"/>
      <c r="R5495"/>
      <c r="S5495"/>
    </row>
    <row r="5496" spans="13:19" ht="13.95" customHeight="1">
      <c r="M5496"/>
      <c r="N5496"/>
      <c r="O5496"/>
      <c r="P5496"/>
      <c r="Q5496"/>
      <c r="R5496"/>
      <c r="S5496"/>
    </row>
    <row r="5497" spans="13:19" ht="13.95" customHeight="1">
      <c r="M5497"/>
      <c r="N5497"/>
      <c r="O5497"/>
      <c r="P5497"/>
      <c r="Q5497"/>
      <c r="R5497"/>
      <c r="S5497"/>
    </row>
    <row r="5498" spans="13:19" ht="13.95" customHeight="1">
      <c r="M5498"/>
      <c r="N5498"/>
      <c r="O5498"/>
      <c r="P5498"/>
      <c r="Q5498"/>
      <c r="R5498"/>
      <c r="S5498"/>
    </row>
    <row r="5499" spans="13:19" ht="13.95" customHeight="1">
      <c r="M5499"/>
      <c r="N5499"/>
      <c r="O5499"/>
      <c r="P5499"/>
      <c r="Q5499"/>
      <c r="R5499"/>
      <c r="S5499"/>
    </row>
    <row r="5500" spans="13:19" ht="13.95" customHeight="1">
      <c r="M5500"/>
      <c r="N5500"/>
      <c r="O5500"/>
      <c r="P5500"/>
      <c r="Q5500"/>
      <c r="R5500"/>
      <c r="S5500"/>
    </row>
    <row r="5501" spans="13:19" ht="13.95" customHeight="1">
      <c r="M5501"/>
      <c r="N5501"/>
      <c r="O5501"/>
      <c r="P5501"/>
      <c r="Q5501"/>
      <c r="R5501"/>
      <c r="S5501"/>
    </row>
    <row r="5502" spans="13:19" ht="13.95" customHeight="1">
      <c r="M5502"/>
      <c r="N5502"/>
      <c r="O5502"/>
      <c r="P5502"/>
      <c r="Q5502"/>
      <c r="R5502"/>
      <c r="S5502"/>
    </row>
    <row r="5503" spans="13:19" ht="13.95" customHeight="1">
      <c r="M5503"/>
      <c r="N5503"/>
      <c r="O5503"/>
      <c r="P5503"/>
      <c r="Q5503"/>
      <c r="R5503"/>
      <c r="S5503"/>
    </row>
    <row r="5504" spans="13:19" ht="13.95" customHeight="1">
      <c r="M5504"/>
      <c r="N5504"/>
      <c r="O5504"/>
      <c r="P5504"/>
      <c r="Q5504"/>
      <c r="R5504"/>
      <c r="S5504"/>
    </row>
    <row r="5505" spans="13:19" ht="13.95" customHeight="1">
      <c r="M5505"/>
      <c r="N5505"/>
      <c r="O5505"/>
      <c r="P5505"/>
      <c r="Q5505"/>
      <c r="R5505"/>
      <c r="S5505"/>
    </row>
    <row r="5506" spans="13:19" ht="13.95" customHeight="1">
      <c r="M5506"/>
      <c r="N5506"/>
      <c r="O5506"/>
      <c r="P5506"/>
      <c r="Q5506"/>
      <c r="R5506"/>
      <c r="S5506"/>
    </row>
    <row r="5507" spans="13:19" ht="13.95" customHeight="1">
      <c r="M5507"/>
      <c r="N5507"/>
      <c r="O5507"/>
      <c r="P5507"/>
      <c r="Q5507"/>
      <c r="R5507"/>
      <c r="S5507"/>
    </row>
    <row r="5508" spans="13:19" ht="13.95" customHeight="1">
      <c r="M5508"/>
      <c r="N5508"/>
      <c r="O5508"/>
      <c r="P5508"/>
      <c r="Q5508"/>
      <c r="R5508"/>
      <c r="S5508"/>
    </row>
    <row r="5509" spans="13:19" ht="13.95" customHeight="1">
      <c r="M5509"/>
      <c r="N5509"/>
      <c r="O5509"/>
      <c r="P5509"/>
      <c r="Q5509"/>
      <c r="R5509"/>
      <c r="S5509"/>
    </row>
    <row r="5510" spans="13:19" ht="13.95" customHeight="1">
      <c r="M5510"/>
      <c r="N5510"/>
      <c r="O5510"/>
      <c r="P5510"/>
      <c r="Q5510"/>
      <c r="R5510"/>
      <c r="S5510"/>
    </row>
    <row r="5511" spans="13:19" ht="13.95" customHeight="1">
      <c r="M5511"/>
      <c r="N5511"/>
      <c r="O5511"/>
      <c r="P5511"/>
      <c r="Q5511"/>
      <c r="R5511"/>
      <c r="S5511"/>
    </row>
    <row r="5512" spans="13:19" ht="13.95" customHeight="1">
      <c r="M5512"/>
      <c r="N5512"/>
      <c r="O5512"/>
      <c r="P5512"/>
      <c r="Q5512"/>
      <c r="R5512"/>
      <c r="S5512"/>
    </row>
    <row r="5513" spans="13:19" ht="13.95" customHeight="1">
      <c r="M5513"/>
      <c r="N5513"/>
      <c r="O5513"/>
      <c r="P5513"/>
      <c r="Q5513"/>
      <c r="R5513"/>
      <c r="S5513"/>
    </row>
    <row r="5514" spans="13:19" ht="13.95" customHeight="1">
      <c r="M5514"/>
      <c r="N5514"/>
      <c r="O5514"/>
      <c r="P5514"/>
      <c r="Q5514"/>
      <c r="R5514"/>
      <c r="S5514"/>
    </row>
    <row r="5515" spans="13:19" ht="13.95" customHeight="1">
      <c r="M5515"/>
      <c r="N5515"/>
      <c r="O5515"/>
      <c r="P5515"/>
      <c r="Q5515"/>
      <c r="R5515"/>
      <c r="S5515"/>
    </row>
    <row r="5516" spans="13:19" ht="13.95" customHeight="1">
      <c r="M5516"/>
      <c r="N5516"/>
      <c r="O5516"/>
      <c r="P5516"/>
      <c r="Q5516"/>
      <c r="R5516"/>
      <c r="S5516"/>
    </row>
    <row r="5517" spans="13:19" ht="13.95" customHeight="1">
      <c r="M5517"/>
      <c r="N5517"/>
      <c r="O5517"/>
      <c r="P5517"/>
      <c r="Q5517"/>
      <c r="R5517"/>
      <c r="S5517"/>
    </row>
    <row r="5518" spans="13:19" ht="13.95" customHeight="1">
      <c r="M5518"/>
      <c r="N5518"/>
      <c r="O5518"/>
      <c r="P5518"/>
      <c r="Q5518"/>
      <c r="R5518"/>
      <c r="S5518"/>
    </row>
    <row r="5519" spans="13:19" ht="13.95" customHeight="1">
      <c r="M5519"/>
      <c r="N5519"/>
      <c r="O5519"/>
      <c r="P5519"/>
      <c r="Q5519"/>
      <c r="R5519"/>
      <c r="S5519"/>
    </row>
    <row r="5520" spans="13:19" ht="13.95" customHeight="1">
      <c r="M5520"/>
      <c r="N5520"/>
      <c r="O5520"/>
      <c r="P5520"/>
      <c r="Q5520"/>
      <c r="R5520"/>
      <c r="S5520"/>
    </row>
    <row r="5521" spans="13:19" ht="13.95" customHeight="1">
      <c r="M5521"/>
      <c r="N5521"/>
      <c r="O5521"/>
      <c r="P5521"/>
      <c r="Q5521"/>
      <c r="R5521"/>
      <c r="S5521"/>
    </row>
    <row r="5522" spans="13:19" ht="13.95" customHeight="1">
      <c r="M5522"/>
      <c r="N5522"/>
      <c r="O5522"/>
      <c r="P5522"/>
      <c r="Q5522"/>
      <c r="R5522"/>
      <c r="S5522"/>
    </row>
    <row r="5523" spans="13:19" ht="13.95" customHeight="1">
      <c r="M5523"/>
      <c r="N5523"/>
      <c r="O5523"/>
      <c r="P5523"/>
      <c r="Q5523"/>
      <c r="R5523"/>
      <c r="S5523"/>
    </row>
    <row r="5524" spans="13:19" ht="13.95" customHeight="1">
      <c r="M5524"/>
      <c r="N5524"/>
      <c r="O5524"/>
      <c r="P5524"/>
      <c r="Q5524"/>
      <c r="R5524"/>
      <c r="S5524"/>
    </row>
    <row r="5525" spans="13:19" ht="13.95" customHeight="1">
      <c r="M5525"/>
      <c r="N5525"/>
      <c r="O5525"/>
      <c r="P5525"/>
      <c r="Q5525"/>
      <c r="R5525"/>
      <c r="S5525"/>
    </row>
    <row r="5526" spans="13:19" ht="13.95" customHeight="1">
      <c r="M5526"/>
      <c r="N5526"/>
      <c r="O5526"/>
      <c r="P5526"/>
      <c r="Q5526"/>
      <c r="R5526"/>
      <c r="S5526"/>
    </row>
    <row r="5527" spans="13:19" ht="13.95" customHeight="1">
      <c r="M5527"/>
      <c r="N5527"/>
      <c r="O5527"/>
      <c r="P5527"/>
      <c r="Q5527"/>
      <c r="R5527"/>
      <c r="S5527"/>
    </row>
    <row r="5528" spans="13:19" ht="13.95" customHeight="1">
      <c r="M5528"/>
      <c r="N5528"/>
      <c r="O5528"/>
      <c r="P5528"/>
      <c r="Q5528"/>
      <c r="R5528"/>
      <c r="S5528"/>
    </row>
    <row r="5529" spans="13:19" ht="13.95" customHeight="1">
      <c r="M5529"/>
      <c r="N5529"/>
      <c r="O5529"/>
      <c r="P5529"/>
      <c r="Q5529"/>
      <c r="R5529"/>
      <c r="S5529"/>
    </row>
    <row r="5530" spans="13:19" ht="13.95" customHeight="1">
      <c r="M5530"/>
      <c r="N5530"/>
      <c r="O5530"/>
      <c r="P5530"/>
      <c r="Q5530"/>
      <c r="R5530"/>
      <c r="S5530"/>
    </row>
    <row r="5531" spans="13:19" ht="13.95" customHeight="1">
      <c r="M5531"/>
      <c r="N5531"/>
      <c r="O5531"/>
      <c r="P5531"/>
      <c r="Q5531"/>
      <c r="R5531"/>
      <c r="S5531"/>
    </row>
    <row r="5532" spans="13:19" ht="13.95" customHeight="1">
      <c r="M5532"/>
      <c r="N5532"/>
      <c r="O5532"/>
      <c r="P5532"/>
      <c r="Q5532"/>
      <c r="R5532"/>
      <c r="S5532"/>
    </row>
    <row r="5533" spans="13:19" ht="13.95" customHeight="1">
      <c r="M5533"/>
      <c r="N5533"/>
      <c r="O5533"/>
      <c r="P5533"/>
      <c r="Q5533"/>
      <c r="R5533"/>
      <c r="S5533"/>
    </row>
    <row r="5534" spans="13:19" ht="13.95" customHeight="1">
      <c r="M5534"/>
      <c r="N5534"/>
      <c r="O5534"/>
      <c r="P5534"/>
      <c r="Q5534"/>
      <c r="R5534"/>
      <c r="S5534"/>
    </row>
    <row r="5535" spans="13:19" ht="13.95" customHeight="1">
      <c r="M5535"/>
      <c r="N5535"/>
      <c r="O5535"/>
      <c r="P5535"/>
      <c r="Q5535"/>
      <c r="R5535"/>
      <c r="S5535"/>
    </row>
    <row r="5536" spans="13:19" ht="13.95" customHeight="1">
      <c r="M5536"/>
      <c r="N5536"/>
      <c r="O5536"/>
      <c r="P5536"/>
      <c r="Q5536"/>
      <c r="R5536"/>
      <c r="S5536"/>
    </row>
    <row r="5537" spans="13:19" ht="13.95" customHeight="1">
      <c r="M5537"/>
      <c r="N5537"/>
      <c r="O5537"/>
      <c r="P5537"/>
      <c r="Q5537"/>
      <c r="R5537"/>
      <c r="S5537"/>
    </row>
    <row r="5538" spans="13:19" ht="13.95" customHeight="1">
      <c r="M5538"/>
      <c r="N5538"/>
      <c r="O5538"/>
      <c r="P5538"/>
      <c r="Q5538"/>
      <c r="R5538"/>
      <c r="S5538"/>
    </row>
    <row r="5539" spans="13:19" ht="13.95" customHeight="1">
      <c r="M5539"/>
      <c r="N5539"/>
      <c r="O5539"/>
      <c r="P5539"/>
      <c r="Q5539"/>
      <c r="R5539"/>
      <c r="S5539"/>
    </row>
    <row r="5540" spans="13:19" ht="13.95" customHeight="1">
      <c r="M5540"/>
      <c r="N5540"/>
      <c r="O5540"/>
      <c r="P5540"/>
      <c r="Q5540"/>
      <c r="R5540"/>
      <c r="S5540"/>
    </row>
    <row r="5541" spans="13:19" ht="13.95" customHeight="1">
      <c r="M5541"/>
      <c r="N5541"/>
      <c r="O5541"/>
      <c r="P5541"/>
      <c r="Q5541"/>
      <c r="R5541"/>
      <c r="S5541"/>
    </row>
    <row r="5542" spans="13:19" ht="13.95" customHeight="1">
      <c r="M5542"/>
      <c r="N5542"/>
      <c r="O5542"/>
      <c r="P5542"/>
      <c r="Q5542"/>
      <c r="R5542"/>
      <c r="S5542"/>
    </row>
    <row r="5543" spans="13:19" ht="13.95" customHeight="1">
      <c r="M5543"/>
      <c r="N5543"/>
      <c r="O5543"/>
      <c r="P5543"/>
      <c r="Q5543"/>
      <c r="R5543"/>
      <c r="S5543"/>
    </row>
    <row r="5544" spans="13:19" ht="13.95" customHeight="1">
      <c r="M5544"/>
      <c r="N5544"/>
      <c r="O5544"/>
      <c r="P5544"/>
      <c r="Q5544"/>
      <c r="R5544"/>
      <c r="S5544"/>
    </row>
    <row r="5545" spans="13:19" ht="13.95" customHeight="1">
      <c r="M5545"/>
      <c r="N5545"/>
      <c r="O5545"/>
      <c r="P5545"/>
      <c r="Q5545"/>
      <c r="R5545"/>
      <c r="S5545"/>
    </row>
    <row r="5546" spans="13:19" ht="13.95" customHeight="1">
      <c r="M5546"/>
      <c r="N5546"/>
      <c r="O5546"/>
      <c r="P5546"/>
      <c r="Q5546"/>
      <c r="R5546"/>
      <c r="S5546"/>
    </row>
    <row r="5547" spans="13:19" ht="13.95" customHeight="1">
      <c r="M5547"/>
      <c r="N5547"/>
      <c r="O5547"/>
      <c r="P5547"/>
      <c r="Q5547"/>
      <c r="R5547"/>
      <c r="S5547"/>
    </row>
    <row r="5548" spans="13:19" ht="13.95" customHeight="1">
      <c r="M5548"/>
      <c r="N5548"/>
      <c r="O5548"/>
      <c r="P5548"/>
      <c r="Q5548"/>
      <c r="R5548"/>
      <c r="S5548"/>
    </row>
    <row r="5549" spans="13:19" ht="13.95" customHeight="1">
      <c r="M5549"/>
      <c r="N5549"/>
      <c r="O5549"/>
      <c r="P5549"/>
      <c r="Q5549"/>
      <c r="R5549"/>
      <c r="S5549"/>
    </row>
    <row r="5550" spans="13:19" ht="13.95" customHeight="1">
      <c r="M5550"/>
      <c r="N5550"/>
      <c r="O5550"/>
      <c r="P5550"/>
      <c r="Q5550"/>
      <c r="R5550"/>
      <c r="S5550"/>
    </row>
    <row r="5551" spans="13:19" ht="13.95" customHeight="1">
      <c r="M5551"/>
      <c r="N5551"/>
      <c r="O5551"/>
      <c r="P5551"/>
      <c r="Q5551"/>
      <c r="R5551"/>
      <c r="S5551"/>
    </row>
    <row r="5552" spans="13:19" ht="13.95" customHeight="1">
      <c r="M5552"/>
      <c r="N5552"/>
      <c r="O5552"/>
      <c r="P5552"/>
      <c r="Q5552"/>
      <c r="R5552"/>
      <c r="S5552"/>
    </row>
    <row r="5553" spans="13:19" ht="13.95" customHeight="1">
      <c r="M5553"/>
      <c r="N5553"/>
      <c r="O5553"/>
      <c r="P5553"/>
      <c r="Q5553"/>
      <c r="R5553"/>
      <c r="S5553"/>
    </row>
    <row r="5554" spans="13:19" ht="13.95" customHeight="1">
      <c r="M5554"/>
      <c r="N5554"/>
      <c r="O5554"/>
      <c r="P5554"/>
      <c r="Q5554"/>
      <c r="R5554"/>
      <c r="S5554"/>
    </row>
    <row r="5555" spans="13:19" ht="13.95" customHeight="1">
      <c r="M5555"/>
      <c r="N5555"/>
      <c r="O5555"/>
      <c r="P5555"/>
      <c r="Q5555"/>
      <c r="R5555"/>
      <c r="S5555"/>
    </row>
    <row r="5556" spans="13:19" ht="13.95" customHeight="1">
      <c r="M5556"/>
      <c r="N5556"/>
      <c r="O5556"/>
      <c r="P5556"/>
      <c r="Q5556"/>
      <c r="R5556"/>
      <c r="S5556"/>
    </row>
    <row r="5557" spans="13:19" ht="13.95" customHeight="1">
      <c r="M5557"/>
      <c r="N5557"/>
      <c r="O5557"/>
      <c r="P5557"/>
      <c r="Q5557"/>
      <c r="R5557"/>
      <c r="S5557"/>
    </row>
    <row r="5558" spans="13:19" ht="13.95" customHeight="1">
      <c r="M5558"/>
      <c r="N5558"/>
      <c r="O5558"/>
      <c r="P5558"/>
      <c r="Q5558"/>
      <c r="R5558"/>
      <c r="S5558"/>
    </row>
    <row r="5559" spans="13:19" ht="13.95" customHeight="1">
      <c r="M5559"/>
      <c r="N5559"/>
      <c r="O5559"/>
      <c r="P5559"/>
      <c r="Q5559"/>
      <c r="R5559"/>
      <c r="S5559"/>
    </row>
    <row r="5560" spans="13:19" ht="13.95" customHeight="1">
      <c r="M5560"/>
      <c r="N5560"/>
      <c r="O5560"/>
      <c r="P5560"/>
      <c r="Q5560"/>
      <c r="R5560"/>
      <c r="S5560"/>
    </row>
    <row r="5561" spans="13:19" ht="13.95" customHeight="1">
      <c r="M5561"/>
      <c r="N5561"/>
      <c r="O5561"/>
      <c r="P5561"/>
      <c r="Q5561"/>
      <c r="R5561"/>
      <c r="S5561"/>
    </row>
    <row r="5562" spans="13:19" ht="13.95" customHeight="1">
      <c r="M5562"/>
      <c r="N5562"/>
      <c r="O5562"/>
      <c r="P5562"/>
      <c r="Q5562"/>
      <c r="R5562"/>
      <c r="S5562"/>
    </row>
    <row r="5563" spans="13:19" ht="13.95" customHeight="1">
      <c r="M5563"/>
      <c r="N5563"/>
      <c r="O5563"/>
      <c r="P5563"/>
      <c r="Q5563"/>
      <c r="R5563"/>
      <c r="S5563"/>
    </row>
    <row r="5564" spans="13:19" ht="13.95" customHeight="1">
      <c r="M5564"/>
      <c r="N5564"/>
      <c r="O5564"/>
      <c r="P5564"/>
      <c r="Q5564"/>
      <c r="R5564"/>
      <c r="S5564"/>
    </row>
    <row r="5565" spans="13:19" ht="13.95" customHeight="1">
      <c r="M5565"/>
      <c r="N5565"/>
      <c r="O5565"/>
      <c r="P5565"/>
      <c r="Q5565"/>
      <c r="R5565"/>
      <c r="S5565"/>
    </row>
    <row r="5566" spans="13:19" ht="13.95" customHeight="1">
      <c r="M5566"/>
      <c r="N5566"/>
      <c r="O5566"/>
      <c r="P5566"/>
      <c r="Q5566"/>
      <c r="R5566"/>
      <c r="S5566"/>
    </row>
    <row r="5567" spans="13:19" ht="13.95" customHeight="1">
      <c r="M5567"/>
      <c r="N5567"/>
      <c r="O5567"/>
      <c r="P5567"/>
      <c r="Q5567"/>
      <c r="R5567"/>
      <c r="S5567"/>
    </row>
    <row r="5568" spans="13:19" ht="13.95" customHeight="1">
      <c r="M5568"/>
      <c r="N5568"/>
      <c r="O5568"/>
      <c r="P5568"/>
      <c r="Q5568"/>
      <c r="R5568"/>
      <c r="S5568"/>
    </row>
    <row r="5569" spans="13:19" ht="13.95" customHeight="1">
      <c r="M5569"/>
      <c r="N5569"/>
      <c r="O5569"/>
      <c r="P5569"/>
      <c r="Q5569"/>
      <c r="R5569"/>
      <c r="S5569"/>
    </row>
    <row r="5570" spans="13:19" ht="13.95" customHeight="1">
      <c r="M5570"/>
      <c r="N5570"/>
      <c r="O5570"/>
      <c r="P5570"/>
      <c r="Q5570"/>
      <c r="R5570"/>
      <c r="S5570"/>
    </row>
    <row r="5571" spans="13:19" ht="13.95" customHeight="1">
      <c r="M5571"/>
      <c r="N5571"/>
      <c r="O5571"/>
      <c r="P5571"/>
      <c r="Q5571"/>
      <c r="R5571"/>
      <c r="S5571"/>
    </row>
    <row r="5572" spans="13:19" ht="13.95" customHeight="1">
      <c r="M5572"/>
      <c r="N5572"/>
      <c r="O5572"/>
      <c r="P5572"/>
      <c r="Q5572"/>
      <c r="R5572"/>
      <c r="S5572"/>
    </row>
    <row r="5573" spans="13:19" ht="13.95" customHeight="1">
      <c r="M5573"/>
      <c r="N5573"/>
      <c r="O5573"/>
      <c r="P5573"/>
      <c r="Q5573"/>
      <c r="R5573"/>
      <c r="S5573"/>
    </row>
    <row r="5574" spans="13:19" ht="13.95" customHeight="1">
      <c r="M5574"/>
      <c r="N5574"/>
      <c r="O5574"/>
      <c r="P5574"/>
      <c r="Q5574"/>
      <c r="R5574"/>
      <c r="S5574"/>
    </row>
    <row r="5575" spans="13:19" ht="13.95" customHeight="1">
      <c r="M5575"/>
      <c r="N5575"/>
      <c r="O5575"/>
      <c r="P5575"/>
      <c r="Q5575"/>
      <c r="R5575"/>
      <c r="S5575"/>
    </row>
    <row r="5576" spans="13:19" ht="13.95" customHeight="1">
      <c r="M5576"/>
      <c r="N5576"/>
      <c r="O5576"/>
      <c r="P5576"/>
      <c r="Q5576"/>
      <c r="R5576"/>
      <c r="S5576"/>
    </row>
    <row r="5577" spans="13:19" ht="13.95" customHeight="1">
      <c r="M5577"/>
      <c r="N5577"/>
      <c r="O5577"/>
      <c r="P5577"/>
      <c r="Q5577"/>
      <c r="R5577"/>
      <c r="S5577"/>
    </row>
    <row r="5578" spans="13:19" ht="13.95" customHeight="1">
      <c r="M5578"/>
      <c r="N5578"/>
      <c r="O5578"/>
      <c r="P5578"/>
      <c r="Q5578"/>
      <c r="R5578"/>
      <c r="S5578"/>
    </row>
    <row r="5579" spans="13:19" ht="13.95" customHeight="1">
      <c r="M5579"/>
      <c r="N5579"/>
      <c r="O5579"/>
      <c r="P5579"/>
      <c r="Q5579"/>
      <c r="R5579"/>
      <c r="S5579"/>
    </row>
    <row r="5580" spans="13:19" ht="13.95" customHeight="1">
      <c r="M5580"/>
      <c r="N5580"/>
      <c r="O5580"/>
      <c r="P5580"/>
      <c r="Q5580"/>
      <c r="R5580"/>
      <c r="S5580"/>
    </row>
    <row r="5581" spans="13:19" ht="13.95" customHeight="1">
      <c r="M5581"/>
      <c r="N5581"/>
      <c r="O5581"/>
      <c r="P5581"/>
      <c r="Q5581"/>
      <c r="R5581"/>
      <c r="S5581"/>
    </row>
    <row r="5582" spans="13:19" ht="13.95" customHeight="1">
      <c r="M5582"/>
      <c r="N5582"/>
      <c r="O5582"/>
      <c r="P5582"/>
      <c r="Q5582"/>
      <c r="R5582"/>
      <c r="S5582"/>
    </row>
    <row r="5583" spans="13:19" ht="13.95" customHeight="1">
      <c r="M5583"/>
      <c r="N5583"/>
      <c r="O5583"/>
      <c r="P5583"/>
      <c r="Q5583"/>
      <c r="R5583"/>
      <c r="S5583"/>
    </row>
    <row r="5584" spans="13:19" ht="13.95" customHeight="1">
      <c r="M5584"/>
      <c r="N5584"/>
      <c r="O5584"/>
      <c r="P5584"/>
      <c r="Q5584"/>
      <c r="R5584"/>
      <c r="S5584"/>
    </row>
    <row r="5585" spans="13:19" ht="13.95" customHeight="1">
      <c r="M5585"/>
      <c r="N5585"/>
      <c r="O5585"/>
      <c r="P5585"/>
      <c r="Q5585"/>
      <c r="R5585"/>
      <c r="S5585"/>
    </row>
    <row r="5586" spans="13:19" ht="13.95" customHeight="1">
      <c r="M5586"/>
      <c r="N5586"/>
      <c r="O5586"/>
      <c r="P5586"/>
      <c r="Q5586"/>
      <c r="R5586"/>
      <c r="S5586"/>
    </row>
    <row r="5587" spans="13:19" ht="13.95" customHeight="1">
      <c r="M5587"/>
      <c r="N5587"/>
      <c r="O5587"/>
      <c r="P5587"/>
      <c r="Q5587"/>
      <c r="R5587"/>
      <c r="S5587"/>
    </row>
    <row r="5588" spans="13:19" ht="13.95" customHeight="1">
      <c r="M5588"/>
      <c r="N5588"/>
      <c r="O5588"/>
      <c r="P5588"/>
      <c r="Q5588"/>
      <c r="R5588"/>
      <c r="S5588"/>
    </row>
    <row r="5589" spans="13:19" ht="13.95" customHeight="1">
      <c r="M5589"/>
      <c r="N5589"/>
      <c r="O5589"/>
      <c r="P5589"/>
      <c r="Q5589"/>
      <c r="R5589"/>
      <c r="S5589"/>
    </row>
    <row r="5590" spans="13:19" ht="13.95" customHeight="1">
      <c r="M5590"/>
      <c r="N5590"/>
      <c r="O5590"/>
      <c r="P5590"/>
      <c r="Q5590"/>
      <c r="R5590"/>
      <c r="S5590"/>
    </row>
    <row r="5591" spans="13:19" ht="13.95" customHeight="1">
      <c r="M5591"/>
      <c r="N5591"/>
      <c r="O5591"/>
      <c r="P5591"/>
      <c r="Q5591"/>
      <c r="R5591"/>
      <c r="S5591"/>
    </row>
    <row r="5592" spans="13:19" ht="13.95" customHeight="1">
      <c r="M5592"/>
      <c r="N5592"/>
      <c r="O5592"/>
      <c r="P5592"/>
      <c r="Q5592"/>
      <c r="R5592"/>
      <c r="S5592"/>
    </row>
    <row r="5593" spans="13:19" ht="13.95" customHeight="1">
      <c r="M5593"/>
      <c r="N5593"/>
      <c r="O5593"/>
      <c r="P5593"/>
      <c r="Q5593"/>
      <c r="R5593"/>
      <c r="S5593"/>
    </row>
    <row r="5594" spans="13:19" ht="13.95" customHeight="1">
      <c r="M5594"/>
      <c r="N5594"/>
      <c r="O5594"/>
      <c r="P5594"/>
      <c r="Q5594"/>
      <c r="R5594"/>
      <c r="S5594"/>
    </row>
    <row r="5595" spans="13:19" ht="13.95" customHeight="1">
      <c r="M5595"/>
      <c r="N5595"/>
      <c r="O5595"/>
      <c r="P5595"/>
      <c r="Q5595"/>
      <c r="R5595"/>
      <c r="S5595"/>
    </row>
    <row r="5596" spans="13:19" ht="13.95" customHeight="1">
      <c r="M5596"/>
      <c r="N5596"/>
      <c r="O5596"/>
      <c r="P5596"/>
      <c r="Q5596"/>
      <c r="R5596"/>
      <c r="S5596"/>
    </row>
    <row r="5597" spans="13:19" ht="13.95" customHeight="1">
      <c r="M5597"/>
      <c r="N5597"/>
      <c r="O5597"/>
      <c r="P5597"/>
      <c r="Q5597"/>
      <c r="R5597"/>
      <c r="S5597"/>
    </row>
    <row r="5598" spans="13:19" ht="13.95" customHeight="1">
      <c r="M5598"/>
      <c r="N5598"/>
      <c r="O5598"/>
      <c r="P5598"/>
      <c r="Q5598"/>
      <c r="R5598"/>
      <c r="S5598"/>
    </row>
    <row r="5599" spans="13:19" ht="13.95" customHeight="1">
      <c r="M5599"/>
      <c r="N5599"/>
      <c r="O5599"/>
      <c r="P5599"/>
      <c r="Q5599"/>
      <c r="R5599"/>
      <c r="S5599"/>
    </row>
    <row r="5600" spans="13:19" ht="13.95" customHeight="1">
      <c r="M5600"/>
      <c r="N5600"/>
      <c r="O5600"/>
      <c r="P5600"/>
      <c r="Q5600"/>
      <c r="R5600"/>
      <c r="S5600"/>
    </row>
    <row r="5601" spans="13:19" ht="13.95" customHeight="1">
      <c r="M5601"/>
      <c r="N5601"/>
      <c r="O5601"/>
      <c r="P5601"/>
      <c r="Q5601"/>
      <c r="R5601"/>
      <c r="S5601"/>
    </row>
    <row r="5602" spans="13:19" ht="13.95" customHeight="1">
      <c r="M5602"/>
      <c r="N5602"/>
      <c r="O5602"/>
      <c r="P5602"/>
      <c r="Q5602"/>
      <c r="R5602"/>
      <c r="S5602"/>
    </row>
    <row r="5603" spans="13:19" ht="13.95" customHeight="1">
      <c r="M5603"/>
      <c r="N5603"/>
      <c r="O5603"/>
      <c r="P5603"/>
      <c r="Q5603"/>
      <c r="R5603"/>
      <c r="S5603"/>
    </row>
    <row r="5604" spans="13:19" ht="13.95" customHeight="1">
      <c r="M5604"/>
      <c r="N5604"/>
      <c r="O5604"/>
      <c r="P5604"/>
      <c r="Q5604"/>
      <c r="R5604"/>
      <c r="S5604"/>
    </row>
    <row r="5605" spans="13:19" ht="13.95" customHeight="1">
      <c r="M5605"/>
      <c r="N5605"/>
      <c r="O5605"/>
      <c r="P5605"/>
      <c r="Q5605"/>
      <c r="R5605"/>
      <c r="S5605"/>
    </row>
    <row r="5606" spans="13:19" ht="13.95" customHeight="1">
      <c r="M5606"/>
      <c r="N5606"/>
      <c r="O5606"/>
      <c r="P5606"/>
      <c r="Q5606"/>
      <c r="R5606"/>
      <c r="S5606"/>
    </row>
    <row r="5607" spans="13:19" ht="13.95" customHeight="1">
      <c r="M5607"/>
      <c r="N5607"/>
      <c r="O5607"/>
      <c r="P5607"/>
      <c r="Q5607"/>
      <c r="R5607"/>
      <c r="S5607"/>
    </row>
    <row r="5608" spans="13:19" ht="13.95" customHeight="1">
      <c r="M5608"/>
      <c r="N5608"/>
      <c r="O5608"/>
      <c r="P5608"/>
      <c r="Q5608"/>
      <c r="R5608"/>
      <c r="S5608"/>
    </row>
    <row r="5609" spans="13:19" ht="13.95" customHeight="1">
      <c r="M5609"/>
      <c r="N5609"/>
      <c r="O5609"/>
      <c r="P5609"/>
      <c r="Q5609"/>
      <c r="R5609"/>
      <c r="S5609"/>
    </row>
    <row r="5610" spans="13:19" ht="13.95" customHeight="1">
      <c r="M5610"/>
      <c r="N5610"/>
      <c r="O5610"/>
      <c r="P5610"/>
      <c r="Q5610"/>
      <c r="R5610"/>
      <c r="S5610"/>
    </row>
    <row r="5611" spans="13:19" ht="13.95" customHeight="1">
      <c r="M5611"/>
      <c r="N5611"/>
      <c r="O5611"/>
      <c r="P5611"/>
      <c r="Q5611"/>
      <c r="R5611"/>
      <c r="S5611"/>
    </row>
    <row r="5612" spans="13:19" ht="13.95" customHeight="1">
      <c r="M5612"/>
      <c r="N5612"/>
      <c r="O5612"/>
      <c r="P5612"/>
      <c r="Q5612"/>
      <c r="R5612"/>
      <c r="S5612"/>
    </row>
    <row r="5613" spans="13:19" ht="13.95" customHeight="1">
      <c r="M5613"/>
      <c r="N5613"/>
      <c r="O5613"/>
      <c r="P5613"/>
      <c r="Q5613"/>
      <c r="R5613"/>
      <c r="S5613"/>
    </row>
    <row r="5614" spans="13:19" ht="13.95" customHeight="1">
      <c r="M5614"/>
      <c r="N5614"/>
      <c r="O5614"/>
      <c r="P5614"/>
      <c r="Q5614"/>
      <c r="R5614"/>
      <c r="S5614"/>
    </row>
    <row r="5615" spans="13:19" ht="13.95" customHeight="1">
      <c r="M5615"/>
      <c r="N5615"/>
      <c r="O5615"/>
      <c r="P5615"/>
      <c r="Q5615"/>
      <c r="R5615"/>
      <c r="S5615"/>
    </row>
    <row r="5616" spans="13:19" ht="13.95" customHeight="1">
      <c r="M5616"/>
      <c r="N5616"/>
      <c r="O5616"/>
      <c r="P5616"/>
      <c r="Q5616"/>
      <c r="R5616"/>
      <c r="S5616"/>
    </row>
    <row r="5617" spans="13:19" ht="13.95" customHeight="1">
      <c r="M5617"/>
      <c r="N5617"/>
      <c r="O5617"/>
      <c r="P5617"/>
      <c r="Q5617"/>
      <c r="R5617"/>
      <c r="S5617"/>
    </row>
    <row r="5618" spans="13:19" ht="13.95" customHeight="1">
      <c r="M5618"/>
      <c r="N5618"/>
      <c r="O5618"/>
      <c r="P5618"/>
      <c r="Q5618"/>
      <c r="R5618"/>
      <c r="S5618"/>
    </row>
    <row r="5619" spans="13:19" ht="13.95" customHeight="1">
      <c r="M5619"/>
      <c r="N5619"/>
      <c r="O5619"/>
      <c r="P5619"/>
      <c r="Q5619"/>
      <c r="R5619"/>
      <c r="S5619"/>
    </row>
    <row r="5620" spans="13:19" ht="13.95" customHeight="1">
      <c r="M5620"/>
      <c r="N5620"/>
      <c r="O5620"/>
      <c r="P5620"/>
      <c r="Q5620"/>
      <c r="R5620"/>
      <c r="S5620"/>
    </row>
    <row r="5621" spans="13:19" ht="13.95" customHeight="1">
      <c r="M5621"/>
      <c r="N5621"/>
      <c r="O5621"/>
      <c r="P5621"/>
      <c r="Q5621"/>
      <c r="R5621"/>
      <c r="S5621"/>
    </row>
    <row r="5622" spans="13:19" ht="13.95" customHeight="1">
      <c r="M5622"/>
      <c r="N5622"/>
      <c r="O5622"/>
      <c r="P5622"/>
      <c r="Q5622"/>
      <c r="R5622"/>
      <c r="S5622"/>
    </row>
    <row r="5623" spans="13:19" ht="13.95" customHeight="1">
      <c r="M5623"/>
      <c r="N5623"/>
      <c r="O5623"/>
      <c r="P5623"/>
      <c r="Q5623"/>
      <c r="R5623"/>
      <c r="S5623"/>
    </row>
    <row r="5624" spans="13:19" ht="13.95" customHeight="1">
      <c r="M5624"/>
      <c r="N5624"/>
      <c r="O5624"/>
      <c r="P5624"/>
      <c r="Q5624"/>
      <c r="R5624"/>
      <c r="S5624"/>
    </row>
    <row r="5625" spans="13:19" ht="13.95" customHeight="1">
      <c r="M5625"/>
      <c r="N5625"/>
      <c r="O5625"/>
      <c r="P5625"/>
      <c r="Q5625"/>
      <c r="R5625"/>
      <c r="S5625"/>
    </row>
    <row r="5626" spans="13:19" ht="13.95" customHeight="1">
      <c r="M5626"/>
      <c r="N5626"/>
      <c r="O5626"/>
      <c r="P5626"/>
      <c r="Q5626"/>
      <c r="R5626"/>
      <c r="S5626"/>
    </row>
    <row r="5627" spans="13:19" ht="13.95" customHeight="1">
      <c r="M5627"/>
      <c r="N5627"/>
      <c r="O5627"/>
      <c r="P5627"/>
      <c r="Q5627"/>
      <c r="R5627"/>
      <c r="S5627"/>
    </row>
    <row r="5628" spans="13:19" ht="13.95" customHeight="1">
      <c r="M5628"/>
      <c r="N5628"/>
      <c r="O5628"/>
      <c r="P5628"/>
      <c r="Q5628"/>
      <c r="R5628"/>
      <c r="S5628"/>
    </row>
    <row r="5629" spans="13:19" ht="13.95" customHeight="1">
      <c r="M5629"/>
      <c r="N5629"/>
      <c r="O5629"/>
      <c r="P5629"/>
      <c r="Q5629"/>
      <c r="R5629"/>
      <c r="S5629"/>
    </row>
    <row r="5630" spans="13:19" ht="13.95" customHeight="1">
      <c r="M5630"/>
      <c r="N5630"/>
      <c r="O5630"/>
      <c r="P5630"/>
      <c r="Q5630"/>
      <c r="R5630"/>
      <c r="S5630"/>
    </row>
    <row r="5631" spans="13:19" ht="13.95" customHeight="1">
      <c r="M5631"/>
      <c r="N5631"/>
      <c r="O5631"/>
      <c r="P5631"/>
      <c r="Q5631"/>
      <c r="R5631"/>
      <c r="S5631"/>
    </row>
    <row r="5632" spans="13:19" ht="13.95" customHeight="1">
      <c r="M5632"/>
      <c r="N5632"/>
      <c r="O5632"/>
      <c r="P5632"/>
      <c r="Q5632"/>
      <c r="R5632"/>
      <c r="S5632"/>
    </row>
    <row r="5633" spans="13:19" ht="13.95" customHeight="1">
      <c r="M5633"/>
      <c r="N5633"/>
      <c r="O5633"/>
      <c r="P5633"/>
      <c r="Q5633"/>
      <c r="R5633"/>
      <c r="S5633"/>
    </row>
    <row r="5634" spans="13:19" ht="13.95" customHeight="1">
      <c r="M5634"/>
      <c r="N5634"/>
      <c r="O5634"/>
      <c r="P5634"/>
      <c r="Q5634"/>
      <c r="R5634"/>
      <c r="S5634"/>
    </row>
    <row r="5635" spans="13:19" ht="13.95" customHeight="1">
      <c r="M5635"/>
      <c r="N5635"/>
      <c r="O5635"/>
      <c r="P5635"/>
      <c r="Q5635"/>
      <c r="R5635"/>
      <c r="S5635"/>
    </row>
    <row r="5636" spans="13:19" ht="13.95" customHeight="1">
      <c r="M5636"/>
      <c r="N5636"/>
      <c r="O5636"/>
      <c r="P5636"/>
      <c r="Q5636"/>
      <c r="R5636"/>
      <c r="S5636"/>
    </row>
    <row r="5637" spans="13:19" ht="13.95" customHeight="1">
      <c r="M5637"/>
      <c r="N5637"/>
      <c r="O5637"/>
      <c r="P5637"/>
      <c r="Q5637"/>
      <c r="R5637"/>
      <c r="S5637"/>
    </row>
    <row r="5638" spans="13:19" ht="13.95" customHeight="1">
      <c r="M5638"/>
      <c r="N5638"/>
      <c r="O5638"/>
      <c r="P5638"/>
      <c r="Q5638"/>
      <c r="R5638"/>
      <c r="S5638"/>
    </row>
    <row r="5639" spans="13:19" ht="13.95" customHeight="1">
      <c r="M5639"/>
      <c r="N5639"/>
      <c r="O5639"/>
      <c r="P5639"/>
      <c r="Q5639"/>
      <c r="R5639"/>
      <c r="S5639"/>
    </row>
    <row r="5640" spans="13:19" ht="13.95" customHeight="1">
      <c r="M5640"/>
      <c r="N5640"/>
      <c r="O5640"/>
      <c r="P5640"/>
      <c r="Q5640"/>
      <c r="R5640"/>
      <c r="S5640"/>
    </row>
    <row r="5641" spans="13:19" ht="13.95" customHeight="1">
      <c r="M5641"/>
      <c r="N5641"/>
      <c r="O5641"/>
      <c r="P5641"/>
      <c r="Q5641"/>
      <c r="R5641"/>
      <c r="S5641"/>
    </row>
    <row r="5642" spans="13:19" ht="13.95" customHeight="1">
      <c r="M5642"/>
      <c r="N5642"/>
      <c r="O5642"/>
      <c r="P5642"/>
      <c r="Q5642"/>
      <c r="R5642"/>
      <c r="S5642"/>
    </row>
    <row r="5643" spans="13:19" ht="13.95" customHeight="1">
      <c r="M5643"/>
      <c r="N5643"/>
      <c r="O5643"/>
      <c r="P5643"/>
      <c r="Q5643"/>
      <c r="R5643"/>
      <c r="S5643"/>
    </row>
    <row r="5644" spans="13:19" ht="13.95" customHeight="1">
      <c r="M5644"/>
      <c r="N5644"/>
      <c r="O5644"/>
      <c r="P5644"/>
      <c r="Q5644"/>
      <c r="R5644"/>
      <c r="S5644"/>
    </row>
    <row r="5645" spans="13:19" ht="13.95" customHeight="1">
      <c r="M5645"/>
      <c r="N5645"/>
      <c r="O5645"/>
      <c r="P5645"/>
      <c r="Q5645"/>
      <c r="R5645"/>
      <c r="S5645"/>
    </row>
    <row r="5646" spans="13:19" ht="13.95" customHeight="1">
      <c r="M5646"/>
      <c r="N5646"/>
      <c r="O5646"/>
      <c r="P5646"/>
      <c r="Q5646"/>
      <c r="R5646"/>
      <c r="S5646"/>
    </row>
    <row r="5647" spans="13:19" ht="13.95" customHeight="1">
      <c r="M5647"/>
      <c r="N5647"/>
      <c r="O5647"/>
      <c r="P5647"/>
      <c r="Q5647"/>
      <c r="R5647"/>
      <c r="S5647"/>
    </row>
    <row r="5648" spans="13:19" ht="13.95" customHeight="1">
      <c r="M5648"/>
      <c r="N5648"/>
      <c r="O5648"/>
      <c r="P5648"/>
      <c r="Q5648"/>
      <c r="R5648"/>
      <c r="S5648"/>
    </row>
    <row r="5649" spans="13:19" ht="13.95" customHeight="1">
      <c r="M5649"/>
      <c r="N5649"/>
      <c r="O5649"/>
      <c r="P5649"/>
      <c r="Q5649"/>
      <c r="R5649"/>
      <c r="S5649"/>
    </row>
    <row r="5650" spans="13:19" ht="13.95" customHeight="1">
      <c r="M5650"/>
      <c r="N5650"/>
      <c r="O5650"/>
      <c r="P5650"/>
      <c r="Q5650"/>
      <c r="R5650"/>
      <c r="S5650"/>
    </row>
    <row r="5651" spans="13:19" ht="13.95" customHeight="1">
      <c r="M5651"/>
      <c r="N5651"/>
      <c r="O5651"/>
      <c r="P5651"/>
      <c r="Q5651"/>
      <c r="R5651"/>
      <c r="S5651"/>
    </row>
    <row r="5652" spans="13:19" ht="13.95" customHeight="1">
      <c r="M5652"/>
      <c r="N5652"/>
      <c r="O5652"/>
      <c r="P5652"/>
      <c r="Q5652"/>
      <c r="R5652"/>
      <c r="S5652"/>
    </row>
    <row r="5653" spans="13:19" ht="13.95" customHeight="1">
      <c r="M5653"/>
      <c r="N5653"/>
      <c r="O5653"/>
      <c r="P5653"/>
      <c r="Q5653"/>
      <c r="R5653"/>
      <c r="S5653"/>
    </row>
    <row r="5654" spans="13:19" ht="13.95" customHeight="1">
      <c r="M5654"/>
      <c r="N5654"/>
      <c r="O5654"/>
      <c r="P5654"/>
      <c r="Q5654"/>
      <c r="R5654"/>
      <c r="S5654"/>
    </row>
    <row r="5655" spans="13:19" ht="13.95" customHeight="1">
      <c r="M5655"/>
      <c r="N5655"/>
      <c r="O5655"/>
      <c r="P5655"/>
      <c r="Q5655"/>
      <c r="R5655"/>
      <c r="S5655"/>
    </row>
    <row r="5656" spans="13:19" ht="13.95" customHeight="1">
      <c r="M5656"/>
      <c r="N5656"/>
      <c r="O5656"/>
      <c r="P5656"/>
      <c r="Q5656"/>
      <c r="R5656"/>
      <c r="S5656"/>
    </row>
    <row r="5657" spans="13:19" ht="13.95" customHeight="1">
      <c r="M5657"/>
      <c r="N5657"/>
      <c r="O5657"/>
      <c r="P5657"/>
      <c r="Q5657"/>
      <c r="R5657"/>
      <c r="S5657"/>
    </row>
    <row r="5658" spans="13:19" ht="13.95" customHeight="1">
      <c r="M5658"/>
      <c r="N5658"/>
      <c r="O5658"/>
      <c r="P5658"/>
      <c r="Q5658"/>
      <c r="R5658"/>
      <c r="S5658"/>
    </row>
    <row r="5659" spans="13:19" ht="13.95" customHeight="1">
      <c r="M5659"/>
      <c r="N5659"/>
      <c r="O5659"/>
      <c r="P5659"/>
      <c r="Q5659"/>
      <c r="R5659"/>
      <c r="S5659"/>
    </row>
    <row r="5660" spans="13:19" ht="13.95" customHeight="1">
      <c r="M5660"/>
      <c r="N5660"/>
      <c r="O5660"/>
      <c r="P5660"/>
      <c r="Q5660"/>
      <c r="R5660"/>
      <c r="S5660"/>
    </row>
    <row r="5661" spans="13:19" ht="13.95" customHeight="1">
      <c r="M5661"/>
      <c r="N5661"/>
      <c r="O5661"/>
      <c r="P5661"/>
      <c r="Q5661"/>
      <c r="R5661"/>
      <c r="S5661"/>
    </row>
    <row r="5662" spans="13:19" ht="13.95" customHeight="1">
      <c r="M5662"/>
      <c r="N5662"/>
      <c r="O5662"/>
      <c r="P5662"/>
      <c r="Q5662"/>
      <c r="R5662"/>
      <c r="S5662"/>
    </row>
    <row r="5663" spans="13:19" ht="13.95" customHeight="1">
      <c r="M5663"/>
      <c r="N5663"/>
      <c r="O5663"/>
      <c r="P5663"/>
      <c r="Q5663"/>
      <c r="R5663"/>
      <c r="S5663"/>
    </row>
    <row r="5664" spans="13:19" ht="13.95" customHeight="1">
      <c r="M5664"/>
      <c r="N5664"/>
      <c r="O5664"/>
      <c r="P5664"/>
      <c r="Q5664"/>
      <c r="R5664"/>
      <c r="S5664"/>
    </row>
    <row r="5665" spans="13:19" ht="13.95" customHeight="1">
      <c r="M5665"/>
      <c r="N5665"/>
      <c r="O5665"/>
      <c r="P5665"/>
      <c r="Q5665"/>
      <c r="R5665"/>
      <c r="S5665"/>
    </row>
    <row r="5666" spans="13:19" ht="13.95" customHeight="1">
      <c r="M5666"/>
      <c r="N5666"/>
      <c r="O5666"/>
      <c r="P5666"/>
      <c r="Q5666"/>
      <c r="R5666"/>
      <c r="S5666"/>
    </row>
    <row r="5667" spans="13:19" ht="13.95" customHeight="1">
      <c r="M5667"/>
      <c r="N5667"/>
      <c r="O5667"/>
      <c r="P5667"/>
      <c r="Q5667"/>
      <c r="R5667"/>
      <c r="S5667"/>
    </row>
    <row r="5668" spans="13:19" ht="13.95" customHeight="1">
      <c r="M5668"/>
      <c r="N5668"/>
      <c r="O5668"/>
      <c r="P5668"/>
      <c r="Q5668"/>
      <c r="R5668"/>
      <c r="S5668"/>
    </row>
    <row r="5669" spans="13:19" ht="13.95" customHeight="1">
      <c r="M5669"/>
      <c r="N5669"/>
      <c r="O5669"/>
      <c r="P5669"/>
      <c r="Q5669"/>
      <c r="R5669"/>
      <c r="S5669"/>
    </row>
    <row r="5670" spans="13:19" ht="13.95" customHeight="1">
      <c r="M5670"/>
      <c r="N5670"/>
      <c r="O5670"/>
      <c r="P5670"/>
      <c r="Q5670"/>
      <c r="R5670"/>
      <c r="S5670"/>
    </row>
    <row r="5671" spans="13:19" ht="13.95" customHeight="1">
      <c r="M5671"/>
      <c r="N5671"/>
      <c r="O5671"/>
      <c r="P5671"/>
      <c r="Q5671"/>
      <c r="R5671"/>
      <c r="S5671"/>
    </row>
    <row r="5672" spans="13:19" ht="13.95" customHeight="1">
      <c r="M5672"/>
      <c r="N5672"/>
      <c r="O5672"/>
      <c r="P5672"/>
      <c r="Q5672"/>
      <c r="R5672"/>
      <c r="S5672"/>
    </row>
    <row r="5673" spans="13:19" ht="13.95" customHeight="1">
      <c r="M5673"/>
      <c r="N5673"/>
      <c r="O5673"/>
      <c r="P5673"/>
      <c r="Q5673"/>
      <c r="R5673"/>
      <c r="S5673"/>
    </row>
    <row r="5674" spans="13:19" ht="13.95" customHeight="1">
      <c r="M5674"/>
      <c r="N5674"/>
      <c r="O5674"/>
      <c r="P5674"/>
      <c r="Q5674"/>
      <c r="R5674"/>
      <c r="S5674"/>
    </row>
    <row r="5675" spans="13:19" ht="13.95" customHeight="1">
      <c r="M5675"/>
      <c r="N5675"/>
      <c r="O5675"/>
      <c r="P5675"/>
      <c r="Q5675"/>
      <c r="R5675"/>
      <c r="S5675"/>
    </row>
    <row r="5676" spans="13:19" ht="13.95" customHeight="1">
      <c r="M5676"/>
      <c r="N5676"/>
      <c r="O5676"/>
      <c r="P5676"/>
      <c r="Q5676"/>
      <c r="R5676"/>
      <c r="S5676"/>
    </row>
    <row r="5677" spans="13:19" ht="13.95" customHeight="1">
      <c r="M5677"/>
      <c r="N5677"/>
      <c r="O5677"/>
      <c r="P5677"/>
      <c r="Q5677"/>
      <c r="R5677"/>
      <c r="S5677"/>
    </row>
    <row r="5678" spans="13:19" ht="13.95" customHeight="1">
      <c r="M5678"/>
      <c r="N5678"/>
      <c r="O5678"/>
      <c r="P5678"/>
      <c r="Q5678"/>
      <c r="R5678"/>
      <c r="S5678"/>
    </row>
    <row r="5679" spans="13:19" ht="13.95" customHeight="1">
      <c r="M5679"/>
      <c r="N5679"/>
      <c r="O5679"/>
      <c r="P5679"/>
      <c r="Q5679"/>
      <c r="R5679"/>
      <c r="S5679"/>
    </row>
    <row r="5680" spans="13:19" ht="13.95" customHeight="1">
      <c r="M5680"/>
      <c r="N5680"/>
      <c r="O5680"/>
      <c r="P5680"/>
      <c r="Q5680"/>
      <c r="R5680"/>
      <c r="S5680"/>
    </row>
    <row r="5681" spans="13:19" ht="13.95" customHeight="1">
      <c r="M5681"/>
      <c r="N5681"/>
      <c r="O5681"/>
      <c r="P5681"/>
      <c r="Q5681"/>
      <c r="R5681"/>
      <c r="S5681"/>
    </row>
    <row r="5682" spans="13:19" ht="13.95" customHeight="1">
      <c r="M5682"/>
      <c r="N5682"/>
      <c r="O5682"/>
      <c r="P5682"/>
      <c r="Q5682"/>
      <c r="R5682"/>
      <c r="S5682"/>
    </row>
    <row r="5683" spans="13:19" ht="13.95" customHeight="1">
      <c r="M5683"/>
      <c r="N5683"/>
      <c r="O5683"/>
      <c r="P5683"/>
      <c r="Q5683"/>
      <c r="R5683"/>
      <c r="S5683"/>
    </row>
    <row r="5684" spans="13:19" ht="13.95" customHeight="1">
      <c r="M5684"/>
      <c r="N5684"/>
      <c r="O5684"/>
      <c r="P5684"/>
      <c r="Q5684"/>
      <c r="R5684"/>
      <c r="S5684"/>
    </row>
    <row r="5685" spans="13:19" ht="13.95" customHeight="1">
      <c r="M5685"/>
      <c r="N5685"/>
      <c r="O5685"/>
      <c r="P5685"/>
      <c r="Q5685"/>
      <c r="R5685"/>
      <c r="S5685"/>
    </row>
    <row r="5686" spans="13:19" ht="13.95" customHeight="1">
      <c r="M5686"/>
      <c r="N5686"/>
      <c r="O5686"/>
      <c r="P5686"/>
      <c r="Q5686"/>
      <c r="R5686"/>
      <c r="S5686"/>
    </row>
    <row r="5687" spans="13:19" ht="13.95" customHeight="1">
      <c r="M5687"/>
      <c r="N5687"/>
      <c r="O5687"/>
      <c r="P5687"/>
      <c r="Q5687"/>
      <c r="R5687"/>
      <c r="S5687"/>
    </row>
    <row r="5688" spans="13:19" ht="13.95" customHeight="1">
      <c r="M5688"/>
      <c r="N5688"/>
      <c r="O5688"/>
      <c r="P5688"/>
      <c r="Q5688"/>
      <c r="R5688"/>
      <c r="S5688"/>
    </row>
    <row r="5689" spans="13:19" ht="13.95" customHeight="1">
      <c r="M5689"/>
      <c r="N5689"/>
      <c r="O5689"/>
      <c r="P5689"/>
      <c r="Q5689"/>
      <c r="R5689"/>
      <c r="S5689"/>
    </row>
    <row r="5690" spans="13:19" ht="13.95" customHeight="1">
      <c r="M5690"/>
      <c r="N5690"/>
      <c r="O5690"/>
      <c r="P5690"/>
      <c r="Q5690"/>
      <c r="R5690"/>
      <c r="S5690"/>
    </row>
    <row r="5691" spans="13:19" ht="13.95" customHeight="1">
      <c r="M5691"/>
      <c r="N5691"/>
      <c r="O5691"/>
      <c r="P5691"/>
      <c r="Q5691"/>
      <c r="R5691"/>
      <c r="S5691"/>
    </row>
    <row r="5692" spans="13:19" ht="13.95" customHeight="1">
      <c r="M5692"/>
      <c r="N5692"/>
      <c r="O5692"/>
      <c r="P5692"/>
      <c r="Q5692"/>
      <c r="R5692"/>
      <c r="S5692"/>
    </row>
    <row r="5693" spans="13:19" ht="13.95" customHeight="1">
      <c r="M5693"/>
      <c r="N5693"/>
      <c r="O5693"/>
      <c r="P5693"/>
      <c r="Q5693"/>
      <c r="R5693"/>
      <c r="S5693"/>
    </row>
    <row r="5694" spans="13:19" ht="13.95" customHeight="1">
      <c r="M5694"/>
      <c r="N5694"/>
      <c r="O5694"/>
      <c r="P5694"/>
      <c r="Q5694"/>
      <c r="R5694"/>
      <c r="S5694"/>
    </row>
    <row r="5695" spans="13:19" ht="13.95" customHeight="1">
      <c r="M5695"/>
      <c r="N5695"/>
      <c r="O5695"/>
      <c r="P5695"/>
      <c r="Q5695"/>
      <c r="R5695"/>
      <c r="S5695"/>
    </row>
    <row r="5696" spans="13:19" ht="13.95" customHeight="1">
      <c r="M5696"/>
      <c r="N5696"/>
      <c r="O5696"/>
      <c r="P5696"/>
      <c r="Q5696"/>
      <c r="R5696"/>
      <c r="S5696"/>
    </row>
    <row r="5697" spans="13:19" ht="13.95" customHeight="1">
      <c r="M5697"/>
      <c r="N5697"/>
      <c r="O5697"/>
      <c r="P5697"/>
      <c r="Q5697"/>
      <c r="R5697"/>
      <c r="S5697"/>
    </row>
    <row r="5698" spans="13:19" ht="13.95" customHeight="1">
      <c r="M5698"/>
      <c r="N5698"/>
      <c r="O5698"/>
      <c r="P5698"/>
      <c r="Q5698"/>
      <c r="R5698"/>
      <c r="S5698"/>
    </row>
    <row r="5699" spans="13:19" ht="13.95" customHeight="1">
      <c r="M5699"/>
      <c r="N5699"/>
      <c r="O5699"/>
      <c r="P5699"/>
      <c r="Q5699"/>
      <c r="R5699"/>
      <c r="S5699"/>
    </row>
    <row r="5700" spans="13:19" ht="13.95" customHeight="1">
      <c r="M5700"/>
      <c r="N5700"/>
      <c r="O5700"/>
      <c r="P5700"/>
      <c r="Q5700"/>
      <c r="R5700"/>
      <c r="S5700"/>
    </row>
    <row r="5701" spans="13:19" ht="13.95" customHeight="1">
      <c r="M5701"/>
      <c r="N5701"/>
      <c r="O5701"/>
      <c r="P5701"/>
      <c r="Q5701"/>
      <c r="R5701"/>
      <c r="S5701"/>
    </row>
    <row r="5702" spans="13:19" ht="13.95" customHeight="1">
      <c r="M5702"/>
      <c r="N5702"/>
      <c r="O5702"/>
      <c r="P5702"/>
      <c r="Q5702"/>
      <c r="R5702"/>
      <c r="S5702"/>
    </row>
    <row r="5703" spans="13:19" ht="13.95" customHeight="1">
      <c r="M5703"/>
      <c r="N5703"/>
      <c r="O5703"/>
      <c r="P5703"/>
      <c r="Q5703"/>
      <c r="R5703"/>
      <c r="S5703"/>
    </row>
    <row r="5704" spans="13:19" ht="13.95" customHeight="1">
      <c r="M5704"/>
      <c r="N5704"/>
      <c r="O5704"/>
      <c r="P5704"/>
      <c r="Q5704"/>
      <c r="R5704"/>
      <c r="S5704"/>
    </row>
    <row r="5705" spans="13:19" ht="13.95" customHeight="1">
      <c r="M5705"/>
      <c r="N5705"/>
      <c r="O5705"/>
      <c r="P5705"/>
      <c r="Q5705"/>
      <c r="R5705"/>
      <c r="S5705"/>
    </row>
    <row r="5706" spans="13:19" ht="13.95" customHeight="1">
      <c r="M5706"/>
      <c r="N5706"/>
      <c r="O5706"/>
      <c r="P5706"/>
      <c r="Q5706"/>
      <c r="R5706"/>
      <c r="S5706"/>
    </row>
    <row r="5707" spans="13:19" ht="13.95" customHeight="1">
      <c r="M5707"/>
      <c r="N5707"/>
      <c r="O5707"/>
      <c r="P5707"/>
      <c r="Q5707"/>
      <c r="R5707"/>
      <c r="S5707"/>
    </row>
    <row r="5708" spans="13:19" ht="13.95" customHeight="1">
      <c r="M5708"/>
      <c r="N5708"/>
      <c r="O5708"/>
      <c r="P5708"/>
      <c r="Q5708"/>
      <c r="R5708"/>
      <c r="S5708"/>
    </row>
    <row r="5709" spans="13:19" ht="13.95" customHeight="1">
      <c r="M5709"/>
      <c r="N5709"/>
      <c r="O5709"/>
      <c r="P5709"/>
      <c r="Q5709"/>
      <c r="R5709"/>
      <c r="S5709"/>
    </row>
    <row r="5710" spans="13:19" ht="13.95" customHeight="1">
      <c r="M5710"/>
      <c r="N5710"/>
      <c r="O5710"/>
      <c r="P5710"/>
      <c r="Q5710"/>
      <c r="R5710"/>
      <c r="S5710"/>
    </row>
    <row r="5711" spans="13:19" ht="13.95" customHeight="1">
      <c r="M5711"/>
      <c r="N5711"/>
      <c r="O5711"/>
      <c r="P5711"/>
      <c r="Q5711"/>
      <c r="R5711"/>
      <c r="S5711"/>
    </row>
    <row r="5712" spans="13:19" ht="13.95" customHeight="1">
      <c r="M5712"/>
      <c r="N5712"/>
      <c r="O5712"/>
      <c r="P5712"/>
      <c r="Q5712"/>
      <c r="R5712"/>
      <c r="S5712"/>
    </row>
    <row r="5713" spans="13:19" ht="13.95" customHeight="1">
      <c r="M5713"/>
      <c r="N5713"/>
      <c r="O5713"/>
      <c r="P5713"/>
      <c r="Q5713"/>
      <c r="R5713"/>
      <c r="S5713"/>
    </row>
    <row r="5714" spans="13:19" ht="13.95" customHeight="1">
      <c r="M5714"/>
      <c r="N5714"/>
      <c r="O5714"/>
      <c r="P5714"/>
      <c r="Q5714"/>
      <c r="R5714"/>
      <c r="S5714"/>
    </row>
    <row r="5715" spans="13:19" ht="13.95" customHeight="1">
      <c r="M5715"/>
      <c r="N5715"/>
      <c r="O5715"/>
      <c r="P5715"/>
      <c r="Q5715"/>
      <c r="R5715"/>
      <c r="S5715"/>
    </row>
    <row r="5716" spans="13:19" ht="13.95" customHeight="1">
      <c r="M5716"/>
      <c r="N5716"/>
      <c r="O5716"/>
      <c r="P5716"/>
      <c r="Q5716"/>
      <c r="R5716"/>
      <c r="S5716"/>
    </row>
    <row r="5717" spans="13:19" ht="13.95" customHeight="1">
      <c r="M5717"/>
      <c r="N5717"/>
      <c r="O5717"/>
      <c r="P5717"/>
      <c r="Q5717"/>
      <c r="R5717"/>
      <c r="S5717"/>
    </row>
    <row r="5718" spans="13:19" ht="13.95" customHeight="1">
      <c r="M5718"/>
      <c r="N5718"/>
      <c r="O5718"/>
      <c r="P5718"/>
      <c r="Q5718"/>
      <c r="R5718"/>
      <c r="S5718"/>
    </row>
    <row r="5719" spans="13:19" ht="13.95" customHeight="1">
      <c r="M5719"/>
      <c r="N5719"/>
      <c r="O5719"/>
      <c r="P5719"/>
      <c r="Q5719"/>
      <c r="R5719"/>
      <c r="S5719"/>
    </row>
    <row r="5720" spans="13:19" ht="13.95" customHeight="1">
      <c r="M5720"/>
      <c r="N5720"/>
      <c r="O5720"/>
      <c r="P5720"/>
      <c r="Q5720"/>
      <c r="R5720"/>
      <c r="S5720"/>
    </row>
    <row r="5721" spans="13:19" ht="13.95" customHeight="1">
      <c r="M5721"/>
      <c r="N5721"/>
      <c r="O5721"/>
      <c r="P5721"/>
      <c r="Q5721"/>
      <c r="R5721"/>
      <c r="S5721"/>
    </row>
    <row r="5722" spans="13:19" ht="13.95" customHeight="1">
      <c r="M5722"/>
      <c r="N5722"/>
      <c r="O5722"/>
      <c r="P5722"/>
      <c r="Q5722"/>
      <c r="R5722"/>
      <c r="S5722"/>
    </row>
    <row r="5723" spans="13:19" ht="13.95" customHeight="1">
      <c r="M5723"/>
      <c r="N5723"/>
      <c r="O5723"/>
      <c r="P5723"/>
      <c r="Q5723"/>
      <c r="R5723"/>
      <c r="S5723"/>
    </row>
    <row r="5724" spans="13:19" ht="13.95" customHeight="1">
      <c r="M5724"/>
      <c r="N5724"/>
      <c r="O5724"/>
      <c r="P5724"/>
      <c r="Q5724"/>
      <c r="R5724"/>
      <c r="S5724"/>
    </row>
    <row r="5725" spans="13:19" ht="13.95" customHeight="1">
      <c r="M5725"/>
      <c r="N5725"/>
      <c r="O5725"/>
      <c r="P5725"/>
      <c r="Q5725"/>
      <c r="R5725"/>
      <c r="S5725"/>
    </row>
    <row r="5726" spans="13:19" ht="13.95" customHeight="1">
      <c r="M5726"/>
      <c r="N5726"/>
      <c r="O5726"/>
      <c r="P5726"/>
      <c r="Q5726"/>
      <c r="R5726"/>
      <c r="S5726"/>
    </row>
    <row r="5727" spans="13:19" ht="13.95" customHeight="1">
      <c r="M5727"/>
      <c r="N5727"/>
      <c r="O5727"/>
      <c r="P5727"/>
      <c r="Q5727"/>
      <c r="R5727"/>
      <c r="S5727"/>
    </row>
    <row r="5728" spans="13:19" ht="13.95" customHeight="1">
      <c r="M5728"/>
      <c r="N5728"/>
      <c r="O5728"/>
      <c r="P5728"/>
      <c r="Q5728"/>
      <c r="R5728"/>
      <c r="S5728"/>
    </row>
    <row r="5729" spans="13:19" ht="13.95" customHeight="1">
      <c r="M5729"/>
      <c r="N5729"/>
      <c r="O5729"/>
      <c r="P5729"/>
      <c r="Q5729"/>
      <c r="R5729"/>
      <c r="S5729"/>
    </row>
    <row r="5730" spans="13:19" ht="13.95" customHeight="1">
      <c r="M5730"/>
      <c r="N5730"/>
      <c r="O5730"/>
      <c r="P5730"/>
      <c r="Q5730"/>
      <c r="R5730"/>
      <c r="S5730"/>
    </row>
    <row r="5731" spans="13:19" ht="13.95" customHeight="1">
      <c r="M5731"/>
      <c r="N5731"/>
      <c r="O5731"/>
      <c r="P5731"/>
      <c r="Q5731"/>
      <c r="R5731"/>
      <c r="S5731"/>
    </row>
    <row r="5732" spans="13:19" ht="13.95" customHeight="1">
      <c r="M5732"/>
      <c r="N5732"/>
      <c r="O5732"/>
      <c r="P5732"/>
      <c r="Q5732"/>
      <c r="R5732"/>
      <c r="S5732"/>
    </row>
    <row r="5733" spans="13:19" ht="13.95" customHeight="1">
      <c r="M5733"/>
      <c r="N5733"/>
      <c r="O5733"/>
      <c r="P5733"/>
      <c r="Q5733"/>
      <c r="R5733"/>
      <c r="S5733"/>
    </row>
    <row r="5734" spans="13:19" ht="13.95" customHeight="1">
      <c r="M5734"/>
      <c r="N5734"/>
      <c r="O5734"/>
      <c r="P5734"/>
      <c r="Q5734"/>
      <c r="R5734"/>
      <c r="S5734"/>
    </row>
    <row r="5735" spans="13:19" ht="13.95" customHeight="1">
      <c r="M5735"/>
      <c r="N5735"/>
      <c r="O5735"/>
      <c r="P5735"/>
      <c r="Q5735"/>
      <c r="R5735"/>
      <c r="S5735"/>
    </row>
    <row r="5736" spans="13:19" ht="13.95" customHeight="1">
      <c r="M5736"/>
      <c r="N5736"/>
      <c r="O5736"/>
      <c r="P5736"/>
      <c r="Q5736"/>
      <c r="R5736"/>
      <c r="S5736"/>
    </row>
    <row r="5737" spans="13:19" ht="13.95" customHeight="1">
      <c r="M5737"/>
      <c r="N5737"/>
      <c r="O5737"/>
      <c r="P5737"/>
      <c r="Q5737"/>
      <c r="R5737"/>
      <c r="S5737"/>
    </row>
    <row r="5738" spans="13:19" ht="13.95" customHeight="1">
      <c r="M5738"/>
      <c r="N5738"/>
      <c r="O5738"/>
      <c r="P5738"/>
      <c r="Q5738"/>
      <c r="R5738"/>
      <c r="S5738"/>
    </row>
    <row r="5739" spans="13:19" ht="13.95" customHeight="1">
      <c r="M5739"/>
      <c r="N5739"/>
      <c r="O5739"/>
      <c r="P5739"/>
      <c r="Q5739"/>
      <c r="R5739"/>
      <c r="S5739"/>
    </row>
    <row r="5740" spans="13:19" ht="13.95" customHeight="1">
      <c r="M5740"/>
      <c r="N5740"/>
      <c r="O5740"/>
      <c r="P5740"/>
      <c r="Q5740"/>
      <c r="R5740"/>
      <c r="S5740"/>
    </row>
    <row r="5741" spans="13:19" ht="13.95" customHeight="1">
      <c r="M5741"/>
      <c r="N5741"/>
      <c r="O5741"/>
      <c r="P5741"/>
      <c r="Q5741"/>
      <c r="R5741"/>
      <c r="S5741"/>
    </row>
    <row r="5742" spans="13:19" ht="13.95" customHeight="1">
      <c r="M5742"/>
      <c r="N5742"/>
      <c r="O5742"/>
      <c r="P5742"/>
      <c r="Q5742"/>
      <c r="R5742"/>
      <c r="S5742"/>
    </row>
    <row r="5743" spans="13:19" ht="13.95" customHeight="1">
      <c r="M5743"/>
      <c r="N5743"/>
      <c r="O5743"/>
      <c r="P5743"/>
      <c r="Q5743"/>
      <c r="R5743"/>
      <c r="S5743"/>
    </row>
    <row r="5744" spans="13:19" ht="13.95" customHeight="1">
      <c r="M5744"/>
      <c r="N5744"/>
      <c r="O5744"/>
      <c r="P5744"/>
      <c r="Q5744"/>
      <c r="R5744"/>
      <c r="S5744"/>
    </row>
    <row r="5745" spans="13:19" ht="13.95" customHeight="1">
      <c r="M5745"/>
      <c r="N5745"/>
      <c r="O5745"/>
      <c r="P5745"/>
      <c r="Q5745"/>
      <c r="R5745"/>
      <c r="S5745"/>
    </row>
    <row r="5746" spans="13:19" ht="13.95" customHeight="1">
      <c r="M5746"/>
      <c r="N5746"/>
      <c r="O5746"/>
      <c r="P5746"/>
      <c r="Q5746"/>
      <c r="R5746"/>
      <c r="S5746"/>
    </row>
    <row r="5747" spans="13:19" ht="13.95" customHeight="1">
      <c r="M5747"/>
      <c r="N5747"/>
      <c r="O5747"/>
      <c r="P5747"/>
      <c r="Q5747"/>
      <c r="R5747"/>
      <c r="S5747"/>
    </row>
    <row r="5748" spans="13:19" ht="13.95" customHeight="1">
      <c r="M5748"/>
      <c r="N5748"/>
      <c r="O5748"/>
      <c r="P5748"/>
      <c r="Q5748"/>
      <c r="R5748"/>
      <c r="S5748"/>
    </row>
    <row r="5749" spans="13:19" ht="13.95" customHeight="1">
      <c r="M5749"/>
      <c r="N5749"/>
      <c r="O5749"/>
      <c r="P5749"/>
      <c r="Q5749"/>
      <c r="R5749"/>
      <c r="S5749"/>
    </row>
    <row r="5750" spans="13:19" ht="13.95" customHeight="1">
      <c r="M5750"/>
      <c r="N5750"/>
      <c r="O5750"/>
      <c r="P5750"/>
      <c r="Q5750"/>
      <c r="R5750"/>
      <c r="S5750"/>
    </row>
    <row r="5751" spans="13:19" ht="13.95" customHeight="1">
      <c r="M5751"/>
      <c r="N5751"/>
      <c r="O5751"/>
      <c r="P5751"/>
      <c r="Q5751"/>
      <c r="R5751"/>
      <c r="S5751"/>
    </row>
    <row r="5752" spans="13:19" ht="13.95" customHeight="1">
      <c r="M5752"/>
      <c r="N5752"/>
      <c r="O5752"/>
      <c r="P5752"/>
      <c r="Q5752"/>
      <c r="R5752"/>
      <c r="S5752"/>
    </row>
    <row r="5753" spans="13:19" ht="13.95" customHeight="1">
      <c r="M5753"/>
      <c r="N5753"/>
      <c r="O5753"/>
      <c r="P5753"/>
      <c r="Q5753"/>
      <c r="R5753"/>
      <c r="S5753"/>
    </row>
    <row r="5754" spans="13:19" ht="13.95" customHeight="1">
      <c r="M5754"/>
      <c r="N5754"/>
      <c r="O5754"/>
      <c r="P5754"/>
      <c r="Q5754"/>
      <c r="R5754"/>
      <c r="S5754"/>
    </row>
    <row r="5755" spans="13:19" ht="13.95" customHeight="1">
      <c r="M5755"/>
      <c r="N5755"/>
      <c r="O5755"/>
      <c r="P5755"/>
      <c r="Q5755"/>
      <c r="R5755"/>
      <c r="S5755"/>
    </row>
    <row r="5756" spans="13:19" ht="13.95" customHeight="1">
      <c r="M5756"/>
      <c r="N5756"/>
      <c r="O5756"/>
      <c r="P5756"/>
      <c r="Q5756"/>
      <c r="R5756"/>
      <c r="S5756"/>
    </row>
    <row r="5757" spans="13:19" ht="13.95" customHeight="1">
      <c r="M5757"/>
      <c r="N5757"/>
      <c r="O5757"/>
      <c r="P5757"/>
      <c r="Q5757"/>
      <c r="R5757"/>
      <c r="S5757"/>
    </row>
    <row r="5758" spans="13:19" ht="13.95" customHeight="1">
      <c r="M5758"/>
      <c r="N5758"/>
      <c r="O5758"/>
      <c r="P5758"/>
      <c r="Q5758"/>
      <c r="R5758"/>
      <c r="S5758"/>
    </row>
    <row r="5759" spans="13:19" ht="13.95" customHeight="1">
      <c r="M5759"/>
      <c r="N5759"/>
      <c r="O5759"/>
      <c r="P5759"/>
      <c r="Q5759"/>
      <c r="R5759"/>
      <c r="S5759"/>
    </row>
    <row r="5760" spans="13:19" ht="13.95" customHeight="1">
      <c r="M5760"/>
      <c r="N5760"/>
      <c r="O5760"/>
      <c r="P5760"/>
      <c r="Q5760"/>
      <c r="R5760"/>
      <c r="S5760"/>
    </row>
    <row r="5761" spans="13:19" ht="13.95" customHeight="1">
      <c r="M5761"/>
      <c r="N5761"/>
      <c r="O5761"/>
      <c r="P5761"/>
      <c r="Q5761"/>
      <c r="R5761"/>
      <c r="S5761"/>
    </row>
    <row r="5762" spans="13:19" ht="13.95" customHeight="1">
      <c r="M5762"/>
      <c r="N5762"/>
      <c r="O5762"/>
      <c r="P5762"/>
      <c r="Q5762"/>
      <c r="R5762"/>
      <c r="S5762"/>
    </row>
    <row r="5763" spans="13:19" ht="13.95" customHeight="1">
      <c r="M5763"/>
      <c r="N5763"/>
      <c r="O5763"/>
      <c r="P5763"/>
      <c r="Q5763"/>
      <c r="R5763"/>
      <c r="S5763"/>
    </row>
    <row r="5764" spans="13:19" ht="13.95" customHeight="1">
      <c r="M5764"/>
      <c r="N5764"/>
      <c r="O5764"/>
      <c r="P5764"/>
      <c r="Q5764"/>
      <c r="R5764"/>
      <c r="S5764"/>
    </row>
    <row r="5765" spans="13:19" ht="13.95" customHeight="1">
      <c r="M5765"/>
      <c r="N5765"/>
      <c r="O5765"/>
      <c r="P5765"/>
      <c r="Q5765"/>
      <c r="R5765"/>
      <c r="S5765"/>
    </row>
    <row r="5766" spans="13:19" ht="13.95" customHeight="1">
      <c r="M5766"/>
      <c r="N5766"/>
      <c r="O5766"/>
      <c r="P5766"/>
      <c r="Q5766"/>
      <c r="R5766"/>
      <c r="S5766"/>
    </row>
    <row r="5767" spans="13:19" ht="13.95" customHeight="1">
      <c r="M5767"/>
      <c r="N5767"/>
      <c r="O5767"/>
      <c r="P5767"/>
      <c r="Q5767"/>
      <c r="R5767"/>
      <c r="S5767"/>
    </row>
    <row r="5768" spans="13:19" ht="13.95" customHeight="1">
      <c r="M5768"/>
      <c r="N5768"/>
      <c r="O5768"/>
      <c r="P5768"/>
      <c r="Q5768"/>
      <c r="R5768"/>
      <c r="S5768"/>
    </row>
    <row r="5769" spans="13:19" ht="13.95" customHeight="1">
      <c r="M5769"/>
      <c r="N5769"/>
      <c r="O5769"/>
      <c r="P5769"/>
      <c r="Q5769"/>
      <c r="R5769"/>
      <c r="S5769"/>
    </row>
    <row r="5770" spans="13:19" ht="13.95" customHeight="1">
      <c r="M5770"/>
      <c r="N5770"/>
      <c r="O5770"/>
      <c r="P5770"/>
      <c r="Q5770"/>
      <c r="R5770"/>
      <c r="S5770"/>
    </row>
    <row r="5771" spans="13:19" ht="13.95" customHeight="1">
      <c r="M5771"/>
      <c r="N5771"/>
      <c r="O5771"/>
      <c r="P5771"/>
      <c r="Q5771"/>
      <c r="R5771"/>
      <c r="S5771"/>
    </row>
    <row r="5772" spans="13:19" ht="13.95" customHeight="1">
      <c r="M5772"/>
      <c r="N5772"/>
      <c r="O5772"/>
      <c r="P5772"/>
      <c r="Q5772"/>
      <c r="R5772"/>
      <c r="S5772"/>
    </row>
    <row r="5773" spans="13:19" ht="13.95" customHeight="1">
      <c r="M5773"/>
      <c r="N5773"/>
      <c r="O5773"/>
      <c r="P5773"/>
      <c r="Q5773"/>
      <c r="R5773"/>
      <c r="S5773"/>
    </row>
    <row r="5774" spans="13:19" ht="13.95" customHeight="1">
      <c r="M5774"/>
      <c r="N5774"/>
      <c r="O5774"/>
      <c r="P5774"/>
      <c r="Q5774"/>
      <c r="R5774"/>
      <c r="S5774"/>
    </row>
    <row r="5775" spans="13:19" ht="13.95" customHeight="1">
      <c r="M5775"/>
      <c r="N5775"/>
      <c r="O5775"/>
      <c r="P5775"/>
      <c r="Q5775"/>
      <c r="R5775"/>
      <c r="S5775"/>
    </row>
    <row r="5776" spans="13:19" ht="13.95" customHeight="1">
      <c r="M5776"/>
      <c r="N5776"/>
      <c r="O5776"/>
      <c r="P5776"/>
      <c r="Q5776"/>
      <c r="R5776"/>
      <c r="S5776"/>
    </row>
    <row r="5777" spans="13:19" ht="13.95" customHeight="1">
      <c r="M5777"/>
      <c r="N5777"/>
      <c r="O5777"/>
      <c r="P5777"/>
      <c r="Q5777"/>
      <c r="R5777"/>
      <c r="S5777"/>
    </row>
    <row r="5778" spans="13:19" ht="13.95" customHeight="1">
      <c r="M5778"/>
      <c r="N5778"/>
      <c r="O5778"/>
      <c r="P5778"/>
      <c r="Q5778"/>
      <c r="R5778"/>
      <c r="S5778"/>
    </row>
    <row r="5779" spans="13:19" ht="13.95" customHeight="1">
      <c r="M5779"/>
      <c r="N5779"/>
      <c r="O5779"/>
      <c r="P5779"/>
      <c r="Q5779"/>
      <c r="R5779"/>
      <c r="S5779"/>
    </row>
    <row r="5780" spans="13:19" ht="13.95" customHeight="1">
      <c r="M5780"/>
      <c r="N5780"/>
      <c r="O5780"/>
      <c r="P5780"/>
      <c r="Q5780"/>
      <c r="R5780"/>
      <c r="S5780"/>
    </row>
    <row r="5781" spans="13:19" ht="13.95" customHeight="1">
      <c r="M5781"/>
      <c r="N5781"/>
      <c r="O5781"/>
      <c r="P5781"/>
      <c r="Q5781"/>
      <c r="R5781"/>
      <c r="S5781"/>
    </row>
    <row r="5782" spans="13:19" ht="13.95" customHeight="1">
      <c r="M5782"/>
      <c r="N5782"/>
      <c r="O5782"/>
      <c r="P5782"/>
      <c r="Q5782"/>
      <c r="R5782"/>
      <c r="S5782"/>
    </row>
    <row r="5783" spans="13:19" ht="13.95" customHeight="1">
      <c r="M5783"/>
      <c r="N5783"/>
      <c r="O5783"/>
      <c r="P5783"/>
      <c r="Q5783"/>
      <c r="R5783"/>
      <c r="S5783"/>
    </row>
    <row r="5784" spans="13:19" ht="13.95" customHeight="1">
      <c r="M5784"/>
      <c r="N5784"/>
      <c r="O5784"/>
      <c r="P5784"/>
      <c r="Q5784"/>
      <c r="R5784"/>
      <c r="S5784"/>
    </row>
    <row r="5785" spans="13:19" ht="13.95" customHeight="1">
      <c r="M5785"/>
      <c r="N5785"/>
      <c r="O5785"/>
      <c r="P5785"/>
      <c r="Q5785"/>
      <c r="R5785"/>
      <c r="S5785"/>
    </row>
    <row r="5786" spans="13:19" ht="13.95" customHeight="1">
      <c r="M5786"/>
      <c r="N5786"/>
      <c r="O5786"/>
      <c r="P5786"/>
      <c r="Q5786"/>
      <c r="R5786"/>
      <c r="S5786"/>
    </row>
    <row r="5787" spans="13:19" ht="13.95" customHeight="1">
      <c r="M5787"/>
      <c r="N5787"/>
      <c r="O5787"/>
      <c r="P5787"/>
      <c r="Q5787"/>
      <c r="R5787"/>
      <c r="S5787"/>
    </row>
    <row r="5788" spans="13:19" ht="13.95" customHeight="1">
      <c r="M5788"/>
      <c r="N5788"/>
      <c r="O5788"/>
      <c r="P5788"/>
      <c r="Q5788"/>
      <c r="R5788"/>
      <c r="S5788"/>
    </row>
    <row r="5789" spans="13:19" ht="13.95" customHeight="1">
      <c r="M5789"/>
      <c r="N5789"/>
      <c r="O5789"/>
      <c r="P5789"/>
      <c r="Q5789"/>
      <c r="R5789"/>
      <c r="S5789"/>
    </row>
    <row r="5790" spans="13:19" ht="13.95" customHeight="1">
      <c r="M5790"/>
      <c r="N5790"/>
      <c r="O5790"/>
      <c r="P5790"/>
      <c r="Q5790"/>
      <c r="R5790"/>
      <c r="S5790"/>
    </row>
    <row r="5791" spans="13:19" ht="13.95" customHeight="1">
      <c r="M5791"/>
      <c r="N5791"/>
      <c r="O5791"/>
      <c r="P5791"/>
      <c r="Q5791"/>
      <c r="R5791"/>
      <c r="S5791"/>
    </row>
    <row r="5792" spans="13:19" ht="13.95" customHeight="1">
      <c r="M5792"/>
      <c r="N5792"/>
      <c r="O5792"/>
      <c r="P5792"/>
      <c r="Q5792"/>
      <c r="R5792"/>
      <c r="S5792"/>
    </row>
    <row r="5793" spans="13:19" ht="13.95" customHeight="1">
      <c r="M5793"/>
      <c r="N5793"/>
      <c r="O5793"/>
      <c r="P5793"/>
      <c r="Q5793"/>
      <c r="R5793"/>
      <c r="S5793"/>
    </row>
    <row r="5794" spans="13:19" ht="13.95" customHeight="1">
      <c r="M5794"/>
      <c r="N5794"/>
      <c r="O5794"/>
      <c r="P5794"/>
      <c r="Q5794"/>
      <c r="R5794"/>
      <c r="S5794"/>
    </row>
    <row r="5795" spans="13:19" ht="13.95" customHeight="1">
      <c r="M5795"/>
      <c r="N5795"/>
      <c r="O5795"/>
      <c r="P5795"/>
      <c r="Q5795"/>
      <c r="R5795"/>
      <c r="S5795"/>
    </row>
    <row r="5796" spans="13:19" ht="13.95" customHeight="1">
      <c r="M5796"/>
      <c r="N5796"/>
      <c r="O5796"/>
      <c r="P5796"/>
      <c r="Q5796"/>
      <c r="R5796"/>
      <c r="S5796"/>
    </row>
    <row r="5797" spans="13:19" ht="13.95" customHeight="1">
      <c r="M5797"/>
      <c r="N5797"/>
      <c r="O5797"/>
      <c r="P5797"/>
      <c r="Q5797"/>
      <c r="R5797"/>
      <c r="S5797"/>
    </row>
    <row r="5798" spans="13:19" ht="13.95" customHeight="1">
      <c r="M5798"/>
      <c r="N5798"/>
      <c r="O5798"/>
      <c r="P5798"/>
      <c r="Q5798"/>
      <c r="R5798"/>
      <c r="S5798"/>
    </row>
    <row r="5799" spans="13:19" ht="13.95" customHeight="1">
      <c r="M5799"/>
      <c r="N5799"/>
      <c r="O5799"/>
      <c r="P5799"/>
      <c r="Q5799"/>
      <c r="R5799"/>
      <c r="S5799"/>
    </row>
    <row r="5800" spans="13:19" ht="13.95" customHeight="1">
      <c r="M5800"/>
      <c r="N5800"/>
      <c r="O5800"/>
      <c r="P5800"/>
      <c r="Q5800"/>
      <c r="R5800"/>
      <c r="S5800"/>
    </row>
    <row r="5801" spans="13:19" ht="13.95" customHeight="1">
      <c r="M5801"/>
      <c r="N5801"/>
      <c r="O5801"/>
      <c r="P5801"/>
      <c r="Q5801"/>
      <c r="R5801"/>
      <c r="S5801"/>
    </row>
    <row r="5802" spans="13:19" ht="13.95" customHeight="1">
      <c r="M5802"/>
      <c r="N5802"/>
      <c r="O5802"/>
      <c r="P5802"/>
      <c r="Q5802"/>
      <c r="R5802"/>
      <c r="S5802"/>
    </row>
    <row r="5803" spans="13:19" ht="13.95" customHeight="1">
      <c r="M5803"/>
      <c r="N5803"/>
      <c r="O5803"/>
      <c r="P5803"/>
      <c r="Q5803"/>
      <c r="R5803"/>
      <c r="S5803"/>
    </row>
    <row r="5804" spans="13:19" ht="13.95" customHeight="1">
      <c r="M5804"/>
      <c r="N5804"/>
      <c r="O5804"/>
      <c r="P5804"/>
      <c r="Q5804"/>
      <c r="R5804"/>
      <c r="S5804"/>
    </row>
    <row r="5805" spans="13:19" ht="13.95" customHeight="1">
      <c r="M5805"/>
      <c r="N5805"/>
      <c r="O5805"/>
      <c r="P5805"/>
      <c r="Q5805"/>
      <c r="R5805"/>
      <c r="S5805"/>
    </row>
    <row r="5806" spans="13:19" ht="13.95" customHeight="1">
      <c r="M5806"/>
      <c r="N5806"/>
      <c r="O5806"/>
      <c r="P5806"/>
      <c r="Q5806"/>
      <c r="R5806"/>
      <c r="S5806"/>
    </row>
    <row r="5807" spans="13:19" ht="13.95" customHeight="1">
      <c r="M5807"/>
      <c r="N5807"/>
      <c r="O5807"/>
      <c r="P5807"/>
      <c r="Q5807"/>
      <c r="R5807"/>
      <c r="S5807"/>
    </row>
    <row r="5808" spans="13:19" ht="13.95" customHeight="1">
      <c r="M5808"/>
      <c r="N5808"/>
      <c r="O5808"/>
      <c r="P5808"/>
      <c r="Q5808"/>
      <c r="R5808"/>
      <c r="S5808"/>
    </row>
    <row r="5809" spans="13:19" ht="13.95" customHeight="1">
      <c r="M5809"/>
      <c r="N5809"/>
      <c r="O5809"/>
      <c r="P5809"/>
      <c r="Q5809"/>
      <c r="R5809"/>
      <c r="S5809"/>
    </row>
    <row r="5810" spans="13:19" ht="13.95" customHeight="1">
      <c r="M5810"/>
      <c r="N5810"/>
      <c r="O5810"/>
      <c r="P5810"/>
      <c r="Q5810"/>
      <c r="R5810"/>
      <c r="S5810"/>
    </row>
    <row r="5811" spans="13:19" ht="13.95" customHeight="1">
      <c r="M5811"/>
      <c r="N5811"/>
      <c r="O5811"/>
      <c r="P5811"/>
      <c r="Q5811"/>
      <c r="R5811"/>
      <c r="S5811"/>
    </row>
    <row r="5812" spans="13:19" ht="13.95" customHeight="1">
      <c r="M5812"/>
      <c r="N5812"/>
      <c r="O5812"/>
      <c r="P5812"/>
      <c r="Q5812"/>
      <c r="R5812"/>
      <c r="S5812"/>
    </row>
    <row r="5813" spans="13:19" ht="13.95" customHeight="1">
      <c r="M5813"/>
      <c r="N5813"/>
      <c r="O5813"/>
      <c r="P5813"/>
      <c r="Q5813"/>
      <c r="R5813"/>
      <c r="S5813"/>
    </row>
    <row r="5814" spans="13:19" ht="13.95" customHeight="1">
      <c r="M5814"/>
      <c r="N5814"/>
      <c r="O5814"/>
      <c r="P5814"/>
      <c r="Q5814"/>
      <c r="R5814"/>
      <c r="S5814"/>
    </row>
    <row r="5815" spans="13:19" ht="13.95" customHeight="1">
      <c r="M5815"/>
      <c r="N5815"/>
      <c r="O5815"/>
      <c r="P5815"/>
      <c r="Q5815"/>
      <c r="R5815"/>
      <c r="S5815"/>
    </row>
    <row r="5816" spans="13:19" ht="13.95" customHeight="1">
      <c r="M5816"/>
      <c r="N5816"/>
      <c r="O5816"/>
      <c r="P5816"/>
      <c r="Q5816"/>
      <c r="R5816"/>
      <c r="S5816"/>
    </row>
    <row r="5817" spans="13:19" ht="13.95" customHeight="1">
      <c r="M5817"/>
      <c r="N5817"/>
      <c r="O5817"/>
      <c r="P5817"/>
      <c r="Q5817"/>
      <c r="R5817"/>
      <c r="S5817"/>
    </row>
    <row r="5818" spans="13:19" ht="13.95" customHeight="1">
      <c r="M5818"/>
      <c r="N5818"/>
      <c r="O5818"/>
      <c r="P5818"/>
      <c r="Q5818"/>
      <c r="R5818"/>
      <c r="S5818"/>
    </row>
    <row r="5819" spans="13:19" ht="13.95" customHeight="1">
      <c r="M5819"/>
      <c r="N5819"/>
      <c r="O5819"/>
      <c r="P5819"/>
      <c r="Q5819"/>
      <c r="R5819"/>
      <c r="S5819"/>
    </row>
    <row r="5820" spans="13:19" ht="13.95" customHeight="1">
      <c r="M5820"/>
      <c r="N5820"/>
      <c r="O5820"/>
      <c r="P5820"/>
      <c r="Q5820"/>
      <c r="R5820"/>
      <c r="S5820"/>
    </row>
    <row r="5821" spans="13:19" ht="13.95" customHeight="1">
      <c r="M5821"/>
      <c r="N5821"/>
      <c r="O5821"/>
      <c r="P5821"/>
      <c r="Q5821"/>
      <c r="R5821"/>
      <c r="S5821"/>
    </row>
    <row r="5822" spans="13:19" ht="13.95" customHeight="1">
      <c r="M5822"/>
      <c r="N5822"/>
      <c r="O5822"/>
      <c r="P5822"/>
      <c r="Q5822"/>
      <c r="R5822"/>
      <c r="S5822"/>
    </row>
    <row r="5823" spans="13:19" ht="13.95" customHeight="1">
      <c r="M5823"/>
      <c r="N5823"/>
      <c r="O5823"/>
      <c r="P5823"/>
      <c r="Q5823"/>
      <c r="R5823"/>
      <c r="S5823"/>
    </row>
    <row r="5824" spans="13:19" ht="13.95" customHeight="1">
      <c r="M5824"/>
      <c r="N5824"/>
      <c r="O5824"/>
      <c r="P5824"/>
      <c r="Q5824"/>
      <c r="R5824"/>
      <c r="S5824"/>
    </row>
    <row r="5825" spans="13:19" ht="13.95" customHeight="1">
      <c r="M5825"/>
      <c r="N5825"/>
      <c r="O5825"/>
      <c r="P5825"/>
      <c r="Q5825"/>
      <c r="R5825"/>
      <c r="S5825"/>
    </row>
    <row r="5826" spans="13:19" ht="13.95" customHeight="1">
      <c r="M5826"/>
      <c r="N5826"/>
      <c r="O5826"/>
      <c r="P5826"/>
      <c r="Q5826"/>
      <c r="R5826"/>
      <c r="S5826"/>
    </row>
    <row r="5827" spans="13:19" ht="13.95" customHeight="1">
      <c r="M5827"/>
      <c r="N5827"/>
      <c r="O5827"/>
      <c r="P5827"/>
      <c r="Q5827"/>
      <c r="R5827"/>
      <c r="S5827"/>
    </row>
    <row r="5828" spans="13:19" ht="13.95" customHeight="1">
      <c r="M5828"/>
      <c r="N5828"/>
      <c r="O5828"/>
      <c r="P5828"/>
      <c r="Q5828"/>
      <c r="R5828"/>
      <c r="S5828"/>
    </row>
    <row r="5829" spans="13:19" ht="13.95" customHeight="1">
      <c r="M5829"/>
      <c r="N5829"/>
      <c r="O5829"/>
      <c r="P5829"/>
      <c r="Q5829"/>
      <c r="R5829"/>
      <c r="S5829"/>
    </row>
    <row r="5830" spans="13:19" ht="13.95" customHeight="1">
      <c r="M5830"/>
      <c r="N5830"/>
      <c r="O5830"/>
      <c r="P5830"/>
      <c r="Q5830"/>
      <c r="R5830"/>
      <c r="S5830"/>
    </row>
    <row r="5831" spans="13:19" ht="13.95" customHeight="1">
      <c r="M5831"/>
      <c r="N5831"/>
      <c r="O5831"/>
      <c r="P5831"/>
      <c r="Q5831"/>
      <c r="R5831"/>
      <c r="S5831"/>
    </row>
    <row r="5832" spans="13:19" ht="13.95" customHeight="1">
      <c r="M5832"/>
      <c r="N5832"/>
      <c r="O5832"/>
      <c r="P5832"/>
      <c r="Q5832"/>
      <c r="R5832"/>
      <c r="S5832"/>
    </row>
    <row r="5833" spans="13:19" ht="13.95" customHeight="1">
      <c r="M5833"/>
      <c r="N5833"/>
      <c r="O5833"/>
      <c r="P5833"/>
      <c r="Q5833"/>
      <c r="R5833"/>
      <c r="S5833"/>
    </row>
    <row r="5834" spans="13:19" ht="13.95" customHeight="1">
      <c r="M5834"/>
      <c r="N5834"/>
      <c r="O5834"/>
      <c r="P5834"/>
      <c r="Q5834"/>
      <c r="R5834"/>
      <c r="S5834"/>
    </row>
    <row r="5835" spans="13:19" ht="13.95" customHeight="1">
      <c r="M5835"/>
      <c r="N5835"/>
      <c r="O5835"/>
      <c r="P5835"/>
      <c r="Q5835"/>
      <c r="R5835"/>
      <c r="S5835"/>
    </row>
    <row r="5836" spans="13:19" ht="13.95" customHeight="1">
      <c r="M5836"/>
      <c r="N5836"/>
      <c r="O5836"/>
      <c r="P5836"/>
      <c r="Q5836"/>
      <c r="R5836"/>
      <c r="S5836"/>
    </row>
    <row r="5837" spans="13:19" ht="13.95" customHeight="1">
      <c r="M5837"/>
      <c r="N5837"/>
      <c r="O5837"/>
      <c r="P5837"/>
      <c r="Q5837"/>
      <c r="R5837"/>
      <c r="S5837"/>
    </row>
    <row r="5838" spans="13:19" ht="13.95" customHeight="1">
      <c r="M5838"/>
      <c r="N5838"/>
      <c r="O5838"/>
      <c r="P5838"/>
      <c r="Q5838"/>
      <c r="R5838"/>
      <c r="S5838"/>
    </row>
    <row r="5839" spans="13:19" ht="13.95" customHeight="1">
      <c r="M5839"/>
      <c r="N5839"/>
      <c r="O5839"/>
      <c r="P5839"/>
      <c r="Q5839"/>
      <c r="R5839"/>
      <c r="S5839"/>
    </row>
    <row r="5840" spans="13:19" ht="13.95" customHeight="1">
      <c r="M5840"/>
      <c r="N5840"/>
      <c r="O5840"/>
      <c r="P5840"/>
      <c r="Q5840"/>
      <c r="R5840"/>
      <c r="S5840"/>
    </row>
    <row r="5841" spans="13:19" ht="13.95" customHeight="1">
      <c r="M5841"/>
      <c r="N5841"/>
      <c r="O5841"/>
      <c r="P5841"/>
      <c r="Q5841"/>
      <c r="R5841"/>
      <c r="S5841"/>
    </row>
    <row r="5842" spans="13:19" ht="13.95" customHeight="1">
      <c r="M5842"/>
      <c r="N5842"/>
      <c r="O5842"/>
      <c r="P5842"/>
      <c r="Q5842"/>
      <c r="R5842"/>
      <c r="S5842"/>
    </row>
    <row r="5843" spans="13:19" ht="13.95" customHeight="1">
      <c r="M5843"/>
      <c r="N5843"/>
      <c r="O5843"/>
      <c r="P5843"/>
      <c r="Q5843"/>
      <c r="R5843"/>
      <c r="S5843"/>
    </row>
    <row r="5844" spans="13:19" ht="13.95" customHeight="1">
      <c r="M5844"/>
      <c r="N5844"/>
      <c r="O5844"/>
      <c r="P5844"/>
      <c r="Q5844"/>
      <c r="R5844"/>
      <c r="S5844"/>
    </row>
    <row r="5845" spans="13:19" ht="13.95" customHeight="1">
      <c r="M5845"/>
      <c r="N5845"/>
      <c r="O5845"/>
      <c r="P5845"/>
      <c r="Q5845"/>
      <c r="R5845"/>
      <c r="S5845"/>
    </row>
    <row r="5846" spans="13:19" ht="13.95" customHeight="1">
      <c r="M5846"/>
      <c r="N5846"/>
      <c r="O5846"/>
      <c r="P5846"/>
      <c r="Q5846"/>
      <c r="R5846"/>
      <c r="S5846"/>
    </row>
    <row r="5847" spans="13:19" ht="13.95" customHeight="1">
      <c r="M5847"/>
      <c r="N5847"/>
      <c r="O5847"/>
      <c r="P5847"/>
      <c r="Q5847"/>
      <c r="R5847"/>
      <c r="S5847"/>
    </row>
    <row r="5848" spans="13:19" ht="13.95" customHeight="1">
      <c r="M5848"/>
      <c r="N5848"/>
      <c r="O5848"/>
      <c r="P5848"/>
      <c r="Q5848"/>
      <c r="R5848"/>
      <c r="S5848"/>
    </row>
    <row r="5849" spans="13:19" ht="13.95" customHeight="1">
      <c r="M5849"/>
      <c r="N5849"/>
      <c r="O5849"/>
      <c r="P5849"/>
      <c r="Q5849"/>
      <c r="R5849"/>
      <c r="S5849"/>
    </row>
    <row r="5850" spans="13:19" ht="13.95" customHeight="1">
      <c r="M5850"/>
      <c r="N5850"/>
      <c r="O5850"/>
      <c r="P5850"/>
      <c r="Q5850"/>
      <c r="R5850"/>
      <c r="S5850"/>
    </row>
    <row r="5851" spans="13:19" ht="13.95" customHeight="1">
      <c r="M5851"/>
      <c r="N5851"/>
      <c r="O5851"/>
      <c r="P5851"/>
      <c r="Q5851"/>
      <c r="R5851"/>
      <c r="S5851"/>
    </row>
    <row r="5852" spans="13:19" ht="13.95" customHeight="1">
      <c r="M5852"/>
      <c r="N5852"/>
      <c r="O5852"/>
      <c r="P5852"/>
      <c r="Q5852"/>
      <c r="R5852"/>
      <c r="S5852"/>
    </row>
    <row r="5853" spans="13:19" ht="13.95" customHeight="1">
      <c r="M5853"/>
      <c r="N5853"/>
      <c r="O5853"/>
      <c r="P5853"/>
      <c r="Q5853"/>
      <c r="R5853"/>
      <c r="S5853"/>
    </row>
    <row r="5854" spans="13:19" ht="13.95" customHeight="1">
      <c r="M5854"/>
      <c r="N5854"/>
      <c r="O5854"/>
      <c r="P5854"/>
      <c r="Q5854"/>
      <c r="R5854"/>
      <c r="S5854"/>
    </row>
    <row r="5855" spans="13:19" ht="13.95" customHeight="1">
      <c r="M5855"/>
      <c r="N5855"/>
      <c r="O5855"/>
      <c r="P5855"/>
      <c r="Q5855"/>
      <c r="R5855"/>
      <c r="S5855"/>
    </row>
    <row r="5856" spans="13:19" ht="13.95" customHeight="1">
      <c r="M5856"/>
      <c r="N5856"/>
      <c r="O5856"/>
      <c r="P5856"/>
      <c r="Q5856"/>
      <c r="R5856"/>
      <c r="S5856"/>
    </row>
    <row r="5857" spans="13:19" ht="13.95" customHeight="1">
      <c r="M5857"/>
      <c r="N5857"/>
      <c r="O5857"/>
      <c r="P5857"/>
      <c r="Q5857"/>
      <c r="R5857"/>
      <c r="S5857"/>
    </row>
    <row r="5858" spans="13:19" ht="13.95" customHeight="1">
      <c r="M5858"/>
      <c r="N5858"/>
      <c r="O5858"/>
      <c r="P5858"/>
      <c r="Q5858"/>
      <c r="R5858"/>
      <c r="S5858"/>
    </row>
    <row r="5859" spans="13:19" ht="13.95" customHeight="1">
      <c r="M5859"/>
      <c r="N5859"/>
      <c r="O5859"/>
      <c r="P5859"/>
      <c r="Q5859"/>
      <c r="R5859"/>
      <c r="S5859"/>
    </row>
    <row r="5860" spans="13:19" ht="13.95" customHeight="1">
      <c r="M5860"/>
      <c r="N5860"/>
      <c r="O5860"/>
      <c r="P5860"/>
      <c r="Q5860"/>
      <c r="R5860"/>
      <c r="S5860"/>
    </row>
    <row r="5861" spans="13:19" ht="13.95" customHeight="1">
      <c r="M5861"/>
      <c r="N5861"/>
      <c r="O5861"/>
      <c r="P5861"/>
      <c r="Q5861"/>
      <c r="R5861"/>
      <c r="S5861"/>
    </row>
    <row r="5862" spans="13:19" ht="13.95" customHeight="1">
      <c r="M5862"/>
      <c r="N5862"/>
      <c r="O5862"/>
      <c r="P5862"/>
      <c r="Q5862"/>
      <c r="R5862"/>
      <c r="S5862"/>
    </row>
    <row r="5863" spans="13:19" ht="13.95" customHeight="1">
      <c r="M5863"/>
      <c r="N5863"/>
      <c r="O5863"/>
      <c r="P5863"/>
      <c r="Q5863"/>
      <c r="R5863"/>
      <c r="S5863"/>
    </row>
    <row r="5864" spans="13:19" ht="13.95" customHeight="1">
      <c r="M5864"/>
      <c r="N5864"/>
      <c r="O5864"/>
      <c r="P5864"/>
      <c r="Q5864"/>
      <c r="R5864"/>
      <c r="S5864"/>
    </row>
    <row r="5865" spans="13:19" ht="13.95" customHeight="1">
      <c r="M5865"/>
      <c r="N5865"/>
      <c r="O5865"/>
      <c r="P5865"/>
      <c r="Q5865"/>
      <c r="R5865"/>
      <c r="S5865"/>
    </row>
    <row r="5866" spans="13:19" ht="13.95" customHeight="1">
      <c r="M5866"/>
      <c r="N5866"/>
      <c r="O5866"/>
      <c r="P5866"/>
      <c r="Q5866"/>
      <c r="R5866"/>
      <c r="S5866"/>
    </row>
    <row r="5867" spans="13:19" ht="13.95" customHeight="1">
      <c r="M5867"/>
      <c r="N5867"/>
      <c r="O5867"/>
      <c r="P5867"/>
      <c r="Q5867"/>
      <c r="R5867"/>
      <c r="S5867"/>
    </row>
    <row r="5868" spans="13:19" ht="13.95" customHeight="1">
      <c r="M5868"/>
      <c r="N5868"/>
      <c r="O5868"/>
      <c r="P5868"/>
      <c r="Q5868"/>
      <c r="R5868"/>
      <c r="S5868"/>
    </row>
    <row r="5869" spans="13:19" ht="13.95" customHeight="1">
      <c r="M5869"/>
      <c r="N5869"/>
      <c r="O5869"/>
      <c r="P5869"/>
      <c r="Q5869"/>
      <c r="R5869"/>
      <c r="S5869"/>
    </row>
    <row r="5870" spans="13:19" ht="13.95" customHeight="1">
      <c r="M5870"/>
      <c r="N5870"/>
      <c r="O5870"/>
      <c r="P5870"/>
      <c r="Q5870"/>
      <c r="R5870"/>
      <c r="S5870"/>
    </row>
    <row r="5871" spans="13:19" ht="13.95" customHeight="1">
      <c r="M5871"/>
      <c r="N5871"/>
      <c r="O5871"/>
      <c r="P5871"/>
      <c r="Q5871"/>
      <c r="R5871"/>
      <c r="S5871"/>
    </row>
    <row r="5872" spans="13:19" ht="13.95" customHeight="1">
      <c r="M5872"/>
      <c r="N5872"/>
      <c r="O5872"/>
      <c r="P5872"/>
      <c r="Q5872"/>
      <c r="R5872"/>
      <c r="S5872"/>
    </row>
    <row r="5873" spans="13:19" ht="13.95" customHeight="1">
      <c r="M5873"/>
      <c r="N5873"/>
      <c r="O5873"/>
      <c r="P5873"/>
      <c r="Q5873"/>
      <c r="R5873"/>
      <c r="S5873"/>
    </row>
    <row r="5874" spans="13:19" ht="13.95" customHeight="1">
      <c r="M5874"/>
      <c r="N5874"/>
      <c r="O5874"/>
      <c r="P5874"/>
      <c r="Q5874"/>
      <c r="R5874"/>
      <c r="S5874"/>
    </row>
    <row r="5875" spans="13:19" ht="13.95" customHeight="1">
      <c r="M5875"/>
      <c r="N5875"/>
      <c r="O5875"/>
      <c r="P5875"/>
      <c r="Q5875"/>
      <c r="R5875"/>
      <c r="S5875"/>
    </row>
    <row r="5876" spans="13:19" ht="13.95" customHeight="1">
      <c r="M5876"/>
      <c r="N5876"/>
      <c r="O5876"/>
      <c r="P5876"/>
      <c r="Q5876"/>
      <c r="R5876"/>
      <c r="S5876"/>
    </row>
    <row r="5877" spans="13:19" ht="13.95" customHeight="1">
      <c r="M5877"/>
      <c r="N5877"/>
      <c r="O5877"/>
      <c r="P5877"/>
      <c r="Q5877"/>
      <c r="R5877"/>
      <c r="S5877"/>
    </row>
    <row r="5878" spans="13:19" ht="13.95" customHeight="1">
      <c r="M5878"/>
      <c r="N5878"/>
      <c r="O5878"/>
      <c r="P5878"/>
      <c r="Q5878"/>
      <c r="R5878"/>
      <c r="S5878"/>
    </row>
    <row r="5879" spans="13:19" ht="13.95" customHeight="1">
      <c r="M5879"/>
      <c r="N5879"/>
      <c r="O5879"/>
      <c r="P5879"/>
      <c r="Q5879"/>
      <c r="R5879"/>
      <c r="S5879"/>
    </row>
    <row r="5880" spans="13:19" ht="13.95" customHeight="1">
      <c r="M5880"/>
      <c r="N5880"/>
      <c r="O5880"/>
      <c r="P5880"/>
      <c r="Q5880"/>
      <c r="R5880"/>
      <c r="S5880"/>
    </row>
    <row r="5881" spans="13:19" ht="13.95" customHeight="1">
      <c r="M5881"/>
      <c r="N5881"/>
      <c r="O5881"/>
      <c r="P5881"/>
      <c r="Q5881"/>
      <c r="R5881"/>
      <c r="S5881"/>
    </row>
    <row r="5882" spans="13:19" ht="13.95" customHeight="1">
      <c r="M5882"/>
      <c r="N5882"/>
      <c r="O5882"/>
      <c r="P5882"/>
      <c r="Q5882"/>
      <c r="R5882"/>
      <c r="S5882"/>
    </row>
    <row r="5883" spans="13:19" ht="13.95" customHeight="1">
      <c r="M5883"/>
      <c r="N5883"/>
      <c r="O5883"/>
      <c r="P5883"/>
      <c r="Q5883"/>
      <c r="R5883"/>
      <c r="S5883"/>
    </row>
    <row r="5884" spans="13:19" ht="13.95" customHeight="1">
      <c r="M5884"/>
      <c r="N5884"/>
      <c r="O5884"/>
      <c r="P5884"/>
      <c r="Q5884"/>
      <c r="R5884"/>
      <c r="S5884"/>
    </row>
    <row r="5885" spans="13:19" ht="13.95" customHeight="1">
      <c r="M5885"/>
      <c r="N5885"/>
      <c r="O5885"/>
      <c r="P5885"/>
      <c r="Q5885"/>
      <c r="R5885"/>
      <c r="S5885"/>
    </row>
    <row r="5886" spans="13:19" ht="13.95" customHeight="1">
      <c r="M5886"/>
      <c r="N5886"/>
      <c r="O5886"/>
      <c r="P5886"/>
      <c r="Q5886"/>
      <c r="R5886"/>
      <c r="S5886"/>
    </row>
    <row r="5887" spans="13:19" ht="13.95" customHeight="1">
      <c r="M5887"/>
      <c r="N5887"/>
      <c r="O5887"/>
      <c r="P5887"/>
      <c r="Q5887"/>
      <c r="R5887"/>
      <c r="S5887"/>
    </row>
    <row r="5888" spans="13:19" ht="13.95" customHeight="1">
      <c r="M5888"/>
      <c r="N5888"/>
      <c r="O5888"/>
      <c r="P5888"/>
      <c r="Q5888"/>
      <c r="R5888"/>
      <c r="S5888"/>
    </row>
    <row r="5889" spans="13:19" ht="13.95" customHeight="1">
      <c r="M5889"/>
      <c r="N5889"/>
      <c r="O5889"/>
      <c r="P5889"/>
      <c r="Q5889"/>
      <c r="R5889"/>
      <c r="S5889"/>
    </row>
    <row r="5890" spans="13:19" ht="13.95" customHeight="1">
      <c r="M5890"/>
      <c r="N5890"/>
      <c r="O5890"/>
      <c r="P5890"/>
      <c r="Q5890"/>
      <c r="R5890"/>
      <c r="S5890"/>
    </row>
    <row r="5891" spans="13:19" ht="13.95" customHeight="1">
      <c r="M5891"/>
      <c r="N5891"/>
      <c r="O5891"/>
      <c r="P5891"/>
      <c r="Q5891"/>
      <c r="R5891"/>
      <c r="S5891"/>
    </row>
    <row r="5892" spans="13:19" ht="13.95" customHeight="1">
      <c r="M5892"/>
      <c r="N5892"/>
      <c r="O5892"/>
      <c r="P5892"/>
      <c r="Q5892"/>
      <c r="R5892"/>
      <c r="S5892"/>
    </row>
    <row r="5893" spans="13:19" ht="13.95" customHeight="1">
      <c r="M5893"/>
      <c r="N5893"/>
      <c r="O5893"/>
      <c r="P5893"/>
      <c r="Q5893"/>
      <c r="R5893"/>
      <c r="S5893"/>
    </row>
    <row r="5894" spans="13:19" ht="13.95" customHeight="1">
      <c r="M5894"/>
      <c r="N5894"/>
      <c r="O5894"/>
      <c r="P5894"/>
      <c r="Q5894"/>
      <c r="R5894"/>
      <c r="S5894"/>
    </row>
    <row r="5895" spans="13:19" ht="13.95" customHeight="1">
      <c r="M5895"/>
      <c r="N5895"/>
      <c r="O5895"/>
      <c r="P5895"/>
      <c r="Q5895"/>
      <c r="R5895"/>
      <c r="S5895"/>
    </row>
    <row r="5896" spans="13:19" ht="13.95" customHeight="1">
      <c r="M5896"/>
      <c r="N5896"/>
      <c r="O5896"/>
      <c r="P5896"/>
      <c r="Q5896"/>
      <c r="R5896"/>
      <c r="S5896"/>
    </row>
    <row r="5897" spans="13:19" ht="13.95" customHeight="1">
      <c r="M5897"/>
      <c r="N5897"/>
      <c r="O5897"/>
      <c r="P5897"/>
      <c r="Q5897"/>
      <c r="R5897"/>
      <c r="S5897"/>
    </row>
    <row r="5898" spans="13:19" ht="13.95" customHeight="1">
      <c r="M5898"/>
      <c r="N5898"/>
      <c r="O5898"/>
      <c r="P5898"/>
      <c r="Q5898"/>
      <c r="R5898"/>
      <c r="S5898"/>
    </row>
    <row r="5899" spans="13:19" ht="13.95" customHeight="1">
      <c r="M5899"/>
      <c r="N5899"/>
      <c r="O5899"/>
      <c r="P5899"/>
      <c r="Q5899"/>
      <c r="R5899"/>
      <c r="S5899"/>
    </row>
    <row r="5900" spans="13:19" ht="13.95" customHeight="1">
      <c r="M5900"/>
      <c r="N5900"/>
      <c r="O5900"/>
      <c r="P5900"/>
      <c r="Q5900"/>
      <c r="R5900"/>
      <c r="S5900"/>
    </row>
    <row r="5901" spans="13:19" ht="13.95" customHeight="1">
      <c r="M5901"/>
      <c r="N5901"/>
      <c r="O5901"/>
      <c r="P5901"/>
      <c r="Q5901"/>
      <c r="R5901"/>
      <c r="S5901"/>
    </row>
    <row r="5902" spans="13:19" ht="13.95" customHeight="1">
      <c r="M5902"/>
      <c r="N5902"/>
      <c r="O5902"/>
      <c r="P5902"/>
      <c r="Q5902"/>
      <c r="R5902"/>
      <c r="S5902"/>
    </row>
    <row r="5903" spans="13:19" ht="13.95" customHeight="1">
      <c r="M5903"/>
      <c r="N5903"/>
      <c r="O5903"/>
      <c r="P5903"/>
      <c r="Q5903"/>
      <c r="R5903"/>
      <c r="S5903"/>
    </row>
    <row r="5904" spans="13:19" ht="13.95" customHeight="1">
      <c r="M5904"/>
      <c r="N5904"/>
      <c r="O5904"/>
      <c r="P5904"/>
      <c r="Q5904"/>
      <c r="R5904"/>
      <c r="S5904"/>
    </row>
    <row r="5905" spans="13:19" ht="13.95" customHeight="1">
      <c r="M5905"/>
      <c r="N5905"/>
      <c r="O5905"/>
      <c r="P5905"/>
      <c r="Q5905"/>
      <c r="R5905"/>
      <c r="S5905"/>
    </row>
    <row r="5906" spans="13:19" ht="13.95" customHeight="1">
      <c r="M5906"/>
      <c r="N5906"/>
      <c r="O5906"/>
      <c r="P5906"/>
      <c r="Q5906"/>
      <c r="R5906"/>
      <c r="S5906"/>
    </row>
    <row r="5907" spans="13:19" ht="13.95" customHeight="1">
      <c r="M5907"/>
      <c r="N5907"/>
      <c r="O5907"/>
      <c r="P5907"/>
      <c r="Q5907"/>
      <c r="R5907"/>
      <c r="S5907"/>
    </row>
    <row r="5908" spans="13:19" ht="13.95" customHeight="1">
      <c r="M5908"/>
      <c r="N5908"/>
      <c r="O5908"/>
      <c r="P5908"/>
      <c r="Q5908"/>
      <c r="R5908"/>
      <c r="S5908"/>
    </row>
    <row r="5909" spans="13:19" ht="13.95" customHeight="1">
      <c r="M5909"/>
      <c r="N5909"/>
      <c r="O5909"/>
      <c r="P5909"/>
      <c r="Q5909"/>
      <c r="R5909"/>
      <c r="S5909"/>
    </row>
    <row r="5910" spans="13:19" ht="13.95" customHeight="1">
      <c r="M5910"/>
      <c r="N5910"/>
      <c r="O5910"/>
      <c r="P5910"/>
      <c r="Q5910"/>
      <c r="R5910"/>
      <c r="S5910"/>
    </row>
    <row r="5911" spans="13:19" ht="13.95" customHeight="1">
      <c r="M5911"/>
      <c r="N5911"/>
      <c r="O5911"/>
      <c r="P5911"/>
      <c r="Q5911"/>
      <c r="R5911"/>
      <c r="S5911"/>
    </row>
    <row r="5912" spans="13:19" ht="13.95" customHeight="1">
      <c r="M5912"/>
      <c r="N5912"/>
      <c r="O5912"/>
      <c r="P5912"/>
      <c r="Q5912"/>
      <c r="R5912"/>
      <c r="S5912"/>
    </row>
    <row r="5913" spans="13:19" ht="13.95" customHeight="1">
      <c r="M5913"/>
      <c r="N5913"/>
      <c r="O5913"/>
      <c r="P5913"/>
      <c r="Q5913"/>
      <c r="R5913"/>
      <c r="S5913"/>
    </row>
    <row r="5914" spans="13:19" ht="13.95" customHeight="1">
      <c r="M5914"/>
      <c r="N5914"/>
      <c r="O5914"/>
      <c r="P5914"/>
      <c r="Q5914"/>
      <c r="R5914"/>
      <c r="S5914"/>
    </row>
    <row r="5915" spans="13:19" ht="13.95" customHeight="1">
      <c r="M5915"/>
      <c r="N5915"/>
      <c r="O5915"/>
      <c r="P5915"/>
      <c r="Q5915"/>
      <c r="R5915"/>
      <c r="S5915"/>
    </row>
    <row r="5916" spans="13:19" ht="13.95" customHeight="1">
      <c r="M5916"/>
      <c r="N5916"/>
      <c r="O5916"/>
      <c r="P5916"/>
      <c r="Q5916"/>
      <c r="R5916"/>
      <c r="S5916"/>
    </row>
    <row r="5917" spans="13:19" ht="13.95" customHeight="1">
      <c r="M5917"/>
      <c r="N5917"/>
      <c r="O5917"/>
      <c r="P5917"/>
      <c r="Q5917"/>
      <c r="R5917"/>
      <c r="S5917"/>
    </row>
    <row r="5918" spans="13:19" ht="13.95" customHeight="1">
      <c r="M5918"/>
      <c r="N5918"/>
      <c r="O5918"/>
      <c r="P5918"/>
      <c r="Q5918"/>
      <c r="R5918"/>
      <c r="S5918"/>
    </row>
    <row r="5919" spans="13:19" ht="13.95" customHeight="1">
      <c r="M5919"/>
      <c r="N5919"/>
      <c r="O5919"/>
      <c r="P5919"/>
      <c r="Q5919"/>
      <c r="R5919"/>
      <c r="S5919"/>
    </row>
    <row r="5920" spans="13:19" ht="13.95" customHeight="1">
      <c r="M5920"/>
      <c r="N5920"/>
      <c r="O5920"/>
      <c r="P5920"/>
      <c r="Q5920"/>
      <c r="R5920"/>
      <c r="S5920"/>
    </row>
    <row r="5921" spans="13:19" ht="13.95" customHeight="1">
      <c r="M5921"/>
      <c r="N5921"/>
      <c r="O5921"/>
      <c r="P5921"/>
      <c r="Q5921"/>
      <c r="R5921"/>
      <c r="S5921"/>
    </row>
    <row r="5922" spans="13:19" ht="13.95" customHeight="1">
      <c r="M5922"/>
      <c r="N5922"/>
      <c r="O5922"/>
      <c r="P5922"/>
      <c r="Q5922"/>
      <c r="R5922"/>
      <c r="S5922"/>
    </row>
    <row r="5923" spans="13:19" ht="13.95" customHeight="1">
      <c r="M5923"/>
      <c r="N5923"/>
      <c r="O5923"/>
      <c r="P5923"/>
      <c r="Q5923"/>
      <c r="R5923"/>
      <c r="S5923"/>
    </row>
    <row r="5924" spans="13:19" ht="13.95" customHeight="1">
      <c r="M5924"/>
      <c r="N5924"/>
      <c r="O5924"/>
      <c r="P5924"/>
      <c r="Q5924"/>
      <c r="R5924"/>
      <c r="S5924"/>
    </row>
    <row r="5925" spans="13:19" ht="13.95" customHeight="1">
      <c r="M5925"/>
      <c r="N5925"/>
      <c r="O5925"/>
      <c r="P5925"/>
      <c r="Q5925"/>
      <c r="R5925"/>
      <c r="S5925"/>
    </row>
    <row r="5926" spans="13:19" ht="13.95" customHeight="1">
      <c r="M5926"/>
      <c r="N5926"/>
      <c r="O5926"/>
      <c r="P5926"/>
      <c r="Q5926"/>
      <c r="R5926"/>
      <c r="S5926"/>
    </row>
    <row r="5927" spans="13:19" ht="13.95" customHeight="1">
      <c r="M5927"/>
      <c r="N5927"/>
      <c r="O5927"/>
      <c r="P5927"/>
      <c r="Q5927"/>
      <c r="R5927"/>
      <c r="S5927"/>
    </row>
    <row r="5928" spans="13:19" ht="13.95" customHeight="1">
      <c r="M5928"/>
      <c r="N5928"/>
      <c r="O5928"/>
      <c r="P5928"/>
      <c r="Q5928"/>
      <c r="R5928"/>
      <c r="S5928"/>
    </row>
    <row r="5929" spans="13:19" ht="13.95" customHeight="1">
      <c r="M5929"/>
      <c r="N5929"/>
      <c r="O5929"/>
      <c r="P5929"/>
      <c r="Q5929"/>
      <c r="R5929"/>
      <c r="S5929"/>
    </row>
    <row r="5930" spans="13:19" ht="13.95" customHeight="1">
      <c r="M5930"/>
      <c r="N5930"/>
      <c r="O5930"/>
      <c r="P5930"/>
      <c r="Q5930"/>
      <c r="R5930"/>
      <c r="S5930"/>
    </row>
    <row r="5931" spans="13:19" ht="13.95" customHeight="1">
      <c r="M5931"/>
      <c r="N5931"/>
      <c r="O5931"/>
      <c r="P5931"/>
      <c r="Q5931"/>
      <c r="R5931"/>
      <c r="S5931"/>
    </row>
    <row r="5932" spans="13:19" ht="13.95" customHeight="1">
      <c r="M5932"/>
      <c r="N5932"/>
      <c r="O5932"/>
      <c r="P5932"/>
      <c r="Q5932"/>
      <c r="R5932"/>
      <c r="S5932"/>
    </row>
    <row r="5933" spans="13:19" ht="13.95" customHeight="1">
      <c r="M5933"/>
      <c r="N5933"/>
      <c r="O5933"/>
      <c r="P5933"/>
      <c r="Q5933"/>
      <c r="R5933"/>
      <c r="S5933"/>
    </row>
    <row r="5934" spans="13:19" ht="13.95" customHeight="1">
      <c r="M5934"/>
      <c r="N5934"/>
      <c r="O5934"/>
      <c r="P5934"/>
      <c r="Q5934"/>
      <c r="R5934"/>
      <c r="S5934"/>
    </row>
    <row r="5935" spans="13:19" ht="13.95" customHeight="1">
      <c r="M5935"/>
      <c r="N5935"/>
      <c r="O5935"/>
      <c r="P5935"/>
      <c r="Q5935"/>
      <c r="R5935"/>
      <c r="S5935"/>
    </row>
    <row r="5936" spans="13:19" ht="13.95" customHeight="1">
      <c r="M5936"/>
      <c r="N5936"/>
      <c r="O5936"/>
      <c r="P5936"/>
      <c r="Q5936"/>
      <c r="R5936"/>
      <c r="S5936"/>
    </row>
    <row r="5937" spans="13:19" ht="13.95" customHeight="1">
      <c r="M5937"/>
      <c r="N5937"/>
      <c r="O5937"/>
      <c r="P5937"/>
      <c r="Q5937"/>
      <c r="R5937"/>
      <c r="S5937"/>
    </row>
    <row r="5938" spans="13:19" ht="13.95" customHeight="1">
      <c r="M5938"/>
      <c r="N5938"/>
      <c r="O5938"/>
      <c r="P5938"/>
      <c r="Q5938"/>
      <c r="R5938"/>
      <c r="S5938"/>
    </row>
    <row r="5939" spans="13:19" ht="13.95" customHeight="1">
      <c r="M5939"/>
      <c r="N5939"/>
      <c r="O5939"/>
      <c r="P5939"/>
      <c r="Q5939"/>
      <c r="R5939"/>
      <c r="S5939"/>
    </row>
    <row r="5940" spans="13:19" ht="13.95" customHeight="1">
      <c r="M5940"/>
      <c r="N5940"/>
      <c r="O5940"/>
      <c r="P5940"/>
      <c r="Q5940"/>
      <c r="R5940"/>
      <c r="S5940"/>
    </row>
    <row r="5941" spans="13:19" ht="13.95" customHeight="1">
      <c r="M5941"/>
      <c r="N5941"/>
      <c r="O5941"/>
      <c r="P5941"/>
      <c r="Q5941"/>
      <c r="R5941"/>
      <c r="S5941"/>
    </row>
    <row r="5942" spans="13:19" ht="13.95" customHeight="1">
      <c r="M5942"/>
      <c r="N5942"/>
      <c r="O5942"/>
      <c r="P5942"/>
      <c r="Q5942"/>
      <c r="R5942"/>
      <c r="S5942"/>
    </row>
    <row r="5943" spans="13:19" ht="13.95" customHeight="1">
      <c r="M5943"/>
      <c r="N5943"/>
      <c r="O5943"/>
      <c r="P5943"/>
      <c r="Q5943"/>
      <c r="R5943"/>
      <c r="S5943"/>
    </row>
    <row r="5944" spans="13:19" ht="13.95" customHeight="1">
      <c r="M5944"/>
      <c r="N5944"/>
      <c r="O5944"/>
      <c r="P5944"/>
      <c r="Q5944"/>
      <c r="R5944"/>
      <c r="S5944"/>
    </row>
    <row r="5945" spans="13:19" ht="13.95" customHeight="1">
      <c r="M5945"/>
      <c r="N5945"/>
      <c r="O5945"/>
      <c r="P5945"/>
      <c r="Q5945"/>
      <c r="R5945"/>
      <c r="S5945"/>
    </row>
    <row r="5946" spans="13:19" ht="13.95" customHeight="1">
      <c r="M5946"/>
      <c r="N5946"/>
      <c r="O5946"/>
      <c r="P5946"/>
      <c r="Q5946"/>
      <c r="R5946"/>
      <c r="S5946"/>
    </row>
    <row r="5947" spans="13:19" ht="13.95" customHeight="1">
      <c r="M5947"/>
      <c r="N5947"/>
      <c r="O5947"/>
      <c r="P5947"/>
      <c r="Q5947"/>
      <c r="R5947"/>
      <c r="S5947"/>
    </row>
    <row r="5948" spans="13:19" ht="13.95" customHeight="1">
      <c r="M5948"/>
      <c r="N5948"/>
      <c r="O5948"/>
      <c r="P5948"/>
      <c r="Q5948"/>
      <c r="R5948"/>
      <c r="S5948"/>
    </row>
    <row r="5949" spans="13:19" ht="13.95" customHeight="1">
      <c r="M5949"/>
      <c r="N5949"/>
      <c r="O5949"/>
      <c r="P5949"/>
      <c r="Q5949"/>
      <c r="R5949"/>
      <c r="S5949"/>
    </row>
    <row r="5950" spans="13:19" ht="13.95" customHeight="1">
      <c r="M5950"/>
      <c r="N5950"/>
      <c r="O5950"/>
      <c r="P5950"/>
      <c r="Q5950"/>
      <c r="R5950"/>
      <c r="S5950"/>
    </row>
    <row r="5951" spans="13:19" ht="13.95" customHeight="1">
      <c r="M5951"/>
      <c r="N5951"/>
      <c r="O5951"/>
      <c r="P5951"/>
      <c r="Q5951"/>
      <c r="R5951"/>
      <c r="S5951"/>
    </row>
    <row r="5952" spans="13:19" ht="13.95" customHeight="1">
      <c r="M5952"/>
      <c r="N5952"/>
      <c r="O5952"/>
      <c r="P5952"/>
      <c r="Q5952"/>
      <c r="R5952"/>
      <c r="S5952"/>
    </row>
    <row r="5953" spans="13:19" ht="13.95" customHeight="1">
      <c r="M5953"/>
      <c r="N5953"/>
      <c r="O5953"/>
      <c r="P5953"/>
      <c r="Q5953"/>
      <c r="R5953"/>
      <c r="S5953"/>
    </row>
    <row r="5954" spans="13:19" ht="13.95" customHeight="1">
      <c r="M5954"/>
      <c r="N5954"/>
      <c r="O5954"/>
      <c r="P5954"/>
      <c r="Q5954"/>
      <c r="R5954"/>
      <c r="S5954"/>
    </row>
    <row r="5955" spans="13:19" ht="13.95" customHeight="1">
      <c r="M5955"/>
      <c r="N5955"/>
      <c r="O5955"/>
      <c r="P5955"/>
      <c r="Q5955"/>
      <c r="R5955"/>
      <c r="S5955"/>
    </row>
    <row r="5956" spans="13:19" ht="13.95" customHeight="1">
      <c r="M5956"/>
      <c r="N5956"/>
      <c r="O5956"/>
      <c r="P5956"/>
      <c r="Q5956"/>
      <c r="R5956"/>
      <c r="S5956"/>
    </row>
    <row r="5957" spans="13:19" ht="13.95" customHeight="1">
      <c r="M5957"/>
      <c r="N5957"/>
      <c r="O5957"/>
      <c r="P5957"/>
      <c r="Q5957"/>
      <c r="R5957"/>
      <c r="S5957"/>
    </row>
    <row r="5958" spans="13:19" ht="13.95" customHeight="1">
      <c r="M5958"/>
      <c r="N5958"/>
      <c r="O5958"/>
      <c r="P5958"/>
      <c r="Q5958"/>
      <c r="R5958"/>
      <c r="S5958"/>
    </row>
    <row r="5959" spans="13:19" ht="13.95" customHeight="1">
      <c r="M5959"/>
      <c r="N5959"/>
      <c r="O5959"/>
      <c r="P5959"/>
      <c r="Q5959"/>
      <c r="R5959"/>
      <c r="S5959"/>
    </row>
    <row r="5960" spans="13:19" ht="13.95" customHeight="1">
      <c r="M5960"/>
      <c r="N5960"/>
      <c r="O5960"/>
      <c r="P5960"/>
      <c r="Q5960"/>
      <c r="R5960"/>
      <c r="S5960"/>
    </row>
    <row r="5961" spans="13:19" ht="13.95" customHeight="1">
      <c r="M5961"/>
      <c r="N5961"/>
      <c r="O5961"/>
      <c r="P5961"/>
      <c r="Q5961"/>
      <c r="R5961"/>
      <c r="S5961"/>
    </row>
    <row r="5962" spans="13:19" ht="13.95" customHeight="1">
      <c r="M5962"/>
      <c r="N5962"/>
      <c r="O5962"/>
      <c r="P5962"/>
      <c r="Q5962"/>
      <c r="R5962"/>
      <c r="S5962"/>
    </row>
    <row r="5963" spans="13:19" ht="13.95" customHeight="1">
      <c r="M5963"/>
      <c r="N5963"/>
      <c r="O5963"/>
      <c r="P5963"/>
      <c r="Q5963"/>
      <c r="R5963"/>
      <c r="S5963"/>
    </row>
    <row r="5964" spans="13:19" ht="13.95" customHeight="1">
      <c r="M5964"/>
      <c r="N5964"/>
      <c r="O5964"/>
      <c r="P5964"/>
      <c r="Q5964"/>
      <c r="R5964"/>
      <c r="S5964"/>
    </row>
    <row r="5965" spans="13:19" ht="13.95" customHeight="1">
      <c r="M5965"/>
      <c r="N5965"/>
      <c r="O5965"/>
      <c r="P5965"/>
      <c r="Q5965"/>
      <c r="R5965"/>
      <c r="S5965"/>
    </row>
    <row r="5966" spans="13:19" ht="13.95" customHeight="1">
      <c r="M5966"/>
      <c r="N5966"/>
      <c r="O5966"/>
      <c r="P5966"/>
      <c r="Q5966"/>
      <c r="R5966"/>
      <c r="S5966"/>
    </row>
    <row r="5967" spans="13:19" ht="13.95" customHeight="1">
      <c r="M5967"/>
      <c r="N5967"/>
      <c r="O5967"/>
      <c r="P5967"/>
      <c r="Q5967"/>
      <c r="R5967"/>
      <c r="S5967"/>
    </row>
    <row r="5968" spans="13:19" ht="13.95" customHeight="1">
      <c r="M5968"/>
      <c r="N5968"/>
      <c r="O5968"/>
      <c r="P5968"/>
      <c r="Q5968"/>
      <c r="R5968"/>
      <c r="S5968"/>
    </row>
    <row r="5969" spans="13:19" ht="13.95" customHeight="1">
      <c r="M5969"/>
      <c r="N5969"/>
      <c r="O5969"/>
      <c r="P5969"/>
      <c r="Q5969"/>
      <c r="R5969"/>
      <c r="S5969"/>
    </row>
    <row r="5970" spans="13:19" ht="13.95" customHeight="1">
      <c r="M5970"/>
      <c r="N5970"/>
      <c r="O5970"/>
      <c r="P5970"/>
      <c r="Q5970"/>
      <c r="R5970"/>
      <c r="S5970"/>
    </row>
    <row r="5971" spans="13:19" ht="13.95" customHeight="1">
      <c r="M5971"/>
      <c r="N5971"/>
      <c r="O5971"/>
      <c r="P5971"/>
      <c r="Q5971"/>
      <c r="R5971"/>
      <c r="S5971"/>
    </row>
    <row r="5972" spans="13:19" ht="13.95" customHeight="1">
      <c r="M5972"/>
      <c r="N5972"/>
      <c r="O5972"/>
      <c r="P5972"/>
      <c r="Q5972"/>
      <c r="R5972"/>
      <c r="S5972"/>
    </row>
    <row r="5973" spans="13:19" ht="13.95" customHeight="1">
      <c r="M5973"/>
      <c r="N5973"/>
      <c r="O5973"/>
      <c r="P5973"/>
      <c r="Q5973"/>
      <c r="R5973"/>
      <c r="S5973"/>
    </row>
    <row r="5974" spans="13:19" ht="13.95" customHeight="1">
      <c r="M5974"/>
      <c r="N5974"/>
      <c r="O5974"/>
      <c r="P5974"/>
      <c r="Q5974"/>
      <c r="R5974"/>
      <c r="S5974"/>
    </row>
    <row r="5975" spans="13:19" ht="13.95" customHeight="1">
      <c r="M5975"/>
      <c r="N5975"/>
      <c r="O5975"/>
      <c r="P5975"/>
      <c r="Q5975"/>
      <c r="R5975"/>
      <c r="S5975"/>
    </row>
    <row r="5976" spans="13:19" ht="13.95" customHeight="1">
      <c r="M5976"/>
      <c r="N5976"/>
      <c r="O5976"/>
      <c r="P5976"/>
      <c r="Q5976"/>
      <c r="R5976"/>
      <c r="S5976"/>
    </row>
    <row r="5977" spans="13:19" ht="13.95" customHeight="1">
      <c r="M5977"/>
      <c r="N5977"/>
      <c r="O5977"/>
      <c r="P5977"/>
      <c r="Q5977"/>
      <c r="R5977"/>
      <c r="S5977"/>
    </row>
    <row r="5978" spans="13:19" ht="13.95" customHeight="1">
      <c r="M5978"/>
      <c r="N5978"/>
      <c r="O5978"/>
      <c r="P5978"/>
      <c r="Q5978"/>
      <c r="R5978"/>
      <c r="S5978"/>
    </row>
    <row r="5979" spans="13:19" ht="13.95" customHeight="1">
      <c r="M5979"/>
      <c r="N5979"/>
      <c r="O5979"/>
      <c r="P5979"/>
      <c r="Q5979"/>
      <c r="R5979"/>
      <c r="S5979"/>
    </row>
    <row r="5980" spans="13:19" ht="13.95" customHeight="1">
      <c r="M5980"/>
      <c r="N5980"/>
      <c r="O5980"/>
      <c r="P5980"/>
      <c r="Q5980"/>
      <c r="R5980"/>
      <c r="S5980"/>
    </row>
    <row r="5981" spans="13:19" ht="13.95" customHeight="1">
      <c r="M5981"/>
      <c r="N5981"/>
      <c r="O5981"/>
      <c r="P5981"/>
      <c r="Q5981"/>
      <c r="R5981"/>
      <c r="S5981"/>
    </row>
    <row r="5982" spans="13:19" ht="13.95" customHeight="1">
      <c r="M5982"/>
      <c r="N5982"/>
      <c r="O5982"/>
      <c r="P5982"/>
      <c r="Q5982"/>
      <c r="R5982"/>
      <c r="S5982"/>
    </row>
    <row r="5983" spans="13:19" ht="13.95" customHeight="1">
      <c r="M5983"/>
      <c r="N5983"/>
      <c r="O5983"/>
      <c r="P5983"/>
      <c r="Q5983"/>
      <c r="R5983"/>
      <c r="S5983"/>
    </row>
    <row r="5984" spans="13:19" ht="13.95" customHeight="1">
      <c r="M5984"/>
      <c r="N5984"/>
      <c r="O5984"/>
      <c r="P5984"/>
      <c r="Q5984"/>
      <c r="R5984"/>
      <c r="S5984"/>
    </row>
    <row r="5985" spans="13:19" ht="13.95" customHeight="1">
      <c r="M5985"/>
      <c r="N5985"/>
      <c r="O5985"/>
      <c r="P5985"/>
      <c r="Q5985"/>
      <c r="R5985"/>
      <c r="S5985"/>
    </row>
    <row r="5986" spans="13:19" ht="13.95" customHeight="1">
      <c r="M5986"/>
      <c r="N5986"/>
      <c r="O5986"/>
      <c r="P5986"/>
      <c r="Q5986"/>
      <c r="R5986"/>
      <c r="S5986"/>
    </row>
    <row r="5987" spans="13:19" ht="13.95" customHeight="1">
      <c r="M5987"/>
      <c r="N5987"/>
      <c r="O5987"/>
      <c r="P5987"/>
      <c r="Q5987"/>
      <c r="R5987"/>
      <c r="S5987"/>
    </row>
    <row r="5988" spans="13:19" ht="13.95" customHeight="1">
      <c r="M5988"/>
      <c r="N5988"/>
      <c r="O5988"/>
      <c r="P5988"/>
      <c r="Q5988"/>
      <c r="R5988"/>
      <c r="S5988"/>
    </row>
    <row r="5989" spans="13:19" ht="13.95" customHeight="1">
      <c r="M5989"/>
      <c r="N5989"/>
      <c r="O5989"/>
      <c r="P5989"/>
      <c r="Q5989"/>
      <c r="R5989"/>
      <c r="S5989"/>
    </row>
    <row r="5990" spans="13:19" ht="13.95" customHeight="1">
      <c r="M5990"/>
      <c r="N5990"/>
      <c r="O5990"/>
      <c r="P5990"/>
      <c r="Q5990"/>
      <c r="R5990"/>
      <c r="S5990"/>
    </row>
    <row r="5991" spans="13:19" ht="13.95" customHeight="1">
      <c r="M5991"/>
      <c r="N5991"/>
      <c r="O5991"/>
      <c r="P5991"/>
      <c r="Q5991"/>
      <c r="R5991"/>
      <c r="S5991"/>
    </row>
    <row r="5992" spans="13:19" ht="13.95" customHeight="1">
      <c r="M5992"/>
      <c r="N5992"/>
      <c r="O5992"/>
      <c r="P5992"/>
      <c r="Q5992"/>
      <c r="R5992"/>
      <c r="S5992"/>
    </row>
    <row r="5993" spans="13:19" ht="13.95" customHeight="1">
      <c r="M5993"/>
      <c r="N5993"/>
      <c r="O5993"/>
      <c r="P5993"/>
      <c r="Q5993"/>
      <c r="R5993"/>
      <c r="S5993"/>
    </row>
    <row r="5994" spans="13:19" ht="13.95" customHeight="1">
      <c r="M5994"/>
      <c r="N5994"/>
      <c r="O5994"/>
      <c r="P5994"/>
      <c r="Q5994"/>
      <c r="R5994"/>
      <c r="S5994"/>
    </row>
    <row r="5995" spans="13:19" ht="13.95" customHeight="1">
      <c r="M5995"/>
      <c r="N5995"/>
      <c r="O5995"/>
      <c r="P5995"/>
      <c r="Q5995"/>
      <c r="R5995"/>
      <c r="S5995"/>
    </row>
    <row r="5996" spans="13:19" ht="13.95" customHeight="1">
      <c r="M5996"/>
      <c r="N5996"/>
      <c r="O5996"/>
      <c r="P5996"/>
      <c r="Q5996"/>
      <c r="R5996"/>
      <c r="S5996"/>
    </row>
    <row r="5997" spans="13:19" ht="13.95" customHeight="1">
      <c r="M5997"/>
      <c r="N5997"/>
      <c r="O5997"/>
      <c r="P5997"/>
      <c r="Q5997"/>
      <c r="R5997"/>
      <c r="S5997"/>
    </row>
    <row r="5998" spans="13:19" ht="13.95" customHeight="1">
      <c r="M5998"/>
      <c r="N5998"/>
      <c r="O5998"/>
      <c r="P5998"/>
      <c r="Q5998"/>
      <c r="R5998"/>
      <c r="S5998"/>
    </row>
    <row r="5999" spans="13:19" ht="13.95" customHeight="1">
      <c r="M5999"/>
      <c r="N5999"/>
      <c r="O5999"/>
      <c r="P5999"/>
      <c r="Q5999"/>
      <c r="R5999"/>
      <c r="S5999"/>
    </row>
    <row r="6000" spans="13:19" ht="13.95" customHeight="1">
      <c r="M6000"/>
      <c r="N6000"/>
      <c r="O6000"/>
      <c r="P6000"/>
      <c r="Q6000"/>
      <c r="R6000"/>
      <c r="S6000"/>
    </row>
    <row r="6001" spans="13:19" ht="13.95" customHeight="1">
      <c r="M6001"/>
      <c r="N6001"/>
      <c r="O6001"/>
      <c r="P6001"/>
      <c r="Q6001"/>
      <c r="R6001"/>
      <c r="S6001"/>
    </row>
    <row r="6002" spans="13:19" ht="13.95" customHeight="1">
      <c r="M6002"/>
      <c r="N6002"/>
      <c r="O6002"/>
      <c r="P6002"/>
      <c r="Q6002"/>
      <c r="R6002"/>
      <c r="S6002"/>
    </row>
    <row r="6003" spans="13:19" ht="13.95" customHeight="1">
      <c r="M6003"/>
      <c r="N6003"/>
      <c r="O6003"/>
      <c r="P6003"/>
      <c r="Q6003"/>
      <c r="R6003"/>
      <c r="S6003"/>
    </row>
    <row r="6004" spans="13:19" ht="13.95" customHeight="1">
      <c r="M6004"/>
      <c r="N6004"/>
      <c r="O6004"/>
      <c r="P6004"/>
      <c r="Q6004"/>
      <c r="R6004"/>
      <c r="S6004"/>
    </row>
    <row r="6005" spans="13:19" ht="13.95" customHeight="1">
      <c r="M6005"/>
      <c r="N6005"/>
      <c r="O6005"/>
      <c r="P6005"/>
      <c r="Q6005"/>
      <c r="R6005"/>
      <c r="S6005"/>
    </row>
    <row r="6006" spans="13:19" ht="13.95" customHeight="1">
      <c r="M6006"/>
      <c r="N6006"/>
      <c r="O6006"/>
      <c r="P6006"/>
      <c r="Q6006"/>
      <c r="R6006"/>
      <c r="S6006"/>
    </row>
    <row r="6007" spans="13:19" ht="13.95" customHeight="1">
      <c r="M6007"/>
      <c r="N6007"/>
      <c r="O6007"/>
      <c r="P6007"/>
      <c r="Q6007"/>
      <c r="R6007"/>
      <c r="S6007"/>
    </row>
    <row r="6008" spans="13:19" ht="13.95" customHeight="1">
      <c r="M6008"/>
      <c r="N6008"/>
      <c r="O6008"/>
      <c r="P6008"/>
      <c r="Q6008"/>
      <c r="R6008"/>
      <c r="S6008"/>
    </row>
    <row r="6009" spans="13:19" ht="13.95" customHeight="1">
      <c r="M6009"/>
      <c r="N6009"/>
      <c r="O6009"/>
      <c r="P6009"/>
      <c r="Q6009"/>
      <c r="R6009"/>
      <c r="S6009"/>
    </row>
    <row r="6010" spans="13:19" ht="13.95" customHeight="1">
      <c r="M6010"/>
      <c r="N6010"/>
      <c r="O6010"/>
      <c r="P6010"/>
      <c r="Q6010"/>
      <c r="R6010"/>
      <c r="S6010"/>
    </row>
    <row r="6011" spans="13:19" ht="13.95" customHeight="1">
      <c r="M6011"/>
      <c r="N6011"/>
      <c r="O6011"/>
      <c r="P6011"/>
      <c r="Q6011"/>
      <c r="R6011"/>
      <c r="S6011"/>
    </row>
    <row r="6012" spans="13:19" ht="13.95" customHeight="1">
      <c r="M6012"/>
      <c r="N6012"/>
      <c r="O6012"/>
      <c r="P6012"/>
      <c r="Q6012"/>
      <c r="R6012"/>
      <c r="S6012"/>
    </row>
    <row r="6013" spans="13:19" ht="13.95" customHeight="1">
      <c r="M6013"/>
      <c r="N6013"/>
      <c r="O6013"/>
      <c r="P6013"/>
      <c r="Q6013"/>
      <c r="R6013"/>
      <c r="S6013"/>
    </row>
    <row r="6014" spans="13:19" ht="13.95" customHeight="1">
      <c r="M6014"/>
      <c r="N6014"/>
      <c r="O6014"/>
      <c r="P6014"/>
      <c r="Q6014"/>
      <c r="R6014"/>
      <c r="S6014"/>
    </row>
    <row r="6015" spans="13:19" ht="13.95" customHeight="1">
      <c r="M6015"/>
      <c r="N6015"/>
      <c r="O6015"/>
      <c r="P6015"/>
      <c r="Q6015"/>
      <c r="R6015"/>
      <c r="S6015"/>
    </row>
    <row r="6016" spans="13:19" ht="13.95" customHeight="1">
      <c r="M6016"/>
      <c r="N6016"/>
      <c r="O6016"/>
      <c r="P6016"/>
      <c r="Q6016"/>
      <c r="R6016"/>
      <c r="S6016"/>
    </row>
    <row r="6017" spans="13:19" ht="13.95" customHeight="1">
      <c r="M6017"/>
      <c r="N6017"/>
      <c r="O6017"/>
      <c r="P6017"/>
      <c r="Q6017"/>
      <c r="R6017"/>
      <c r="S6017"/>
    </row>
    <row r="6018" spans="13:19" ht="13.95" customHeight="1">
      <c r="M6018"/>
      <c r="N6018"/>
      <c r="O6018"/>
      <c r="P6018"/>
      <c r="Q6018"/>
      <c r="R6018"/>
      <c r="S6018"/>
    </row>
    <row r="6019" spans="13:19" ht="13.95" customHeight="1">
      <c r="M6019"/>
      <c r="N6019"/>
      <c r="O6019"/>
      <c r="P6019"/>
      <c r="Q6019"/>
      <c r="R6019"/>
      <c r="S6019"/>
    </row>
    <row r="6020" spans="13:19" ht="13.95" customHeight="1">
      <c r="M6020"/>
      <c r="N6020"/>
      <c r="O6020"/>
      <c r="P6020"/>
      <c r="Q6020"/>
      <c r="R6020"/>
      <c r="S6020"/>
    </row>
    <row r="6021" spans="13:19" ht="13.95" customHeight="1">
      <c r="M6021"/>
      <c r="N6021"/>
      <c r="O6021"/>
      <c r="P6021"/>
      <c r="Q6021"/>
      <c r="R6021"/>
      <c r="S6021"/>
    </row>
    <row r="6022" spans="13:19" ht="13.95" customHeight="1">
      <c r="M6022"/>
      <c r="N6022"/>
      <c r="O6022"/>
      <c r="P6022"/>
      <c r="Q6022"/>
      <c r="R6022"/>
      <c r="S6022"/>
    </row>
    <row r="6023" spans="13:19" ht="13.95" customHeight="1">
      <c r="M6023"/>
      <c r="N6023"/>
      <c r="O6023"/>
      <c r="P6023"/>
      <c r="Q6023"/>
      <c r="R6023"/>
      <c r="S6023"/>
    </row>
    <row r="6024" spans="13:19" ht="13.95" customHeight="1">
      <c r="M6024"/>
      <c r="N6024"/>
      <c r="O6024"/>
      <c r="P6024"/>
      <c r="Q6024"/>
      <c r="R6024"/>
      <c r="S6024"/>
    </row>
    <row r="6025" spans="13:19" ht="13.95" customHeight="1">
      <c r="M6025"/>
      <c r="N6025"/>
      <c r="O6025"/>
      <c r="P6025"/>
      <c r="Q6025"/>
      <c r="R6025"/>
      <c r="S6025"/>
    </row>
    <row r="6026" spans="13:19" ht="13.95" customHeight="1">
      <c r="M6026"/>
      <c r="N6026"/>
      <c r="O6026"/>
      <c r="P6026"/>
      <c r="Q6026"/>
      <c r="R6026"/>
      <c r="S6026"/>
    </row>
    <row r="6027" spans="13:19" ht="13.95" customHeight="1">
      <c r="M6027"/>
      <c r="N6027"/>
      <c r="O6027"/>
      <c r="P6027"/>
      <c r="Q6027"/>
      <c r="R6027"/>
      <c r="S6027"/>
    </row>
    <row r="6028" spans="13:19" ht="13.95" customHeight="1">
      <c r="M6028"/>
      <c r="N6028"/>
      <c r="O6028"/>
      <c r="P6028"/>
      <c r="Q6028"/>
      <c r="R6028"/>
      <c r="S6028"/>
    </row>
    <row r="6029" spans="13:19" ht="13.95" customHeight="1">
      <c r="M6029"/>
      <c r="N6029"/>
      <c r="O6029"/>
      <c r="P6029"/>
      <c r="Q6029"/>
      <c r="R6029"/>
      <c r="S6029"/>
    </row>
    <row r="6030" spans="13:19" ht="13.95" customHeight="1">
      <c r="M6030"/>
      <c r="N6030"/>
      <c r="O6030"/>
      <c r="P6030"/>
      <c r="Q6030"/>
      <c r="R6030"/>
      <c r="S6030"/>
    </row>
    <row r="6031" spans="13:19" ht="13.95" customHeight="1">
      <c r="M6031"/>
      <c r="N6031"/>
      <c r="O6031"/>
      <c r="P6031"/>
      <c r="Q6031"/>
      <c r="R6031"/>
      <c r="S6031"/>
    </row>
    <row r="6032" spans="13:19" ht="13.95" customHeight="1">
      <c r="M6032"/>
      <c r="N6032"/>
      <c r="O6032"/>
      <c r="P6032"/>
      <c r="Q6032"/>
      <c r="R6032"/>
      <c r="S6032"/>
    </row>
    <row r="6033" spans="13:19" ht="13.95" customHeight="1">
      <c r="M6033"/>
      <c r="N6033"/>
      <c r="O6033"/>
      <c r="P6033"/>
      <c r="Q6033"/>
      <c r="R6033"/>
      <c r="S6033"/>
    </row>
    <row r="6034" spans="13:19" ht="13.95" customHeight="1">
      <c r="M6034"/>
      <c r="N6034"/>
      <c r="O6034"/>
      <c r="P6034"/>
      <c r="Q6034"/>
      <c r="R6034"/>
      <c r="S6034"/>
    </row>
    <row r="6035" spans="13:19" ht="13.95" customHeight="1">
      <c r="M6035"/>
      <c r="N6035"/>
      <c r="O6035"/>
      <c r="P6035"/>
      <c r="Q6035"/>
      <c r="R6035"/>
      <c r="S6035"/>
    </row>
    <row r="6036" spans="13:19" ht="13.95" customHeight="1">
      <c r="M6036"/>
      <c r="N6036"/>
      <c r="O6036"/>
      <c r="P6036"/>
      <c r="Q6036"/>
      <c r="R6036"/>
      <c r="S6036"/>
    </row>
    <row r="6037" spans="13:19" ht="13.95" customHeight="1">
      <c r="M6037"/>
      <c r="N6037"/>
      <c r="O6037"/>
      <c r="P6037"/>
      <c r="Q6037"/>
      <c r="R6037"/>
      <c r="S6037"/>
    </row>
    <row r="6038" spans="13:19" ht="13.95" customHeight="1">
      <c r="M6038"/>
      <c r="N6038"/>
      <c r="O6038"/>
      <c r="P6038"/>
      <c r="Q6038"/>
      <c r="R6038"/>
      <c r="S6038"/>
    </row>
    <row r="6039" spans="13:19" ht="13.95" customHeight="1">
      <c r="M6039"/>
      <c r="N6039"/>
      <c r="O6039"/>
      <c r="P6039"/>
      <c r="Q6039"/>
      <c r="R6039"/>
      <c r="S6039"/>
    </row>
    <row r="6040" spans="13:19" ht="13.95" customHeight="1">
      <c r="M6040"/>
      <c r="N6040"/>
      <c r="O6040"/>
      <c r="P6040"/>
      <c r="Q6040"/>
      <c r="R6040"/>
      <c r="S6040"/>
    </row>
    <row r="6041" spans="13:19" ht="13.95" customHeight="1">
      <c r="M6041"/>
      <c r="N6041"/>
      <c r="O6041"/>
      <c r="P6041"/>
      <c r="Q6041"/>
      <c r="R6041"/>
      <c r="S6041"/>
    </row>
    <row r="6042" spans="13:19" ht="13.95" customHeight="1">
      <c r="M6042"/>
      <c r="N6042"/>
      <c r="O6042"/>
      <c r="P6042"/>
      <c r="Q6042"/>
      <c r="R6042"/>
      <c r="S6042"/>
    </row>
    <row r="6043" spans="13:19" ht="13.95" customHeight="1">
      <c r="M6043"/>
      <c r="N6043"/>
      <c r="O6043"/>
      <c r="P6043"/>
      <c r="Q6043"/>
      <c r="R6043"/>
      <c r="S6043"/>
    </row>
    <row r="6044" spans="13:19" ht="13.95" customHeight="1">
      <c r="M6044"/>
      <c r="N6044"/>
      <c r="O6044"/>
      <c r="P6044"/>
      <c r="Q6044"/>
      <c r="R6044"/>
      <c r="S6044"/>
    </row>
    <row r="6045" spans="13:19" ht="13.95" customHeight="1">
      <c r="M6045"/>
      <c r="N6045"/>
      <c r="O6045"/>
      <c r="P6045"/>
      <c r="Q6045"/>
      <c r="R6045"/>
      <c r="S6045"/>
    </row>
    <row r="6046" spans="13:19" ht="13.95" customHeight="1">
      <c r="M6046"/>
      <c r="N6046"/>
      <c r="O6046"/>
      <c r="P6046"/>
      <c r="Q6046"/>
      <c r="R6046"/>
      <c r="S6046"/>
    </row>
    <row r="6047" spans="13:19" ht="13.95" customHeight="1">
      <c r="M6047"/>
      <c r="N6047"/>
      <c r="O6047"/>
      <c r="P6047"/>
      <c r="Q6047"/>
      <c r="R6047"/>
      <c r="S6047"/>
    </row>
    <row r="6048" spans="13:19" ht="13.95" customHeight="1">
      <c r="M6048"/>
      <c r="N6048"/>
      <c r="O6048"/>
      <c r="P6048"/>
      <c r="Q6048"/>
      <c r="R6048"/>
      <c r="S6048"/>
    </row>
    <row r="6049" spans="13:19" ht="13.95" customHeight="1">
      <c r="M6049"/>
      <c r="N6049"/>
      <c r="O6049"/>
      <c r="P6049"/>
      <c r="Q6049"/>
      <c r="R6049"/>
      <c r="S6049"/>
    </row>
    <row r="6050" spans="13:19" ht="13.95" customHeight="1">
      <c r="M6050"/>
      <c r="N6050"/>
      <c r="O6050"/>
      <c r="P6050"/>
      <c r="Q6050"/>
      <c r="R6050"/>
      <c r="S6050"/>
    </row>
    <row r="6051" spans="13:19" ht="13.95" customHeight="1">
      <c r="M6051"/>
      <c r="N6051"/>
      <c r="O6051"/>
      <c r="P6051"/>
      <c r="Q6051"/>
      <c r="R6051"/>
      <c r="S6051"/>
    </row>
    <row r="6052" spans="13:19" ht="13.95" customHeight="1">
      <c r="M6052"/>
      <c r="N6052"/>
      <c r="O6052"/>
      <c r="P6052"/>
      <c r="Q6052"/>
      <c r="R6052"/>
      <c r="S6052"/>
    </row>
    <row r="6053" spans="13:19" ht="13.95" customHeight="1">
      <c r="M6053"/>
      <c r="N6053"/>
      <c r="O6053"/>
      <c r="P6053"/>
      <c r="Q6053"/>
      <c r="R6053"/>
      <c r="S6053"/>
    </row>
    <row r="6054" spans="13:19" ht="13.95" customHeight="1">
      <c r="M6054"/>
      <c r="N6054"/>
      <c r="O6054"/>
      <c r="P6054"/>
      <c r="Q6054"/>
      <c r="R6054"/>
      <c r="S6054"/>
    </row>
    <row r="6055" spans="13:19" ht="13.95" customHeight="1">
      <c r="M6055"/>
      <c r="N6055"/>
      <c r="O6055"/>
      <c r="P6055"/>
      <c r="Q6055"/>
      <c r="R6055"/>
      <c r="S6055"/>
    </row>
    <row r="6056" spans="13:19" ht="13.95" customHeight="1">
      <c r="M6056"/>
      <c r="N6056"/>
      <c r="O6056"/>
      <c r="P6056"/>
      <c r="Q6056"/>
      <c r="R6056"/>
      <c r="S6056"/>
    </row>
    <row r="6057" spans="13:19" ht="13.95" customHeight="1">
      <c r="M6057"/>
      <c r="N6057"/>
      <c r="O6057"/>
      <c r="P6057"/>
      <c r="Q6057"/>
      <c r="R6057"/>
      <c r="S6057"/>
    </row>
    <row r="6058" spans="13:19" ht="13.95" customHeight="1">
      <c r="M6058"/>
      <c r="N6058"/>
      <c r="O6058"/>
      <c r="P6058"/>
      <c r="Q6058"/>
      <c r="R6058"/>
      <c r="S6058"/>
    </row>
    <row r="6059" spans="13:19" ht="13.95" customHeight="1">
      <c r="M6059"/>
      <c r="N6059"/>
      <c r="O6059"/>
      <c r="P6059"/>
      <c r="Q6059"/>
      <c r="R6059"/>
      <c r="S6059"/>
    </row>
    <row r="6060" spans="13:19" ht="13.95" customHeight="1">
      <c r="M6060"/>
      <c r="N6060"/>
      <c r="O6060"/>
      <c r="P6060"/>
      <c r="Q6060"/>
      <c r="R6060"/>
      <c r="S6060"/>
    </row>
    <row r="6061" spans="13:19" ht="13.95" customHeight="1">
      <c r="M6061"/>
      <c r="N6061"/>
      <c r="O6061"/>
      <c r="P6061"/>
      <c r="Q6061"/>
      <c r="R6061"/>
      <c r="S6061"/>
    </row>
    <row r="6062" spans="13:19" ht="13.95" customHeight="1">
      <c r="M6062"/>
      <c r="N6062"/>
      <c r="O6062"/>
      <c r="P6062"/>
      <c r="Q6062"/>
      <c r="R6062"/>
      <c r="S6062"/>
    </row>
    <row r="6063" spans="13:19" ht="13.95" customHeight="1">
      <c r="M6063"/>
      <c r="N6063"/>
      <c r="O6063"/>
      <c r="P6063"/>
      <c r="Q6063"/>
      <c r="R6063"/>
      <c r="S6063"/>
    </row>
    <row r="6064" spans="13:19" ht="13.95" customHeight="1">
      <c r="M6064"/>
      <c r="N6064"/>
      <c r="O6064"/>
      <c r="P6064"/>
      <c r="Q6064"/>
      <c r="R6064"/>
      <c r="S6064"/>
    </row>
    <row r="6065" spans="13:19" ht="13.95" customHeight="1">
      <c r="M6065"/>
      <c r="N6065"/>
      <c r="O6065"/>
      <c r="P6065"/>
      <c r="Q6065"/>
      <c r="R6065"/>
      <c r="S6065"/>
    </row>
    <row r="6066" spans="13:19" ht="13.95" customHeight="1">
      <c r="M6066"/>
      <c r="N6066"/>
      <c r="O6066"/>
      <c r="P6066"/>
      <c r="Q6066"/>
      <c r="R6066"/>
      <c r="S6066"/>
    </row>
    <row r="6067" spans="13:19" ht="13.95" customHeight="1">
      <c r="M6067"/>
      <c r="N6067"/>
      <c r="O6067"/>
      <c r="P6067"/>
      <c r="Q6067"/>
      <c r="R6067"/>
      <c r="S6067"/>
    </row>
    <row r="6068" spans="13:19" ht="13.95" customHeight="1">
      <c r="M6068"/>
      <c r="N6068"/>
      <c r="O6068"/>
      <c r="P6068"/>
      <c r="Q6068"/>
      <c r="R6068"/>
      <c r="S6068"/>
    </row>
    <row r="6069" spans="13:19" ht="13.95" customHeight="1">
      <c r="M6069"/>
      <c r="N6069"/>
      <c r="O6069"/>
      <c r="P6069"/>
      <c r="Q6069"/>
      <c r="R6069"/>
      <c r="S6069"/>
    </row>
    <row r="6070" spans="13:19" ht="13.95" customHeight="1">
      <c r="M6070"/>
      <c r="N6070"/>
      <c r="O6070"/>
      <c r="P6070"/>
      <c r="Q6070"/>
      <c r="R6070"/>
      <c r="S6070"/>
    </row>
    <row r="6071" spans="13:19" ht="13.95" customHeight="1">
      <c r="M6071"/>
      <c r="N6071"/>
      <c r="O6071"/>
      <c r="P6071"/>
      <c r="Q6071"/>
      <c r="R6071"/>
      <c r="S6071"/>
    </row>
    <row r="6072" spans="13:19" ht="13.95" customHeight="1">
      <c r="M6072"/>
      <c r="N6072"/>
      <c r="O6072"/>
      <c r="P6072"/>
      <c r="Q6072"/>
      <c r="R6072"/>
      <c r="S6072"/>
    </row>
    <row r="6073" spans="13:19" ht="13.95" customHeight="1">
      <c r="M6073"/>
      <c r="N6073"/>
      <c r="O6073"/>
      <c r="P6073"/>
      <c r="Q6073"/>
      <c r="R6073"/>
      <c r="S6073"/>
    </row>
    <row r="6074" spans="13:19" ht="13.95" customHeight="1">
      <c r="M6074"/>
      <c r="N6074"/>
      <c r="O6074"/>
      <c r="P6074"/>
      <c r="Q6074"/>
      <c r="R6074"/>
      <c r="S6074"/>
    </row>
    <row r="6075" spans="13:19" ht="13.95" customHeight="1">
      <c r="M6075"/>
      <c r="N6075"/>
      <c r="O6075"/>
      <c r="P6075"/>
      <c r="Q6075"/>
      <c r="R6075"/>
      <c r="S6075"/>
    </row>
    <row r="6076" spans="13:19" ht="13.95" customHeight="1">
      <c r="M6076"/>
      <c r="N6076"/>
      <c r="O6076"/>
      <c r="P6076"/>
      <c r="Q6076"/>
      <c r="R6076"/>
      <c r="S6076"/>
    </row>
    <row r="6077" spans="13:19" ht="13.95" customHeight="1">
      <c r="M6077"/>
      <c r="N6077"/>
      <c r="O6077"/>
      <c r="P6077"/>
      <c r="Q6077"/>
      <c r="R6077"/>
      <c r="S6077"/>
    </row>
    <row r="6078" spans="13:19" ht="13.95" customHeight="1">
      <c r="M6078"/>
      <c r="N6078"/>
      <c r="O6078"/>
      <c r="P6078"/>
      <c r="Q6078"/>
      <c r="R6078"/>
      <c r="S6078"/>
    </row>
    <row r="6079" spans="13:19" ht="13.95" customHeight="1">
      <c r="M6079"/>
      <c r="N6079"/>
      <c r="O6079"/>
      <c r="P6079"/>
      <c r="Q6079"/>
      <c r="R6079"/>
      <c r="S6079"/>
    </row>
    <row r="6080" spans="13:19" ht="13.95" customHeight="1">
      <c r="M6080"/>
      <c r="N6080"/>
      <c r="O6080"/>
      <c r="P6080"/>
      <c r="Q6080"/>
      <c r="R6080"/>
      <c r="S6080"/>
    </row>
    <row r="6081" spans="13:19" ht="13.95" customHeight="1">
      <c r="M6081"/>
      <c r="N6081"/>
      <c r="O6081"/>
      <c r="P6081"/>
      <c r="Q6081"/>
      <c r="R6081"/>
      <c r="S6081"/>
    </row>
    <row r="6082" spans="13:19" ht="13.95" customHeight="1">
      <c r="M6082"/>
      <c r="N6082"/>
      <c r="O6082"/>
      <c r="P6082"/>
      <c r="Q6082"/>
      <c r="R6082"/>
      <c r="S6082"/>
    </row>
    <row r="6083" spans="13:19" ht="13.95" customHeight="1">
      <c r="M6083"/>
      <c r="N6083"/>
      <c r="O6083"/>
      <c r="P6083"/>
      <c r="Q6083"/>
      <c r="R6083"/>
      <c r="S6083"/>
    </row>
    <row r="6084" spans="13:19" ht="13.95" customHeight="1">
      <c r="M6084"/>
      <c r="N6084"/>
      <c r="O6084"/>
      <c r="P6084"/>
      <c r="Q6084"/>
      <c r="R6084"/>
      <c r="S6084"/>
    </row>
    <row r="6085" spans="13:19" ht="13.95" customHeight="1">
      <c r="M6085"/>
      <c r="N6085"/>
      <c r="O6085"/>
      <c r="P6085"/>
      <c r="Q6085"/>
      <c r="R6085"/>
      <c r="S6085"/>
    </row>
    <row r="6086" spans="13:19" ht="13.95" customHeight="1">
      <c r="M6086"/>
      <c r="N6086"/>
      <c r="O6086"/>
      <c r="P6086"/>
      <c r="Q6086"/>
      <c r="R6086"/>
      <c r="S6086"/>
    </row>
    <row r="6087" spans="13:19" ht="13.95" customHeight="1">
      <c r="M6087"/>
      <c r="N6087"/>
      <c r="O6087"/>
      <c r="P6087"/>
      <c r="Q6087"/>
      <c r="R6087"/>
      <c r="S6087"/>
    </row>
    <row r="6088" spans="13:19" ht="13.95" customHeight="1">
      <c r="M6088"/>
      <c r="N6088"/>
      <c r="O6088"/>
      <c r="P6088"/>
      <c r="Q6088"/>
      <c r="R6088"/>
      <c r="S6088"/>
    </row>
    <row r="6089" spans="13:19" ht="13.95" customHeight="1">
      <c r="M6089"/>
      <c r="N6089"/>
      <c r="O6089"/>
      <c r="P6089"/>
      <c r="Q6089"/>
      <c r="R6089"/>
      <c r="S6089"/>
    </row>
    <row r="6090" spans="13:19" ht="13.95" customHeight="1">
      <c r="M6090"/>
      <c r="N6090"/>
      <c r="O6090"/>
      <c r="P6090"/>
      <c r="Q6090"/>
      <c r="R6090"/>
      <c r="S6090"/>
    </row>
    <row r="6091" spans="13:19" ht="13.95" customHeight="1">
      <c r="M6091"/>
      <c r="N6091"/>
      <c r="O6091"/>
      <c r="P6091"/>
      <c r="Q6091"/>
      <c r="R6091"/>
      <c r="S6091"/>
    </row>
    <row r="6092" spans="13:19" ht="13.95" customHeight="1">
      <c r="M6092"/>
      <c r="N6092"/>
      <c r="O6092"/>
      <c r="P6092"/>
      <c r="Q6092"/>
      <c r="R6092"/>
      <c r="S6092"/>
    </row>
    <row r="6093" spans="13:19" ht="13.95" customHeight="1">
      <c r="M6093"/>
      <c r="N6093"/>
      <c r="O6093"/>
      <c r="P6093"/>
      <c r="Q6093"/>
      <c r="R6093"/>
      <c r="S6093"/>
    </row>
    <row r="6094" spans="13:19" ht="13.95" customHeight="1">
      <c r="M6094"/>
      <c r="N6094"/>
      <c r="O6094"/>
      <c r="P6094"/>
      <c r="Q6094"/>
      <c r="R6094"/>
      <c r="S6094"/>
    </row>
    <row r="6095" spans="13:19" ht="13.95" customHeight="1">
      <c r="M6095"/>
      <c r="N6095"/>
      <c r="O6095"/>
      <c r="P6095"/>
      <c r="Q6095"/>
      <c r="R6095"/>
      <c r="S6095"/>
    </row>
    <row r="6096" spans="13:19" ht="13.95" customHeight="1">
      <c r="M6096"/>
      <c r="N6096"/>
      <c r="O6096"/>
      <c r="P6096"/>
      <c r="Q6096"/>
      <c r="R6096"/>
      <c r="S6096"/>
    </row>
    <row r="6097" spans="13:19" ht="13.95" customHeight="1">
      <c r="M6097"/>
      <c r="N6097"/>
      <c r="O6097"/>
      <c r="P6097"/>
      <c r="Q6097"/>
      <c r="R6097"/>
      <c r="S6097"/>
    </row>
    <row r="6098" spans="13:19" ht="13.95" customHeight="1">
      <c r="M6098"/>
      <c r="N6098"/>
      <c r="O6098"/>
      <c r="P6098"/>
      <c r="Q6098"/>
      <c r="R6098"/>
      <c r="S6098"/>
    </row>
    <row r="6099" spans="13:19" ht="13.95" customHeight="1">
      <c r="M6099"/>
      <c r="N6099"/>
      <c r="O6099"/>
      <c r="P6099"/>
      <c r="Q6099"/>
      <c r="R6099"/>
      <c r="S6099"/>
    </row>
    <row r="6100" spans="13:19" ht="13.95" customHeight="1">
      <c r="M6100"/>
      <c r="N6100"/>
      <c r="O6100"/>
      <c r="P6100"/>
      <c r="Q6100"/>
      <c r="R6100"/>
      <c r="S6100"/>
    </row>
    <row r="6101" spans="13:19" ht="13.95" customHeight="1">
      <c r="M6101"/>
      <c r="N6101"/>
      <c r="O6101"/>
      <c r="P6101"/>
      <c r="Q6101"/>
      <c r="R6101"/>
      <c r="S6101"/>
    </row>
    <row r="6102" spans="13:19" ht="13.95" customHeight="1">
      <c r="M6102"/>
      <c r="N6102"/>
      <c r="O6102"/>
      <c r="P6102"/>
      <c r="Q6102"/>
      <c r="R6102"/>
      <c r="S6102"/>
    </row>
    <row r="6103" spans="13:19" ht="13.95" customHeight="1">
      <c r="M6103"/>
      <c r="N6103"/>
      <c r="O6103"/>
      <c r="P6103"/>
      <c r="Q6103"/>
      <c r="R6103"/>
      <c r="S6103"/>
    </row>
    <row r="6104" spans="13:19" ht="13.95" customHeight="1">
      <c r="M6104"/>
      <c r="N6104"/>
      <c r="O6104"/>
      <c r="P6104"/>
      <c r="Q6104"/>
      <c r="R6104"/>
      <c r="S6104"/>
    </row>
    <row r="6105" spans="13:19" ht="13.95" customHeight="1">
      <c r="M6105"/>
      <c r="N6105"/>
      <c r="O6105"/>
      <c r="P6105"/>
      <c r="Q6105"/>
      <c r="R6105"/>
      <c r="S6105"/>
    </row>
    <row r="6106" spans="13:19" ht="13.95" customHeight="1">
      <c r="M6106"/>
      <c r="N6106"/>
      <c r="O6106"/>
      <c r="P6106"/>
      <c r="Q6106"/>
      <c r="R6106"/>
      <c r="S6106"/>
    </row>
    <row r="6107" spans="13:19" ht="13.95" customHeight="1">
      <c r="M6107"/>
      <c r="N6107"/>
      <c r="O6107"/>
      <c r="P6107"/>
      <c r="Q6107"/>
      <c r="R6107"/>
      <c r="S6107"/>
    </row>
    <row r="6108" spans="13:19" ht="13.95" customHeight="1">
      <c r="M6108"/>
      <c r="N6108"/>
      <c r="O6108"/>
      <c r="P6108"/>
      <c r="Q6108"/>
      <c r="R6108"/>
      <c r="S6108"/>
    </row>
    <row r="6109" spans="13:19" ht="13.95" customHeight="1">
      <c r="M6109"/>
      <c r="N6109"/>
      <c r="O6109"/>
      <c r="P6109"/>
      <c r="Q6109"/>
      <c r="R6109"/>
      <c r="S6109"/>
    </row>
    <row r="6110" spans="13:19" ht="13.95" customHeight="1">
      <c r="M6110"/>
      <c r="N6110"/>
      <c r="O6110"/>
      <c r="P6110"/>
      <c r="Q6110"/>
      <c r="R6110"/>
      <c r="S6110"/>
    </row>
    <row r="6111" spans="13:19" ht="13.95" customHeight="1">
      <c r="M6111"/>
      <c r="N6111"/>
      <c r="O6111"/>
      <c r="P6111"/>
      <c r="Q6111"/>
      <c r="R6111"/>
      <c r="S6111"/>
    </row>
    <row r="6112" spans="13:19" ht="13.95" customHeight="1">
      <c r="M6112"/>
      <c r="N6112"/>
      <c r="O6112"/>
      <c r="P6112"/>
      <c r="Q6112"/>
      <c r="R6112"/>
      <c r="S6112"/>
    </row>
    <row r="6113" spans="13:19" ht="13.95" customHeight="1">
      <c r="M6113"/>
      <c r="N6113"/>
      <c r="O6113"/>
      <c r="P6113"/>
      <c r="Q6113"/>
      <c r="R6113"/>
      <c r="S6113"/>
    </row>
    <row r="6114" spans="13:19" ht="13.95" customHeight="1">
      <c r="M6114"/>
      <c r="N6114"/>
      <c r="O6114"/>
      <c r="P6114"/>
      <c r="Q6114"/>
      <c r="R6114"/>
      <c r="S6114"/>
    </row>
    <row r="6115" spans="13:19" ht="13.95" customHeight="1">
      <c r="M6115"/>
      <c r="N6115"/>
      <c r="O6115"/>
      <c r="P6115"/>
      <c r="Q6115"/>
      <c r="R6115"/>
      <c r="S6115"/>
    </row>
    <row r="6116" spans="13:19" ht="13.95" customHeight="1">
      <c r="M6116"/>
      <c r="N6116"/>
      <c r="O6116"/>
      <c r="P6116"/>
      <c r="Q6116"/>
      <c r="R6116"/>
      <c r="S6116"/>
    </row>
    <row r="6117" spans="13:19" ht="13.95" customHeight="1">
      <c r="M6117"/>
      <c r="N6117"/>
      <c r="O6117"/>
      <c r="P6117"/>
      <c r="Q6117"/>
      <c r="R6117"/>
      <c r="S6117"/>
    </row>
    <row r="6118" spans="13:19" ht="13.95" customHeight="1">
      <c r="M6118"/>
      <c r="N6118"/>
      <c r="O6118"/>
      <c r="P6118"/>
      <c r="Q6118"/>
      <c r="R6118"/>
      <c r="S6118"/>
    </row>
    <row r="6119" spans="13:19" ht="13.95" customHeight="1">
      <c r="M6119"/>
      <c r="N6119"/>
      <c r="O6119"/>
      <c r="P6119"/>
      <c r="Q6119"/>
      <c r="R6119"/>
      <c r="S6119"/>
    </row>
    <row r="6120" spans="13:19" ht="13.95" customHeight="1">
      <c r="M6120"/>
      <c r="N6120"/>
      <c r="O6120"/>
      <c r="P6120"/>
      <c r="Q6120"/>
      <c r="R6120"/>
      <c r="S6120"/>
    </row>
    <row r="6121" spans="13:19" ht="13.95" customHeight="1">
      <c r="M6121"/>
      <c r="N6121"/>
      <c r="O6121"/>
      <c r="P6121"/>
      <c r="Q6121"/>
      <c r="R6121"/>
      <c r="S6121"/>
    </row>
    <row r="6122" spans="13:19" ht="13.95" customHeight="1">
      <c r="M6122"/>
      <c r="N6122"/>
      <c r="O6122"/>
      <c r="P6122"/>
      <c r="Q6122"/>
      <c r="R6122"/>
      <c r="S6122"/>
    </row>
    <row r="6123" spans="13:19" ht="13.95" customHeight="1">
      <c r="M6123"/>
      <c r="N6123"/>
      <c r="O6123"/>
      <c r="P6123"/>
      <c r="Q6123"/>
      <c r="R6123"/>
      <c r="S6123"/>
    </row>
    <row r="6124" spans="13:19" ht="13.95" customHeight="1">
      <c r="M6124"/>
      <c r="N6124"/>
      <c r="O6124"/>
      <c r="P6124"/>
      <c r="Q6124"/>
      <c r="R6124"/>
      <c r="S6124"/>
    </row>
    <row r="6125" spans="13:19" ht="13.95" customHeight="1">
      <c r="M6125"/>
      <c r="N6125"/>
      <c r="O6125"/>
      <c r="P6125"/>
      <c r="Q6125"/>
      <c r="R6125"/>
      <c r="S6125"/>
    </row>
    <row r="6126" spans="13:19" ht="13.95" customHeight="1">
      <c r="M6126"/>
      <c r="N6126"/>
      <c r="O6126"/>
      <c r="P6126"/>
      <c r="Q6126"/>
      <c r="R6126"/>
      <c r="S6126"/>
    </row>
    <row r="6127" spans="13:19" ht="13.95" customHeight="1">
      <c r="M6127"/>
      <c r="N6127"/>
      <c r="O6127"/>
      <c r="P6127"/>
      <c r="Q6127"/>
      <c r="R6127"/>
      <c r="S6127"/>
    </row>
    <row r="6128" spans="13:19" ht="13.95" customHeight="1">
      <c r="M6128"/>
      <c r="N6128"/>
      <c r="O6128"/>
      <c r="P6128"/>
      <c r="Q6128"/>
      <c r="R6128"/>
      <c r="S6128"/>
    </row>
    <row r="6129" spans="13:19" ht="13.95" customHeight="1">
      <c r="M6129"/>
      <c r="N6129"/>
      <c r="O6129"/>
      <c r="P6129"/>
      <c r="Q6129"/>
      <c r="R6129"/>
      <c r="S6129"/>
    </row>
    <row r="6130" spans="13:19" ht="13.95" customHeight="1">
      <c r="M6130"/>
      <c r="N6130"/>
      <c r="O6130"/>
      <c r="P6130"/>
      <c r="Q6130"/>
      <c r="R6130"/>
      <c r="S6130"/>
    </row>
    <row r="6131" spans="13:19" ht="13.95" customHeight="1">
      <c r="M6131"/>
      <c r="N6131"/>
      <c r="O6131"/>
      <c r="P6131"/>
      <c r="Q6131"/>
      <c r="R6131"/>
      <c r="S6131"/>
    </row>
    <row r="6132" spans="13:19" ht="13.95" customHeight="1">
      <c r="M6132"/>
      <c r="N6132"/>
      <c r="O6132"/>
      <c r="P6132"/>
      <c r="Q6132"/>
      <c r="R6132"/>
      <c r="S6132"/>
    </row>
    <row r="6133" spans="13:19" ht="13.95" customHeight="1">
      <c r="M6133"/>
      <c r="N6133"/>
      <c r="O6133"/>
      <c r="P6133"/>
      <c r="Q6133"/>
      <c r="R6133"/>
      <c r="S6133"/>
    </row>
    <row r="6134" spans="13:19" ht="13.95" customHeight="1">
      <c r="M6134"/>
      <c r="N6134"/>
      <c r="O6134"/>
      <c r="P6134"/>
      <c r="Q6134"/>
      <c r="R6134"/>
      <c r="S6134"/>
    </row>
    <row r="6135" spans="13:19" ht="13.95" customHeight="1">
      <c r="M6135"/>
      <c r="N6135"/>
      <c r="O6135"/>
      <c r="P6135"/>
      <c r="Q6135"/>
      <c r="R6135"/>
      <c r="S6135"/>
    </row>
    <row r="6136" spans="13:19" ht="13.95" customHeight="1">
      <c r="M6136"/>
      <c r="N6136"/>
      <c r="O6136"/>
      <c r="P6136"/>
      <c r="Q6136"/>
      <c r="R6136"/>
      <c r="S6136"/>
    </row>
    <row r="6137" spans="13:19" ht="13.95" customHeight="1">
      <c r="M6137"/>
      <c r="N6137"/>
      <c r="O6137"/>
      <c r="P6137"/>
      <c r="Q6137"/>
      <c r="R6137"/>
      <c r="S6137"/>
    </row>
    <row r="6138" spans="13:19" ht="13.95" customHeight="1">
      <c r="M6138"/>
      <c r="N6138"/>
      <c r="O6138"/>
      <c r="P6138"/>
      <c r="Q6138"/>
      <c r="R6138"/>
      <c r="S6138"/>
    </row>
    <row r="6139" spans="13:19" ht="13.95" customHeight="1">
      <c r="M6139"/>
      <c r="N6139"/>
      <c r="O6139"/>
      <c r="P6139"/>
      <c r="Q6139"/>
      <c r="R6139"/>
      <c r="S6139"/>
    </row>
    <row r="6140" spans="13:19" ht="13.95" customHeight="1">
      <c r="M6140"/>
      <c r="N6140"/>
      <c r="O6140"/>
      <c r="P6140"/>
      <c r="Q6140"/>
      <c r="R6140"/>
      <c r="S6140"/>
    </row>
    <row r="6141" spans="13:19" ht="13.95" customHeight="1">
      <c r="M6141"/>
      <c r="N6141"/>
      <c r="O6141"/>
      <c r="P6141"/>
      <c r="Q6141"/>
      <c r="R6141"/>
      <c r="S6141"/>
    </row>
    <row r="6142" spans="13:19" ht="13.95" customHeight="1">
      <c r="M6142"/>
      <c r="N6142"/>
      <c r="O6142"/>
      <c r="P6142"/>
      <c r="Q6142"/>
      <c r="R6142"/>
      <c r="S6142"/>
    </row>
    <row r="6143" spans="13:19" ht="13.95" customHeight="1">
      <c r="M6143"/>
      <c r="N6143"/>
      <c r="O6143"/>
      <c r="P6143"/>
      <c r="Q6143"/>
      <c r="R6143"/>
      <c r="S6143"/>
    </row>
    <row r="6144" spans="13:19" ht="13.95" customHeight="1">
      <c r="M6144"/>
      <c r="N6144"/>
      <c r="O6144"/>
      <c r="P6144"/>
      <c r="Q6144"/>
      <c r="R6144"/>
      <c r="S6144"/>
    </row>
    <row r="6145" spans="13:19" ht="13.95" customHeight="1">
      <c r="M6145"/>
      <c r="N6145"/>
      <c r="O6145"/>
      <c r="P6145"/>
      <c r="Q6145"/>
      <c r="R6145"/>
      <c r="S6145"/>
    </row>
    <row r="6146" spans="13:19" ht="13.95" customHeight="1">
      <c r="M6146"/>
      <c r="N6146"/>
      <c r="O6146"/>
      <c r="P6146"/>
      <c r="Q6146"/>
      <c r="R6146"/>
      <c r="S6146"/>
    </row>
    <row r="6147" spans="13:19" ht="13.95" customHeight="1">
      <c r="M6147"/>
      <c r="N6147"/>
      <c r="O6147"/>
      <c r="P6147"/>
      <c r="Q6147"/>
      <c r="R6147"/>
      <c r="S6147"/>
    </row>
    <row r="6148" spans="13:19" ht="13.95" customHeight="1">
      <c r="M6148"/>
      <c r="N6148"/>
      <c r="O6148"/>
      <c r="P6148"/>
      <c r="Q6148"/>
      <c r="R6148"/>
      <c r="S6148"/>
    </row>
    <row r="6149" spans="13:19" ht="13.95" customHeight="1">
      <c r="M6149"/>
      <c r="N6149"/>
      <c r="O6149"/>
      <c r="P6149"/>
      <c r="Q6149"/>
      <c r="R6149"/>
      <c r="S6149"/>
    </row>
    <row r="6150" spans="13:19" ht="13.95" customHeight="1">
      <c r="M6150"/>
      <c r="N6150"/>
      <c r="O6150"/>
      <c r="P6150"/>
      <c r="Q6150"/>
      <c r="R6150"/>
      <c r="S6150"/>
    </row>
    <row r="6151" spans="13:19" ht="13.95" customHeight="1">
      <c r="M6151"/>
      <c r="N6151"/>
      <c r="O6151"/>
      <c r="P6151"/>
      <c r="Q6151"/>
      <c r="R6151"/>
      <c r="S6151"/>
    </row>
    <row r="6152" spans="13:19" ht="13.95" customHeight="1">
      <c r="M6152"/>
      <c r="N6152"/>
      <c r="O6152"/>
      <c r="P6152"/>
      <c r="Q6152"/>
      <c r="R6152"/>
      <c r="S6152"/>
    </row>
    <row r="6153" spans="13:19" ht="13.95" customHeight="1">
      <c r="M6153"/>
      <c r="N6153"/>
      <c r="O6153"/>
      <c r="P6153"/>
      <c r="Q6153"/>
      <c r="R6153"/>
      <c r="S6153"/>
    </row>
    <row r="6154" spans="13:19" ht="13.95" customHeight="1">
      <c r="M6154"/>
      <c r="N6154"/>
      <c r="O6154"/>
      <c r="P6154"/>
      <c r="Q6154"/>
      <c r="R6154"/>
      <c r="S6154"/>
    </row>
    <row r="6155" spans="13:19" ht="13.95" customHeight="1">
      <c r="M6155"/>
      <c r="N6155"/>
      <c r="O6155"/>
      <c r="P6155"/>
      <c r="Q6155"/>
      <c r="R6155"/>
      <c r="S6155"/>
    </row>
    <row r="6156" spans="13:19" ht="13.95" customHeight="1">
      <c r="M6156"/>
      <c r="N6156"/>
      <c r="O6156"/>
      <c r="P6156"/>
      <c r="Q6156"/>
      <c r="R6156"/>
      <c r="S6156"/>
    </row>
    <row r="6157" spans="13:19" ht="13.95" customHeight="1">
      <c r="M6157"/>
      <c r="N6157"/>
      <c r="O6157"/>
      <c r="P6157"/>
      <c r="Q6157"/>
      <c r="R6157"/>
      <c r="S6157"/>
    </row>
    <row r="6158" spans="13:19" ht="13.95" customHeight="1">
      <c r="M6158"/>
      <c r="N6158"/>
      <c r="O6158"/>
      <c r="P6158"/>
      <c r="Q6158"/>
      <c r="R6158"/>
      <c r="S6158"/>
    </row>
    <row r="6159" spans="13:19" ht="13.95" customHeight="1">
      <c r="M6159"/>
      <c r="N6159"/>
      <c r="O6159"/>
      <c r="P6159"/>
      <c r="Q6159"/>
      <c r="R6159"/>
      <c r="S6159"/>
    </row>
    <row r="6160" spans="13:19" ht="13.95" customHeight="1">
      <c r="M6160"/>
      <c r="N6160"/>
      <c r="O6160"/>
      <c r="P6160"/>
      <c r="Q6160"/>
      <c r="R6160"/>
      <c r="S6160"/>
    </row>
    <row r="6161" spans="13:19" ht="13.95" customHeight="1">
      <c r="M6161"/>
      <c r="N6161"/>
      <c r="O6161"/>
      <c r="P6161"/>
      <c r="Q6161"/>
      <c r="R6161"/>
      <c r="S6161"/>
    </row>
    <row r="6162" spans="13:19" ht="13.95" customHeight="1">
      <c r="M6162"/>
      <c r="N6162"/>
      <c r="O6162"/>
      <c r="P6162"/>
      <c r="Q6162"/>
      <c r="R6162"/>
      <c r="S6162"/>
    </row>
    <row r="6163" spans="13:19" ht="13.95" customHeight="1">
      <c r="M6163"/>
      <c r="N6163"/>
      <c r="O6163"/>
      <c r="P6163"/>
      <c r="Q6163"/>
      <c r="R6163"/>
      <c r="S6163"/>
    </row>
    <row r="6164" spans="13:19" ht="13.95" customHeight="1">
      <c r="M6164"/>
      <c r="N6164"/>
      <c r="O6164"/>
      <c r="P6164"/>
      <c r="Q6164"/>
      <c r="R6164"/>
      <c r="S6164"/>
    </row>
    <row r="6165" spans="13:19" ht="13.95" customHeight="1">
      <c r="M6165"/>
      <c r="N6165"/>
      <c r="O6165"/>
      <c r="P6165"/>
      <c r="Q6165"/>
      <c r="R6165"/>
      <c r="S6165"/>
    </row>
    <row r="6166" spans="13:19" ht="13.95" customHeight="1">
      <c r="M6166"/>
      <c r="N6166"/>
      <c r="O6166"/>
      <c r="P6166"/>
      <c r="Q6166"/>
      <c r="R6166"/>
      <c r="S6166"/>
    </row>
    <row r="6167" spans="13:19" ht="13.95" customHeight="1">
      <c r="M6167"/>
      <c r="N6167"/>
      <c r="O6167"/>
      <c r="P6167"/>
      <c r="Q6167"/>
      <c r="R6167"/>
      <c r="S6167"/>
    </row>
    <row r="6168" spans="13:19" ht="13.95" customHeight="1">
      <c r="M6168"/>
      <c r="N6168"/>
      <c r="O6168"/>
      <c r="P6168"/>
      <c r="Q6168"/>
      <c r="R6168"/>
      <c r="S6168"/>
    </row>
    <row r="6169" spans="13:19" ht="13.95" customHeight="1">
      <c r="M6169"/>
      <c r="N6169"/>
      <c r="O6169"/>
      <c r="P6169"/>
      <c r="Q6169"/>
      <c r="R6169"/>
      <c r="S6169"/>
    </row>
    <row r="6170" spans="13:19" ht="13.95" customHeight="1">
      <c r="M6170"/>
      <c r="N6170"/>
      <c r="O6170"/>
      <c r="P6170"/>
      <c r="Q6170"/>
      <c r="R6170"/>
      <c r="S6170"/>
    </row>
    <row r="6171" spans="13:19" ht="13.95" customHeight="1">
      <c r="M6171"/>
      <c r="N6171"/>
      <c r="O6171"/>
      <c r="P6171"/>
      <c r="Q6171"/>
      <c r="R6171"/>
      <c r="S6171"/>
    </row>
    <row r="6172" spans="13:19" ht="13.95" customHeight="1">
      <c r="M6172"/>
      <c r="N6172"/>
      <c r="O6172"/>
      <c r="P6172"/>
      <c r="Q6172"/>
      <c r="R6172"/>
      <c r="S6172"/>
    </row>
    <row r="6173" spans="13:19" ht="13.95" customHeight="1">
      <c r="M6173"/>
      <c r="N6173"/>
      <c r="O6173"/>
      <c r="P6173"/>
      <c r="Q6173"/>
      <c r="R6173"/>
      <c r="S6173"/>
    </row>
    <row r="6174" spans="13:19" ht="13.95" customHeight="1">
      <c r="M6174"/>
      <c r="N6174"/>
      <c r="O6174"/>
      <c r="P6174"/>
      <c r="Q6174"/>
      <c r="R6174"/>
      <c r="S6174"/>
    </row>
    <row r="6175" spans="13:19" ht="13.95" customHeight="1">
      <c r="M6175"/>
      <c r="N6175"/>
      <c r="O6175"/>
      <c r="P6175"/>
      <c r="Q6175"/>
      <c r="R6175"/>
      <c r="S6175"/>
    </row>
    <row r="6176" spans="13:19" ht="13.95" customHeight="1">
      <c r="M6176"/>
      <c r="N6176"/>
      <c r="O6176"/>
      <c r="P6176"/>
      <c r="Q6176"/>
      <c r="R6176"/>
      <c r="S6176"/>
    </row>
    <row r="6177" spans="13:19" ht="13.95" customHeight="1">
      <c r="M6177"/>
      <c r="N6177"/>
      <c r="O6177"/>
      <c r="P6177"/>
      <c r="Q6177"/>
      <c r="R6177"/>
      <c r="S6177"/>
    </row>
    <row r="6178" spans="13:19" ht="13.95" customHeight="1">
      <c r="M6178"/>
      <c r="N6178"/>
      <c r="O6178"/>
      <c r="P6178"/>
      <c r="Q6178"/>
      <c r="R6178"/>
      <c r="S6178"/>
    </row>
    <row r="6179" spans="13:19" ht="13.95" customHeight="1">
      <c r="M6179"/>
      <c r="N6179"/>
      <c r="O6179"/>
      <c r="P6179"/>
      <c r="Q6179"/>
      <c r="R6179"/>
      <c r="S6179"/>
    </row>
    <row r="6180" spans="13:19" ht="13.95" customHeight="1">
      <c r="M6180"/>
      <c r="N6180"/>
      <c r="O6180"/>
      <c r="P6180"/>
      <c r="Q6180"/>
      <c r="R6180"/>
      <c r="S6180"/>
    </row>
    <row r="6181" spans="13:19" ht="13.95" customHeight="1">
      <c r="M6181"/>
      <c r="N6181"/>
      <c r="O6181"/>
      <c r="P6181"/>
      <c r="Q6181"/>
      <c r="R6181"/>
      <c r="S6181"/>
    </row>
    <row r="6182" spans="13:19" ht="13.95" customHeight="1">
      <c r="M6182"/>
      <c r="N6182"/>
      <c r="O6182"/>
      <c r="P6182"/>
      <c r="Q6182"/>
      <c r="R6182"/>
      <c r="S6182"/>
    </row>
    <row r="6183" spans="13:19" ht="13.95" customHeight="1">
      <c r="M6183"/>
      <c r="N6183"/>
      <c r="O6183"/>
      <c r="P6183"/>
      <c r="Q6183"/>
      <c r="R6183"/>
      <c r="S6183"/>
    </row>
    <row r="6184" spans="13:19" ht="13.95" customHeight="1">
      <c r="M6184"/>
      <c r="N6184"/>
      <c r="O6184"/>
      <c r="P6184"/>
      <c r="Q6184"/>
      <c r="R6184"/>
      <c r="S6184"/>
    </row>
    <row r="6185" spans="13:19" ht="13.95" customHeight="1">
      <c r="M6185"/>
      <c r="N6185"/>
      <c r="O6185"/>
      <c r="P6185"/>
      <c r="Q6185"/>
      <c r="R6185"/>
      <c r="S6185"/>
    </row>
    <row r="6186" spans="13:19" ht="13.95" customHeight="1">
      <c r="M6186"/>
      <c r="N6186"/>
      <c r="O6186"/>
      <c r="P6186"/>
      <c r="Q6186"/>
      <c r="R6186"/>
      <c r="S6186"/>
    </row>
    <row r="6187" spans="13:19" ht="13.95" customHeight="1">
      <c r="M6187"/>
      <c r="N6187"/>
      <c r="O6187"/>
      <c r="P6187"/>
      <c r="Q6187"/>
      <c r="R6187"/>
      <c r="S6187"/>
    </row>
    <row r="6188" spans="13:19" ht="13.95" customHeight="1">
      <c r="M6188"/>
      <c r="N6188"/>
      <c r="O6188"/>
      <c r="P6188"/>
      <c r="Q6188"/>
      <c r="R6188"/>
      <c r="S6188"/>
    </row>
    <row r="6189" spans="13:19" ht="13.95" customHeight="1">
      <c r="M6189"/>
      <c r="N6189"/>
      <c r="O6189"/>
      <c r="P6189"/>
      <c r="Q6189"/>
      <c r="R6189"/>
      <c r="S6189"/>
    </row>
    <row r="6190" spans="13:19" ht="13.95" customHeight="1">
      <c r="M6190"/>
      <c r="N6190"/>
      <c r="O6190"/>
      <c r="P6190"/>
      <c r="Q6190"/>
      <c r="R6190"/>
      <c r="S6190"/>
    </row>
    <row r="6191" spans="13:19" ht="13.95" customHeight="1">
      <c r="M6191"/>
      <c r="N6191"/>
      <c r="O6191"/>
      <c r="P6191"/>
      <c r="Q6191"/>
      <c r="R6191"/>
      <c r="S6191"/>
    </row>
    <row r="6192" spans="13:19" ht="13.95" customHeight="1">
      <c r="M6192"/>
      <c r="N6192"/>
      <c r="O6192"/>
      <c r="P6192"/>
      <c r="Q6192"/>
      <c r="R6192"/>
      <c r="S6192"/>
    </row>
    <row r="6193" spans="13:19" ht="13.95" customHeight="1">
      <c r="M6193"/>
      <c r="N6193"/>
      <c r="O6193"/>
      <c r="P6193"/>
      <c r="Q6193"/>
      <c r="R6193"/>
      <c r="S6193"/>
    </row>
    <row r="6194" spans="13:19" ht="13.95" customHeight="1">
      <c r="M6194"/>
      <c r="N6194"/>
      <c r="O6194"/>
      <c r="P6194"/>
      <c r="Q6194"/>
      <c r="R6194"/>
      <c r="S6194"/>
    </row>
    <row r="6195" spans="13:19" ht="13.95" customHeight="1">
      <c r="M6195"/>
      <c r="N6195"/>
      <c r="O6195"/>
      <c r="P6195"/>
      <c r="Q6195"/>
      <c r="R6195"/>
      <c r="S6195"/>
    </row>
    <row r="6196" spans="13:19" ht="13.95" customHeight="1">
      <c r="M6196"/>
      <c r="N6196"/>
      <c r="O6196"/>
      <c r="P6196"/>
      <c r="Q6196"/>
      <c r="R6196"/>
      <c r="S6196"/>
    </row>
    <row r="6197" spans="13:19" ht="13.95" customHeight="1">
      <c r="M6197"/>
      <c r="N6197"/>
      <c r="O6197"/>
      <c r="P6197"/>
      <c r="Q6197"/>
      <c r="R6197"/>
      <c r="S6197"/>
    </row>
    <row r="6198" spans="13:19" ht="13.95" customHeight="1">
      <c r="M6198"/>
      <c r="N6198"/>
      <c r="O6198"/>
      <c r="P6198"/>
      <c r="Q6198"/>
      <c r="R6198"/>
      <c r="S6198"/>
    </row>
    <row r="6199" spans="13:19" ht="13.95" customHeight="1">
      <c r="M6199"/>
      <c r="N6199"/>
      <c r="O6199"/>
      <c r="P6199"/>
      <c r="Q6199"/>
      <c r="R6199"/>
      <c r="S6199"/>
    </row>
    <row r="6200" spans="13:19" ht="13.95" customHeight="1">
      <c r="M6200"/>
      <c r="N6200"/>
      <c r="O6200"/>
      <c r="P6200"/>
      <c r="Q6200"/>
      <c r="R6200"/>
      <c r="S6200"/>
    </row>
    <row r="6201" spans="13:19" ht="13.95" customHeight="1">
      <c r="M6201"/>
      <c r="N6201"/>
      <c r="O6201"/>
      <c r="P6201"/>
      <c r="Q6201"/>
      <c r="R6201"/>
      <c r="S6201"/>
    </row>
    <row r="6202" spans="13:19" ht="13.95" customHeight="1">
      <c r="M6202"/>
      <c r="N6202"/>
      <c r="O6202"/>
      <c r="P6202"/>
      <c r="Q6202"/>
      <c r="R6202"/>
      <c r="S6202"/>
    </row>
    <row r="6203" spans="13:19" ht="13.95" customHeight="1">
      <c r="M6203"/>
      <c r="N6203"/>
      <c r="O6203"/>
      <c r="P6203"/>
      <c r="Q6203"/>
      <c r="R6203"/>
      <c r="S6203"/>
    </row>
    <row r="6204" spans="13:19" ht="13.95" customHeight="1">
      <c r="M6204"/>
      <c r="N6204"/>
      <c r="O6204"/>
      <c r="P6204"/>
      <c r="Q6204"/>
      <c r="R6204"/>
      <c r="S6204"/>
    </row>
    <row r="6205" spans="13:19" ht="13.95" customHeight="1">
      <c r="M6205"/>
      <c r="N6205"/>
      <c r="O6205"/>
      <c r="P6205"/>
      <c r="Q6205"/>
      <c r="R6205"/>
      <c r="S6205"/>
    </row>
    <row r="6206" spans="13:19" ht="13.95" customHeight="1">
      <c r="M6206"/>
      <c r="N6206"/>
      <c r="O6206"/>
      <c r="P6206"/>
      <c r="Q6206"/>
      <c r="R6206"/>
      <c r="S6206"/>
    </row>
    <row r="6207" spans="13:19" ht="13.95" customHeight="1">
      <c r="M6207"/>
      <c r="N6207"/>
      <c r="O6207"/>
      <c r="P6207"/>
      <c r="Q6207"/>
      <c r="R6207"/>
      <c r="S6207"/>
    </row>
    <row r="6208" spans="13:19" ht="13.95" customHeight="1">
      <c r="M6208"/>
      <c r="N6208"/>
      <c r="O6208"/>
      <c r="P6208"/>
      <c r="Q6208"/>
      <c r="R6208"/>
      <c r="S6208"/>
    </row>
    <row r="6209" spans="13:19" ht="13.95" customHeight="1">
      <c r="M6209"/>
      <c r="N6209"/>
      <c r="O6209"/>
      <c r="P6209"/>
      <c r="Q6209"/>
      <c r="R6209"/>
      <c r="S6209"/>
    </row>
    <row r="6210" spans="13:19" ht="13.95" customHeight="1">
      <c r="M6210"/>
      <c r="N6210"/>
      <c r="O6210"/>
      <c r="P6210"/>
      <c r="Q6210"/>
      <c r="R6210"/>
      <c r="S6210"/>
    </row>
    <row r="6211" spans="13:19" ht="13.95" customHeight="1">
      <c r="M6211"/>
      <c r="N6211"/>
      <c r="O6211"/>
      <c r="P6211"/>
      <c r="Q6211"/>
      <c r="R6211"/>
      <c r="S6211"/>
    </row>
    <row r="6212" spans="13:19" ht="13.95" customHeight="1">
      <c r="M6212"/>
      <c r="N6212"/>
      <c r="O6212"/>
      <c r="P6212"/>
      <c r="Q6212"/>
      <c r="R6212"/>
      <c r="S6212"/>
    </row>
    <row r="6213" spans="13:19" ht="13.95" customHeight="1">
      <c r="M6213"/>
      <c r="N6213"/>
      <c r="O6213"/>
      <c r="P6213"/>
      <c r="Q6213"/>
      <c r="R6213"/>
      <c r="S6213"/>
    </row>
    <row r="6214" spans="13:19" ht="13.95" customHeight="1">
      <c r="M6214"/>
      <c r="N6214"/>
      <c r="O6214"/>
      <c r="P6214"/>
      <c r="Q6214"/>
      <c r="R6214"/>
      <c r="S6214"/>
    </row>
    <row r="6215" spans="13:19" ht="13.95" customHeight="1">
      <c r="M6215"/>
      <c r="N6215"/>
      <c r="O6215"/>
      <c r="P6215"/>
      <c r="Q6215"/>
      <c r="R6215"/>
      <c r="S6215"/>
    </row>
    <row r="6216" spans="13:19" ht="13.95" customHeight="1">
      <c r="M6216"/>
      <c r="N6216"/>
      <c r="O6216"/>
      <c r="P6216"/>
      <c r="Q6216"/>
      <c r="R6216"/>
      <c r="S6216"/>
    </row>
    <row r="6217" spans="13:19" ht="13.95" customHeight="1">
      <c r="M6217"/>
      <c r="N6217"/>
      <c r="O6217"/>
      <c r="P6217"/>
      <c r="Q6217"/>
      <c r="R6217"/>
      <c r="S6217"/>
    </row>
    <row r="6218" spans="13:19" ht="13.95" customHeight="1">
      <c r="M6218"/>
      <c r="N6218"/>
      <c r="O6218"/>
      <c r="P6218"/>
      <c r="Q6218"/>
      <c r="R6218"/>
      <c r="S6218"/>
    </row>
    <row r="6219" spans="13:19" ht="13.95" customHeight="1">
      <c r="M6219"/>
      <c r="N6219"/>
      <c r="O6219"/>
      <c r="P6219"/>
      <c r="Q6219"/>
      <c r="R6219"/>
      <c r="S6219"/>
    </row>
    <row r="6220" spans="13:19" ht="13.95" customHeight="1">
      <c r="M6220"/>
      <c r="N6220"/>
      <c r="O6220"/>
      <c r="P6220"/>
      <c r="Q6220"/>
      <c r="R6220"/>
      <c r="S6220"/>
    </row>
    <row r="6221" spans="13:19" ht="13.95" customHeight="1">
      <c r="M6221"/>
      <c r="N6221"/>
      <c r="O6221"/>
      <c r="P6221"/>
      <c r="Q6221"/>
      <c r="R6221"/>
      <c r="S6221"/>
    </row>
    <row r="6222" spans="13:19" ht="13.95" customHeight="1">
      <c r="M6222"/>
      <c r="N6222"/>
      <c r="O6222"/>
      <c r="P6222"/>
      <c r="Q6222"/>
      <c r="R6222"/>
      <c r="S6222"/>
    </row>
    <row r="6223" spans="13:19" ht="13.95" customHeight="1">
      <c r="M6223"/>
      <c r="N6223"/>
      <c r="O6223"/>
      <c r="P6223"/>
      <c r="Q6223"/>
      <c r="R6223"/>
      <c r="S6223"/>
    </row>
    <row r="6224" spans="13:19" ht="13.95" customHeight="1">
      <c r="M6224"/>
      <c r="N6224"/>
      <c r="O6224"/>
      <c r="P6224"/>
      <c r="Q6224"/>
      <c r="R6224"/>
      <c r="S6224"/>
    </row>
    <row r="6225" spans="13:19" ht="13.95" customHeight="1">
      <c r="M6225"/>
      <c r="N6225"/>
      <c r="O6225"/>
      <c r="P6225"/>
      <c r="Q6225"/>
      <c r="R6225"/>
      <c r="S6225"/>
    </row>
    <row r="6226" spans="13:19" ht="13.95" customHeight="1">
      <c r="M6226"/>
      <c r="N6226"/>
      <c r="O6226"/>
      <c r="P6226"/>
      <c r="Q6226"/>
      <c r="R6226"/>
      <c r="S6226"/>
    </row>
    <row r="6227" spans="13:19" ht="13.95" customHeight="1">
      <c r="M6227"/>
      <c r="N6227"/>
      <c r="O6227"/>
      <c r="P6227"/>
      <c r="Q6227"/>
      <c r="R6227"/>
      <c r="S6227"/>
    </row>
    <row r="6228" spans="13:19" ht="13.95" customHeight="1">
      <c r="M6228"/>
      <c r="N6228"/>
      <c r="O6228"/>
      <c r="P6228"/>
      <c r="Q6228"/>
      <c r="R6228"/>
      <c r="S6228"/>
    </row>
    <row r="6229" spans="13:19" ht="13.95" customHeight="1">
      <c r="M6229"/>
      <c r="N6229"/>
      <c r="O6229"/>
      <c r="P6229"/>
      <c r="Q6229"/>
      <c r="R6229"/>
      <c r="S6229"/>
    </row>
    <row r="6230" spans="13:19" ht="13.95" customHeight="1">
      <c r="M6230"/>
      <c r="N6230"/>
      <c r="O6230"/>
      <c r="P6230"/>
      <c r="Q6230"/>
      <c r="R6230"/>
      <c r="S6230"/>
    </row>
    <row r="6231" spans="13:19" ht="13.95" customHeight="1">
      <c r="M6231"/>
      <c r="N6231"/>
      <c r="O6231"/>
      <c r="P6231"/>
      <c r="Q6231"/>
      <c r="R6231"/>
      <c r="S6231"/>
    </row>
    <row r="6232" spans="13:19" ht="13.95" customHeight="1">
      <c r="M6232"/>
      <c r="N6232"/>
      <c r="O6232"/>
      <c r="P6232"/>
      <c r="Q6232"/>
      <c r="R6232"/>
      <c r="S6232"/>
    </row>
    <row r="6233" spans="13:19" ht="13.95" customHeight="1">
      <c r="M6233"/>
      <c r="N6233"/>
      <c r="O6233"/>
      <c r="P6233"/>
      <c r="Q6233"/>
      <c r="R6233"/>
      <c r="S6233"/>
    </row>
    <row r="6234" spans="13:19" ht="13.95" customHeight="1">
      <c r="M6234"/>
      <c r="N6234"/>
      <c r="O6234"/>
      <c r="P6234"/>
      <c r="Q6234"/>
      <c r="R6234"/>
      <c r="S6234"/>
    </row>
    <row r="6235" spans="13:19" ht="13.95" customHeight="1">
      <c r="M6235"/>
      <c r="N6235"/>
      <c r="O6235"/>
      <c r="P6235"/>
      <c r="Q6235"/>
      <c r="R6235"/>
      <c r="S6235"/>
    </row>
    <row r="6236" spans="13:19" ht="13.95" customHeight="1">
      <c r="M6236"/>
      <c r="N6236"/>
      <c r="O6236"/>
      <c r="P6236"/>
      <c r="Q6236"/>
      <c r="R6236"/>
      <c r="S6236"/>
    </row>
    <row r="6237" spans="13:19" ht="13.95" customHeight="1">
      <c r="M6237"/>
      <c r="N6237"/>
      <c r="O6237"/>
      <c r="P6237"/>
      <c r="Q6237"/>
      <c r="R6237"/>
      <c r="S6237"/>
    </row>
    <row r="6238" spans="13:19" ht="13.95" customHeight="1">
      <c r="M6238"/>
      <c r="N6238"/>
      <c r="O6238"/>
      <c r="P6238"/>
      <c r="Q6238"/>
      <c r="R6238"/>
      <c r="S6238"/>
    </row>
    <row r="6239" spans="13:19" ht="13.95" customHeight="1">
      <c r="M6239"/>
      <c r="N6239"/>
      <c r="O6239"/>
      <c r="P6239"/>
      <c r="Q6239"/>
      <c r="R6239"/>
      <c r="S6239"/>
    </row>
    <row r="6240" spans="13:19" ht="13.95" customHeight="1">
      <c r="M6240"/>
      <c r="N6240"/>
      <c r="O6240"/>
      <c r="P6240"/>
      <c r="Q6240"/>
      <c r="R6240"/>
      <c r="S6240"/>
    </row>
    <row r="6241" spans="13:19" ht="13.95" customHeight="1">
      <c r="M6241"/>
      <c r="N6241"/>
      <c r="O6241"/>
      <c r="P6241"/>
      <c r="Q6241"/>
      <c r="R6241"/>
      <c r="S6241"/>
    </row>
    <row r="6242" spans="13:19" ht="13.95" customHeight="1">
      <c r="M6242"/>
      <c r="N6242"/>
      <c r="O6242"/>
      <c r="P6242"/>
      <c r="Q6242"/>
      <c r="R6242"/>
      <c r="S6242"/>
    </row>
    <row r="6243" spans="13:19" ht="13.95" customHeight="1">
      <c r="M6243"/>
      <c r="N6243"/>
      <c r="O6243"/>
      <c r="P6243"/>
      <c r="Q6243"/>
      <c r="R6243"/>
      <c r="S6243"/>
    </row>
    <row r="6244" spans="13:19" ht="13.95" customHeight="1">
      <c r="M6244"/>
      <c r="N6244"/>
      <c r="O6244"/>
      <c r="P6244"/>
      <c r="Q6244"/>
      <c r="R6244"/>
      <c r="S6244"/>
    </row>
    <row r="6245" spans="13:19" ht="13.95" customHeight="1">
      <c r="M6245"/>
      <c r="N6245"/>
      <c r="O6245"/>
      <c r="P6245"/>
      <c r="Q6245"/>
      <c r="R6245"/>
      <c r="S6245"/>
    </row>
    <row r="6246" spans="13:19" ht="13.95" customHeight="1">
      <c r="M6246"/>
      <c r="N6246"/>
      <c r="O6246"/>
      <c r="P6246"/>
      <c r="Q6246"/>
      <c r="R6246"/>
      <c r="S6246"/>
    </row>
    <row r="6247" spans="13:19" ht="13.95" customHeight="1">
      <c r="M6247"/>
      <c r="N6247"/>
      <c r="O6247"/>
      <c r="P6247"/>
      <c r="Q6247"/>
      <c r="R6247"/>
      <c r="S6247"/>
    </row>
    <row r="6248" spans="13:19" ht="13.95" customHeight="1">
      <c r="M6248"/>
      <c r="N6248"/>
      <c r="O6248"/>
      <c r="P6248"/>
      <c r="Q6248"/>
      <c r="R6248"/>
      <c r="S6248"/>
    </row>
    <row r="6249" spans="13:19" ht="13.95" customHeight="1">
      <c r="M6249"/>
      <c r="N6249"/>
      <c r="O6249"/>
      <c r="P6249"/>
      <c r="Q6249"/>
      <c r="R6249"/>
      <c r="S6249"/>
    </row>
    <row r="6250" spans="13:19" ht="13.95" customHeight="1">
      <c r="M6250"/>
      <c r="N6250"/>
      <c r="O6250"/>
      <c r="P6250"/>
      <c r="Q6250"/>
      <c r="R6250"/>
      <c r="S6250"/>
    </row>
    <row r="6251" spans="13:19" ht="13.95" customHeight="1">
      <c r="M6251"/>
      <c r="N6251"/>
      <c r="O6251"/>
      <c r="P6251"/>
      <c r="Q6251"/>
      <c r="R6251"/>
      <c r="S6251"/>
    </row>
    <row r="6252" spans="13:19" ht="13.95" customHeight="1">
      <c r="M6252"/>
      <c r="N6252"/>
      <c r="O6252"/>
      <c r="P6252"/>
      <c r="Q6252"/>
      <c r="R6252"/>
      <c r="S6252"/>
    </row>
    <row r="6253" spans="13:19" ht="13.95" customHeight="1">
      <c r="M6253"/>
      <c r="N6253"/>
      <c r="O6253"/>
      <c r="P6253"/>
      <c r="Q6253"/>
      <c r="R6253"/>
      <c r="S6253"/>
    </row>
    <row r="6254" spans="13:19" ht="13.95" customHeight="1">
      <c r="M6254"/>
      <c r="N6254"/>
      <c r="O6254"/>
      <c r="P6254"/>
      <c r="Q6254"/>
      <c r="R6254"/>
      <c r="S6254"/>
    </row>
    <row r="6255" spans="13:19" ht="13.95" customHeight="1">
      <c r="M6255"/>
      <c r="N6255"/>
      <c r="O6255"/>
      <c r="P6255"/>
      <c r="Q6255"/>
      <c r="R6255"/>
      <c r="S6255"/>
    </row>
    <row r="6256" spans="13:19" ht="13.95" customHeight="1">
      <c r="M6256"/>
      <c r="N6256"/>
      <c r="O6256"/>
      <c r="P6256"/>
      <c r="Q6256"/>
      <c r="R6256"/>
      <c r="S6256"/>
    </row>
    <row r="6257" spans="13:19" ht="13.95" customHeight="1">
      <c r="M6257"/>
      <c r="N6257"/>
      <c r="O6257"/>
      <c r="P6257"/>
      <c r="Q6257"/>
      <c r="R6257"/>
      <c r="S6257"/>
    </row>
    <row r="6258" spans="13:19" ht="13.95" customHeight="1">
      <c r="M6258"/>
      <c r="N6258"/>
      <c r="O6258"/>
      <c r="P6258"/>
      <c r="Q6258"/>
      <c r="R6258"/>
      <c r="S6258"/>
    </row>
    <row r="6259" spans="13:19" ht="13.95" customHeight="1">
      <c r="M6259"/>
      <c r="N6259"/>
      <c r="O6259"/>
      <c r="P6259"/>
      <c r="Q6259"/>
      <c r="R6259"/>
      <c r="S6259"/>
    </row>
    <row r="6260" spans="13:19" ht="13.95" customHeight="1">
      <c r="M6260"/>
      <c r="N6260"/>
      <c r="O6260"/>
      <c r="P6260"/>
      <c r="Q6260"/>
      <c r="R6260"/>
      <c r="S6260"/>
    </row>
    <row r="6261" spans="13:19" ht="13.95" customHeight="1">
      <c r="M6261"/>
      <c r="N6261"/>
      <c r="O6261"/>
      <c r="P6261"/>
      <c r="Q6261"/>
      <c r="R6261"/>
      <c r="S6261"/>
    </row>
    <row r="6262" spans="13:19" ht="13.95" customHeight="1">
      <c r="M6262"/>
      <c r="N6262"/>
      <c r="O6262"/>
      <c r="P6262"/>
      <c r="Q6262"/>
      <c r="R6262"/>
      <c r="S6262"/>
    </row>
    <row r="6263" spans="13:19" ht="13.95" customHeight="1">
      <c r="M6263"/>
      <c r="N6263"/>
      <c r="O6263"/>
      <c r="P6263"/>
      <c r="Q6263"/>
      <c r="R6263"/>
      <c r="S6263"/>
    </row>
    <row r="6264" spans="13:19" ht="13.95" customHeight="1">
      <c r="M6264"/>
      <c r="N6264"/>
      <c r="O6264"/>
      <c r="P6264"/>
      <c r="Q6264"/>
      <c r="R6264"/>
      <c r="S6264"/>
    </row>
    <row r="6265" spans="13:19" ht="13.95" customHeight="1">
      <c r="M6265"/>
      <c r="N6265"/>
      <c r="O6265"/>
      <c r="P6265"/>
      <c r="Q6265"/>
      <c r="R6265"/>
      <c r="S6265"/>
    </row>
    <row r="6266" spans="13:19" ht="13.95" customHeight="1">
      <c r="M6266"/>
      <c r="N6266"/>
      <c r="O6266"/>
      <c r="P6266"/>
      <c r="Q6266"/>
      <c r="R6266"/>
      <c r="S6266"/>
    </row>
    <row r="6267" spans="13:19" ht="13.95" customHeight="1">
      <c r="M6267"/>
      <c r="N6267"/>
      <c r="O6267"/>
      <c r="P6267"/>
      <c r="Q6267"/>
      <c r="R6267"/>
      <c r="S6267"/>
    </row>
    <row r="6268" spans="13:19" ht="13.95" customHeight="1">
      <c r="M6268"/>
      <c r="N6268"/>
      <c r="O6268"/>
      <c r="P6268"/>
      <c r="Q6268"/>
      <c r="R6268"/>
      <c r="S6268"/>
    </row>
    <row r="6269" spans="13:19" ht="13.95" customHeight="1">
      <c r="M6269"/>
      <c r="N6269"/>
      <c r="O6269"/>
      <c r="P6269"/>
      <c r="Q6269"/>
      <c r="R6269"/>
      <c r="S6269"/>
    </row>
    <row r="6270" spans="13:19" ht="13.95" customHeight="1">
      <c r="M6270"/>
      <c r="N6270"/>
      <c r="O6270"/>
      <c r="P6270"/>
      <c r="Q6270"/>
      <c r="R6270"/>
      <c r="S6270"/>
    </row>
    <row r="6271" spans="13:19" ht="13.95" customHeight="1">
      <c r="M6271"/>
      <c r="N6271"/>
      <c r="O6271"/>
      <c r="P6271"/>
      <c r="Q6271"/>
      <c r="R6271"/>
      <c r="S6271"/>
    </row>
    <row r="6272" spans="13:19" ht="13.95" customHeight="1">
      <c r="M6272"/>
      <c r="N6272"/>
      <c r="O6272"/>
      <c r="P6272"/>
      <c r="Q6272"/>
      <c r="R6272"/>
      <c r="S6272"/>
    </row>
    <row r="6273" spans="13:19" ht="13.95" customHeight="1">
      <c r="M6273"/>
      <c r="N6273"/>
      <c r="O6273"/>
      <c r="P6273"/>
      <c r="Q6273"/>
      <c r="R6273"/>
      <c r="S6273"/>
    </row>
    <row r="6274" spans="13:19" ht="13.95" customHeight="1">
      <c r="M6274"/>
      <c r="N6274"/>
      <c r="O6274"/>
      <c r="P6274"/>
      <c r="Q6274"/>
      <c r="R6274"/>
      <c r="S6274"/>
    </row>
    <row r="6275" spans="13:19" ht="13.95" customHeight="1">
      <c r="M6275"/>
      <c r="N6275"/>
      <c r="O6275"/>
      <c r="P6275"/>
      <c r="Q6275"/>
      <c r="R6275"/>
      <c r="S6275"/>
    </row>
    <row r="6276" spans="13:19" ht="13.95" customHeight="1">
      <c r="M6276"/>
      <c r="N6276"/>
      <c r="O6276"/>
      <c r="P6276"/>
      <c r="Q6276"/>
      <c r="R6276"/>
      <c r="S6276"/>
    </row>
    <row r="6277" spans="13:19" ht="13.95" customHeight="1">
      <c r="M6277"/>
      <c r="N6277"/>
      <c r="O6277"/>
      <c r="P6277"/>
      <c r="Q6277"/>
      <c r="R6277"/>
      <c r="S6277"/>
    </row>
    <row r="6278" spans="13:19" ht="13.95" customHeight="1">
      <c r="M6278"/>
      <c r="N6278"/>
      <c r="O6278"/>
      <c r="P6278"/>
      <c r="Q6278"/>
      <c r="R6278"/>
      <c r="S6278"/>
    </row>
    <row r="6279" spans="13:19" ht="13.95" customHeight="1">
      <c r="M6279"/>
      <c r="N6279"/>
      <c r="O6279"/>
      <c r="P6279"/>
      <c r="Q6279"/>
      <c r="R6279"/>
      <c r="S6279"/>
    </row>
    <row r="6280" spans="13:19" ht="13.95" customHeight="1">
      <c r="M6280"/>
      <c r="N6280"/>
      <c r="O6280"/>
      <c r="P6280"/>
      <c r="Q6280"/>
      <c r="R6280"/>
      <c r="S6280"/>
    </row>
    <row r="6281" spans="13:19" ht="13.95" customHeight="1">
      <c r="M6281"/>
      <c r="N6281"/>
      <c r="O6281"/>
      <c r="P6281"/>
      <c r="Q6281"/>
      <c r="R6281"/>
      <c r="S6281"/>
    </row>
    <row r="6282" spans="13:19" ht="13.95" customHeight="1">
      <c r="M6282"/>
      <c r="N6282"/>
      <c r="O6282"/>
      <c r="P6282"/>
      <c r="Q6282"/>
      <c r="R6282"/>
      <c r="S6282"/>
    </row>
    <row r="6283" spans="13:19" ht="13.95" customHeight="1">
      <c r="M6283"/>
      <c r="N6283"/>
      <c r="O6283"/>
      <c r="P6283"/>
      <c r="Q6283"/>
      <c r="R6283"/>
      <c r="S6283"/>
    </row>
    <row r="6284" spans="13:19" ht="13.95" customHeight="1">
      <c r="M6284"/>
      <c r="N6284"/>
      <c r="O6284"/>
      <c r="P6284"/>
      <c r="Q6284"/>
      <c r="R6284"/>
      <c r="S6284"/>
    </row>
    <row r="6285" spans="13:19" ht="13.95" customHeight="1">
      <c r="M6285"/>
      <c r="N6285"/>
      <c r="O6285"/>
      <c r="P6285"/>
      <c r="Q6285"/>
      <c r="R6285"/>
      <c r="S6285"/>
    </row>
    <row r="6286" spans="13:19" ht="13.95" customHeight="1">
      <c r="M6286"/>
      <c r="N6286"/>
      <c r="O6286"/>
      <c r="P6286"/>
      <c r="Q6286"/>
      <c r="R6286"/>
      <c r="S6286"/>
    </row>
    <row r="6287" spans="13:19" ht="13.95" customHeight="1">
      <c r="M6287"/>
      <c r="N6287"/>
      <c r="O6287"/>
      <c r="P6287"/>
      <c r="Q6287"/>
      <c r="R6287"/>
      <c r="S6287"/>
    </row>
    <row r="6288" spans="13:19" ht="13.95" customHeight="1">
      <c r="M6288"/>
      <c r="N6288"/>
      <c r="O6288"/>
      <c r="P6288"/>
      <c r="Q6288"/>
      <c r="R6288"/>
      <c r="S6288"/>
    </row>
    <row r="6289" spans="13:19" ht="13.95" customHeight="1">
      <c r="M6289"/>
      <c r="N6289"/>
      <c r="O6289"/>
      <c r="P6289"/>
      <c r="Q6289"/>
      <c r="R6289"/>
      <c r="S6289"/>
    </row>
    <row r="6290" spans="13:19" ht="13.95" customHeight="1">
      <c r="M6290"/>
      <c r="N6290"/>
      <c r="O6290"/>
      <c r="P6290"/>
      <c r="Q6290"/>
      <c r="R6290"/>
      <c r="S6290"/>
    </row>
    <row r="6291" spans="13:19" ht="13.95" customHeight="1">
      <c r="M6291"/>
      <c r="N6291"/>
      <c r="O6291"/>
      <c r="P6291"/>
      <c r="Q6291"/>
      <c r="R6291"/>
      <c r="S6291"/>
    </row>
    <row r="6292" spans="13:19" ht="13.95" customHeight="1">
      <c r="M6292"/>
      <c r="N6292"/>
      <c r="O6292"/>
      <c r="P6292"/>
      <c r="Q6292"/>
      <c r="R6292"/>
      <c r="S6292"/>
    </row>
    <row r="6293" spans="13:19" ht="13.95" customHeight="1">
      <c r="M6293"/>
      <c r="N6293"/>
      <c r="O6293"/>
      <c r="P6293"/>
      <c r="Q6293"/>
      <c r="R6293"/>
      <c r="S6293"/>
    </row>
    <row r="6294" spans="13:19" ht="13.95" customHeight="1">
      <c r="M6294"/>
      <c r="N6294"/>
      <c r="O6294"/>
      <c r="P6294"/>
      <c r="Q6294"/>
      <c r="R6294"/>
      <c r="S6294"/>
    </row>
    <row r="6295" spans="13:19" ht="13.95" customHeight="1">
      <c r="M6295"/>
      <c r="N6295"/>
      <c r="O6295"/>
      <c r="P6295"/>
      <c r="Q6295"/>
      <c r="R6295"/>
      <c r="S6295"/>
    </row>
    <row r="6296" spans="13:19" ht="13.95" customHeight="1">
      <c r="M6296"/>
      <c r="N6296"/>
      <c r="O6296"/>
      <c r="P6296"/>
      <c r="Q6296"/>
      <c r="R6296"/>
      <c r="S6296"/>
    </row>
    <row r="6297" spans="13:19" ht="13.95" customHeight="1">
      <c r="M6297"/>
      <c r="N6297"/>
      <c r="O6297"/>
      <c r="P6297"/>
      <c r="Q6297"/>
      <c r="R6297"/>
      <c r="S6297"/>
    </row>
    <row r="6298" spans="13:19" ht="13.95" customHeight="1">
      <c r="M6298"/>
      <c r="N6298"/>
      <c r="O6298"/>
      <c r="P6298"/>
      <c r="Q6298"/>
      <c r="R6298"/>
      <c r="S6298"/>
    </row>
    <row r="6299" spans="13:19" ht="13.95" customHeight="1">
      <c r="M6299"/>
      <c r="N6299"/>
      <c r="O6299"/>
      <c r="P6299"/>
      <c r="Q6299"/>
      <c r="R6299"/>
      <c r="S6299"/>
    </row>
    <row r="6300" spans="13:19" ht="13.95" customHeight="1">
      <c r="M6300"/>
      <c r="N6300"/>
      <c r="O6300"/>
      <c r="P6300"/>
      <c r="Q6300"/>
      <c r="R6300"/>
      <c r="S6300"/>
    </row>
    <row r="6301" spans="13:19" ht="13.95" customHeight="1">
      <c r="M6301"/>
      <c r="N6301"/>
      <c r="O6301"/>
      <c r="P6301"/>
      <c r="Q6301"/>
      <c r="R6301"/>
      <c r="S6301"/>
    </row>
    <row r="6302" spans="13:19" ht="13.95" customHeight="1">
      <c r="M6302"/>
      <c r="N6302"/>
      <c r="O6302"/>
      <c r="P6302"/>
      <c r="Q6302"/>
      <c r="R6302"/>
      <c r="S6302"/>
    </row>
    <row r="6303" spans="13:19" ht="13.95" customHeight="1">
      <c r="M6303"/>
      <c r="N6303"/>
      <c r="O6303"/>
      <c r="P6303"/>
      <c r="Q6303"/>
      <c r="R6303"/>
      <c r="S6303"/>
    </row>
    <row r="6304" spans="13:19" ht="13.95" customHeight="1">
      <c r="M6304"/>
      <c r="N6304"/>
      <c r="O6304"/>
      <c r="P6304"/>
      <c r="Q6304"/>
      <c r="R6304"/>
      <c r="S6304"/>
    </row>
    <row r="6305" spans="13:19" ht="13.95" customHeight="1">
      <c r="M6305"/>
      <c r="N6305"/>
      <c r="O6305"/>
      <c r="P6305"/>
      <c r="Q6305"/>
      <c r="R6305"/>
      <c r="S6305"/>
    </row>
    <row r="6306" spans="13:19" ht="13.95" customHeight="1">
      <c r="M6306"/>
      <c r="N6306"/>
      <c r="O6306"/>
      <c r="P6306"/>
      <c r="Q6306"/>
      <c r="R6306"/>
      <c r="S6306"/>
    </row>
    <row r="6307" spans="13:19" ht="13.95" customHeight="1">
      <c r="M6307"/>
      <c r="N6307"/>
      <c r="O6307"/>
      <c r="P6307"/>
      <c r="Q6307"/>
      <c r="R6307"/>
      <c r="S6307"/>
    </row>
    <row r="6308" spans="13:19" ht="13.95" customHeight="1">
      <c r="M6308"/>
      <c r="N6308"/>
      <c r="O6308"/>
      <c r="P6308"/>
      <c r="Q6308"/>
      <c r="R6308"/>
      <c r="S6308"/>
    </row>
    <row r="6309" spans="13:19" ht="13.95" customHeight="1">
      <c r="M6309"/>
      <c r="N6309"/>
      <c r="O6309"/>
      <c r="P6309"/>
      <c r="Q6309"/>
      <c r="R6309"/>
      <c r="S6309"/>
    </row>
    <row r="6310" spans="13:19" ht="13.95" customHeight="1">
      <c r="M6310"/>
      <c r="N6310"/>
      <c r="O6310"/>
      <c r="P6310"/>
      <c r="Q6310"/>
      <c r="R6310"/>
      <c r="S6310"/>
    </row>
    <row r="6311" spans="13:19" ht="13.95" customHeight="1">
      <c r="M6311"/>
      <c r="N6311"/>
      <c r="O6311"/>
      <c r="P6311"/>
      <c r="Q6311"/>
      <c r="R6311"/>
      <c r="S6311"/>
    </row>
    <row r="6312" spans="13:19" ht="13.95" customHeight="1">
      <c r="M6312"/>
      <c r="N6312"/>
      <c r="O6312"/>
      <c r="P6312"/>
      <c r="Q6312"/>
      <c r="R6312"/>
      <c r="S6312"/>
    </row>
    <row r="6313" spans="13:19" ht="13.95" customHeight="1">
      <c r="M6313"/>
      <c r="N6313"/>
      <c r="O6313"/>
      <c r="P6313"/>
      <c r="Q6313"/>
      <c r="R6313"/>
      <c r="S6313"/>
    </row>
    <row r="6314" spans="13:19" ht="13.95" customHeight="1">
      <c r="M6314"/>
      <c r="N6314"/>
      <c r="O6314"/>
      <c r="P6314"/>
      <c r="Q6314"/>
      <c r="R6314"/>
      <c r="S6314"/>
    </row>
    <row r="6315" spans="13:19" ht="13.95" customHeight="1">
      <c r="M6315"/>
      <c r="N6315"/>
      <c r="O6315"/>
      <c r="P6315"/>
      <c r="Q6315"/>
      <c r="R6315"/>
      <c r="S6315"/>
    </row>
    <row r="6316" spans="13:19" ht="13.95" customHeight="1">
      <c r="M6316"/>
      <c r="N6316"/>
      <c r="O6316"/>
      <c r="P6316"/>
      <c r="Q6316"/>
      <c r="R6316"/>
      <c r="S6316"/>
    </row>
    <row r="6317" spans="13:19" ht="13.95" customHeight="1">
      <c r="M6317"/>
      <c r="N6317"/>
      <c r="O6317"/>
      <c r="P6317"/>
      <c r="Q6317"/>
      <c r="R6317"/>
      <c r="S6317"/>
    </row>
    <row r="6318" spans="13:19" ht="13.95" customHeight="1">
      <c r="M6318"/>
      <c r="N6318"/>
      <c r="O6318"/>
      <c r="P6318"/>
      <c r="Q6318"/>
      <c r="R6318"/>
      <c r="S6318"/>
    </row>
    <row r="6319" spans="13:19" ht="13.95" customHeight="1">
      <c r="M6319"/>
      <c r="N6319"/>
      <c r="O6319"/>
      <c r="P6319"/>
      <c r="Q6319"/>
      <c r="R6319"/>
      <c r="S6319"/>
    </row>
    <row r="6320" spans="13:19" ht="13.95" customHeight="1">
      <c r="M6320"/>
      <c r="N6320"/>
      <c r="O6320"/>
      <c r="P6320"/>
      <c r="Q6320"/>
      <c r="R6320"/>
      <c r="S6320"/>
    </row>
    <row r="6321" spans="13:19" ht="13.95" customHeight="1">
      <c r="M6321"/>
      <c r="N6321"/>
      <c r="O6321"/>
      <c r="P6321"/>
      <c r="Q6321"/>
      <c r="R6321"/>
      <c r="S6321"/>
    </row>
    <row r="6322" spans="13:19" ht="13.95" customHeight="1">
      <c r="M6322"/>
      <c r="N6322"/>
      <c r="O6322"/>
      <c r="P6322"/>
      <c r="Q6322"/>
      <c r="R6322"/>
      <c r="S6322"/>
    </row>
    <row r="6323" spans="13:19" ht="13.95" customHeight="1">
      <c r="M6323"/>
      <c r="N6323"/>
      <c r="O6323"/>
      <c r="P6323"/>
      <c r="Q6323"/>
      <c r="R6323"/>
      <c r="S6323"/>
    </row>
    <row r="6324" spans="13:19" ht="13.95" customHeight="1">
      <c r="M6324"/>
      <c r="N6324"/>
      <c r="O6324"/>
      <c r="P6324"/>
      <c r="Q6324"/>
      <c r="R6324"/>
      <c r="S6324"/>
    </row>
    <row r="6325" spans="13:19" ht="13.95" customHeight="1">
      <c r="M6325"/>
      <c r="N6325"/>
      <c r="O6325"/>
      <c r="P6325"/>
      <c r="Q6325"/>
      <c r="R6325"/>
      <c r="S6325"/>
    </row>
    <row r="6326" spans="13:19" ht="13.95" customHeight="1">
      <c r="M6326"/>
      <c r="N6326"/>
      <c r="O6326"/>
      <c r="P6326"/>
      <c r="Q6326"/>
      <c r="R6326"/>
      <c r="S6326"/>
    </row>
    <row r="6327" spans="13:19" ht="13.95" customHeight="1">
      <c r="M6327"/>
      <c r="N6327"/>
      <c r="O6327"/>
      <c r="P6327"/>
      <c r="Q6327"/>
      <c r="R6327"/>
      <c r="S6327"/>
    </row>
    <row r="6328" spans="13:19" ht="13.95" customHeight="1">
      <c r="M6328"/>
      <c r="N6328"/>
      <c r="O6328"/>
      <c r="P6328"/>
      <c r="Q6328"/>
      <c r="R6328"/>
      <c r="S6328"/>
    </row>
    <row r="6329" spans="13:19" ht="13.95" customHeight="1">
      <c r="M6329"/>
      <c r="N6329"/>
      <c r="O6329"/>
      <c r="P6329"/>
      <c r="Q6329"/>
      <c r="R6329"/>
      <c r="S6329"/>
    </row>
    <row r="6330" spans="13:19" ht="13.95" customHeight="1">
      <c r="M6330"/>
      <c r="N6330"/>
      <c r="O6330"/>
      <c r="P6330"/>
      <c r="Q6330"/>
      <c r="R6330"/>
      <c r="S6330"/>
    </row>
    <row r="6331" spans="13:19" ht="13.95" customHeight="1">
      <c r="M6331"/>
      <c r="N6331"/>
      <c r="O6331"/>
      <c r="P6331"/>
      <c r="Q6331"/>
      <c r="R6331"/>
      <c r="S6331"/>
    </row>
    <row r="6332" spans="13:19" ht="13.95" customHeight="1">
      <c r="M6332"/>
      <c r="N6332"/>
      <c r="O6332"/>
      <c r="P6332"/>
      <c r="Q6332"/>
      <c r="R6332"/>
      <c r="S6332"/>
    </row>
    <row r="6333" spans="13:19" ht="13.95" customHeight="1">
      <c r="M6333"/>
      <c r="N6333"/>
      <c r="O6333"/>
      <c r="P6333"/>
      <c r="Q6333"/>
      <c r="R6333"/>
      <c r="S6333"/>
    </row>
    <row r="6334" spans="13:19" ht="13.95" customHeight="1">
      <c r="M6334"/>
      <c r="N6334"/>
      <c r="O6334"/>
      <c r="P6334"/>
      <c r="Q6334"/>
      <c r="R6334"/>
      <c r="S6334"/>
    </row>
    <row r="6335" spans="13:19" ht="13.95" customHeight="1">
      <c r="M6335"/>
      <c r="N6335"/>
      <c r="O6335"/>
      <c r="P6335"/>
      <c r="Q6335"/>
      <c r="R6335"/>
      <c r="S6335"/>
    </row>
    <row r="6336" spans="13:19" ht="13.95" customHeight="1">
      <c r="M6336"/>
      <c r="N6336"/>
      <c r="O6336"/>
      <c r="P6336"/>
      <c r="Q6336"/>
      <c r="R6336"/>
      <c r="S6336"/>
    </row>
    <row r="6337" spans="13:19" ht="13.95" customHeight="1">
      <c r="M6337"/>
      <c r="N6337"/>
      <c r="O6337"/>
      <c r="P6337"/>
      <c r="Q6337"/>
      <c r="R6337"/>
      <c r="S6337"/>
    </row>
    <row r="6338" spans="13:19" ht="13.95" customHeight="1">
      <c r="M6338"/>
      <c r="N6338"/>
      <c r="O6338"/>
      <c r="P6338"/>
      <c r="Q6338"/>
      <c r="R6338"/>
      <c r="S6338"/>
    </row>
    <row r="6339" spans="13:19" ht="13.95" customHeight="1">
      <c r="M6339"/>
      <c r="N6339"/>
      <c r="O6339"/>
      <c r="P6339"/>
      <c r="Q6339"/>
      <c r="R6339"/>
      <c r="S6339"/>
    </row>
    <row r="6340" spans="13:19" ht="13.95" customHeight="1">
      <c r="M6340"/>
      <c r="N6340"/>
      <c r="O6340"/>
      <c r="P6340"/>
      <c r="Q6340"/>
      <c r="R6340"/>
      <c r="S6340"/>
    </row>
    <row r="6341" spans="13:19" ht="13.95" customHeight="1">
      <c r="M6341"/>
      <c r="N6341"/>
      <c r="O6341"/>
      <c r="P6341"/>
      <c r="Q6341"/>
      <c r="R6341"/>
      <c r="S6341"/>
    </row>
    <row r="6342" spans="13:19" ht="13.95" customHeight="1">
      <c r="M6342"/>
      <c r="N6342"/>
      <c r="O6342"/>
      <c r="P6342"/>
      <c r="Q6342"/>
      <c r="R6342"/>
      <c r="S6342"/>
    </row>
    <row r="6343" spans="13:19" ht="13.95" customHeight="1">
      <c r="M6343"/>
      <c r="N6343"/>
      <c r="O6343"/>
      <c r="P6343"/>
      <c r="Q6343"/>
      <c r="R6343"/>
      <c r="S6343"/>
    </row>
    <row r="6344" spans="13:19" ht="13.95" customHeight="1">
      <c r="M6344"/>
      <c r="N6344"/>
      <c r="O6344"/>
      <c r="P6344"/>
      <c r="Q6344"/>
      <c r="R6344"/>
      <c r="S6344"/>
    </row>
    <row r="6345" spans="13:19" ht="13.95" customHeight="1">
      <c r="M6345"/>
      <c r="N6345"/>
      <c r="O6345"/>
      <c r="P6345"/>
      <c r="Q6345"/>
      <c r="R6345"/>
      <c r="S6345"/>
    </row>
    <row r="6346" spans="13:19" ht="13.95" customHeight="1">
      <c r="M6346"/>
      <c r="N6346"/>
      <c r="O6346"/>
      <c r="P6346"/>
      <c r="Q6346"/>
      <c r="R6346"/>
      <c r="S6346"/>
    </row>
    <row r="6347" spans="13:19" ht="13.95" customHeight="1">
      <c r="M6347"/>
      <c r="N6347"/>
      <c r="O6347"/>
      <c r="P6347"/>
      <c r="Q6347"/>
      <c r="R6347"/>
      <c r="S6347"/>
    </row>
    <row r="6348" spans="13:19" ht="13.95" customHeight="1">
      <c r="M6348"/>
      <c r="N6348"/>
      <c r="O6348"/>
      <c r="P6348"/>
      <c r="Q6348"/>
      <c r="R6348"/>
      <c r="S6348"/>
    </row>
    <row r="6349" spans="13:19" ht="13.95" customHeight="1">
      <c r="M6349"/>
      <c r="N6349"/>
      <c r="O6349"/>
      <c r="P6349"/>
      <c r="Q6349"/>
      <c r="R6349"/>
      <c r="S6349"/>
    </row>
    <row r="6350" spans="13:19" ht="13.95" customHeight="1">
      <c r="M6350"/>
      <c r="N6350"/>
      <c r="O6350"/>
      <c r="P6350"/>
      <c r="Q6350"/>
      <c r="R6350"/>
      <c r="S6350"/>
    </row>
    <row r="6351" spans="13:19" ht="13.95" customHeight="1">
      <c r="M6351"/>
      <c r="N6351"/>
      <c r="O6351"/>
      <c r="P6351"/>
      <c r="Q6351"/>
      <c r="R6351"/>
      <c r="S6351"/>
    </row>
    <row r="6352" spans="13:19" ht="13.95" customHeight="1">
      <c r="M6352"/>
      <c r="N6352"/>
      <c r="O6352"/>
      <c r="P6352"/>
      <c r="Q6352"/>
      <c r="R6352"/>
      <c r="S6352"/>
    </row>
    <row r="6353" spans="13:19" ht="13.95" customHeight="1">
      <c r="M6353"/>
      <c r="N6353"/>
      <c r="O6353"/>
      <c r="P6353"/>
      <c r="Q6353"/>
      <c r="R6353"/>
      <c r="S6353"/>
    </row>
    <row r="6354" spans="13:19" ht="13.95" customHeight="1">
      <c r="M6354"/>
      <c r="N6354"/>
      <c r="O6354"/>
      <c r="P6354"/>
      <c r="Q6354"/>
      <c r="R6354"/>
      <c r="S6354"/>
    </row>
    <row r="6355" spans="13:19" ht="13.95" customHeight="1">
      <c r="M6355"/>
      <c r="N6355"/>
      <c r="O6355"/>
      <c r="P6355"/>
      <c r="Q6355"/>
      <c r="R6355"/>
      <c r="S6355"/>
    </row>
    <row r="6356" spans="13:19" ht="13.95" customHeight="1">
      <c r="M6356"/>
      <c r="N6356"/>
      <c r="O6356"/>
      <c r="P6356"/>
      <c r="Q6356"/>
      <c r="R6356"/>
      <c r="S6356"/>
    </row>
    <row r="6357" spans="13:19" ht="13.95" customHeight="1">
      <c r="M6357"/>
      <c r="N6357"/>
      <c r="O6357"/>
      <c r="P6357"/>
      <c r="Q6357"/>
      <c r="R6357"/>
      <c r="S6357"/>
    </row>
    <row r="6358" spans="13:19" ht="13.95" customHeight="1">
      <c r="M6358"/>
      <c r="N6358"/>
      <c r="O6358"/>
      <c r="P6358"/>
      <c r="Q6358"/>
      <c r="R6358"/>
      <c r="S6358"/>
    </row>
    <row r="6359" spans="13:19" ht="13.95" customHeight="1">
      <c r="M6359"/>
      <c r="N6359"/>
      <c r="O6359"/>
      <c r="P6359"/>
      <c r="Q6359"/>
      <c r="R6359"/>
      <c r="S6359"/>
    </row>
    <row r="6360" spans="13:19" ht="13.95" customHeight="1">
      <c r="M6360"/>
      <c r="N6360"/>
      <c r="O6360"/>
      <c r="P6360"/>
      <c r="Q6360"/>
      <c r="R6360"/>
      <c r="S6360"/>
    </row>
    <row r="6361" spans="13:19" ht="13.95" customHeight="1">
      <c r="M6361"/>
      <c r="N6361"/>
      <c r="O6361"/>
      <c r="P6361"/>
      <c r="Q6361"/>
      <c r="R6361"/>
      <c r="S6361"/>
    </row>
    <row r="6362" spans="13:19" ht="13.95" customHeight="1">
      <c r="M6362"/>
      <c r="N6362"/>
      <c r="O6362"/>
      <c r="P6362"/>
      <c r="Q6362"/>
      <c r="R6362"/>
      <c r="S6362"/>
    </row>
    <row r="6363" spans="13:19" ht="13.95" customHeight="1">
      <c r="M6363"/>
      <c r="N6363"/>
      <c r="O6363"/>
      <c r="P6363"/>
      <c r="Q6363"/>
      <c r="R6363"/>
      <c r="S6363"/>
    </row>
    <row r="6364" spans="13:19" ht="13.95" customHeight="1">
      <c r="M6364"/>
      <c r="N6364"/>
      <c r="O6364"/>
      <c r="P6364"/>
      <c r="Q6364"/>
      <c r="R6364"/>
      <c r="S6364"/>
    </row>
    <row r="6365" spans="13:19" ht="13.95" customHeight="1">
      <c r="M6365"/>
      <c r="N6365"/>
      <c r="O6365"/>
      <c r="P6365"/>
      <c r="Q6365"/>
      <c r="R6365"/>
      <c r="S6365"/>
    </row>
    <row r="6366" spans="13:19" ht="13.95" customHeight="1">
      <c r="M6366"/>
      <c r="N6366"/>
      <c r="O6366"/>
      <c r="P6366"/>
      <c r="Q6366"/>
      <c r="R6366"/>
      <c r="S6366"/>
    </row>
    <row r="6367" spans="13:19" ht="13.95" customHeight="1">
      <c r="M6367"/>
      <c r="N6367"/>
      <c r="O6367"/>
      <c r="P6367"/>
      <c r="Q6367"/>
      <c r="R6367"/>
      <c r="S6367"/>
    </row>
    <row r="6368" spans="13:19" ht="13.95" customHeight="1">
      <c r="M6368"/>
      <c r="N6368"/>
      <c r="O6368"/>
      <c r="P6368"/>
      <c r="Q6368"/>
      <c r="R6368"/>
      <c r="S6368"/>
    </row>
    <row r="6369" spans="13:19" ht="13.95" customHeight="1">
      <c r="M6369"/>
      <c r="N6369"/>
      <c r="O6369"/>
      <c r="P6369"/>
      <c r="Q6369"/>
      <c r="R6369"/>
      <c r="S6369"/>
    </row>
    <row r="6370" spans="13:19" ht="13.95" customHeight="1">
      <c r="M6370"/>
      <c r="N6370"/>
      <c r="O6370"/>
      <c r="P6370"/>
      <c r="Q6370"/>
      <c r="R6370"/>
      <c r="S6370"/>
    </row>
    <row r="6371" spans="13:19" ht="13.95" customHeight="1">
      <c r="M6371"/>
      <c r="N6371"/>
      <c r="O6371"/>
      <c r="P6371"/>
      <c r="Q6371"/>
      <c r="R6371"/>
      <c r="S6371"/>
    </row>
    <row r="6372" spans="13:19" ht="13.95" customHeight="1">
      <c r="M6372"/>
      <c r="N6372"/>
      <c r="O6372"/>
      <c r="P6372"/>
      <c r="Q6372"/>
      <c r="R6372"/>
      <c r="S6372"/>
    </row>
    <row r="6373" spans="13:19" ht="13.95" customHeight="1">
      <c r="M6373"/>
      <c r="N6373"/>
      <c r="O6373"/>
      <c r="P6373"/>
      <c r="Q6373"/>
      <c r="R6373"/>
      <c r="S6373"/>
    </row>
    <row r="6374" spans="13:19" ht="13.95" customHeight="1">
      <c r="M6374"/>
      <c r="N6374"/>
      <c r="O6374"/>
      <c r="P6374"/>
      <c r="Q6374"/>
      <c r="R6374"/>
      <c r="S6374"/>
    </row>
    <row r="6375" spans="13:19" ht="13.95" customHeight="1">
      <c r="M6375"/>
      <c r="N6375"/>
      <c r="O6375"/>
      <c r="P6375"/>
      <c r="Q6375"/>
      <c r="R6375"/>
      <c r="S6375"/>
    </row>
    <row r="6376" spans="13:19" ht="13.95" customHeight="1">
      <c r="M6376"/>
      <c r="N6376"/>
      <c r="O6376"/>
      <c r="P6376"/>
      <c r="Q6376"/>
      <c r="R6376"/>
      <c r="S6376"/>
    </row>
    <row r="6377" spans="13:19" ht="13.95" customHeight="1">
      <c r="M6377"/>
      <c r="N6377"/>
      <c r="O6377"/>
      <c r="P6377"/>
      <c r="Q6377"/>
      <c r="R6377"/>
      <c r="S6377"/>
    </row>
    <row r="6378" spans="13:19" ht="13.95" customHeight="1">
      <c r="M6378"/>
      <c r="N6378"/>
      <c r="O6378"/>
      <c r="P6378"/>
      <c r="Q6378"/>
      <c r="R6378"/>
      <c r="S6378"/>
    </row>
    <row r="6379" spans="13:19" ht="13.95" customHeight="1">
      <c r="M6379"/>
      <c r="N6379"/>
      <c r="O6379"/>
      <c r="P6379"/>
      <c r="Q6379"/>
      <c r="R6379"/>
      <c r="S6379"/>
    </row>
    <row r="6380" spans="13:19" ht="13.95" customHeight="1">
      <c r="M6380"/>
      <c r="N6380"/>
      <c r="O6380"/>
      <c r="P6380"/>
      <c r="Q6380"/>
      <c r="R6380"/>
      <c r="S6380"/>
    </row>
    <row r="6381" spans="13:19" ht="13.95" customHeight="1">
      <c r="M6381"/>
      <c r="N6381"/>
      <c r="O6381"/>
      <c r="P6381"/>
      <c r="Q6381"/>
      <c r="R6381"/>
      <c r="S6381"/>
    </row>
    <row r="6382" spans="13:19" ht="13.95" customHeight="1">
      <c r="M6382"/>
      <c r="N6382"/>
      <c r="O6382"/>
      <c r="P6382"/>
      <c r="Q6382"/>
      <c r="R6382"/>
      <c r="S6382"/>
    </row>
    <row r="6383" spans="13:19" ht="13.95" customHeight="1">
      <c r="M6383"/>
      <c r="N6383"/>
      <c r="O6383"/>
      <c r="P6383"/>
      <c r="Q6383"/>
      <c r="R6383"/>
      <c r="S6383"/>
    </row>
    <row r="6384" spans="13:19" ht="13.95" customHeight="1">
      <c r="M6384"/>
      <c r="N6384"/>
      <c r="O6384"/>
      <c r="P6384"/>
      <c r="Q6384"/>
      <c r="R6384"/>
      <c r="S6384"/>
    </row>
    <row r="6385" spans="13:19" ht="13.95" customHeight="1">
      <c r="M6385"/>
      <c r="N6385"/>
      <c r="O6385"/>
      <c r="P6385"/>
      <c r="Q6385"/>
      <c r="R6385"/>
      <c r="S6385"/>
    </row>
    <row r="6386" spans="13:19" ht="13.95" customHeight="1">
      <c r="M6386"/>
      <c r="N6386"/>
      <c r="O6386"/>
      <c r="P6386"/>
      <c r="Q6386"/>
      <c r="R6386"/>
      <c r="S6386"/>
    </row>
    <row r="6387" spans="13:19" ht="13.95" customHeight="1">
      <c r="M6387"/>
      <c r="N6387"/>
      <c r="O6387"/>
      <c r="P6387"/>
      <c r="Q6387"/>
      <c r="R6387"/>
      <c r="S6387"/>
    </row>
    <row r="6388" spans="13:19" ht="13.95" customHeight="1">
      <c r="M6388"/>
      <c r="N6388"/>
      <c r="O6388"/>
      <c r="P6388"/>
      <c r="Q6388"/>
      <c r="R6388"/>
      <c r="S6388"/>
    </row>
    <row r="6389" spans="13:19" ht="13.95" customHeight="1">
      <c r="M6389"/>
      <c r="N6389"/>
      <c r="O6389"/>
      <c r="P6389"/>
      <c r="Q6389"/>
      <c r="R6389"/>
      <c r="S6389"/>
    </row>
    <row r="6390" spans="13:19" ht="13.95" customHeight="1">
      <c r="M6390"/>
      <c r="N6390"/>
      <c r="O6390"/>
      <c r="P6390"/>
      <c r="Q6390"/>
      <c r="R6390"/>
      <c r="S6390"/>
    </row>
    <row r="6391" spans="13:19" ht="13.95" customHeight="1">
      <c r="M6391"/>
      <c r="N6391"/>
      <c r="O6391"/>
      <c r="P6391"/>
      <c r="Q6391"/>
      <c r="R6391"/>
      <c r="S6391"/>
    </row>
    <row r="6392" spans="13:19" ht="13.95" customHeight="1">
      <c r="M6392"/>
      <c r="N6392"/>
      <c r="O6392"/>
      <c r="P6392"/>
      <c r="Q6392"/>
      <c r="R6392"/>
      <c r="S6392"/>
    </row>
    <row r="6393" spans="13:19" ht="13.95" customHeight="1">
      <c r="M6393"/>
      <c r="N6393"/>
      <c r="O6393"/>
      <c r="P6393"/>
      <c r="Q6393"/>
      <c r="R6393"/>
      <c r="S6393"/>
    </row>
    <row r="6394" spans="13:19" ht="13.95" customHeight="1">
      <c r="M6394"/>
      <c r="N6394"/>
      <c r="O6394"/>
      <c r="P6394"/>
      <c r="Q6394"/>
      <c r="R6394"/>
      <c r="S6394"/>
    </row>
    <row r="6395" spans="13:19" ht="13.95" customHeight="1">
      <c r="M6395"/>
      <c r="N6395"/>
      <c r="O6395"/>
      <c r="P6395"/>
      <c r="Q6395"/>
      <c r="R6395"/>
      <c r="S6395"/>
    </row>
    <row r="6396" spans="13:19" ht="13.95" customHeight="1">
      <c r="M6396"/>
      <c r="N6396"/>
      <c r="O6396"/>
      <c r="P6396"/>
      <c r="Q6396"/>
      <c r="R6396"/>
      <c r="S6396"/>
    </row>
    <row r="6397" spans="13:19" ht="13.95" customHeight="1">
      <c r="M6397"/>
      <c r="N6397"/>
      <c r="O6397"/>
      <c r="P6397"/>
      <c r="Q6397"/>
      <c r="R6397"/>
      <c r="S6397"/>
    </row>
    <row r="6398" spans="13:19" ht="13.95" customHeight="1">
      <c r="M6398"/>
      <c r="N6398"/>
      <c r="O6398"/>
      <c r="P6398"/>
      <c r="Q6398"/>
      <c r="R6398"/>
      <c r="S6398"/>
    </row>
    <row r="6399" spans="13:19" ht="13.95" customHeight="1">
      <c r="M6399"/>
      <c r="N6399"/>
      <c r="O6399"/>
      <c r="P6399"/>
      <c r="Q6399"/>
      <c r="R6399"/>
      <c r="S6399"/>
    </row>
    <row r="6400" spans="13:19" ht="13.95" customHeight="1">
      <c r="M6400"/>
      <c r="N6400"/>
      <c r="O6400"/>
      <c r="P6400"/>
      <c r="Q6400"/>
      <c r="R6400"/>
      <c r="S6400"/>
    </row>
    <row r="6401" spans="13:19" ht="13.95" customHeight="1">
      <c r="M6401"/>
      <c r="N6401"/>
      <c r="O6401"/>
      <c r="P6401"/>
      <c r="Q6401"/>
      <c r="R6401"/>
      <c r="S6401"/>
    </row>
    <row r="6402" spans="13:19" ht="13.95" customHeight="1">
      <c r="M6402"/>
      <c r="N6402"/>
      <c r="O6402"/>
      <c r="P6402"/>
      <c r="Q6402"/>
      <c r="R6402"/>
      <c r="S6402"/>
    </row>
    <row r="6403" spans="13:19" ht="13.95" customHeight="1">
      <c r="M6403"/>
      <c r="N6403"/>
      <c r="O6403"/>
      <c r="P6403"/>
      <c r="Q6403"/>
      <c r="R6403"/>
      <c r="S6403"/>
    </row>
    <row r="6404" spans="13:19" ht="13.95" customHeight="1">
      <c r="M6404"/>
      <c r="N6404"/>
      <c r="O6404"/>
      <c r="P6404"/>
      <c r="Q6404"/>
      <c r="R6404"/>
      <c r="S6404"/>
    </row>
    <row r="6405" spans="13:19" ht="13.95" customHeight="1">
      <c r="M6405"/>
      <c r="N6405"/>
      <c r="O6405"/>
      <c r="P6405"/>
      <c r="Q6405"/>
      <c r="R6405"/>
      <c r="S6405"/>
    </row>
    <row r="6406" spans="13:19" ht="13.95" customHeight="1">
      <c r="M6406"/>
      <c r="N6406"/>
      <c r="O6406"/>
      <c r="P6406"/>
      <c r="Q6406"/>
      <c r="R6406"/>
      <c r="S6406"/>
    </row>
    <row r="6407" spans="13:19" ht="13.95" customHeight="1">
      <c r="M6407"/>
      <c r="N6407"/>
      <c r="O6407"/>
      <c r="P6407"/>
      <c r="Q6407"/>
      <c r="R6407"/>
      <c r="S6407"/>
    </row>
    <row r="6408" spans="13:19" ht="13.95" customHeight="1">
      <c r="M6408"/>
      <c r="N6408"/>
      <c r="O6408"/>
      <c r="P6408"/>
      <c r="Q6408"/>
      <c r="R6408"/>
      <c r="S6408"/>
    </row>
    <row r="6409" spans="13:19" ht="13.95" customHeight="1">
      <c r="M6409"/>
      <c r="N6409"/>
      <c r="O6409"/>
      <c r="P6409"/>
      <c r="Q6409"/>
      <c r="R6409"/>
      <c r="S6409"/>
    </row>
    <row r="6410" spans="13:19" ht="13.95" customHeight="1">
      <c r="M6410"/>
      <c r="N6410"/>
      <c r="O6410"/>
      <c r="P6410"/>
      <c r="Q6410"/>
      <c r="R6410"/>
      <c r="S6410"/>
    </row>
    <row r="6411" spans="13:19" ht="13.95" customHeight="1">
      <c r="M6411"/>
      <c r="N6411"/>
      <c r="O6411"/>
      <c r="P6411"/>
      <c r="Q6411"/>
      <c r="R6411"/>
      <c r="S6411"/>
    </row>
    <row r="6412" spans="13:19" ht="13.95" customHeight="1">
      <c r="M6412"/>
      <c r="N6412"/>
      <c r="O6412"/>
      <c r="P6412"/>
      <c r="Q6412"/>
      <c r="R6412"/>
      <c r="S6412"/>
    </row>
    <row r="6413" spans="13:19" ht="13.95" customHeight="1">
      <c r="M6413"/>
      <c r="N6413"/>
      <c r="O6413"/>
      <c r="P6413"/>
      <c r="Q6413"/>
      <c r="R6413"/>
      <c r="S6413"/>
    </row>
    <row r="6414" spans="13:19" ht="13.95" customHeight="1">
      <c r="M6414"/>
      <c r="N6414"/>
      <c r="O6414"/>
      <c r="P6414"/>
      <c r="Q6414"/>
      <c r="R6414"/>
      <c r="S6414"/>
    </row>
    <row r="6415" spans="13:19" ht="13.95" customHeight="1">
      <c r="M6415"/>
      <c r="N6415"/>
      <c r="O6415"/>
      <c r="P6415"/>
      <c r="Q6415"/>
      <c r="R6415"/>
      <c r="S6415"/>
    </row>
    <row r="6416" spans="13:19" ht="13.95" customHeight="1">
      <c r="M6416"/>
      <c r="N6416"/>
      <c r="O6416"/>
      <c r="P6416"/>
      <c r="Q6416"/>
      <c r="R6416"/>
      <c r="S6416"/>
    </row>
    <row r="6417" spans="13:19" ht="13.95" customHeight="1">
      <c r="M6417"/>
      <c r="N6417"/>
      <c r="O6417"/>
      <c r="P6417"/>
      <c r="Q6417"/>
      <c r="R6417"/>
      <c r="S6417"/>
    </row>
    <row r="6418" spans="13:19" ht="13.95" customHeight="1">
      <c r="M6418"/>
      <c r="N6418"/>
      <c r="O6418"/>
      <c r="P6418"/>
      <c r="Q6418"/>
      <c r="R6418"/>
      <c r="S6418"/>
    </row>
    <row r="6419" spans="13:19" ht="13.95" customHeight="1">
      <c r="M6419"/>
      <c r="N6419"/>
      <c r="O6419"/>
      <c r="P6419"/>
      <c r="Q6419"/>
      <c r="R6419"/>
      <c r="S6419"/>
    </row>
    <row r="6420" spans="13:19" ht="13.95" customHeight="1">
      <c r="M6420"/>
      <c r="N6420"/>
      <c r="O6420"/>
      <c r="P6420"/>
      <c r="Q6420"/>
      <c r="R6420"/>
      <c r="S6420"/>
    </row>
    <row r="6421" spans="13:19" ht="13.95" customHeight="1">
      <c r="M6421"/>
      <c r="N6421"/>
      <c r="O6421"/>
      <c r="P6421"/>
      <c r="Q6421"/>
      <c r="R6421"/>
      <c r="S6421"/>
    </row>
    <row r="6422" spans="13:19" ht="13.95" customHeight="1">
      <c r="M6422"/>
      <c r="N6422"/>
      <c r="O6422"/>
      <c r="P6422"/>
      <c r="Q6422"/>
      <c r="R6422"/>
      <c r="S6422"/>
    </row>
    <row r="6423" spans="13:19" ht="13.95" customHeight="1">
      <c r="M6423"/>
      <c r="N6423"/>
      <c r="O6423"/>
      <c r="P6423"/>
      <c r="Q6423"/>
      <c r="R6423"/>
      <c r="S6423"/>
    </row>
    <row r="6424" spans="13:19" ht="13.95" customHeight="1">
      <c r="M6424"/>
      <c r="N6424"/>
      <c r="O6424"/>
      <c r="P6424"/>
      <c r="Q6424"/>
      <c r="R6424"/>
      <c r="S6424"/>
    </row>
    <row r="6425" spans="13:19" ht="13.95" customHeight="1">
      <c r="M6425"/>
      <c r="N6425"/>
      <c r="O6425"/>
      <c r="P6425"/>
      <c r="Q6425"/>
      <c r="R6425"/>
      <c r="S6425"/>
    </row>
    <row r="6426" spans="13:19" ht="13.95" customHeight="1">
      <c r="M6426"/>
      <c r="N6426"/>
      <c r="O6426"/>
      <c r="P6426"/>
      <c r="Q6426"/>
      <c r="R6426"/>
      <c r="S6426"/>
    </row>
    <row r="6427" spans="13:19" ht="13.95" customHeight="1">
      <c r="M6427"/>
      <c r="N6427"/>
      <c r="O6427"/>
      <c r="P6427"/>
      <c r="Q6427"/>
      <c r="R6427"/>
      <c r="S6427"/>
    </row>
    <row r="6428" spans="13:19" ht="13.95" customHeight="1">
      <c r="M6428"/>
      <c r="N6428"/>
      <c r="O6428"/>
      <c r="P6428"/>
      <c r="Q6428"/>
      <c r="R6428"/>
      <c r="S6428"/>
    </row>
    <row r="6429" spans="13:19" ht="13.95" customHeight="1">
      <c r="M6429"/>
      <c r="N6429"/>
      <c r="O6429"/>
      <c r="P6429"/>
      <c r="Q6429"/>
      <c r="R6429"/>
      <c r="S6429"/>
    </row>
    <row r="6430" spans="13:19" ht="13.95" customHeight="1">
      <c r="M6430"/>
      <c r="N6430"/>
      <c r="O6430"/>
      <c r="P6430"/>
      <c r="Q6430"/>
      <c r="R6430"/>
      <c r="S6430"/>
    </row>
    <row r="6431" spans="13:19" ht="13.95" customHeight="1">
      <c r="M6431"/>
      <c r="N6431"/>
      <c r="O6431"/>
      <c r="P6431"/>
      <c r="Q6431"/>
      <c r="R6431"/>
      <c r="S6431"/>
    </row>
    <row r="6432" spans="13:19" ht="13.95" customHeight="1">
      <c r="M6432"/>
      <c r="N6432"/>
      <c r="O6432"/>
      <c r="P6432"/>
      <c r="Q6432"/>
      <c r="R6432"/>
      <c r="S6432"/>
    </row>
    <row r="6433" spans="13:19" ht="13.95" customHeight="1">
      <c r="M6433"/>
      <c r="N6433"/>
      <c r="O6433"/>
      <c r="P6433"/>
      <c r="Q6433"/>
      <c r="R6433"/>
      <c r="S6433"/>
    </row>
    <row r="6434" spans="13:19" ht="13.95" customHeight="1">
      <c r="M6434"/>
      <c r="N6434"/>
      <c r="O6434"/>
      <c r="P6434"/>
      <c r="Q6434"/>
      <c r="R6434"/>
      <c r="S6434"/>
    </row>
    <row r="6435" spans="13:19" ht="13.95" customHeight="1">
      <c r="M6435"/>
      <c r="N6435"/>
      <c r="O6435"/>
      <c r="P6435"/>
      <c r="Q6435"/>
      <c r="R6435"/>
      <c r="S6435"/>
    </row>
    <row r="6436" spans="13:19" ht="13.95" customHeight="1">
      <c r="M6436"/>
      <c r="N6436"/>
      <c r="O6436"/>
      <c r="P6436"/>
      <c r="Q6436"/>
      <c r="R6436"/>
      <c r="S6436"/>
    </row>
    <row r="6437" spans="13:19" ht="13.95" customHeight="1">
      <c r="M6437"/>
      <c r="N6437"/>
      <c r="O6437"/>
      <c r="P6437"/>
      <c r="Q6437"/>
      <c r="R6437"/>
      <c r="S6437"/>
    </row>
    <row r="6438" spans="13:19" ht="13.95" customHeight="1">
      <c r="M6438"/>
      <c r="N6438"/>
      <c r="O6438"/>
      <c r="P6438"/>
      <c r="Q6438"/>
      <c r="R6438"/>
      <c r="S6438"/>
    </row>
    <row r="6439" spans="13:19" ht="13.95" customHeight="1">
      <c r="M6439"/>
      <c r="N6439"/>
      <c r="O6439"/>
      <c r="P6439"/>
      <c r="Q6439"/>
      <c r="R6439"/>
      <c r="S6439"/>
    </row>
    <row r="6440" spans="13:19" ht="13.95" customHeight="1">
      <c r="M6440"/>
      <c r="N6440"/>
      <c r="O6440"/>
      <c r="P6440"/>
      <c r="Q6440"/>
      <c r="R6440"/>
      <c r="S6440"/>
    </row>
    <row r="6441" spans="13:19" ht="13.95" customHeight="1">
      <c r="M6441"/>
      <c r="N6441"/>
      <c r="O6441"/>
      <c r="P6441"/>
      <c r="Q6441"/>
      <c r="R6441"/>
      <c r="S6441"/>
    </row>
    <row r="6442" spans="13:19" ht="13.95" customHeight="1">
      <c r="M6442"/>
      <c r="N6442"/>
      <c r="O6442"/>
      <c r="P6442"/>
      <c r="Q6442"/>
      <c r="R6442"/>
      <c r="S6442"/>
    </row>
    <row r="6443" spans="13:19" ht="13.95" customHeight="1">
      <c r="M6443"/>
      <c r="N6443"/>
      <c r="O6443"/>
      <c r="P6443"/>
      <c r="Q6443"/>
      <c r="R6443"/>
      <c r="S6443"/>
    </row>
    <row r="6444" spans="13:19" ht="13.95" customHeight="1">
      <c r="M6444"/>
      <c r="N6444"/>
      <c r="O6444"/>
      <c r="P6444"/>
      <c r="Q6444"/>
      <c r="R6444"/>
      <c r="S6444"/>
    </row>
    <row r="6445" spans="13:19" ht="13.95" customHeight="1">
      <c r="M6445"/>
      <c r="N6445"/>
      <c r="O6445"/>
      <c r="P6445"/>
      <c r="Q6445"/>
      <c r="R6445"/>
      <c r="S6445"/>
    </row>
    <row r="6446" spans="13:19" ht="13.95" customHeight="1">
      <c r="M6446"/>
      <c r="N6446"/>
      <c r="O6446"/>
      <c r="P6446"/>
      <c r="Q6446"/>
      <c r="R6446"/>
      <c r="S6446"/>
    </row>
    <row r="6447" spans="13:19" ht="13.95" customHeight="1">
      <c r="M6447"/>
      <c r="N6447"/>
      <c r="O6447"/>
      <c r="P6447"/>
      <c r="Q6447"/>
      <c r="R6447"/>
      <c r="S6447"/>
    </row>
    <row r="6448" spans="13:19" ht="13.95" customHeight="1">
      <c r="M6448"/>
      <c r="N6448"/>
      <c r="O6448"/>
      <c r="P6448"/>
      <c r="Q6448"/>
      <c r="R6448"/>
      <c r="S6448"/>
    </row>
    <row r="6449" spans="13:19" ht="13.95" customHeight="1">
      <c r="M6449"/>
      <c r="N6449"/>
      <c r="O6449"/>
      <c r="P6449"/>
      <c r="Q6449"/>
      <c r="R6449"/>
      <c r="S6449"/>
    </row>
    <row r="6450" spans="13:19" ht="13.95" customHeight="1">
      <c r="M6450"/>
      <c r="N6450"/>
      <c r="O6450"/>
      <c r="P6450"/>
      <c r="Q6450"/>
      <c r="R6450"/>
      <c r="S6450"/>
    </row>
    <row r="6451" spans="13:19" ht="13.95" customHeight="1">
      <c r="M6451"/>
      <c r="N6451"/>
      <c r="O6451"/>
      <c r="P6451"/>
      <c r="Q6451"/>
      <c r="R6451"/>
      <c r="S6451"/>
    </row>
    <row r="6452" spans="13:19" ht="13.95" customHeight="1">
      <c r="M6452"/>
      <c r="N6452"/>
      <c r="O6452"/>
      <c r="P6452"/>
      <c r="Q6452"/>
      <c r="R6452"/>
      <c r="S6452"/>
    </row>
    <row r="6453" spans="13:19" ht="13.95" customHeight="1">
      <c r="M6453"/>
      <c r="N6453"/>
      <c r="O6453"/>
      <c r="P6453"/>
      <c r="Q6453"/>
      <c r="R6453"/>
      <c r="S6453"/>
    </row>
    <row r="6454" spans="13:19" ht="13.95" customHeight="1">
      <c r="M6454"/>
      <c r="N6454"/>
      <c r="O6454"/>
      <c r="P6454"/>
      <c r="Q6454"/>
      <c r="R6454"/>
      <c r="S6454"/>
    </row>
    <row r="6455" spans="13:19" ht="13.95" customHeight="1">
      <c r="M6455"/>
      <c r="N6455"/>
      <c r="O6455"/>
      <c r="P6455"/>
      <c r="Q6455"/>
      <c r="R6455"/>
      <c r="S6455"/>
    </row>
    <row r="6456" spans="13:19" ht="13.95" customHeight="1">
      <c r="M6456"/>
      <c r="N6456"/>
      <c r="O6456"/>
      <c r="P6456"/>
      <c r="Q6456"/>
      <c r="R6456"/>
      <c r="S6456"/>
    </row>
    <row r="6457" spans="13:19" ht="13.95" customHeight="1">
      <c r="M6457"/>
      <c r="N6457"/>
      <c r="O6457"/>
      <c r="P6457"/>
      <c r="Q6457"/>
      <c r="R6457"/>
      <c r="S6457"/>
    </row>
    <row r="6458" spans="13:19" ht="13.95" customHeight="1">
      <c r="M6458"/>
      <c r="N6458"/>
      <c r="O6458"/>
      <c r="P6458"/>
      <c r="Q6458"/>
      <c r="R6458"/>
      <c r="S6458"/>
    </row>
    <row r="6459" spans="13:19" ht="13.95" customHeight="1">
      <c r="M6459"/>
      <c r="N6459"/>
      <c r="O6459"/>
      <c r="P6459"/>
      <c r="Q6459"/>
      <c r="R6459"/>
      <c r="S6459"/>
    </row>
    <row r="6460" spans="13:19" ht="13.95" customHeight="1">
      <c r="M6460"/>
      <c r="N6460"/>
      <c r="O6460"/>
      <c r="P6460"/>
      <c r="Q6460"/>
      <c r="R6460"/>
      <c r="S6460"/>
    </row>
    <row r="6461" spans="13:19" ht="13.95" customHeight="1">
      <c r="M6461"/>
      <c r="N6461"/>
      <c r="O6461"/>
      <c r="P6461"/>
      <c r="Q6461"/>
      <c r="R6461"/>
      <c r="S6461"/>
    </row>
    <row r="6462" spans="13:19" ht="13.95" customHeight="1">
      <c r="M6462"/>
      <c r="N6462"/>
      <c r="O6462"/>
      <c r="P6462"/>
      <c r="Q6462"/>
      <c r="R6462"/>
      <c r="S6462"/>
    </row>
    <row r="6463" spans="13:19" ht="13.95" customHeight="1">
      <c r="M6463"/>
      <c r="N6463"/>
      <c r="O6463"/>
      <c r="P6463"/>
      <c r="Q6463"/>
      <c r="R6463"/>
      <c r="S6463"/>
    </row>
    <row r="6464" spans="13:19" ht="13.95" customHeight="1">
      <c r="M6464"/>
      <c r="N6464"/>
      <c r="O6464"/>
      <c r="P6464"/>
      <c r="Q6464"/>
      <c r="R6464"/>
      <c r="S6464"/>
    </row>
    <row r="6465" spans="13:19" ht="13.95" customHeight="1">
      <c r="M6465"/>
      <c r="N6465"/>
      <c r="O6465"/>
      <c r="P6465"/>
      <c r="Q6465"/>
      <c r="R6465"/>
      <c r="S6465"/>
    </row>
    <row r="6466" spans="13:19" ht="13.95" customHeight="1">
      <c r="M6466"/>
      <c r="N6466"/>
      <c r="O6466"/>
      <c r="P6466"/>
      <c r="Q6466"/>
      <c r="R6466"/>
      <c r="S6466"/>
    </row>
    <row r="6467" spans="13:19" ht="13.95" customHeight="1">
      <c r="M6467"/>
      <c r="N6467"/>
      <c r="O6467"/>
      <c r="P6467"/>
      <c r="Q6467"/>
      <c r="R6467"/>
      <c r="S6467"/>
    </row>
    <row r="6468" spans="13:19" ht="13.95" customHeight="1">
      <c r="M6468"/>
      <c r="N6468"/>
      <c r="O6468"/>
      <c r="P6468"/>
      <c r="Q6468"/>
      <c r="R6468"/>
      <c r="S6468"/>
    </row>
    <row r="6469" spans="13:19" ht="13.95" customHeight="1">
      <c r="M6469"/>
      <c r="N6469"/>
      <c r="O6469"/>
      <c r="P6469"/>
      <c r="Q6469"/>
      <c r="R6469"/>
      <c r="S6469"/>
    </row>
    <row r="6470" spans="13:19" ht="13.95" customHeight="1">
      <c r="M6470"/>
      <c r="N6470"/>
      <c r="O6470"/>
      <c r="P6470"/>
      <c r="Q6470"/>
      <c r="R6470"/>
      <c r="S6470"/>
    </row>
    <row r="6471" spans="13:19" ht="13.95" customHeight="1">
      <c r="M6471"/>
      <c r="N6471"/>
      <c r="O6471"/>
      <c r="P6471"/>
      <c r="Q6471"/>
      <c r="R6471"/>
      <c r="S6471"/>
    </row>
    <row r="6472" spans="13:19" ht="13.95" customHeight="1">
      <c r="M6472"/>
      <c r="N6472"/>
      <c r="O6472"/>
      <c r="P6472"/>
      <c r="Q6472"/>
      <c r="R6472"/>
      <c r="S6472"/>
    </row>
    <row r="6473" spans="13:19" ht="13.95" customHeight="1">
      <c r="M6473"/>
      <c r="N6473"/>
      <c r="O6473"/>
      <c r="P6473"/>
      <c r="Q6473"/>
      <c r="R6473"/>
      <c r="S6473"/>
    </row>
    <row r="6474" spans="13:19" ht="13.95" customHeight="1">
      <c r="M6474"/>
      <c r="N6474"/>
      <c r="O6474"/>
      <c r="P6474"/>
      <c r="Q6474"/>
      <c r="R6474"/>
      <c r="S6474"/>
    </row>
    <row r="6475" spans="13:19" ht="13.95" customHeight="1">
      <c r="M6475"/>
      <c r="N6475"/>
      <c r="O6475"/>
      <c r="P6475"/>
      <c r="Q6475"/>
      <c r="R6475"/>
      <c r="S6475"/>
    </row>
    <row r="6476" spans="13:19" ht="13.95" customHeight="1">
      <c r="M6476"/>
      <c r="N6476"/>
      <c r="O6476"/>
      <c r="P6476"/>
      <c r="Q6476"/>
      <c r="R6476"/>
      <c r="S6476"/>
    </row>
    <row r="6477" spans="13:19" ht="13.95" customHeight="1">
      <c r="M6477"/>
      <c r="N6477"/>
      <c r="O6477"/>
      <c r="P6477"/>
      <c r="Q6477"/>
      <c r="R6477"/>
      <c r="S6477"/>
    </row>
    <row r="6478" spans="13:19" ht="13.95" customHeight="1">
      <c r="M6478"/>
      <c r="N6478"/>
      <c r="O6478"/>
      <c r="P6478"/>
      <c r="Q6478"/>
      <c r="R6478"/>
      <c r="S6478"/>
    </row>
    <row r="6479" spans="13:19" ht="13.95" customHeight="1">
      <c r="M6479"/>
      <c r="N6479"/>
      <c r="O6479"/>
      <c r="P6479"/>
      <c r="Q6479"/>
      <c r="R6479"/>
      <c r="S6479"/>
    </row>
    <row r="6480" spans="13:19" ht="13.95" customHeight="1">
      <c r="M6480"/>
      <c r="N6480"/>
      <c r="O6480"/>
      <c r="P6480"/>
      <c r="Q6480"/>
      <c r="R6480"/>
      <c r="S6480"/>
    </row>
    <row r="6481" spans="13:19" ht="13.95" customHeight="1">
      <c r="M6481"/>
      <c r="N6481"/>
      <c r="O6481"/>
      <c r="P6481"/>
      <c r="Q6481"/>
      <c r="R6481"/>
      <c r="S6481"/>
    </row>
    <row r="6482" spans="13:19" ht="13.95" customHeight="1">
      <c r="M6482"/>
      <c r="N6482"/>
      <c r="O6482"/>
      <c r="P6482"/>
      <c r="Q6482"/>
      <c r="R6482"/>
      <c r="S6482"/>
    </row>
    <row r="6483" spans="13:19" ht="13.95" customHeight="1">
      <c r="M6483"/>
      <c r="N6483"/>
      <c r="O6483"/>
      <c r="P6483"/>
      <c r="Q6483"/>
      <c r="R6483"/>
      <c r="S6483"/>
    </row>
    <row r="6484" spans="13:19" ht="13.95" customHeight="1">
      <c r="M6484"/>
      <c r="N6484"/>
      <c r="O6484"/>
      <c r="P6484"/>
      <c r="Q6484"/>
      <c r="R6484"/>
      <c r="S6484"/>
    </row>
    <row r="6485" spans="13:19" ht="13.95" customHeight="1">
      <c r="M6485"/>
      <c r="N6485"/>
      <c r="O6485"/>
      <c r="P6485"/>
      <c r="Q6485"/>
      <c r="R6485"/>
      <c r="S6485"/>
    </row>
    <row r="6486" spans="13:19" ht="13.95" customHeight="1">
      <c r="M6486"/>
      <c r="N6486"/>
      <c r="O6486"/>
      <c r="P6486"/>
      <c r="Q6486"/>
      <c r="R6486"/>
      <c r="S6486"/>
    </row>
    <row r="6487" spans="13:19" ht="13.95" customHeight="1">
      <c r="M6487"/>
      <c r="N6487"/>
      <c r="O6487"/>
      <c r="P6487"/>
      <c r="Q6487"/>
      <c r="R6487"/>
      <c r="S6487"/>
    </row>
    <row r="6488" spans="13:19" ht="13.95" customHeight="1">
      <c r="M6488"/>
      <c r="N6488"/>
      <c r="O6488"/>
      <c r="P6488"/>
      <c r="Q6488"/>
      <c r="R6488"/>
      <c r="S6488"/>
    </row>
    <row r="6489" spans="13:19" ht="13.95" customHeight="1">
      <c r="M6489"/>
      <c r="N6489"/>
      <c r="O6489"/>
      <c r="P6489"/>
      <c r="Q6489"/>
      <c r="R6489"/>
      <c r="S6489"/>
    </row>
    <row r="6490" spans="13:19" ht="13.95" customHeight="1">
      <c r="M6490"/>
      <c r="N6490"/>
      <c r="O6490"/>
      <c r="P6490"/>
      <c r="Q6490"/>
      <c r="R6490"/>
      <c r="S6490"/>
    </row>
    <row r="6491" spans="13:19" ht="13.95" customHeight="1">
      <c r="M6491"/>
      <c r="N6491"/>
      <c r="O6491"/>
      <c r="P6491"/>
      <c r="Q6491"/>
      <c r="R6491"/>
      <c r="S6491"/>
    </row>
    <row r="6492" spans="13:19" ht="13.95" customHeight="1">
      <c r="M6492"/>
      <c r="N6492"/>
      <c r="O6492"/>
      <c r="P6492"/>
      <c r="Q6492"/>
      <c r="R6492"/>
      <c r="S6492"/>
    </row>
    <row r="6493" spans="13:19" ht="13.95" customHeight="1">
      <c r="M6493"/>
      <c r="N6493"/>
      <c r="O6493"/>
      <c r="P6493"/>
      <c r="Q6493"/>
      <c r="R6493"/>
      <c r="S6493"/>
    </row>
    <row r="6494" spans="13:19" ht="13.95" customHeight="1">
      <c r="M6494"/>
      <c r="N6494"/>
      <c r="O6494"/>
      <c r="P6494"/>
      <c r="Q6494"/>
      <c r="R6494"/>
      <c r="S6494"/>
    </row>
    <row r="6495" spans="13:19" ht="13.95" customHeight="1">
      <c r="M6495"/>
      <c r="N6495"/>
      <c r="O6495"/>
      <c r="P6495"/>
      <c r="Q6495"/>
      <c r="R6495"/>
      <c r="S6495"/>
    </row>
    <row r="6496" spans="13:19" ht="13.95" customHeight="1">
      <c r="M6496"/>
      <c r="N6496"/>
      <c r="O6496"/>
      <c r="P6496"/>
      <c r="Q6496"/>
      <c r="R6496"/>
      <c r="S6496"/>
    </row>
    <row r="6497" spans="13:19" ht="13.95" customHeight="1">
      <c r="M6497"/>
      <c r="N6497"/>
      <c r="O6497"/>
      <c r="P6497"/>
      <c r="Q6497"/>
      <c r="R6497"/>
      <c r="S6497"/>
    </row>
    <row r="6498" spans="13:19" ht="13.95" customHeight="1">
      <c r="M6498"/>
      <c r="N6498"/>
      <c r="O6498"/>
      <c r="P6498"/>
      <c r="Q6498"/>
      <c r="R6498"/>
      <c r="S6498"/>
    </row>
    <row r="6499" spans="13:19" ht="13.95" customHeight="1">
      <c r="M6499"/>
      <c r="N6499"/>
      <c r="O6499"/>
      <c r="P6499"/>
      <c r="Q6499"/>
      <c r="R6499"/>
      <c r="S6499"/>
    </row>
    <row r="6500" spans="13:19" ht="13.95" customHeight="1">
      <c r="M6500"/>
      <c r="N6500"/>
      <c r="O6500"/>
      <c r="P6500"/>
      <c r="Q6500"/>
      <c r="R6500"/>
      <c r="S6500"/>
    </row>
    <row r="6501" spans="13:19" ht="13.95" customHeight="1">
      <c r="M6501"/>
      <c r="N6501"/>
      <c r="O6501"/>
      <c r="P6501"/>
      <c r="Q6501"/>
      <c r="R6501"/>
      <c r="S6501"/>
    </row>
    <row r="6502" spans="13:19" ht="13.95" customHeight="1">
      <c r="M6502"/>
      <c r="N6502"/>
      <c r="O6502"/>
      <c r="P6502"/>
      <c r="Q6502"/>
      <c r="R6502"/>
      <c r="S6502"/>
    </row>
    <row r="6503" spans="13:19" ht="13.95" customHeight="1">
      <c r="M6503"/>
      <c r="N6503"/>
      <c r="O6503"/>
      <c r="P6503"/>
      <c r="Q6503"/>
      <c r="R6503"/>
      <c r="S6503"/>
    </row>
    <row r="6504" spans="13:19" ht="13.95" customHeight="1">
      <c r="M6504"/>
      <c r="N6504"/>
      <c r="O6504"/>
      <c r="P6504"/>
      <c r="Q6504"/>
      <c r="R6504"/>
      <c r="S6504"/>
    </row>
    <row r="6505" spans="13:19" ht="13.95" customHeight="1">
      <c r="M6505"/>
      <c r="N6505"/>
      <c r="O6505"/>
      <c r="P6505"/>
      <c r="Q6505"/>
      <c r="R6505"/>
      <c r="S6505"/>
    </row>
    <row r="6506" spans="13:19" ht="13.95" customHeight="1">
      <c r="M6506"/>
      <c r="N6506"/>
      <c r="O6506"/>
      <c r="P6506"/>
      <c r="Q6506"/>
      <c r="R6506"/>
      <c r="S6506"/>
    </row>
    <row r="6507" spans="13:19" ht="13.95" customHeight="1">
      <c r="M6507"/>
      <c r="N6507"/>
      <c r="O6507"/>
      <c r="P6507"/>
      <c r="Q6507"/>
      <c r="R6507"/>
      <c r="S6507"/>
    </row>
    <row r="6508" spans="13:19" ht="13.95" customHeight="1">
      <c r="M6508"/>
      <c r="N6508"/>
      <c r="O6508"/>
      <c r="P6508"/>
      <c r="Q6508"/>
      <c r="R6508"/>
      <c r="S6508"/>
    </row>
    <row r="6509" spans="13:19" ht="13.95" customHeight="1">
      <c r="M6509"/>
      <c r="N6509"/>
      <c r="O6509"/>
      <c r="P6509"/>
      <c r="Q6509"/>
      <c r="R6509"/>
      <c r="S6509"/>
    </row>
    <row r="6510" spans="13:19" ht="13.95" customHeight="1">
      <c r="M6510"/>
      <c r="N6510"/>
      <c r="O6510"/>
      <c r="P6510"/>
      <c r="Q6510"/>
      <c r="R6510"/>
      <c r="S6510"/>
    </row>
    <row r="6511" spans="13:19" ht="13.95" customHeight="1">
      <c r="M6511"/>
      <c r="N6511"/>
      <c r="O6511"/>
      <c r="P6511"/>
      <c r="Q6511"/>
      <c r="R6511"/>
      <c r="S6511"/>
    </row>
    <row r="6512" spans="13:19" ht="13.95" customHeight="1">
      <c r="M6512"/>
      <c r="N6512"/>
      <c r="O6512"/>
      <c r="P6512"/>
      <c r="Q6512"/>
      <c r="R6512"/>
      <c r="S6512"/>
    </row>
    <row r="6513" spans="13:19" ht="13.95" customHeight="1">
      <c r="M6513"/>
      <c r="N6513"/>
      <c r="O6513"/>
      <c r="P6513"/>
      <c r="Q6513"/>
      <c r="R6513"/>
      <c r="S6513"/>
    </row>
    <row r="6514" spans="13:19" ht="13.95" customHeight="1">
      <c r="M6514"/>
      <c r="N6514"/>
      <c r="O6514"/>
      <c r="P6514"/>
      <c r="Q6514"/>
      <c r="R6514"/>
      <c r="S6514"/>
    </row>
    <row r="6515" spans="13:19" ht="13.95" customHeight="1">
      <c r="M6515"/>
      <c r="N6515"/>
      <c r="O6515"/>
      <c r="P6515"/>
      <c r="Q6515"/>
      <c r="R6515"/>
      <c r="S6515"/>
    </row>
    <row r="6516" spans="13:19" ht="13.95" customHeight="1">
      <c r="M6516"/>
      <c r="N6516"/>
      <c r="O6516"/>
      <c r="P6516"/>
      <c r="Q6516"/>
      <c r="R6516"/>
      <c r="S6516"/>
    </row>
    <row r="6517" spans="13:19" ht="13.95" customHeight="1">
      <c r="M6517"/>
      <c r="N6517"/>
      <c r="O6517"/>
      <c r="P6517"/>
      <c r="Q6517"/>
      <c r="R6517"/>
      <c r="S6517"/>
    </row>
    <row r="6518" spans="13:19" ht="13.95" customHeight="1">
      <c r="M6518"/>
      <c r="N6518"/>
      <c r="O6518"/>
      <c r="P6518"/>
      <c r="Q6518"/>
      <c r="R6518"/>
      <c r="S6518"/>
    </row>
    <row r="6519" spans="13:19" ht="13.95" customHeight="1">
      <c r="M6519"/>
      <c r="N6519"/>
      <c r="O6519"/>
      <c r="P6519"/>
      <c r="Q6519"/>
      <c r="R6519"/>
      <c r="S6519"/>
    </row>
    <row r="6520" spans="13:19" ht="13.95" customHeight="1">
      <c r="M6520"/>
      <c r="N6520"/>
      <c r="O6520"/>
      <c r="P6520"/>
      <c r="Q6520"/>
      <c r="R6520"/>
      <c r="S6520"/>
    </row>
    <row r="6521" spans="13:19" ht="13.95" customHeight="1">
      <c r="M6521"/>
      <c r="N6521"/>
      <c r="O6521"/>
      <c r="P6521"/>
      <c r="Q6521"/>
      <c r="R6521"/>
      <c r="S6521"/>
    </row>
    <row r="6522" spans="13:19" ht="13.95" customHeight="1">
      <c r="M6522"/>
      <c r="N6522"/>
      <c r="O6522"/>
      <c r="P6522"/>
      <c r="Q6522"/>
      <c r="R6522"/>
      <c r="S6522"/>
    </row>
    <row r="6523" spans="13:19" ht="13.95" customHeight="1">
      <c r="M6523"/>
      <c r="N6523"/>
      <c r="O6523"/>
      <c r="P6523"/>
      <c r="Q6523"/>
      <c r="R6523"/>
      <c r="S6523"/>
    </row>
    <row r="6524" spans="13:19" ht="13.95" customHeight="1">
      <c r="M6524"/>
      <c r="N6524"/>
      <c r="O6524"/>
      <c r="P6524"/>
      <c r="Q6524"/>
      <c r="R6524"/>
      <c r="S6524"/>
    </row>
    <row r="6525" spans="13:19" ht="13.95" customHeight="1">
      <c r="M6525"/>
      <c r="N6525"/>
      <c r="O6525"/>
      <c r="P6525"/>
      <c r="Q6525"/>
      <c r="R6525"/>
      <c r="S6525"/>
    </row>
    <row r="6526" spans="13:19" ht="13.95" customHeight="1">
      <c r="M6526"/>
      <c r="N6526"/>
      <c r="O6526"/>
      <c r="P6526"/>
      <c r="Q6526"/>
      <c r="R6526"/>
      <c r="S6526"/>
    </row>
    <row r="6527" spans="13:19" ht="13.95" customHeight="1">
      <c r="M6527"/>
      <c r="N6527"/>
      <c r="O6527"/>
      <c r="P6527"/>
      <c r="Q6527"/>
      <c r="R6527"/>
      <c r="S6527"/>
    </row>
    <row r="6528" spans="13:19" ht="13.95" customHeight="1">
      <c r="M6528"/>
      <c r="N6528"/>
      <c r="O6528"/>
      <c r="P6528"/>
      <c r="Q6528"/>
      <c r="R6528"/>
      <c r="S6528"/>
    </row>
    <row r="6529" spans="13:19" ht="13.95" customHeight="1">
      <c r="M6529"/>
      <c r="N6529"/>
      <c r="O6529"/>
      <c r="P6529"/>
      <c r="Q6529"/>
      <c r="R6529"/>
      <c r="S6529"/>
    </row>
    <row r="6530" spans="13:19" ht="13.95" customHeight="1">
      <c r="M6530"/>
      <c r="N6530"/>
      <c r="O6530"/>
      <c r="P6530"/>
      <c r="Q6530"/>
      <c r="R6530"/>
      <c r="S6530"/>
    </row>
    <row r="6531" spans="13:19" ht="13.95" customHeight="1">
      <c r="M6531"/>
      <c r="N6531"/>
      <c r="O6531"/>
      <c r="P6531"/>
      <c r="Q6531"/>
      <c r="R6531"/>
      <c r="S6531"/>
    </row>
    <row r="6532" spans="13:19" ht="13.95" customHeight="1">
      <c r="M6532"/>
      <c r="N6532"/>
      <c r="O6532"/>
      <c r="P6532"/>
      <c r="Q6532"/>
      <c r="R6532"/>
      <c r="S6532"/>
    </row>
    <row r="6533" spans="13:19" ht="13.95" customHeight="1">
      <c r="M6533"/>
      <c r="N6533"/>
      <c r="O6533"/>
      <c r="P6533"/>
      <c r="Q6533"/>
      <c r="R6533"/>
      <c r="S6533"/>
    </row>
    <row r="6534" spans="13:19" ht="13.95" customHeight="1">
      <c r="M6534"/>
      <c r="N6534"/>
      <c r="O6534"/>
      <c r="P6534"/>
      <c r="Q6534"/>
      <c r="R6534"/>
      <c r="S6534"/>
    </row>
    <row r="6535" spans="13:19" ht="13.95" customHeight="1">
      <c r="M6535"/>
      <c r="N6535"/>
      <c r="O6535"/>
      <c r="P6535"/>
      <c r="Q6535"/>
      <c r="R6535"/>
      <c r="S6535"/>
    </row>
    <row r="6536" spans="13:19" ht="13.95" customHeight="1">
      <c r="M6536"/>
      <c r="N6536"/>
      <c r="O6536"/>
      <c r="P6536"/>
      <c r="Q6536"/>
      <c r="R6536"/>
      <c r="S6536"/>
    </row>
    <row r="6537" spans="13:19" ht="13.95" customHeight="1">
      <c r="M6537"/>
      <c r="N6537"/>
      <c r="O6537"/>
      <c r="P6537"/>
      <c r="Q6537"/>
      <c r="R6537"/>
      <c r="S6537"/>
    </row>
    <row r="6538" spans="13:19" ht="13.95" customHeight="1">
      <c r="M6538"/>
      <c r="N6538"/>
      <c r="O6538"/>
      <c r="P6538"/>
      <c r="Q6538"/>
      <c r="R6538"/>
      <c r="S6538"/>
    </row>
    <row r="6539" spans="13:19" ht="13.95" customHeight="1">
      <c r="M6539"/>
      <c r="N6539"/>
      <c r="O6539"/>
      <c r="P6539"/>
      <c r="Q6539"/>
      <c r="R6539"/>
      <c r="S6539"/>
    </row>
    <row r="6540" spans="13:19" ht="13.95" customHeight="1">
      <c r="M6540"/>
      <c r="N6540"/>
      <c r="O6540"/>
      <c r="P6540"/>
      <c r="Q6540"/>
      <c r="R6540"/>
      <c r="S6540"/>
    </row>
    <row r="6541" spans="13:19" ht="13.95" customHeight="1">
      <c r="M6541"/>
      <c r="N6541"/>
      <c r="O6541"/>
      <c r="P6541"/>
      <c r="Q6541"/>
      <c r="R6541"/>
      <c r="S6541"/>
    </row>
    <row r="6542" spans="13:19" ht="13.95" customHeight="1">
      <c r="M6542"/>
      <c r="N6542"/>
      <c r="O6542"/>
      <c r="P6542"/>
      <c r="Q6542"/>
      <c r="R6542"/>
      <c r="S6542"/>
    </row>
    <row r="6543" spans="13:19" ht="13.95" customHeight="1">
      <c r="M6543"/>
      <c r="N6543"/>
      <c r="O6543"/>
      <c r="P6543"/>
      <c r="Q6543"/>
      <c r="R6543"/>
      <c r="S6543"/>
    </row>
    <row r="6544" spans="13:19" ht="13.95" customHeight="1">
      <c r="M6544"/>
      <c r="N6544"/>
      <c r="O6544"/>
      <c r="P6544"/>
      <c r="Q6544"/>
      <c r="R6544"/>
      <c r="S6544"/>
    </row>
    <row r="6545" spans="13:19" ht="13.95" customHeight="1">
      <c r="M6545"/>
      <c r="N6545"/>
      <c r="O6545"/>
      <c r="P6545"/>
      <c r="Q6545"/>
      <c r="R6545"/>
      <c r="S6545"/>
    </row>
    <row r="6546" spans="13:19" ht="13.95" customHeight="1">
      <c r="M6546"/>
      <c r="N6546"/>
      <c r="O6546"/>
      <c r="P6546"/>
      <c r="Q6546"/>
      <c r="R6546"/>
      <c r="S6546"/>
    </row>
    <row r="6547" spans="13:19" ht="13.95" customHeight="1">
      <c r="M6547"/>
      <c r="N6547"/>
      <c r="O6547"/>
      <c r="P6547"/>
      <c r="Q6547"/>
      <c r="R6547"/>
      <c r="S6547"/>
    </row>
    <row r="6548" spans="13:19" ht="13.95" customHeight="1">
      <c r="M6548"/>
      <c r="N6548"/>
      <c r="O6548"/>
      <c r="P6548"/>
      <c r="Q6548"/>
      <c r="R6548"/>
      <c r="S6548"/>
    </row>
    <row r="6549" spans="13:19" ht="13.95" customHeight="1">
      <c r="M6549"/>
      <c r="N6549"/>
      <c r="O6549"/>
      <c r="P6549"/>
      <c r="Q6549"/>
      <c r="R6549"/>
      <c r="S6549"/>
    </row>
    <row r="6550" spans="13:19" ht="13.95" customHeight="1">
      <c r="M6550"/>
      <c r="N6550"/>
      <c r="O6550"/>
      <c r="P6550"/>
      <c r="Q6550"/>
      <c r="R6550"/>
      <c r="S6550"/>
    </row>
    <row r="6551" spans="13:19" ht="13.95" customHeight="1">
      <c r="M6551"/>
      <c r="N6551"/>
      <c r="O6551"/>
      <c r="P6551"/>
      <c r="Q6551"/>
      <c r="R6551"/>
      <c r="S6551"/>
    </row>
    <row r="6552" spans="13:19" ht="13.95" customHeight="1">
      <c r="M6552"/>
      <c r="N6552"/>
      <c r="O6552"/>
      <c r="P6552"/>
      <c r="Q6552"/>
      <c r="R6552"/>
      <c r="S6552"/>
    </row>
    <row r="6553" spans="13:19" ht="13.95" customHeight="1">
      <c r="M6553"/>
      <c r="N6553"/>
      <c r="O6553"/>
      <c r="P6553"/>
      <c r="Q6553"/>
      <c r="R6553"/>
      <c r="S6553"/>
    </row>
    <row r="6554" spans="13:19" ht="13.95" customHeight="1">
      <c r="M6554"/>
      <c r="N6554"/>
      <c r="O6554"/>
      <c r="P6554"/>
      <c r="Q6554"/>
      <c r="R6554"/>
      <c r="S6554"/>
    </row>
    <row r="6555" spans="13:19" ht="13.95" customHeight="1">
      <c r="M6555"/>
      <c r="N6555"/>
      <c r="O6555"/>
      <c r="P6555"/>
      <c r="Q6555"/>
      <c r="R6555"/>
      <c r="S6555"/>
    </row>
    <row r="6556" spans="13:19" ht="13.95" customHeight="1">
      <c r="M6556"/>
      <c r="N6556"/>
      <c r="O6556"/>
      <c r="P6556"/>
      <c r="Q6556"/>
      <c r="R6556"/>
      <c r="S6556"/>
    </row>
    <row r="6557" spans="13:19" ht="13.95" customHeight="1">
      <c r="M6557"/>
      <c r="N6557"/>
      <c r="O6557"/>
      <c r="P6557"/>
      <c r="Q6557"/>
      <c r="R6557"/>
      <c r="S6557"/>
    </row>
    <row r="6558" spans="13:19" ht="13.95" customHeight="1">
      <c r="M6558"/>
      <c r="N6558"/>
      <c r="O6558"/>
      <c r="P6558"/>
      <c r="Q6558"/>
      <c r="R6558"/>
      <c r="S6558"/>
    </row>
    <row r="6559" spans="13:19" ht="13.95" customHeight="1">
      <c r="M6559"/>
      <c r="N6559"/>
      <c r="O6559"/>
      <c r="P6559"/>
      <c r="Q6559"/>
      <c r="R6559"/>
      <c r="S6559"/>
    </row>
    <row r="6560" spans="13:19" ht="13.95" customHeight="1">
      <c r="M6560"/>
      <c r="N6560"/>
      <c r="O6560"/>
      <c r="P6560"/>
      <c r="Q6560"/>
      <c r="R6560"/>
      <c r="S6560"/>
    </row>
    <row r="6561" spans="13:19" ht="13.95" customHeight="1">
      <c r="M6561"/>
      <c r="N6561"/>
      <c r="O6561"/>
      <c r="P6561"/>
      <c r="Q6561"/>
      <c r="R6561"/>
      <c r="S6561"/>
    </row>
    <row r="6562" spans="13:19" ht="13.95" customHeight="1">
      <c r="M6562"/>
      <c r="N6562"/>
      <c r="O6562"/>
      <c r="P6562"/>
      <c r="Q6562"/>
      <c r="R6562"/>
      <c r="S6562"/>
    </row>
    <row r="6563" spans="13:19" ht="13.95" customHeight="1">
      <c r="M6563"/>
      <c r="N6563"/>
      <c r="O6563"/>
      <c r="P6563"/>
      <c r="Q6563"/>
      <c r="R6563"/>
      <c r="S6563"/>
    </row>
    <row r="6564" spans="13:19" ht="13.95" customHeight="1">
      <c r="M6564"/>
      <c r="N6564"/>
      <c r="O6564"/>
      <c r="P6564"/>
      <c r="Q6564"/>
      <c r="R6564"/>
      <c r="S6564"/>
    </row>
    <row r="6565" spans="13:19" ht="13.95" customHeight="1">
      <c r="M6565"/>
      <c r="N6565"/>
      <c r="O6565"/>
      <c r="P6565"/>
      <c r="Q6565"/>
      <c r="R6565"/>
      <c r="S6565"/>
    </row>
    <row r="6566" spans="13:19" ht="13.95" customHeight="1">
      <c r="M6566"/>
      <c r="N6566"/>
      <c r="O6566"/>
      <c r="P6566"/>
      <c r="Q6566"/>
      <c r="R6566"/>
      <c r="S6566"/>
    </row>
    <row r="6567" spans="13:19" ht="13.95" customHeight="1">
      <c r="M6567"/>
      <c r="N6567"/>
      <c r="O6567"/>
      <c r="P6567"/>
      <c r="Q6567"/>
      <c r="R6567"/>
      <c r="S6567"/>
    </row>
    <row r="6568" spans="13:19" ht="13.95" customHeight="1">
      <c r="M6568"/>
      <c r="N6568"/>
      <c r="O6568"/>
      <c r="P6568"/>
      <c r="Q6568"/>
      <c r="R6568"/>
      <c r="S6568"/>
    </row>
    <row r="6569" spans="13:19" ht="13.95" customHeight="1">
      <c r="M6569"/>
      <c r="N6569"/>
      <c r="O6569"/>
      <c r="P6569"/>
      <c r="Q6569"/>
      <c r="R6569"/>
      <c r="S6569"/>
    </row>
    <row r="6570" spans="13:19" ht="13.95" customHeight="1">
      <c r="M6570"/>
      <c r="N6570"/>
      <c r="O6570"/>
      <c r="P6570"/>
      <c r="Q6570"/>
      <c r="R6570"/>
      <c r="S6570"/>
    </row>
    <row r="6571" spans="13:19" ht="13.95" customHeight="1">
      <c r="M6571"/>
      <c r="N6571"/>
      <c r="O6571"/>
      <c r="P6571"/>
      <c r="Q6571"/>
      <c r="R6571"/>
      <c r="S6571"/>
    </row>
    <row r="6572" spans="13:19" ht="13.95" customHeight="1">
      <c r="M6572"/>
      <c r="N6572"/>
      <c r="O6572"/>
      <c r="P6572"/>
      <c r="Q6572"/>
      <c r="R6572"/>
      <c r="S6572"/>
    </row>
    <row r="6573" spans="13:19" ht="13.95" customHeight="1">
      <c r="M6573"/>
      <c r="N6573"/>
      <c r="O6573"/>
      <c r="P6573"/>
      <c r="Q6573"/>
      <c r="R6573"/>
      <c r="S6573"/>
    </row>
    <row r="6574" spans="13:19" ht="13.95" customHeight="1">
      <c r="M6574"/>
      <c r="N6574"/>
      <c r="O6574"/>
      <c r="P6574"/>
      <c r="Q6574"/>
      <c r="R6574"/>
      <c r="S6574"/>
    </row>
    <row r="6575" spans="13:19" ht="13.95" customHeight="1">
      <c r="M6575"/>
      <c r="N6575"/>
      <c r="O6575"/>
      <c r="P6575"/>
      <c r="Q6575"/>
      <c r="R6575"/>
      <c r="S6575"/>
    </row>
    <row r="6576" spans="13:19" ht="13.95" customHeight="1">
      <c r="M6576"/>
      <c r="N6576"/>
      <c r="O6576"/>
      <c r="P6576"/>
      <c r="Q6576"/>
      <c r="R6576"/>
      <c r="S6576"/>
    </row>
    <row r="6577" spans="13:19" ht="13.95" customHeight="1">
      <c r="M6577"/>
      <c r="N6577"/>
      <c r="O6577"/>
      <c r="P6577"/>
      <c r="Q6577"/>
      <c r="R6577"/>
      <c r="S6577"/>
    </row>
    <row r="6578" spans="13:19" ht="13.95" customHeight="1">
      <c r="M6578"/>
      <c r="N6578"/>
      <c r="O6578"/>
      <c r="P6578"/>
      <c r="Q6578"/>
      <c r="R6578"/>
      <c r="S6578"/>
    </row>
    <row r="6579" spans="13:19" ht="13.95" customHeight="1">
      <c r="M6579"/>
      <c r="N6579"/>
      <c r="O6579"/>
      <c r="P6579"/>
      <c r="Q6579"/>
      <c r="R6579"/>
      <c r="S6579"/>
    </row>
    <row r="6580" spans="13:19" ht="13.95" customHeight="1">
      <c r="M6580"/>
      <c r="N6580"/>
      <c r="O6580"/>
      <c r="P6580"/>
      <c r="Q6580"/>
      <c r="R6580"/>
      <c r="S6580"/>
    </row>
    <row r="6581" spans="13:19" ht="13.95" customHeight="1">
      <c r="M6581"/>
      <c r="N6581"/>
      <c r="O6581"/>
      <c r="P6581"/>
      <c r="Q6581"/>
      <c r="R6581"/>
      <c r="S6581"/>
    </row>
    <row r="6582" spans="13:19" ht="13.95" customHeight="1">
      <c r="M6582"/>
      <c r="N6582"/>
      <c r="O6582"/>
      <c r="P6582"/>
      <c r="Q6582"/>
      <c r="R6582"/>
      <c r="S6582"/>
    </row>
    <row r="6583" spans="13:19" ht="13.95" customHeight="1">
      <c r="M6583"/>
      <c r="N6583"/>
      <c r="O6583"/>
      <c r="P6583"/>
      <c r="Q6583"/>
      <c r="R6583"/>
      <c r="S6583"/>
    </row>
    <row r="6584" spans="13:19" ht="13.95" customHeight="1">
      <c r="M6584"/>
      <c r="N6584"/>
      <c r="O6584"/>
      <c r="P6584"/>
      <c r="Q6584"/>
      <c r="R6584"/>
      <c r="S6584"/>
    </row>
    <row r="6585" spans="13:19" ht="13.95" customHeight="1">
      <c r="M6585"/>
      <c r="N6585"/>
      <c r="O6585"/>
      <c r="P6585"/>
      <c r="Q6585"/>
      <c r="R6585"/>
      <c r="S6585"/>
    </row>
    <row r="6586" spans="13:19" ht="13.95" customHeight="1">
      <c r="M6586"/>
      <c r="N6586"/>
      <c r="O6586"/>
      <c r="P6586"/>
      <c r="Q6586"/>
      <c r="R6586"/>
      <c r="S6586"/>
    </row>
    <row r="6587" spans="13:19" ht="13.95" customHeight="1">
      <c r="M6587"/>
      <c r="N6587"/>
      <c r="O6587"/>
      <c r="P6587"/>
      <c r="Q6587"/>
      <c r="R6587"/>
      <c r="S6587"/>
    </row>
    <row r="6588" spans="13:19" ht="13.95" customHeight="1">
      <c r="M6588"/>
      <c r="N6588"/>
      <c r="O6588"/>
      <c r="P6588"/>
      <c r="Q6588"/>
      <c r="R6588"/>
      <c r="S6588"/>
    </row>
    <row r="6589" spans="13:19" ht="13.95" customHeight="1">
      <c r="M6589"/>
      <c r="N6589"/>
      <c r="O6589"/>
      <c r="P6589"/>
      <c r="Q6589"/>
      <c r="R6589"/>
      <c r="S6589"/>
    </row>
    <row r="6590" spans="13:19" ht="13.95" customHeight="1">
      <c r="M6590"/>
      <c r="N6590"/>
      <c r="O6590"/>
      <c r="P6590"/>
      <c r="Q6590"/>
      <c r="R6590"/>
      <c r="S6590"/>
    </row>
    <row r="6591" spans="13:19" ht="13.95" customHeight="1">
      <c r="M6591"/>
      <c r="N6591"/>
      <c r="O6591"/>
      <c r="P6591"/>
      <c r="Q6591"/>
      <c r="R6591"/>
      <c r="S6591"/>
    </row>
    <row r="6592" spans="13:19" ht="13.95" customHeight="1">
      <c r="M6592"/>
      <c r="N6592"/>
      <c r="O6592"/>
      <c r="P6592"/>
      <c r="Q6592"/>
      <c r="R6592"/>
      <c r="S6592"/>
    </row>
    <row r="6593" spans="13:19" ht="13.95" customHeight="1">
      <c r="M6593"/>
      <c r="N6593"/>
      <c r="O6593"/>
      <c r="P6593"/>
      <c r="Q6593"/>
      <c r="R6593"/>
      <c r="S6593"/>
    </row>
    <row r="6594" spans="13:19" ht="13.95" customHeight="1">
      <c r="M6594"/>
      <c r="N6594"/>
      <c r="O6594"/>
      <c r="P6594"/>
      <c r="Q6594"/>
      <c r="R6594"/>
      <c r="S6594"/>
    </row>
    <row r="6595" spans="13:19" ht="13.95" customHeight="1">
      <c r="M6595"/>
      <c r="N6595"/>
      <c r="O6595"/>
      <c r="P6595"/>
      <c r="Q6595"/>
      <c r="R6595"/>
      <c r="S6595"/>
    </row>
    <row r="6596" spans="13:19" ht="13.95" customHeight="1">
      <c r="M6596"/>
      <c r="N6596"/>
      <c r="O6596"/>
      <c r="P6596"/>
      <c r="Q6596"/>
      <c r="R6596"/>
      <c r="S6596"/>
    </row>
    <row r="6597" spans="13:19" ht="13.95" customHeight="1">
      <c r="M6597"/>
      <c r="N6597"/>
      <c r="O6597"/>
      <c r="P6597"/>
      <c r="Q6597"/>
      <c r="R6597"/>
      <c r="S6597"/>
    </row>
    <row r="6598" spans="13:19" ht="13.95" customHeight="1">
      <c r="M6598"/>
      <c r="N6598"/>
      <c r="O6598"/>
      <c r="P6598"/>
      <c r="Q6598"/>
      <c r="R6598"/>
      <c r="S6598"/>
    </row>
    <row r="6599" spans="13:19" ht="13.95" customHeight="1">
      <c r="M6599"/>
      <c r="N6599"/>
      <c r="O6599"/>
      <c r="P6599"/>
      <c r="Q6599"/>
      <c r="R6599"/>
      <c r="S6599"/>
    </row>
    <row r="6600" spans="13:19" ht="13.95" customHeight="1">
      <c r="M6600"/>
      <c r="N6600"/>
      <c r="O6600"/>
      <c r="P6600"/>
      <c r="Q6600"/>
      <c r="R6600"/>
      <c r="S6600"/>
    </row>
    <row r="6601" spans="13:19" ht="13.95" customHeight="1">
      <c r="M6601"/>
      <c r="N6601"/>
      <c r="O6601"/>
      <c r="P6601"/>
      <c r="Q6601"/>
      <c r="R6601"/>
      <c r="S6601"/>
    </row>
    <row r="6602" spans="13:19" ht="13.95" customHeight="1">
      <c r="M6602"/>
      <c r="N6602"/>
      <c r="O6602"/>
      <c r="P6602"/>
      <c r="Q6602"/>
      <c r="R6602"/>
      <c r="S6602"/>
    </row>
    <row r="6603" spans="13:19" ht="13.95" customHeight="1">
      <c r="M6603"/>
      <c r="N6603"/>
      <c r="O6603"/>
      <c r="P6603"/>
      <c r="Q6603"/>
      <c r="R6603"/>
      <c r="S6603"/>
    </row>
    <row r="6604" spans="13:19" ht="13.95" customHeight="1">
      <c r="M6604"/>
      <c r="N6604"/>
      <c r="O6604"/>
      <c r="P6604"/>
      <c r="Q6604"/>
      <c r="R6604"/>
      <c r="S6604"/>
    </row>
    <row r="6605" spans="13:19" ht="13.95" customHeight="1">
      <c r="M6605"/>
      <c r="N6605"/>
      <c r="O6605"/>
      <c r="P6605"/>
      <c r="Q6605"/>
      <c r="R6605"/>
      <c r="S6605"/>
    </row>
    <row r="6606" spans="13:19" ht="13.95" customHeight="1">
      <c r="M6606"/>
      <c r="N6606"/>
      <c r="O6606"/>
      <c r="P6606"/>
      <c r="Q6606"/>
      <c r="R6606"/>
      <c r="S6606"/>
    </row>
    <row r="6607" spans="13:19" ht="13.95" customHeight="1">
      <c r="M6607"/>
      <c r="N6607"/>
      <c r="O6607"/>
      <c r="P6607"/>
      <c r="Q6607"/>
      <c r="R6607"/>
      <c r="S6607"/>
    </row>
    <row r="6608" spans="13:19" ht="13.95" customHeight="1">
      <c r="M6608"/>
      <c r="N6608"/>
      <c r="O6608"/>
      <c r="P6608"/>
      <c r="Q6608"/>
      <c r="R6608"/>
      <c r="S6608"/>
    </row>
    <row r="6609" spans="13:19" ht="13.95" customHeight="1">
      <c r="M6609"/>
      <c r="N6609"/>
      <c r="O6609"/>
      <c r="P6609"/>
      <c r="Q6609"/>
      <c r="R6609"/>
      <c r="S6609"/>
    </row>
    <row r="6610" spans="13:19" ht="13.95" customHeight="1">
      <c r="M6610"/>
      <c r="N6610"/>
      <c r="O6610"/>
      <c r="P6610"/>
      <c r="Q6610"/>
      <c r="R6610"/>
      <c r="S6610"/>
    </row>
    <row r="6611" spans="13:19" ht="13.95" customHeight="1">
      <c r="M6611"/>
      <c r="N6611"/>
      <c r="O6611"/>
      <c r="P6611"/>
      <c r="Q6611"/>
      <c r="R6611"/>
      <c r="S6611"/>
    </row>
    <row r="6612" spans="13:19" ht="13.95" customHeight="1">
      <c r="M6612"/>
      <c r="N6612"/>
      <c r="O6612"/>
      <c r="P6612"/>
      <c r="Q6612"/>
      <c r="R6612"/>
      <c r="S6612"/>
    </row>
    <row r="6613" spans="13:19" ht="13.95" customHeight="1">
      <c r="M6613"/>
      <c r="N6613"/>
      <c r="O6613"/>
      <c r="P6613"/>
      <c r="Q6613"/>
      <c r="R6613"/>
      <c r="S6613"/>
    </row>
    <row r="6614" spans="13:19" ht="13.95" customHeight="1">
      <c r="M6614"/>
      <c r="N6614"/>
      <c r="O6614"/>
      <c r="P6614"/>
      <c r="Q6614"/>
      <c r="R6614"/>
      <c r="S6614"/>
    </row>
    <row r="6615" spans="13:19" ht="13.95" customHeight="1">
      <c r="M6615"/>
      <c r="N6615"/>
      <c r="O6615"/>
      <c r="P6615"/>
      <c r="Q6615"/>
      <c r="R6615"/>
      <c r="S6615"/>
    </row>
    <row r="6616" spans="13:19" ht="13.95" customHeight="1">
      <c r="M6616"/>
      <c r="N6616"/>
      <c r="O6616"/>
      <c r="P6616"/>
      <c r="Q6616"/>
      <c r="R6616"/>
      <c r="S6616"/>
    </row>
    <row r="6617" spans="13:19" ht="13.95" customHeight="1">
      <c r="M6617"/>
      <c r="N6617"/>
      <c r="O6617"/>
      <c r="P6617"/>
      <c r="Q6617"/>
      <c r="R6617"/>
      <c r="S6617"/>
    </row>
    <row r="6618" spans="13:19" ht="13.95" customHeight="1">
      <c r="M6618"/>
      <c r="N6618"/>
      <c r="O6618"/>
      <c r="P6618"/>
      <c r="Q6618"/>
      <c r="R6618"/>
      <c r="S6618"/>
    </row>
    <row r="6619" spans="13:19" ht="13.95" customHeight="1">
      <c r="M6619"/>
      <c r="N6619"/>
      <c r="O6619"/>
      <c r="P6619"/>
      <c r="Q6619"/>
      <c r="R6619"/>
      <c r="S6619"/>
    </row>
    <row r="6620" spans="13:19" ht="13.95" customHeight="1">
      <c r="M6620"/>
      <c r="N6620"/>
      <c r="O6620"/>
      <c r="P6620"/>
      <c r="Q6620"/>
      <c r="R6620"/>
      <c r="S6620"/>
    </row>
    <row r="6621" spans="13:19" ht="13.95" customHeight="1">
      <c r="M6621"/>
      <c r="N6621"/>
      <c r="O6621"/>
      <c r="P6621"/>
      <c r="Q6621"/>
      <c r="R6621"/>
      <c r="S6621"/>
    </row>
    <row r="6622" spans="13:19" ht="13.95" customHeight="1">
      <c r="M6622"/>
      <c r="N6622"/>
      <c r="O6622"/>
      <c r="P6622"/>
      <c r="Q6622"/>
      <c r="R6622"/>
      <c r="S6622"/>
    </row>
    <row r="6623" spans="13:19" ht="13.95" customHeight="1">
      <c r="M6623"/>
      <c r="N6623"/>
      <c r="O6623"/>
      <c r="P6623"/>
      <c r="Q6623"/>
      <c r="R6623"/>
      <c r="S6623"/>
    </row>
    <row r="6624" spans="13:19" ht="13.95" customHeight="1">
      <c r="M6624"/>
      <c r="N6624"/>
      <c r="O6624"/>
      <c r="P6624"/>
      <c r="Q6624"/>
      <c r="R6624"/>
      <c r="S6624"/>
    </row>
    <row r="6625" spans="13:19" ht="13.95" customHeight="1">
      <c r="M6625"/>
      <c r="N6625"/>
      <c r="O6625"/>
      <c r="P6625"/>
      <c r="Q6625"/>
      <c r="R6625"/>
      <c r="S6625"/>
    </row>
    <row r="6626" spans="13:19" ht="13.95" customHeight="1">
      <c r="M6626"/>
      <c r="N6626"/>
      <c r="O6626"/>
      <c r="P6626"/>
      <c r="Q6626"/>
      <c r="R6626"/>
      <c r="S6626"/>
    </row>
    <row r="6627" spans="13:19" ht="13.95" customHeight="1">
      <c r="M6627"/>
      <c r="N6627"/>
      <c r="O6627"/>
      <c r="P6627"/>
      <c r="Q6627"/>
      <c r="R6627"/>
      <c r="S6627"/>
    </row>
    <row r="6628" spans="13:19" ht="13.95" customHeight="1">
      <c r="M6628"/>
      <c r="N6628"/>
      <c r="O6628"/>
      <c r="P6628"/>
      <c r="Q6628"/>
      <c r="R6628"/>
      <c r="S6628"/>
    </row>
    <row r="6629" spans="13:19" ht="13.95" customHeight="1">
      <c r="M6629"/>
      <c r="N6629"/>
      <c r="O6629"/>
      <c r="P6629"/>
      <c r="Q6629"/>
      <c r="R6629"/>
      <c r="S6629"/>
    </row>
    <row r="6630" spans="13:19" ht="13.95" customHeight="1">
      <c r="M6630"/>
      <c r="N6630"/>
      <c r="O6630"/>
      <c r="P6630"/>
      <c r="Q6630"/>
      <c r="R6630"/>
      <c r="S6630"/>
    </row>
    <row r="6631" spans="13:19" ht="13.95" customHeight="1">
      <c r="M6631"/>
      <c r="N6631"/>
      <c r="O6631"/>
      <c r="P6631"/>
      <c r="Q6631"/>
      <c r="R6631"/>
      <c r="S6631"/>
    </row>
    <row r="6632" spans="13:19" ht="13.95" customHeight="1">
      <c r="M6632"/>
      <c r="N6632"/>
      <c r="O6632"/>
      <c r="P6632"/>
      <c r="Q6632"/>
      <c r="R6632"/>
      <c r="S6632"/>
    </row>
    <row r="6633" spans="13:19" ht="13.95" customHeight="1">
      <c r="M6633"/>
      <c r="N6633"/>
      <c r="O6633"/>
      <c r="P6633"/>
      <c r="Q6633"/>
      <c r="R6633"/>
      <c r="S6633"/>
    </row>
    <row r="6634" spans="13:19" ht="13.95" customHeight="1">
      <c r="M6634"/>
      <c r="N6634"/>
      <c r="O6634"/>
      <c r="P6634"/>
      <c r="Q6634"/>
      <c r="R6634"/>
      <c r="S6634"/>
    </row>
    <row r="6635" spans="13:19" ht="13.95" customHeight="1">
      <c r="M6635"/>
      <c r="N6635"/>
      <c r="O6635"/>
      <c r="P6635"/>
      <c r="Q6635"/>
      <c r="R6635"/>
      <c r="S6635"/>
    </row>
    <row r="6636" spans="13:19" ht="13.95" customHeight="1">
      <c r="M6636"/>
      <c r="N6636"/>
      <c r="O6636"/>
      <c r="P6636"/>
      <c r="Q6636"/>
      <c r="R6636"/>
      <c r="S6636"/>
    </row>
    <row r="6637" spans="13:19" ht="13.95" customHeight="1">
      <c r="M6637"/>
      <c r="N6637"/>
      <c r="O6637"/>
      <c r="P6637"/>
      <c r="Q6637"/>
      <c r="R6637"/>
      <c r="S6637"/>
    </row>
    <row r="6638" spans="13:19" ht="13.95" customHeight="1">
      <c r="M6638"/>
      <c r="N6638"/>
      <c r="O6638"/>
      <c r="P6638"/>
      <c r="Q6638"/>
      <c r="R6638"/>
      <c r="S6638"/>
    </row>
    <row r="6639" spans="13:19" ht="13.95" customHeight="1">
      <c r="M6639"/>
      <c r="N6639"/>
      <c r="O6639"/>
      <c r="P6639"/>
      <c r="Q6639"/>
      <c r="R6639"/>
      <c r="S6639"/>
    </row>
    <row r="6640" spans="13:19" ht="13.95" customHeight="1">
      <c r="M6640"/>
      <c r="N6640"/>
      <c r="O6640"/>
      <c r="P6640"/>
      <c r="Q6640"/>
      <c r="R6640"/>
      <c r="S6640"/>
    </row>
    <row r="6641" spans="13:19" ht="13.95" customHeight="1">
      <c r="M6641"/>
      <c r="N6641"/>
      <c r="O6641"/>
      <c r="P6641"/>
      <c r="Q6641"/>
      <c r="R6641"/>
      <c r="S6641"/>
    </row>
    <row r="6642" spans="13:19" ht="13.95" customHeight="1">
      <c r="M6642"/>
      <c r="N6642"/>
      <c r="O6642"/>
      <c r="P6642"/>
      <c r="Q6642"/>
      <c r="R6642"/>
      <c r="S6642"/>
    </row>
    <row r="6643" spans="13:19" ht="13.95" customHeight="1">
      <c r="M6643"/>
      <c r="N6643"/>
      <c r="O6643"/>
      <c r="P6643"/>
      <c r="Q6643"/>
      <c r="R6643"/>
      <c r="S6643"/>
    </row>
    <row r="6644" spans="13:19" ht="13.95" customHeight="1">
      <c r="M6644"/>
      <c r="N6644"/>
      <c r="O6644"/>
      <c r="P6644"/>
      <c r="Q6644"/>
      <c r="R6644"/>
      <c r="S6644"/>
    </row>
    <row r="6645" spans="13:19" ht="13.95" customHeight="1">
      <c r="M6645"/>
      <c r="N6645"/>
      <c r="O6645"/>
      <c r="P6645"/>
      <c r="Q6645"/>
      <c r="R6645"/>
      <c r="S6645"/>
    </row>
    <row r="6646" spans="13:19" ht="13.95" customHeight="1">
      <c r="M6646"/>
      <c r="N6646"/>
      <c r="O6646"/>
      <c r="P6646"/>
      <c r="Q6646"/>
      <c r="R6646"/>
      <c r="S6646"/>
    </row>
    <row r="6647" spans="13:19" ht="13.95" customHeight="1">
      <c r="M6647"/>
      <c r="N6647"/>
      <c r="O6647"/>
      <c r="P6647"/>
      <c r="Q6647"/>
      <c r="R6647"/>
      <c r="S6647"/>
    </row>
    <row r="6648" spans="13:19" ht="13.95" customHeight="1">
      <c r="M6648"/>
      <c r="N6648"/>
      <c r="O6648"/>
      <c r="P6648"/>
      <c r="Q6648"/>
      <c r="R6648"/>
      <c r="S6648"/>
    </row>
    <row r="6649" spans="13:19" ht="13.95" customHeight="1">
      <c r="M6649"/>
      <c r="N6649"/>
      <c r="O6649"/>
      <c r="P6649"/>
      <c r="Q6649"/>
      <c r="R6649"/>
      <c r="S6649"/>
    </row>
    <row r="6650" spans="13:19" ht="13.95" customHeight="1">
      <c r="M6650"/>
      <c r="N6650"/>
      <c r="O6650"/>
      <c r="P6650"/>
      <c r="Q6650"/>
      <c r="R6650"/>
      <c r="S6650"/>
    </row>
    <row r="6651" spans="13:19" ht="13.95" customHeight="1">
      <c r="M6651"/>
      <c r="N6651"/>
      <c r="O6651"/>
      <c r="P6651"/>
      <c r="Q6651"/>
      <c r="R6651"/>
      <c r="S6651"/>
    </row>
    <row r="6652" spans="13:19" ht="13.95" customHeight="1">
      <c r="M6652"/>
      <c r="N6652"/>
      <c r="O6652"/>
      <c r="P6652"/>
      <c r="Q6652"/>
      <c r="R6652"/>
      <c r="S6652"/>
    </row>
    <row r="6653" spans="13:19" ht="13.95" customHeight="1">
      <c r="M6653"/>
      <c r="N6653"/>
      <c r="O6653"/>
      <c r="P6653"/>
      <c r="Q6653"/>
      <c r="R6653"/>
      <c r="S6653"/>
    </row>
    <row r="6654" spans="13:19" ht="13.95" customHeight="1">
      <c r="M6654"/>
      <c r="N6654"/>
      <c r="O6654"/>
      <c r="P6654"/>
      <c r="Q6654"/>
      <c r="R6654"/>
      <c r="S6654"/>
    </row>
    <row r="6655" spans="13:19" ht="13.95" customHeight="1">
      <c r="M6655"/>
      <c r="N6655"/>
      <c r="O6655"/>
      <c r="P6655"/>
      <c r="Q6655"/>
      <c r="R6655"/>
      <c r="S6655"/>
    </row>
    <row r="6656" spans="13:19" ht="13.95" customHeight="1">
      <c r="M6656"/>
      <c r="N6656"/>
      <c r="O6656"/>
      <c r="P6656"/>
      <c r="Q6656"/>
      <c r="R6656"/>
      <c r="S6656"/>
    </row>
    <row r="6657" spans="13:19" ht="13.95" customHeight="1">
      <c r="M6657"/>
      <c r="N6657"/>
      <c r="O6657"/>
      <c r="P6657"/>
      <c r="Q6657"/>
      <c r="R6657"/>
      <c r="S6657"/>
    </row>
    <row r="6658" spans="13:19" ht="13.95" customHeight="1">
      <c r="M6658"/>
      <c r="N6658"/>
      <c r="O6658"/>
      <c r="P6658"/>
      <c r="Q6658"/>
      <c r="R6658"/>
      <c r="S6658"/>
    </row>
    <row r="6659" spans="13:19" ht="13.95" customHeight="1">
      <c r="M6659"/>
      <c r="N6659"/>
      <c r="O6659"/>
      <c r="P6659"/>
      <c r="Q6659"/>
      <c r="R6659"/>
      <c r="S6659"/>
    </row>
    <row r="6660" spans="13:19" ht="13.95" customHeight="1">
      <c r="M6660"/>
      <c r="N6660"/>
      <c r="O6660"/>
      <c r="P6660"/>
      <c r="Q6660"/>
      <c r="R6660"/>
      <c r="S6660"/>
    </row>
    <row r="6661" spans="13:19" ht="13.95" customHeight="1">
      <c r="M6661"/>
      <c r="N6661"/>
      <c r="O6661"/>
      <c r="P6661"/>
      <c r="Q6661"/>
      <c r="R6661"/>
      <c r="S6661"/>
    </row>
    <row r="6662" spans="13:19" ht="13.95" customHeight="1">
      <c r="M6662"/>
      <c r="N6662"/>
      <c r="O6662"/>
      <c r="P6662"/>
      <c r="Q6662"/>
      <c r="R6662"/>
      <c r="S6662"/>
    </row>
    <row r="6663" spans="13:19" ht="13.95" customHeight="1">
      <c r="M6663"/>
      <c r="N6663"/>
      <c r="O6663"/>
      <c r="P6663"/>
      <c r="Q6663"/>
      <c r="R6663"/>
      <c r="S6663"/>
    </row>
    <row r="6664" spans="13:19" ht="13.95" customHeight="1">
      <c r="M6664"/>
      <c r="N6664"/>
      <c r="O6664"/>
      <c r="P6664"/>
      <c r="Q6664"/>
      <c r="R6664"/>
      <c r="S6664"/>
    </row>
    <row r="6665" spans="13:19" ht="13.95" customHeight="1">
      <c r="M6665"/>
      <c r="N6665"/>
      <c r="O6665"/>
      <c r="P6665"/>
      <c r="Q6665"/>
      <c r="R6665"/>
      <c r="S6665"/>
    </row>
    <row r="6666" spans="13:19" ht="13.95" customHeight="1">
      <c r="M6666"/>
      <c r="N6666"/>
      <c r="O6666"/>
      <c r="P6666"/>
      <c r="Q6666"/>
      <c r="R6666"/>
      <c r="S6666"/>
    </row>
    <row r="6667" spans="13:19" ht="13.95" customHeight="1">
      <c r="M6667"/>
      <c r="N6667"/>
      <c r="O6667"/>
      <c r="P6667"/>
      <c r="Q6667"/>
      <c r="R6667"/>
      <c r="S6667"/>
    </row>
    <row r="6668" spans="13:19" ht="13.95" customHeight="1">
      <c r="M6668"/>
      <c r="N6668"/>
      <c r="O6668"/>
      <c r="P6668"/>
      <c r="Q6668"/>
      <c r="R6668"/>
      <c r="S6668"/>
    </row>
    <row r="6669" spans="13:19" ht="13.95" customHeight="1">
      <c r="M6669"/>
      <c r="N6669"/>
      <c r="O6669"/>
      <c r="P6669"/>
      <c r="Q6669"/>
      <c r="R6669"/>
      <c r="S6669"/>
    </row>
    <row r="6670" spans="13:19" ht="13.95" customHeight="1">
      <c r="M6670"/>
      <c r="N6670"/>
      <c r="O6670"/>
      <c r="P6670"/>
      <c r="Q6670"/>
      <c r="R6670"/>
      <c r="S6670"/>
    </row>
    <row r="6671" spans="13:19" ht="13.95" customHeight="1">
      <c r="M6671"/>
      <c r="N6671"/>
      <c r="O6671"/>
      <c r="P6671"/>
      <c r="Q6671"/>
      <c r="R6671"/>
      <c r="S6671"/>
    </row>
    <row r="6672" spans="13:19" ht="13.95" customHeight="1">
      <c r="M6672"/>
      <c r="N6672"/>
      <c r="O6672"/>
      <c r="P6672"/>
      <c r="Q6672"/>
      <c r="R6672"/>
      <c r="S6672"/>
    </row>
    <row r="6673" spans="13:19" ht="13.95" customHeight="1">
      <c r="M6673"/>
      <c r="N6673"/>
      <c r="O6673"/>
      <c r="P6673"/>
      <c r="Q6673"/>
      <c r="R6673"/>
      <c r="S6673"/>
    </row>
    <row r="6674" spans="13:19" ht="13.95" customHeight="1">
      <c r="M6674"/>
      <c r="N6674"/>
      <c r="O6674"/>
      <c r="P6674"/>
      <c r="Q6674"/>
      <c r="R6674"/>
      <c r="S6674"/>
    </row>
    <row r="6675" spans="13:19" ht="13.95" customHeight="1">
      <c r="M6675"/>
      <c r="N6675"/>
      <c r="O6675"/>
      <c r="P6675"/>
      <c r="Q6675"/>
      <c r="R6675"/>
      <c r="S6675"/>
    </row>
    <row r="6676" spans="13:19" ht="13.95" customHeight="1">
      <c r="M6676"/>
      <c r="N6676"/>
      <c r="O6676"/>
      <c r="P6676"/>
      <c r="Q6676"/>
      <c r="R6676"/>
      <c r="S6676"/>
    </row>
    <row r="6677" spans="13:19" ht="13.95" customHeight="1">
      <c r="M6677"/>
      <c r="N6677"/>
      <c r="O6677"/>
      <c r="P6677"/>
      <c r="Q6677"/>
      <c r="R6677"/>
      <c r="S6677"/>
    </row>
    <row r="6678" spans="13:19" ht="13.95" customHeight="1">
      <c r="M6678"/>
      <c r="N6678"/>
      <c r="O6678"/>
      <c r="P6678"/>
      <c r="Q6678"/>
      <c r="R6678"/>
      <c r="S6678"/>
    </row>
    <row r="6679" spans="13:19" ht="13.95" customHeight="1">
      <c r="M6679"/>
      <c r="N6679"/>
      <c r="O6679"/>
      <c r="P6679"/>
      <c r="Q6679"/>
      <c r="R6679"/>
      <c r="S6679"/>
    </row>
    <row r="6680" spans="13:19" ht="13.95" customHeight="1">
      <c r="M6680"/>
      <c r="N6680"/>
      <c r="O6680"/>
      <c r="P6680"/>
      <c r="Q6680"/>
      <c r="R6680"/>
      <c r="S6680"/>
    </row>
    <row r="6681" spans="13:19" ht="13.95" customHeight="1">
      <c r="M6681"/>
      <c r="N6681"/>
      <c r="O6681"/>
      <c r="P6681"/>
      <c r="Q6681"/>
      <c r="R6681"/>
      <c r="S6681"/>
    </row>
    <row r="6682" spans="13:19" ht="13.95" customHeight="1">
      <c r="M6682"/>
      <c r="N6682"/>
      <c r="O6682"/>
      <c r="P6682"/>
      <c r="Q6682"/>
      <c r="R6682"/>
      <c r="S6682"/>
    </row>
    <row r="6683" spans="13:19" ht="13.95" customHeight="1">
      <c r="M6683"/>
      <c r="N6683"/>
      <c r="O6683"/>
      <c r="P6683"/>
      <c r="Q6683"/>
      <c r="R6683"/>
      <c r="S6683"/>
    </row>
    <row r="6684" spans="13:19" ht="13.95" customHeight="1">
      <c r="M6684"/>
      <c r="N6684"/>
      <c r="O6684"/>
      <c r="P6684"/>
      <c r="Q6684"/>
      <c r="R6684"/>
      <c r="S6684"/>
    </row>
    <row r="6685" spans="13:19" ht="13.95" customHeight="1">
      <c r="M6685"/>
      <c r="N6685"/>
      <c r="O6685"/>
      <c r="P6685"/>
      <c r="Q6685"/>
      <c r="R6685"/>
      <c r="S6685"/>
    </row>
    <row r="6686" spans="13:19" ht="13.95" customHeight="1">
      <c r="M6686"/>
      <c r="N6686"/>
      <c r="O6686"/>
      <c r="P6686"/>
      <c r="Q6686"/>
      <c r="R6686"/>
      <c r="S6686"/>
    </row>
    <row r="6687" spans="13:19" ht="13.95" customHeight="1">
      <c r="M6687"/>
      <c r="N6687"/>
      <c r="O6687"/>
      <c r="P6687"/>
      <c r="Q6687"/>
      <c r="R6687"/>
      <c r="S6687"/>
    </row>
    <row r="6688" spans="13:19" ht="13.95" customHeight="1">
      <c r="M6688"/>
      <c r="N6688"/>
      <c r="O6688"/>
      <c r="P6688"/>
      <c r="Q6688"/>
      <c r="R6688"/>
      <c r="S6688"/>
    </row>
    <row r="6689" spans="13:19" ht="13.95" customHeight="1">
      <c r="M6689"/>
      <c r="N6689"/>
      <c r="O6689"/>
      <c r="P6689"/>
      <c r="Q6689"/>
      <c r="R6689"/>
      <c r="S6689"/>
    </row>
    <row r="6690" spans="13:19" ht="13.95" customHeight="1">
      <c r="M6690"/>
      <c r="N6690"/>
      <c r="O6690"/>
      <c r="P6690"/>
      <c r="Q6690"/>
      <c r="R6690"/>
      <c r="S6690"/>
    </row>
    <row r="6691" spans="13:19" ht="13.95" customHeight="1">
      <c r="M6691"/>
      <c r="N6691"/>
      <c r="O6691"/>
      <c r="P6691"/>
      <c r="Q6691"/>
      <c r="R6691"/>
      <c r="S6691"/>
    </row>
    <row r="6692" spans="13:19" ht="13.95" customHeight="1">
      <c r="M6692"/>
      <c r="N6692"/>
      <c r="O6692"/>
      <c r="P6692"/>
      <c r="Q6692"/>
      <c r="R6692"/>
      <c r="S6692"/>
    </row>
    <row r="6693" spans="13:19" ht="13.95" customHeight="1">
      <c r="M6693"/>
      <c r="N6693"/>
      <c r="O6693"/>
      <c r="P6693"/>
      <c r="Q6693"/>
      <c r="R6693"/>
      <c r="S6693"/>
    </row>
    <row r="6694" spans="13:19" ht="13.95" customHeight="1">
      <c r="M6694"/>
      <c r="N6694"/>
      <c r="O6694"/>
      <c r="P6694"/>
      <c r="Q6694"/>
      <c r="R6694"/>
      <c r="S6694"/>
    </row>
    <row r="6695" spans="13:19" ht="13.95" customHeight="1">
      <c r="M6695"/>
      <c r="N6695"/>
      <c r="O6695"/>
      <c r="P6695"/>
      <c r="Q6695"/>
      <c r="R6695"/>
      <c r="S6695"/>
    </row>
    <row r="6696" spans="13:19" ht="13.95" customHeight="1">
      <c r="M6696"/>
      <c r="N6696"/>
      <c r="O6696"/>
      <c r="P6696"/>
      <c r="Q6696"/>
      <c r="R6696"/>
      <c r="S6696"/>
    </row>
    <row r="6697" spans="13:19" ht="13.95" customHeight="1">
      <c r="M6697"/>
      <c r="N6697"/>
      <c r="O6697"/>
      <c r="P6697"/>
      <c r="Q6697"/>
      <c r="R6697"/>
      <c r="S6697"/>
    </row>
    <row r="6698" spans="13:19" ht="13.95" customHeight="1">
      <c r="M6698"/>
      <c r="N6698"/>
      <c r="O6698"/>
      <c r="P6698"/>
      <c r="Q6698"/>
      <c r="R6698"/>
      <c r="S6698"/>
    </row>
    <row r="6699" spans="13:19" ht="13.95" customHeight="1">
      <c r="M6699"/>
      <c r="N6699"/>
      <c r="O6699"/>
      <c r="P6699"/>
      <c r="Q6699"/>
      <c r="R6699"/>
      <c r="S6699"/>
    </row>
    <row r="6700" spans="13:19" ht="13.95" customHeight="1">
      <c r="M6700"/>
      <c r="N6700"/>
      <c r="O6700"/>
      <c r="P6700"/>
      <c r="Q6700"/>
      <c r="R6700"/>
      <c r="S6700"/>
    </row>
    <row r="6701" spans="13:19" ht="13.95" customHeight="1">
      <c r="M6701"/>
      <c r="N6701"/>
      <c r="O6701"/>
      <c r="P6701"/>
      <c r="Q6701"/>
      <c r="R6701"/>
      <c r="S6701"/>
    </row>
    <row r="6702" spans="13:19" ht="13.95" customHeight="1">
      <c r="M6702"/>
      <c r="N6702"/>
      <c r="O6702"/>
      <c r="P6702"/>
      <c r="Q6702"/>
      <c r="R6702"/>
      <c r="S6702"/>
    </row>
    <row r="6703" spans="13:19" ht="13.95" customHeight="1">
      <c r="M6703"/>
      <c r="N6703"/>
      <c r="O6703"/>
      <c r="P6703"/>
      <c r="Q6703"/>
      <c r="R6703"/>
      <c r="S6703"/>
    </row>
    <row r="6704" spans="13:19" ht="13.95" customHeight="1">
      <c r="M6704"/>
      <c r="N6704"/>
      <c r="O6704"/>
      <c r="P6704"/>
      <c r="Q6704"/>
      <c r="R6704"/>
      <c r="S6704"/>
    </row>
    <row r="6705" spans="13:19" ht="13.95" customHeight="1">
      <c r="M6705"/>
      <c r="N6705"/>
      <c r="O6705"/>
      <c r="P6705"/>
      <c r="Q6705"/>
      <c r="R6705"/>
      <c r="S6705"/>
    </row>
    <row r="6706" spans="13:19" ht="13.95" customHeight="1">
      <c r="M6706"/>
      <c r="N6706"/>
      <c r="O6706"/>
      <c r="P6706"/>
      <c r="Q6706"/>
      <c r="R6706"/>
      <c r="S6706"/>
    </row>
    <row r="6707" spans="13:19" ht="13.95" customHeight="1">
      <c r="M6707"/>
      <c r="N6707"/>
      <c r="O6707"/>
      <c r="P6707"/>
      <c r="Q6707"/>
      <c r="R6707"/>
      <c r="S6707"/>
    </row>
    <row r="6708" spans="13:19" ht="13.95" customHeight="1">
      <c r="M6708"/>
      <c r="N6708"/>
      <c r="O6708"/>
      <c r="P6708"/>
      <c r="Q6708"/>
      <c r="R6708"/>
      <c r="S6708"/>
    </row>
    <row r="6709" spans="13:19" ht="13.95" customHeight="1">
      <c r="M6709"/>
      <c r="N6709"/>
      <c r="O6709"/>
      <c r="P6709"/>
      <c r="Q6709"/>
      <c r="R6709"/>
      <c r="S6709"/>
    </row>
    <row r="6710" spans="13:19" ht="13.95" customHeight="1">
      <c r="M6710"/>
      <c r="N6710"/>
      <c r="O6710"/>
      <c r="P6710"/>
      <c r="Q6710"/>
      <c r="R6710"/>
      <c r="S6710"/>
    </row>
    <row r="6711" spans="13:19" ht="13.95" customHeight="1">
      <c r="M6711"/>
      <c r="N6711"/>
      <c r="O6711"/>
      <c r="P6711"/>
      <c r="Q6711"/>
      <c r="R6711"/>
      <c r="S6711"/>
    </row>
    <row r="6712" spans="13:19" ht="13.95" customHeight="1">
      <c r="M6712"/>
      <c r="N6712"/>
      <c r="O6712"/>
      <c r="P6712"/>
      <c r="Q6712"/>
      <c r="R6712"/>
      <c r="S6712"/>
    </row>
    <row r="6713" spans="13:19" ht="13.95" customHeight="1">
      <c r="M6713"/>
      <c r="N6713"/>
      <c r="O6713"/>
      <c r="P6713"/>
      <c r="Q6713"/>
      <c r="R6713"/>
      <c r="S6713"/>
    </row>
    <row r="6714" spans="13:19" ht="13.95" customHeight="1">
      <c r="M6714"/>
      <c r="N6714"/>
      <c r="O6714"/>
      <c r="P6714"/>
      <c r="Q6714"/>
      <c r="R6714"/>
      <c r="S6714"/>
    </row>
    <row r="6715" spans="13:19" ht="13.95" customHeight="1">
      <c r="M6715"/>
      <c r="N6715"/>
      <c r="O6715"/>
      <c r="P6715"/>
      <c r="Q6715"/>
      <c r="R6715"/>
      <c r="S6715"/>
    </row>
    <row r="6716" spans="13:19" ht="13.95" customHeight="1">
      <c r="M6716"/>
      <c r="N6716"/>
      <c r="O6716"/>
      <c r="P6716"/>
      <c r="Q6716"/>
      <c r="R6716"/>
      <c r="S6716"/>
    </row>
    <row r="6717" spans="13:19" ht="13.95" customHeight="1">
      <c r="M6717"/>
      <c r="N6717"/>
      <c r="O6717"/>
      <c r="P6717"/>
      <c r="Q6717"/>
      <c r="R6717"/>
      <c r="S6717"/>
    </row>
    <row r="6718" spans="13:19" ht="13.95" customHeight="1">
      <c r="M6718"/>
      <c r="N6718"/>
      <c r="O6718"/>
      <c r="P6718"/>
      <c r="Q6718"/>
      <c r="R6718"/>
      <c r="S6718"/>
    </row>
    <row r="6719" spans="13:19" ht="13.95" customHeight="1">
      <c r="M6719"/>
      <c r="N6719"/>
      <c r="O6719"/>
      <c r="P6719"/>
      <c r="Q6719"/>
      <c r="R6719"/>
      <c r="S6719"/>
    </row>
    <row r="6720" spans="13:19" ht="13.95" customHeight="1">
      <c r="M6720"/>
      <c r="N6720"/>
      <c r="O6720"/>
      <c r="P6720"/>
      <c r="Q6720"/>
      <c r="R6720"/>
      <c r="S6720"/>
    </row>
    <row r="6721" spans="13:19" ht="13.95" customHeight="1">
      <c r="M6721"/>
      <c r="N6721"/>
      <c r="O6721"/>
      <c r="P6721"/>
      <c r="Q6721"/>
      <c r="R6721"/>
      <c r="S6721"/>
    </row>
    <row r="6722" spans="13:19" ht="13.95" customHeight="1">
      <c r="M6722"/>
      <c r="N6722"/>
      <c r="O6722"/>
      <c r="P6722"/>
      <c r="Q6722"/>
      <c r="R6722"/>
      <c r="S6722"/>
    </row>
    <row r="6723" spans="13:19" ht="13.95" customHeight="1">
      <c r="M6723"/>
      <c r="N6723"/>
      <c r="O6723"/>
      <c r="P6723"/>
      <c r="Q6723"/>
      <c r="R6723"/>
      <c r="S6723"/>
    </row>
    <row r="6724" spans="13:19" ht="13.95" customHeight="1">
      <c r="M6724"/>
      <c r="N6724"/>
      <c r="O6724"/>
      <c r="P6724"/>
      <c r="Q6724"/>
      <c r="R6724"/>
      <c r="S6724"/>
    </row>
    <row r="6725" spans="13:19" ht="13.95" customHeight="1">
      <c r="M6725"/>
      <c r="N6725"/>
      <c r="O6725"/>
      <c r="P6725"/>
      <c r="Q6725"/>
      <c r="R6725"/>
      <c r="S6725"/>
    </row>
    <row r="6726" spans="13:19" ht="13.95" customHeight="1">
      <c r="M6726"/>
      <c r="N6726"/>
      <c r="O6726"/>
      <c r="P6726"/>
      <c r="Q6726"/>
      <c r="R6726"/>
      <c r="S6726"/>
    </row>
    <row r="6727" spans="13:19" ht="13.95" customHeight="1">
      <c r="M6727"/>
      <c r="N6727"/>
      <c r="O6727"/>
      <c r="P6727"/>
      <c r="Q6727"/>
      <c r="R6727"/>
      <c r="S6727"/>
    </row>
    <row r="6728" spans="13:19" ht="13.95" customHeight="1">
      <c r="M6728"/>
      <c r="N6728"/>
      <c r="O6728"/>
      <c r="P6728"/>
      <c r="Q6728"/>
      <c r="R6728"/>
      <c r="S6728"/>
    </row>
    <row r="6729" spans="13:19" ht="13.95" customHeight="1">
      <c r="M6729"/>
      <c r="N6729"/>
      <c r="O6729"/>
      <c r="P6729"/>
      <c r="Q6729"/>
      <c r="R6729"/>
      <c r="S6729"/>
    </row>
    <row r="6730" spans="13:19" ht="13.95" customHeight="1">
      <c r="M6730"/>
      <c r="N6730"/>
      <c r="O6730"/>
      <c r="P6730"/>
      <c r="Q6730"/>
      <c r="R6730"/>
      <c r="S6730"/>
    </row>
    <row r="6731" spans="13:19" ht="13.95" customHeight="1">
      <c r="M6731"/>
      <c r="N6731"/>
      <c r="O6731"/>
      <c r="P6731"/>
      <c r="Q6731"/>
      <c r="R6731"/>
      <c r="S6731"/>
    </row>
    <row r="6732" spans="13:19" ht="13.95" customHeight="1">
      <c r="M6732"/>
      <c r="N6732"/>
      <c r="O6732"/>
      <c r="P6732"/>
      <c r="Q6732"/>
      <c r="R6732"/>
      <c r="S6732"/>
    </row>
    <row r="6733" spans="13:19" ht="13.95" customHeight="1">
      <c r="M6733"/>
      <c r="N6733"/>
      <c r="O6733"/>
      <c r="P6733"/>
      <c r="Q6733"/>
      <c r="R6733"/>
      <c r="S6733"/>
    </row>
    <row r="6734" spans="13:19" ht="13.95" customHeight="1">
      <c r="M6734"/>
      <c r="N6734"/>
      <c r="O6734"/>
      <c r="P6734"/>
      <c r="Q6734"/>
      <c r="R6734"/>
      <c r="S6734"/>
    </row>
    <row r="6735" spans="13:19" ht="13.95" customHeight="1">
      <c r="M6735"/>
      <c r="N6735"/>
      <c r="O6735"/>
      <c r="P6735"/>
      <c r="Q6735"/>
      <c r="R6735"/>
      <c r="S6735"/>
    </row>
    <row r="6736" spans="13:19" ht="13.95" customHeight="1">
      <c r="M6736"/>
      <c r="N6736"/>
      <c r="O6736"/>
      <c r="P6736"/>
      <c r="Q6736"/>
      <c r="R6736"/>
      <c r="S6736"/>
    </row>
    <row r="6737" spans="13:19" ht="13.95" customHeight="1">
      <c r="M6737"/>
      <c r="N6737"/>
      <c r="O6737"/>
      <c r="P6737"/>
      <c r="Q6737"/>
      <c r="R6737"/>
      <c r="S6737"/>
    </row>
    <row r="6738" spans="13:19" ht="13.95" customHeight="1">
      <c r="M6738"/>
      <c r="N6738"/>
      <c r="O6738"/>
      <c r="P6738"/>
      <c r="Q6738"/>
      <c r="R6738"/>
      <c r="S6738"/>
    </row>
    <row r="6739" spans="13:19" ht="13.95" customHeight="1">
      <c r="M6739"/>
      <c r="N6739"/>
      <c r="O6739"/>
      <c r="P6739"/>
      <c r="Q6739"/>
      <c r="R6739"/>
      <c r="S6739"/>
    </row>
    <row r="6740" spans="13:19" ht="13.95" customHeight="1">
      <c r="M6740"/>
      <c r="N6740"/>
      <c r="O6740"/>
      <c r="P6740"/>
      <c r="Q6740"/>
      <c r="R6740"/>
      <c r="S6740"/>
    </row>
    <row r="6741" spans="13:19" ht="13.95" customHeight="1">
      <c r="M6741"/>
      <c r="N6741"/>
      <c r="O6741"/>
      <c r="P6741"/>
      <c r="Q6741"/>
      <c r="R6741"/>
      <c r="S6741"/>
    </row>
    <row r="6742" spans="13:19" ht="13.95" customHeight="1">
      <c r="M6742"/>
      <c r="N6742"/>
      <c r="O6742"/>
      <c r="P6742"/>
      <c r="Q6742"/>
      <c r="R6742"/>
      <c r="S6742"/>
    </row>
    <row r="6743" spans="13:19" ht="13.95" customHeight="1">
      <c r="M6743"/>
      <c r="N6743"/>
      <c r="O6743"/>
      <c r="P6743"/>
      <c r="Q6743"/>
      <c r="R6743"/>
      <c r="S6743"/>
    </row>
    <row r="6744" spans="13:19" ht="13.95" customHeight="1">
      <c r="M6744"/>
      <c r="N6744"/>
      <c r="O6744"/>
      <c r="P6744"/>
      <c r="Q6744"/>
      <c r="R6744"/>
      <c r="S6744"/>
    </row>
    <row r="6745" spans="13:19" ht="13.95" customHeight="1">
      <c r="M6745"/>
      <c r="N6745"/>
      <c r="O6745"/>
      <c r="P6745"/>
      <c r="Q6745"/>
      <c r="R6745"/>
      <c r="S6745"/>
    </row>
    <row r="6746" spans="13:19" ht="13.95" customHeight="1">
      <c r="M6746"/>
      <c r="N6746"/>
      <c r="O6746"/>
      <c r="P6746"/>
      <c r="Q6746"/>
      <c r="R6746"/>
      <c r="S6746"/>
    </row>
    <row r="6747" spans="13:19" ht="13.95" customHeight="1">
      <c r="M6747"/>
      <c r="N6747"/>
      <c r="O6747"/>
      <c r="P6747"/>
      <c r="Q6747"/>
      <c r="R6747"/>
      <c r="S6747"/>
    </row>
    <row r="6748" spans="13:19" ht="13.95" customHeight="1">
      <c r="M6748"/>
      <c r="N6748"/>
      <c r="O6748"/>
      <c r="P6748"/>
      <c r="Q6748"/>
      <c r="R6748"/>
      <c r="S6748"/>
    </row>
    <row r="6749" spans="13:19" ht="13.95" customHeight="1">
      <c r="M6749"/>
      <c r="N6749"/>
      <c r="O6749"/>
      <c r="P6749"/>
      <c r="Q6749"/>
      <c r="R6749"/>
      <c r="S6749"/>
    </row>
    <row r="6750" spans="13:19" ht="13.95" customHeight="1">
      <c r="M6750"/>
      <c r="N6750"/>
      <c r="O6750"/>
      <c r="P6750"/>
      <c r="Q6750"/>
      <c r="R6750"/>
      <c r="S6750"/>
    </row>
    <row r="6751" spans="13:19" ht="13.95" customHeight="1">
      <c r="M6751"/>
      <c r="N6751"/>
      <c r="O6751"/>
      <c r="P6751"/>
      <c r="Q6751"/>
      <c r="R6751"/>
      <c r="S6751"/>
    </row>
    <row r="6752" spans="13:19" ht="13.95" customHeight="1">
      <c r="M6752"/>
      <c r="N6752"/>
      <c r="O6752"/>
      <c r="P6752"/>
      <c r="Q6752"/>
      <c r="R6752"/>
      <c r="S6752"/>
    </row>
    <row r="6753" spans="13:19" ht="13.95" customHeight="1">
      <c r="M6753"/>
      <c r="N6753"/>
      <c r="O6753"/>
      <c r="P6753"/>
      <c r="Q6753"/>
      <c r="R6753"/>
      <c r="S6753"/>
    </row>
    <row r="6754" spans="13:19" ht="13.95" customHeight="1">
      <c r="M6754"/>
      <c r="N6754"/>
      <c r="O6754"/>
      <c r="P6754"/>
      <c r="Q6754"/>
      <c r="R6754"/>
      <c r="S6754"/>
    </row>
    <row r="6755" spans="13:19" ht="13.95" customHeight="1">
      <c r="M6755"/>
      <c r="N6755"/>
      <c r="O6755"/>
      <c r="P6755"/>
      <c r="Q6755"/>
      <c r="R6755"/>
      <c r="S6755"/>
    </row>
    <row r="6756" spans="13:19" ht="13.95" customHeight="1">
      <c r="M6756"/>
      <c r="N6756"/>
      <c r="O6756"/>
      <c r="P6756"/>
      <c r="Q6756"/>
      <c r="R6756"/>
      <c r="S6756"/>
    </row>
    <row r="6757" spans="13:19" ht="13.95" customHeight="1">
      <c r="M6757"/>
      <c r="N6757"/>
      <c r="O6757"/>
      <c r="P6757"/>
      <c r="Q6757"/>
      <c r="R6757"/>
      <c r="S6757"/>
    </row>
    <row r="6758" spans="13:19" ht="13.95" customHeight="1">
      <c r="M6758"/>
      <c r="N6758"/>
      <c r="O6758"/>
      <c r="P6758"/>
      <c r="Q6758"/>
      <c r="R6758"/>
      <c r="S6758"/>
    </row>
    <row r="6759" spans="13:19" ht="13.95" customHeight="1">
      <c r="M6759"/>
      <c r="N6759"/>
      <c r="O6759"/>
      <c r="P6759"/>
      <c r="Q6759"/>
      <c r="R6759"/>
      <c r="S6759"/>
    </row>
    <row r="6760" spans="13:19" ht="13.95" customHeight="1">
      <c r="M6760"/>
      <c r="N6760"/>
      <c r="O6760"/>
      <c r="P6760"/>
      <c r="Q6760"/>
      <c r="R6760"/>
      <c r="S6760"/>
    </row>
    <row r="6761" spans="13:19" ht="13.95" customHeight="1">
      <c r="M6761"/>
      <c r="N6761"/>
      <c r="O6761"/>
      <c r="P6761"/>
      <c r="Q6761"/>
      <c r="R6761"/>
      <c r="S6761"/>
    </row>
    <row r="6762" spans="13:19" ht="13.95" customHeight="1">
      <c r="M6762"/>
      <c r="N6762"/>
      <c r="O6762"/>
      <c r="P6762"/>
      <c r="Q6762"/>
      <c r="R6762"/>
      <c r="S6762"/>
    </row>
    <row r="6763" spans="13:19" ht="13.95" customHeight="1">
      <c r="M6763"/>
      <c r="N6763"/>
      <c r="O6763"/>
      <c r="P6763"/>
      <c r="Q6763"/>
      <c r="R6763"/>
      <c r="S6763"/>
    </row>
    <row r="6764" spans="13:19" ht="13.95" customHeight="1">
      <c r="M6764"/>
      <c r="N6764"/>
      <c r="O6764"/>
      <c r="P6764"/>
      <c r="Q6764"/>
      <c r="R6764"/>
      <c r="S6764"/>
    </row>
    <row r="6765" spans="13:19" ht="13.95" customHeight="1">
      <c r="M6765"/>
      <c r="N6765"/>
      <c r="O6765"/>
      <c r="P6765"/>
      <c r="Q6765"/>
      <c r="R6765"/>
      <c r="S6765"/>
    </row>
    <row r="6766" spans="13:19" ht="13.95" customHeight="1">
      <c r="M6766"/>
      <c r="N6766"/>
      <c r="O6766"/>
      <c r="P6766"/>
      <c r="Q6766"/>
      <c r="R6766"/>
      <c r="S6766"/>
    </row>
    <row r="6767" spans="13:19" ht="13.95" customHeight="1">
      <c r="M6767"/>
      <c r="N6767"/>
      <c r="O6767"/>
      <c r="P6767"/>
      <c r="Q6767"/>
      <c r="R6767"/>
      <c r="S6767"/>
    </row>
    <row r="6768" spans="13:19" ht="13.95" customHeight="1">
      <c r="M6768"/>
      <c r="N6768"/>
      <c r="O6768"/>
      <c r="P6768"/>
      <c r="Q6768"/>
      <c r="R6768"/>
      <c r="S6768"/>
    </row>
    <row r="6769" spans="13:19" ht="13.95" customHeight="1">
      <c r="M6769"/>
      <c r="N6769"/>
      <c r="O6769"/>
      <c r="P6769"/>
      <c r="Q6769"/>
      <c r="R6769"/>
      <c r="S6769"/>
    </row>
    <row r="6770" spans="13:19" ht="13.95" customHeight="1">
      <c r="M6770"/>
      <c r="N6770"/>
      <c r="O6770"/>
      <c r="P6770"/>
      <c r="Q6770"/>
      <c r="R6770"/>
      <c r="S6770"/>
    </row>
    <row r="6771" spans="13:19" ht="13.95" customHeight="1">
      <c r="M6771"/>
      <c r="N6771"/>
      <c r="O6771"/>
      <c r="P6771"/>
      <c r="Q6771"/>
      <c r="R6771"/>
      <c r="S6771"/>
    </row>
    <row r="6772" spans="13:19" ht="13.95" customHeight="1">
      <c r="M6772"/>
      <c r="N6772"/>
      <c r="O6772"/>
      <c r="P6772"/>
      <c r="Q6772"/>
      <c r="R6772"/>
      <c r="S6772"/>
    </row>
    <row r="6773" spans="13:19" ht="13.95" customHeight="1">
      <c r="M6773"/>
      <c r="N6773"/>
      <c r="O6773"/>
      <c r="P6773"/>
      <c r="Q6773"/>
      <c r="R6773"/>
      <c r="S6773"/>
    </row>
    <row r="6774" spans="13:19" ht="13.95" customHeight="1">
      <c r="M6774"/>
      <c r="N6774"/>
      <c r="O6774"/>
      <c r="P6774"/>
      <c r="Q6774"/>
      <c r="R6774"/>
      <c r="S6774"/>
    </row>
    <row r="6775" spans="13:19" ht="13.95" customHeight="1">
      <c r="M6775"/>
      <c r="N6775"/>
      <c r="O6775"/>
      <c r="P6775"/>
      <c r="Q6775"/>
      <c r="R6775"/>
      <c r="S6775"/>
    </row>
    <row r="6776" spans="13:19" ht="13.95" customHeight="1">
      <c r="M6776"/>
      <c r="N6776"/>
      <c r="O6776"/>
      <c r="P6776"/>
      <c r="Q6776"/>
      <c r="R6776"/>
      <c r="S6776"/>
    </row>
    <row r="6777" spans="13:19" ht="13.95" customHeight="1">
      <c r="M6777"/>
      <c r="N6777"/>
      <c r="O6777"/>
      <c r="P6777"/>
      <c r="Q6777"/>
      <c r="R6777"/>
      <c r="S6777"/>
    </row>
    <row r="6778" spans="13:19" ht="13.95" customHeight="1">
      <c r="M6778"/>
      <c r="N6778"/>
      <c r="O6778"/>
      <c r="P6778"/>
      <c r="Q6778"/>
      <c r="R6778"/>
      <c r="S6778"/>
    </row>
    <row r="6779" spans="13:19" ht="13.95" customHeight="1">
      <c r="M6779"/>
      <c r="N6779"/>
      <c r="O6779"/>
      <c r="P6779"/>
      <c r="Q6779"/>
      <c r="R6779"/>
      <c r="S6779"/>
    </row>
    <row r="6780" spans="13:19" ht="13.95" customHeight="1">
      <c r="M6780"/>
      <c r="N6780"/>
      <c r="O6780"/>
      <c r="P6780"/>
      <c r="Q6780"/>
      <c r="R6780"/>
      <c r="S6780"/>
    </row>
    <row r="6781" spans="13:19" ht="13.95" customHeight="1">
      <c r="M6781"/>
      <c r="N6781"/>
      <c r="O6781"/>
      <c r="P6781"/>
      <c r="Q6781"/>
      <c r="R6781"/>
      <c r="S6781"/>
    </row>
    <row r="6782" spans="13:19" ht="13.95" customHeight="1">
      <c r="M6782"/>
      <c r="N6782"/>
      <c r="O6782"/>
      <c r="P6782"/>
      <c r="Q6782"/>
      <c r="R6782"/>
      <c r="S6782"/>
    </row>
    <row r="6783" spans="13:19" ht="13.95" customHeight="1">
      <c r="M6783"/>
      <c r="N6783"/>
      <c r="O6783"/>
      <c r="P6783"/>
      <c r="Q6783"/>
      <c r="R6783"/>
      <c r="S6783"/>
    </row>
    <row r="6784" spans="13:19" ht="13.95" customHeight="1">
      <c r="M6784"/>
      <c r="N6784"/>
      <c r="O6784"/>
      <c r="P6784"/>
      <c r="Q6784"/>
      <c r="R6784"/>
      <c r="S6784"/>
    </row>
    <row r="6785" spans="13:19" ht="13.95" customHeight="1">
      <c r="M6785"/>
      <c r="N6785"/>
      <c r="O6785"/>
      <c r="P6785"/>
      <c r="Q6785"/>
      <c r="R6785"/>
      <c r="S6785"/>
    </row>
    <row r="6786" spans="13:19" ht="13.95" customHeight="1">
      <c r="M6786"/>
      <c r="N6786"/>
      <c r="O6786"/>
      <c r="P6786"/>
      <c r="Q6786"/>
      <c r="R6786"/>
      <c r="S6786"/>
    </row>
    <row r="6787" spans="13:19" ht="13.95" customHeight="1">
      <c r="M6787"/>
      <c r="N6787"/>
      <c r="O6787"/>
      <c r="P6787"/>
      <c r="Q6787"/>
      <c r="R6787"/>
      <c r="S6787"/>
    </row>
    <row r="6788" spans="13:19" ht="13.95" customHeight="1">
      <c r="M6788"/>
      <c r="N6788"/>
      <c r="O6788"/>
      <c r="P6788"/>
      <c r="Q6788"/>
      <c r="R6788"/>
      <c r="S6788"/>
    </row>
    <row r="6789" spans="13:19" ht="13.95" customHeight="1">
      <c r="M6789"/>
      <c r="N6789"/>
      <c r="O6789"/>
      <c r="P6789"/>
      <c r="Q6789"/>
      <c r="R6789"/>
      <c r="S6789"/>
    </row>
    <row r="6790" spans="13:19" ht="13.95" customHeight="1">
      <c r="M6790"/>
      <c r="N6790"/>
      <c r="O6790"/>
      <c r="P6790"/>
      <c r="Q6790"/>
      <c r="R6790"/>
      <c r="S6790"/>
    </row>
    <row r="6791" spans="13:19" ht="13.95" customHeight="1">
      <c r="M6791"/>
      <c r="N6791"/>
      <c r="O6791"/>
      <c r="P6791"/>
      <c r="Q6791"/>
      <c r="R6791"/>
      <c r="S6791"/>
    </row>
    <row r="6792" spans="13:19" ht="13.95" customHeight="1">
      <c r="M6792"/>
      <c r="N6792"/>
      <c r="O6792"/>
      <c r="P6792"/>
      <c r="Q6792"/>
      <c r="R6792"/>
      <c r="S6792"/>
    </row>
    <row r="6793" spans="13:19" ht="13.95" customHeight="1">
      <c r="M6793"/>
      <c r="N6793"/>
      <c r="O6793"/>
      <c r="P6793"/>
      <c r="Q6793"/>
      <c r="R6793"/>
      <c r="S6793"/>
    </row>
    <row r="6794" spans="13:19" ht="13.95" customHeight="1">
      <c r="M6794"/>
      <c r="N6794"/>
      <c r="O6794"/>
      <c r="P6794"/>
      <c r="Q6794"/>
      <c r="R6794"/>
      <c r="S6794"/>
    </row>
    <row r="6795" spans="13:19" ht="13.95" customHeight="1">
      <c r="M6795"/>
      <c r="N6795"/>
      <c r="O6795"/>
      <c r="P6795"/>
      <c r="Q6795"/>
      <c r="R6795"/>
      <c r="S6795"/>
    </row>
    <row r="6796" spans="13:19" ht="13.95" customHeight="1">
      <c r="M6796"/>
      <c r="N6796"/>
      <c r="O6796"/>
      <c r="P6796"/>
      <c r="Q6796"/>
      <c r="R6796"/>
      <c r="S6796"/>
    </row>
    <row r="6797" spans="13:19" ht="13.95" customHeight="1">
      <c r="M6797"/>
      <c r="N6797"/>
      <c r="O6797"/>
      <c r="P6797"/>
      <c r="Q6797"/>
      <c r="R6797"/>
      <c r="S6797"/>
    </row>
    <row r="6798" spans="13:19" ht="13.95" customHeight="1">
      <c r="M6798"/>
      <c r="N6798"/>
      <c r="O6798"/>
      <c r="P6798"/>
      <c r="Q6798"/>
      <c r="R6798"/>
      <c r="S6798"/>
    </row>
    <row r="6799" spans="13:19" ht="13.95" customHeight="1">
      <c r="M6799"/>
      <c r="N6799"/>
      <c r="O6799"/>
      <c r="P6799"/>
      <c r="Q6799"/>
      <c r="R6799"/>
      <c r="S6799"/>
    </row>
    <row r="6800" spans="13:19" ht="13.95" customHeight="1">
      <c r="M6800"/>
      <c r="N6800"/>
      <c r="O6800"/>
      <c r="P6800"/>
      <c r="Q6800"/>
      <c r="R6800"/>
      <c r="S6800"/>
    </row>
    <row r="6801" spans="13:19" ht="13.95" customHeight="1">
      <c r="M6801"/>
      <c r="N6801"/>
      <c r="O6801"/>
      <c r="P6801"/>
      <c r="Q6801"/>
      <c r="R6801"/>
      <c r="S6801"/>
    </row>
    <row r="6802" spans="13:19" ht="13.95" customHeight="1">
      <c r="M6802"/>
      <c r="N6802"/>
      <c r="O6802"/>
      <c r="P6802"/>
      <c r="Q6802"/>
      <c r="R6802"/>
      <c r="S6802"/>
    </row>
    <row r="6803" spans="13:19" ht="13.95" customHeight="1">
      <c r="M6803"/>
      <c r="N6803"/>
      <c r="O6803"/>
      <c r="P6803"/>
      <c r="Q6803"/>
      <c r="R6803"/>
      <c r="S6803"/>
    </row>
    <row r="6804" spans="13:19" ht="13.95" customHeight="1">
      <c r="M6804"/>
      <c r="N6804"/>
      <c r="O6804"/>
      <c r="P6804"/>
      <c r="Q6804"/>
      <c r="R6804"/>
      <c r="S6804"/>
    </row>
    <row r="6805" spans="13:19" ht="13.95" customHeight="1">
      <c r="M6805"/>
      <c r="N6805"/>
      <c r="O6805"/>
      <c r="P6805"/>
      <c r="Q6805"/>
      <c r="R6805"/>
      <c r="S6805"/>
    </row>
    <row r="6806" spans="13:19" ht="13.95" customHeight="1">
      <c r="M6806"/>
      <c r="N6806"/>
      <c r="O6806"/>
      <c r="P6806"/>
      <c r="Q6806"/>
      <c r="R6806"/>
      <c r="S6806"/>
    </row>
    <row r="6807" spans="13:19" ht="13.95" customHeight="1">
      <c r="M6807"/>
      <c r="N6807"/>
      <c r="O6807"/>
      <c r="P6807"/>
      <c r="Q6807"/>
      <c r="R6807"/>
      <c r="S6807"/>
    </row>
    <row r="6808" spans="13:19" ht="13.95" customHeight="1">
      <c r="M6808"/>
      <c r="N6808"/>
      <c r="O6808"/>
      <c r="P6808"/>
      <c r="Q6808"/>
      <c r="R6808"/>
      <c r="S6808"/>
    </row>
    <row r="6809" spans="13:19" ht="13.95" customHeight="1">
      <c r="M6809"/>
      <c r="N6809"/>
      <c r="O6809"/>
      <c r="P6809"/>
      <c r="Q6809"/>
      <c r="R6809"/>
      <c r="S6809"/>
    </row>
    <row r="6810" spans="13:19" ht="13.95" customHeight="1">
      <c r="M6810"/>
      <c r="N6810"/>
      <c r="O6810"/>
      <c r="P6810"/>
      <c r="Q6810"/>
      <c r="R6810"/>
      <c r="S6810"/>
    </row>
    <row r="6811" spans="13:19" ht="13.95" customHeight="1">
      <c r="M6811"/>
      <c r="N6811"/>
      <c r="O6811"/>
      <c r="P6811"/>
      <c r="Q6811"/>
      <c r="R6811"/>
      <c r="S6811"/>
    </row>
    <row r="6812" spans="13:19" ht="13.95" customHeight="1">
      <c r="M6812"/>
      <c r="N6812"/>
      <c r="O6812"/>
      <c r="P6812"/>
      <c r="Q6812"/>
      <c r="R6812"/>
      <c r="S6812"/>
    </row>
    <row r="6813" spans="13:19" ht="13.95" customHeight="1">
      <c r="M6813"/>
      <c r="N6813"/>
      <c r="O6813"/>
      <c r="P6813"/>
      <c r="Q6813"/>
      <c r="R6813"/>
      <c r="S6813"/>
    </row>
    <row r="6814" spans="13:19" ht="13.95" customHeight="1">
      <c r="M6814"/>
      <c r="N6814"/>
      <c r="O6814"/>
      <c r="P6814"/>
      <c r="Q6814"/>
      <c r="R6814"/>
      <c r="S6814"/>
    </row>
    <row r="6815" spans="13:19" ht="13.95" customHeight="1">
      <c r="M6815"/>
      <c r="N6815"/>
      <c r="O6815"/>
      <c r="P6815"/>
      <c r="Q6815"/>
      <c r="R6815"/>
      <c r="S6815"/>
    </row>
    <row r="6816" spans="13:19" ht="13.95" customHeight="1">
      <c r="M6816"/>
      <c r="N6816"/>
      <c r="O6816"/>
      <c r="P6816"/>
      <c r="Q6816"/>
      <c r="R6816"/>
      <c r="S6816"/>
    </row>
    <row r="6817" spans="13:19" ht="13.95" customHeight="1">
      <c r="M6817"/>
      <c r="N6817"/>
      <c r="O6817"/>
      <c r="P6817"/>
      <c r="Q6817"/>
      <c r="R6817"/>
      <c r="S6817"/>
    </row>
    <row r="6818" spans="13:19" ht="13.95" customHeight="1">
      <c r="M6818"/>
      <c r="N6818"/>
      <c r="O6818"/>
      <c r="P6818"/>
      <c r="Q6818"/>
      <c r="R6818"/>
      <c r="S6818"/>
    </row>
    <row r="6819" spans="13:19" ht="13.95" customHeight="1">
      <c r="M6819"/>
      <c r="N6819"/>
      <c r="O6819"/>
      <c r="P6819"/>
      <c r="Q6819"/>
      <c r="R6819"/>
      <c r="S6819"/>
    </row>
    <row r="6820" spans="13:19" ht="13.95" customHeight="1">
      <c r="M6820"/>
      <c r="N6820"/>
      <c r="O6820"/>
      <c r="P6820"/>
      <c r="Q6820"/>
      <c r="R6820"/>
      <c r="S6820"/>
    </row>
    <row r="6821" spans="13:19" ht="13.95" customHeight="1">
      <c r="M6821"/>
      <c r="N6821"/>
      <c r="O6821"/>
      <c r="P6821"/>
      <c r="Q6821"/>
      <c r="R6821"/>
      <c r="S6821"/>
    </row>
    <row r="6822" spans="13:19" ht="13.95" customHeight="1">
      <c r="M6822"/>
      <c r="N6822"/>
      <c r="O6822"/>
      <c r="P6822"/>
      <c r="Q6822"/>
      <c r="R6822"/>
      <c r="S6822"/>
    </row>
    <row r="6823" spans="13:19" ht="13.95" customHeight="1">
      <c r="M6823"/>
      <c r="N6823"/>
      <c r="O6823"/>
      <c r="P6823"/>
      <c r="Q6823"/>
      <c r="R6823"/>
      <c r="S6823"/>
    </row>
    <row r="6824" spans="13:19" ht="13.95" customHeight="1">
      <c r="M6824"/>
      <c r="N6824"/>
      <c r="O6824"/>
      <c r="P6824"/>
      <c r="Q6824"/>
      <c r="R6824"/>
      <c r="S6824"/>
    </row>
    <row r="6825" spans="13:19" ht="13.95" customHeight="1">
      <c r="M6825"/>
      <c r="N6825"/>
      <c r="O6825"/>
      <c r="P6825"/>
      <c r="Q6825"/>
      <c r="R6825"/>
      <c r="S6825"/>
    </row>
    <row r="6826" spans="13:19" ht="13.95" customHeight="1">
      <c r="M6826"/>
      <c r="N6826"/>
      <c r="O6826"/>
      <c r="P6826"/>
      <c r="Q6826"/>
      <c r="R6826"/>
      <c r="S6826"/>
    </row>
    <row r="6827" spans="13:19" ht="13.95" customHeight="1">
      <c r="M6827"/>
      <c r="N6827"/>
      <c r="O6827"/>
      <c r="P6827"/>
      <c r="Q6827"/>
      <c r="R6827"/>
      <c r="S6827"/>
    </row>
    <row r="6828" spans="13:19" ht="13.95" customHeight="1">
      <c r="M6828"/>
      <c r="N6828"/>
      <c r="O6828"/>
      <c r="P6828"/>
      <c r="Q6828"/>
      <c r="R6828"/>
      <c r="S6828"/>
    </row>
    <row r="6829" spans="13:19" ht="13.95" customHeight="1">
      <c r="M6829"/>
      <c r="N6829"/>
      <c r="O6829"/>
      <c r="P6829"/>
      <c r="Q6829"/>
      <c r="R6829"/>
      <c r="S6829"/>
    </row>
    <row r="6830" spans="13:19" ht="13.95" customHeight="1">
      <c r="M6830"/>
      <c r="N6830"/>
      <c r="O6830"/>
      <c r="P6830"/>
      <c r="Q6830"/>
      <c r="R6830"/>
      <c r="S6830"/>
    </row>
    <row r="6831" spans="13:19" ht="13.95" customHeight="1">
      <c r="M6831"/>
      <c r="N6831"/>
      <c r="O6831"/>
      <c r="P6831"/>
      <c r="Q6831"/>
      <c r="R6831"/>
      <c r="S6831"/>
    </row>
    <row r="6832" spans="13:19" ht="13.95" customHeight="1">
      <c r="M6832"/>
      <c r="N6832"/>
      <c r="O6832"/>
      <c r="P6832"/>
      <c r="Q6832"/>
      <c r="R6832"/>
      <c r="S6832"/>
    </row>
    <row r="6833" spans="13:19" ht="13.95" customHeight="1">
      <c r="M6833"/>
      <c r="N6833"/>
      <c r="O6833"/>
      <c r="P6833"/>
      <c r="Q6833"/>
      <c r="R6833"/>
      <c r="S6833"/>
    </row>
    <row r="6834" spans="13:19" ht="13.95" customHeight="1">
      <c r="M6834"/>
      <c r="N6834"/>
      <c r="O6834"/>
      <c r="P6834"/>
      <c r="Q6834"/>
      <c r="R6834"/>
      <c r="S6834"/>
    </row>
    <row r="6835" spans="13:19" ht="13.95" customHeight="1">
      <c r="M6835"/>
      <c r="N6835"/>
      <c r="O6835"/>
      <c r="P6835"/>
      <c r="Q6835"/>
      <c r="R6835"/>
      <c r="S6835"/>
    </row>
    <row r="6836" spans="13:19" ht="13.95" customHeight="1">
      <c r="M6836"/>
      <c r="N6836"/>
      <c r="O6836"/>
      <c r="P6836"/>
      <c r="Q6836"/>
      <c r="R6836"/>
      <c r="S6836"/>
    </row>
    <row r="6837" spans="13:19" ht="13.95" customHeight="1">
      <c r="M6837"/>
      <c r="N6837"/>
      <c r="O6837"/>
      <c r="P6837"/>
      <c r="Q6837"/>
      <c r="R6837"/>
      <c r="S6837"/>
    </row>
    <row r="6838" spans="13:19" ht="13.95" customHeight="1">
      <c r="M6838"/>
      <c r="N6838"/>
      <c r="O6838"/>
      <c r="P6838"/>
      <c r="Q6838"/>
      <c r="R6838"/>
      <c r="S6838"/>
    </row>
    <row r="6839" spans="13:19" ht="13.95" customHeight="1">
      <c r="M6839"/>
      <c r="N6839"/>
      <c r="O6839"/>
      <c r="P6839"/>
      <c r="Q6839"/>
      <c r="R6839"/>
      <c r="S6839"/>
    </row>
    <row r="6840" spans="13:19" ht="13.95" customHeight="1">
      <c r="M6840"/>
      <c r="N6840"/>
      <c r="O6840"/>
      <c r="P6840"/>
      <c r="Q6840"/>
      <c r="R6840"/>
      <c r="S6840"/>
    </row>
    <row r="6841" spans="13:19" ht="13.95" customHeight="1">
      <c r="M6841"/>
      <c r="N6841"/>
      <c r="O6841"/>
      <c r="P6841"/>
      <c r="Q6841"/>
      <c r="R6841"/>
      <c r="S6841"/>
    </row>
    <row r="6842" spans="13:19" ht="13.95" customHeight="1">
      <c r="M6842"/>
      <c r="N6842"/>
      <c r="O6842"/>
      <c r="P6842"/>
      <c r="Q6842"/>
      <c r="R6842"/>
      <c r="S6842"/>
    </row>
    <row r="6843" spans="13:19" ht="13.95" customHeight="1">
      <c r="M6843"/>
      <c r="N6843"/>
      <c r="O6843"/>
      <c r="P6843"/>
      <c r="Q6843"/>
      <c r="R6843"/>
      <c r="S6843"/>
    </row>
    <row r="6844" spans="13:19" ht="13.95" customHeight="1">
      <c r="M6844"/>
      <c r="N6844"/>
      <c r="O6844"/>
      <c r="P6844"/>
      <c r="Q6844"/>
      <c r="R6844"/>
      <c r="S6844"/>
    </row>
    <row r="6845" spans="13:19" ht="13.95" customHeight="1">
      <c r="M6845"/>
      <c r="N6845"/>
      <c r="O6845"/>
      <c r="P6845"/>
      <c r="Q6845"/>
      <c r="R6845"/>
      <c r="S6845"/>
    </row>
    <row r="6846" spans="13:19" ht="13.95" customHeight="1">
      <c r="M6846"/>
      <c r="N6846"/>
      <c r="O6846"/>
      <c r="P6846"/>
      <c r="Q6846"/>
      <c r="R6846"/>
      <c r="S6846"/>
    </row>
    <row r="6847" spans="13:19" ht="13.95" customHeight="1">
      <c r="M6847"/>
      <c r="N6847"/>
      <c r="O6847"/>
      <c r="P6847"/>
      <c r="Q6847"/>
      <c r="R6847"/>
      <c r="S6847"/>
    </row>
    <row r="6848" spans="13:19" ht="13.95" customHeight="1">
      <c r="M6848"/>
      <c r="N6848"/>
      <c r="O6848"/>
      <c r="P6848"/>
      <c r="Q6848"/>
      <c r="R6848"/>
      <c r="S6848"/>
    </row>
    <row r="6849" spans="13:19" ht="13.95" customHeight="1">
      <c r="M6849"/>
      <c r="N6849"/>
      <c r="O6849"/>
      <c r="P6849"/>
      <c r="Q6849"/>
      <c r="R6849"/>
      <c r="S6849"/>
    </row>
    <row r="6850" spans="13:19" ht="13.95" customHeight="1">
      <c r="M6850"/>
      <c r="N6850"/>
      <c r="O6850"/>
      <c r="P6850"/>
      <c r="Q6850"/>
      <c r="R6850"/>
      <c r="S6850"/>
    </row>
    <row r="6851" spans="13:19" ht="13.95" customHeight="1">
      <c r="M6851"/>
      <c r="N6851"/>
      <c r="O6851"/>
      <c r="P6851"/>
      <c r="Q6851"/>
      <c r="R6851"/>
      <c r="S6851"/>
    </row>
    <row r="6852" spans="13:19" ht="13.95" customHeight="1">
      <c r="M6852"/>
      <c r="N6852"/>
      <c r="O6852"/>
      <c r="P6852"/>
      <c r="Q6852"/>
      <c r="R6852"/>
      <c r="S6852"/>
    </row>
    <row r="6853" spans="13:19" ht="13.95" customHeight="1">
      <c r="M6853"/>
      <c r="N6853"/>
      <c r="O6853"/>
      <c r="P6853"/>
      <c r="Q6853"/>
      <c r="R6853"/>
      <c r="S6853"/>
    </row>
    <row r="6854" spans="13:19" ht="13.95" customHeight="1">
      <c r="M6854"/>
      <c r="N6854"/>
      <c r="O6854"/>
      <c r="P6854"/>
      <c r="Q6854"/>
      <c r="R6854"/>
      <c r="S6854"/>
    </row>
    <row r="6855" spans="13:19" ht="13.95" customHeight="1">
      <c r="M6855"/>
      <c r="N6855"/>
      <c r="O6855"/>
      <c r="P6855"/>
      <c r="Q6855"/>
      <c r="R6855"/>
      <c r="S6855"/>
    </row>
    <row r="6856" spans="13:19" ht="13.95" customHeight="1">
      <c r="M6856"/>
      <c r="N6856"/>
      <c r="O6856"/>
      <c r="P6856"/>
      <c r="Q6856"/>
      <c r="R6856"/>
      <c r="S6856"/>
    </row>
    <row r="6857" spans="13:19" ht="13.95" customHeight="1">
      <c r="M6857"/>
      <c r="N6857"/>
      <c r="O6857"/>
      <c r="P6857"/>
      <c r="Q6857"/>
      <c r="R6857"/>
      <c r="S6857"/>
    </row>
    <row r="6858" spans="13:19" ht="13.95" customHeight="1">
      <c r="M6858"/>
      <c r="N6858"/>
      <c r="O6858"/>
      <c r="P6858"/>
      <c r="Q6858"/>
      <c r="R6858"/>
      <c r="S6858"/>
    </row>
    <row r="6859" spans="13:19" ht="13.95" customHeight="1">
      <c r="M6859"/>
      <c r="N6859"/>
      <c r="O6859"/>
      <c r="P6859"/>
      <c r="Q6859"/>
      <c r="R6859"/>
      <c r="S6859"/>
    </row>
    <row r="6860" spans="13:19" ht="13.95" customHeight="1">
      <c r="M6860"/>
      <c r="N6860"/>
      <c r="O6860"/>
      <c r="P6860"/>
      <c r="Q6860"/>
      <c r="R6860"/>
      <c r="S6860"/>
    </row>
    <row r="6861" spans="13:19" ht="13.95" customHeight="1">
      <c r="M6861"/>
      <c r="N6861"/>
      <c r="O6861"/>
      <c r="P6861"/>
      <c r="Q6861"/>
      <c r="R6861"/>
      <c r="S6861"/>
    </row>
    <row r="6862" spans="13:19" ht="13.95" customHeight="1">
      <c r="M6862"/>
      <c r="N6862"/>
      <c r="O6862"/>
      <c r="P6862"/>
      <c r="Q6862"/>
      <c r="R6862"/>
      <c r="S6862"/>
    </row>
    <row r="6863" spans="13:19" ht="13.95" customHeight="1">
      <c r="M6863"/>
      <c r="N6863"/>
      <c r="O6863"/>
      <c r="P6863"/>
      <c r="Q6863"/>
      <c r="R6863"/>
      <c r="S6863"/>
    </row>
    <row r="6864" spans="13:19" ht="13.95" customHeight="1">
      <c r="M6864"/>
      <c r="N6864"/>
      <c r="O6864"/>
      <c r="P6864"/>
      <c r="Q6864"/>
      <c r="R6864"/>
      <c r="S6864"/>
    </row>
    <row r="6865" spans="13:19" ht="13.95" customHeight="1">
      <c r="M6865"/>
      <c r="N6865"/>
      <c r="O6865"/>
      <c r="P6865"/>
      <c r="Q6865"/>
      <c r="R6865"/>
      <c r="S6865"/>
    </row>
    <row r="6866" spans="13:19" ht="13.95" customHeight="1">
      <c r="M6866"/>
      <c r="N6866"/>
      <c r="O6866"/>
      <c r="P6866"/>
      <c r="Q6866"/>
      <c r="R6866"/>
      <c r="S6866"/>
    </row>
    <row r="6867" spans="13:19" ht="13.95" customHeight="1">
      <c r="M6867"/>
      <c r="N6867"/>
      <c r="O6867"/>
      <c r="P6867"/>
      <c r="Q6867"/>
      <c r="R6867"/>
      <c r="S6867"/>
    </row>
    <row r="6868" spans="13:19" ht="13.95" customHeight="1">
      <c r="M6868"/>
      <c r="N6868"/>
      <c r="O6868"/>
      <c r="P6868"/>
      <c r="Q6868"/>
      <c r="R6868"/>
      <c r="S6868"/>
    </row>
    <row r="6869" spans="13:19" ht="13.95" customHeight="1">
      <c r="M6869"/>
      <c r="N6869"/>
      <c r="O6869"/>
      <c r="P6869"/>
      <c r="Q6869"/>
      <c r="R6869"/>
      <c r="S6869"/>
    </row>
    <row r="6870" spans="13:19" ht="13.95" customHeight="1">
      <c r="M6870"/>
      <c r="N6870"/>
      <c r="O6870"/>
      <c r="P6870"/>
      <c r="Q6870"/>
      <c r="R6870"/>
      <c r="S6870"/>
    </row>
    <row r="6871" spans="13:19" ht="13.95" customHeight="1">
      <c r="M6871"/>
      <c r="N6871"/>
      <c r="O6871"/>
      <c r="P6871"/>
      <c r="Q6871"/>
      <c r="R6871"/>
      <c r="S6871"/>
    </row>
    <row r="6872" spans="13:19" ht="13.95" customHeight="1">
      <c r="M6872"/>
      <c r="N6872"/>
      <c r="O6872"/>
      <c r="P6872"/>
      <c r="Q6872"/>
      <c r="R6872"/>
      <c r="S6872"/>
    </row>
    <row r="6873" spans="13:19" ht="13.95" customHeight="1">
      <c r="M6873"/>
      <c r="N6873"/>
      <c r="O6873"/>
      <c r="P6873"/>
      <c r="Q6873"/>
      <c r="R6873"/>
      <c r="S6873"/>
    </row>
    <row r="6874" spans="13:19" ht="13.95" customHeight="1">
      <c r="M6874"/>
      <c r="N6874"/>
      <c r="O6874"/>
      <c r="P6874"/>
      <c r="Q6874"/>
      <c r="R6874"/>
      <c r="S6874"/>
    </row>
    <row r="6875" spans="13:19" ht="13.95" customHeight="1">
      <c r="M6875"/>
      <c r="N6875"/>
      <c r="O6875"/>
      <c r="P6875"/>
      <c r="Q6875"/>
      <c r="R6875"/>
      <c r="S6875"/>
    </row>
    <row r="6876" spans="13:19" ht="13.95" customHeight="1">
      <c r="M6876"/>
      <c r="N6876"/>
      <c r="O6876"/>
      <c r="P6876"/>
      <c r="Q6876"/>
      <c r="R6876"/>
      <c r="S6876"/>
    </row>
    <row r="6877" spans="13:19" ht="13.95" customHeight="1">
      <c r="M6877"/>
      <c r="N6877"/>
      <c r="O6877"/>
      <c r="P6877"/>
      <c r="Q6877"/>
      <c r="R6877"/>
      <c r="S6877"/>
    </row>
    <row r="6878" spans="13:19" ht="13.95" customHeight="1">
      <c r="M6878"/>
      <c r="N6878"/>
      <c r="O6878"/>
      <c r="P6878"/>
      <c r="Q6878"/>
      <c r="R6878"/>
      <c r="S6878"/>
    </row>
    <row r="6879" spans="13:19" ht="13.95" customHeight="1">
      <c r="M6879"/>
      <c r="N6879"/>
      <c r="O6879"/>
      <c r="P6879"/>
      <c r="Q6879"/>
      <c r="R6879"/>
      <c r="S6879"/>
    </row>
    <row r="6880" spans="13:19" ht="13.95" customHeight="1">
      <c r="M6880"/>
      <c r="N6880"/>
      <c r="O6880"/>
      <c r="P6880"/>
      <c r="Q6880"/>
      <c r="R6880"/>
      <c r="S6880"/>
    </row>
    <row r="6881" spans="13:19" ht="13.95" customHeight="1">
      <c r="M6881"/>
      <c r="N6881"/>
      <c r="O6881"/>
      <c r="P6881"/>
      <c r="Q6881"/>
      <c r="R6881"/>
      <c r="S6881"/>
    </row>
    <row r="6882" spans="13:19" ht="13.95" customHeight="1">
      <c r="M6882"/>
      <c r="N6882"/>
      <c r="O6882"/>
      <c r="P6882"/>
      <c r="Q6882"/>
      <c r="R6882"/>
      <c r="S6882"/>
    </row>
    <row r="6883" spans="13:19" ht="13.95" customHeight="1">
      <c r="M6883"/>
      <c r="N6883"/>
      <c r="O6883"/>
      <c r="P6883"/>
      <c r="Q6883"/>
      <c r="R6883"/>
      <c r="S6883"/>
    </row>
    <row r="6884" spans="13:19" ht="13.95" customHeight="1">
      <c r="M6884"/>
      <c r="N6884"/>
      <c r="O6884"/>
      <c r="P6884"/>
      <c r="Q6884"/>
      <c r="R6884"/>
      <c r="S6884"/>
    </row>
    <row r="6885" spans="13:19" ht="13.95" customHeight="1">
      <c r="M6885"/>
      <c r="N6885"/>
      <c r="O6885"/>
      <c r="P6885"/>
      <c r="Q6885"/>
      <c r="R6885"/>
      <c r="S6885"/>
    </row>
    <row r="6886" spans="13:19" ht="13.95" customHeight="1">
      <c r="M6886"/>
      <c r="N6886"/>
      <c r="O6886"/>
      <c r="P6886"/>
      <c r="Q6886"/>
      <c r="R6886"/>
      <c r="S6886"/>
    </row>
    <row r="6887" spans="13:19" ht="13.95" customHeight="1">
      <c r="M6887"/>
      <c r="N6887"/>
      <c r="O6887"/>
      <c r="P6887"/>
      <c r="Q6887"/>
      <c r="R6887"/>
      <c r="S6887"/>
    </row>
    <row r="6888" spans="13:19" ht="13.95" customHeight="1">
      <c r="M6888"/>
      <c r="N6888"/>
      <c r="O6888"/>
      <c r="P6888"/>
      <c r="Q6888"/>
      <c r="R6888"/>
      <c r="S6888"/>
    </row>
    <row r="6889" spans="13:19" ht="13.95" customHeight="1">
      <c r="M6889"/>
      <c r="N6889"/>
      <c r="O6889"/>
      <c r="P6889"/>
      <c r="Q6889"/>
      <c r="R6889"/>
      <c r="S6889"/>
    </row>
    <row r="6890" spans="13:19" ht="13.95" customHeight="1">
      <c r="M6890"/>
      <c r="N6890"/>
      <c r="O6890"/>
      <c r="P6890"/>
      <c r="Q6890"/>
      <c r="R6890"/>
      <c r="S6890"/>
    </row>
    <row r="6891" spans="13:19" ht="13.95" customHeight="1">
      <c r="M6891"/>
      <c r="N6891"/>
      <c r="O6891"/>
      <c r="P6891"/>
      <c r="Q6891"/>
      <c r="R6891"/>
      <c r="S6891"/>
    </row>
    <row r="6892" spans="13:19" ht="13.95" customHeight="1">
      <c r="M6892"/>
      <c r="N6892"/>
      <c r="O6892"/>
      <c r="P6892"/>
      <c r="Q6892"/>
      <c r="R6892"/>
      <c r="S6892"/>
    </row>
    <row r="6893" spans="13:19" ht="13.95" customHeight="1">
      <c r="M6893"/>
      <c r="N6893"/>
      <c r="O6893"/>
      <c r="P6893"/>
      <c r="Q6893"/>
      <c r="R6893"/>
      <c r="S6893"/>
    </row>
    <row r="6894" spans="13:19" ht="13.95" customHeight="1">
      <c r="M6894"/>
      <c r="N6894"/>
      <c r="O6894"/>
      <c r="P6894"/>
      <c r="Q6894"/>
      <c r="R6894"/>
      <c r="S6894"/>
    </row>
    <row r="6895" spans="13:19" ht="13.95" customHeight="1">
      <c r="M6895"/>
      <c r="N6895"/>
      <c r="O6895"/>
      <c r="P6895"/>
      <c r="Q6895"/>
      <c r="R6895"/>
      <c r="S6895"/>
    </row>
    <row r="6896" spans="13:19" ht="13.95" customHeight="1">
      <c r="M6896"/>
      <c r="N6896"/>
      <c r="O6896"/>
      <c r="P6896"/>
      <c r="Q6896"/>
      <c r="R6896"/>
      <c r="S6896"/>
    </row>
    <row r="6897" spans="13:19" ht="13.95" customHeight="1">
      <c r="M6897"/>
      <c r="N6897"/>
      <c r="O6897"/>
      <c r="P6897"/>
      <c r="Q6897"/>
      <c r="R6897"/>
      <c r="S6897"/>
    </row>
    <row r="6898" spans="13:19" ht="13.95" customHeight="1">
      <c r="M6898"/>
      <c r="N6898"/>
      <c r="O6898"/>
      <c r="P6898"/>
      <c r="Q6898"/>
      <c r="R6898"/>
      <c r="S6898"/>
    </row>
    <row r="6899" spans="13:19" ht="13.95" customHeight="1">
      <c r="M6899"/>
      <c r="N6899"/>
      <c r="O6899"/>
      <c r="P6899"/>
      <c r="Q6899"/>
      <c r="R6899"/>
      <c r="S6899"/>
    </row>
    <row r="6900" spans="13:19" ht="13.95" customHeight="1">
      <c r="M6900"/>
      <c r="N6900"/>
      <c r="O6900"/>
      <c r="P6900"/>
      <c r="Q6900"/>
      <c r="R6900"/>
      <c r="S6900"/>
    </row>
    <row r="6901" spans="13:19" ht="13.95" customHeight="1">
      <c r="M6901"/>
      <c r="N6901"/>
      <c r="O6901"/>
      <c r="P6901"/>
      <c r="Q6901"/>
      <c r="R6901"/>
      <c r="S6901"/>
    </row>
    <row r="6902" spans="13:19" ht="13.95" customHeight="1">
      <c r="M6902"/>
      <c r="N6902"/>
      <c r="O6902"/>
      <c r="P6902"/>
      <c r="Q6902"/>
      <c r="R6902"/>
      <c r="S6902"/>
    </row>
    <row r="6903" spans="13:19" ht="13.95" customHeight="1">
      <c r="M6903"/>
      <c r="N6903"/>
      <c r="O6903"/>
      <c r="P6903"/>
      <c r="Q6903"/>
      <c r="R6903"/>
      <c r="S6903"/>
    </row>
    <row r="6904" spans="13:19" ht="13.95" customHeight="1">
      <c r="M6904"/>
      <c r="N6904"/>
      <c r="O6904"/>
      <c r="P6904"/>
      <c r="Q6904"/>
      <c r="R6904"/>
      <c r="S6904"/>
    </row>
    <row r="6905" spans="13:19" ht="13.95" customHeight="1">
      <c r="M6905"/>
      <c r="N6905"/>
      <c r="O6905"/>
      <c r="P6905"/>
      <c r="Q6905"/>
      <c r="R6905"/>
      <c r="S6905"/>
    </row>
    <row r="6906" spans="13:19" ht="13.95" customHeight="1">
      <c r="M6906"/>
      <c r="N6906"/>
      <c r="O6906"/>
      <c r="P6906"/>
      <c r="Q6906"/>
      <c r="R6906"/>
      <c r="S6906"/>
    </row>
    <row r="6907" spans="13:19" ht="13.95" customHeight="1">
      <c r="M6907"/>
      <c r="N6907"/>
      <c r="O6907"/>
      <c r="P6907"/>
      <c r="Q6907"/>
      <c r="R6907"/>
      <c r="S6907"/>
    </row>
    <row r="6908" spans="13:19" ht="13.95" customHeight="1">
      <c r="M6908"/>
      <c r="N6908"/>
      <c r="O6908"/>
      <c r="P6908"/>
      <c r="Q6908"/>
      <c r="R6908"/>
      <c r="S6908"/>
    </row>
    <row r="6909" spans="13:19" ht="13.95" customHeight="1">
      <c r="M6909"/>
      <c r="N6909"/>
      <c r="O6909"/>
      <c r="P6909"/>
      <c r="Q6909"/>
      <c r="R6909"/>
      <c r="S6909"/>
    </row>
    <row r="6910" spans="13:19" ht="13.95" customHeight="1">
      <c r="M6910"/>
      <c r="N6910"/>
      <c r="O6910"/>
      <c r="P6910"/>
      <c r="Q6910"/>
      <c r="R6910"/>
      <c r="S6910"/>
    </row>
    <row r="6911" spans="13:19" ht="13.95" customHeight="1">
      <c r="M6911"/>
      <c r="N6911"/>
      <c r="O6911"/>
      <c r="P6911"/>
      <c r="Q6911"/>
      <c r="R6911"/>
      <c r="S6911"/>
    </row>
    <row r="6912" spans="13:19" ht="13.95" customHeight="1">
      <c r="M6912"/>
      <c r="N6912"/>
      <c r="O6912"/>
      <c r="P6912"/>
      <c r="Q6912"/>
      <c r="R6912"/>
      <c r="S6912"/>
    </row>
    <row r="6913" spans="13:19" ht="13.95" customHeight="1">
      <c r="M6913"/>
      <c r="N6913"/>
      <c r="O6913"/>
      <c r="P6913"/>
      <c r="Q6913"/>
      <c r="R6913"/>
      <c r="S6913"/>
    </row>
    <row r="6914" spans="13:19" ht="13.95" customHeight="1">
      <c r="M6914"/>
      <c r="N6914"/>
      <c r="O6914"/>
      <c r="P6914"/>
      <c r="Q6914"/>
      <c r="R6914"/>
      <c r="S6914"/>
    </row>
    <row r="6915" spans="13:19" ht="13.95" customHeight="1">
      <c r="M6915"/>
      <c r="N6915"/>
      <c r="O6915"/>
      <c r="P6915"/>
      <c r="Q6915"/>
      <c r="R6915"/>
      <c r="S6915"/>
    </row>
    <row r="6916" spans="13:19" ht="13.95" customHeight="1">
      <c r="M6916"/>
      <c r="N6916"/>
      <c r="O6916"/>
      <c r="P6916"/>
      <c r="Q6916"/>
      <c r="R6916"/>
      <c r="S6916"/>
    </row>
    <row r="6917" spans="13:19" ht="13.95" customHeight="1">
      <c r="M6917"/>
      <c r="N6917"/>
      <c r="O6917"/>
      <c r="P6917"/>
      <c r="Q6917"/>
      <c r="R6917"/>
      <c r="S6917"/>
    </row>
    <row r="6918" spans="13:19" ht="13.95" customHeight="1">
      <c r="M6918"/>
      <c r="N6918"/>
      <c r="O6918"/>
      <c r="P6918"/>
      <c r="Q6918"/>
      <c r="R6918"/>
      <c r="S6918"/>
    </row>
    <row r="6919" spans="13:19" ht="13.95" customHeight="1">
      <c r="M6919"/>
      <c r="N6919"/>
      <c r="O6919"/>
      <c r="P6919"/>
      <c r="Q6919"/>
      <c r="R6919"/>
      <c r="S6919"/>
    </row>
    <row r="6920" spans="13:19" ht="13.95" customHeight="1">
      <c r="M6920"/>
      <c r="N6920"/>
      <c r="O6920"/>
      <c r="P6920"/>
      <c r="Q6920"/>
      <c r="R6920"/>
      <c r="S6920"/>
    </row>
    <row r="6921" spans="13:19" ht="13.95" customHeight="1">
      <c r="M6921"/>
      <c r="N6921"/>
      <c r="O6921"/>
      <c r="P6921"/>
      <c r="Q6921"/>
      <c r="R6921"/>
      <c r="S6921"/>
    </row>
    <row r="6922" spans="13:19" ht="13.95" customHeight="1">
      <c r="M6922"/>
      <c r="N6922"/>
      <c r="O6922"/>
      <c r="P6922"/>
      <c r="Q6922"/>
      <c r="R6922"/>
      <c r="S6922"/>
    </row>
    <row r="6923" spans="13:19" ht="13.95" customHeight="1">
      <c r="M6923"/>
      <c r="N6923"/>
      <c r="O6923"/>
      <c r="P6923"/>
      <c r="Q6923"/>
      <c r="R6923"/>
      <c r="S6923"/>
    </row>
    <row r="6924" spans="13:19" ht="13.95" customHeight="1">
      <c r="M6924"/>
      <c r="N6924"/>
      <c r="O6924"/>
      <c r="P6924"/>
      <c r="Q6924"/>
      <c r="R6924"/>
      <c r="S6924"/>
    </row>
    <row r="6925" spans="13:19" ht="13.95" customHeight="1">
      <c r="M6925"/>
      <c r="N6925"/>
      <c r="O6925"/>
      <c r="P6925"/>
      <c r="Q6925"/>
      <c r="R6925"/>
      <c r="S6925"/>
    </row>
    <row r="6926" spans="13:19" ht="13.95" customHeight="1">
      <c r="M6926"/>
      <c r="N6926"/>
      <c r="O6926"/>
      <c r="P6926"/>
      <c r="Q6926"/>
      <c r="R6926"/>
      <c r="S6926"/>
    </row>
    <row r="6927" spans="13:19" ht="13.95" customHeight="1">
      <c r="M6927"/>
      <c r="N6927"/>
      <c r="O6927"/>
      <c r="P6927"/>
      <c r="Q6927"/>
      <c r="R6927"/>
      <c r="S6927"/>
    </row>
    <row r="6928" spans="13:19" ht="13.95" customHeight="1">
      <c r="M6928"/>
      <c r="N6928"/>
      <c r="O6928"/>
      <c r="P6928"/>
      <c r="Q6928"/>
      <c r="R6928"/>
      <c r="S6928"/>
    </row>
    <row r="6929" spans="13:19" ht="13.95" customHeight="1">
      <c r="M6929"/>
      <c r="N6929"/>
      <c r="O6929"/>
      <c r="P6929"/>
      <c r="Q6929"/>
      <c r="R6929"/>
      <c r="S6929"/>
    </row>
    <row r="6930" spans="13:19" ht="13.95" customHeight="1">
      <c r="M6930"/>
      <c r="N6930"/>
      <c r="O6930"/>
      <c r="P6930"/>
      <c r="Q6930"/>
      <c r="R6930"/>
      <c r="S6930"/>
    </row>
    <row r="6931" spans="13:19" ht="13.95" customHeight="1">
      <c r="M6931"/>
      <c r="N6931"/>
      <c r="O6931"/>
      <c r="P6931"/>
      <c r="Q6931"/>
      <c r="R6931"/>
      <c r="S6931"/>
    </row>
    <row r="6932" spans="13:19" ht="13.95" customHeight="1">
      <c r="M6932"/>
      <c r="N6932"/>
      <c r="O6932"/>
      <c r="P6932"/>
      <c r="Q6932"/>
      <c r="R6932"/>
      <c r="S6932"/>
    </row>
    <row r="6933" spans="13:19" ht="13.95" customHeight="1">
      <c r="M6933"/>
      <c r="N6933"/>
      <c r="O6933"/>
      <c r="P6933"/>
      <c r="Q6933"/>
      <c r="R6933"/>
      <c r="S6933"/>
    </row>
    <row r="6934" spans="13:19" ht="13.95" customHeight="1">
      <c r="M6934"/>
      <c r="N6934"/>
      <c r="O6934"/>
      <c r="P6934"/>
      <c r="Q6934"/>
      <c r="R6934"/>
      <c r="S6934"/>
    </row>
    <row r="6935" spans="13:19" ht="13.95" customHeight="1">
      <c r="M6935"/>
      <c r="N6935"/>
      <c r="O6935"/>
      <c r="P6935"/>
      <c r="Q6935"/>
      <c r="R6935"/>
      <c r="S6935"/>
    </row>
    <row r="6936" spans="13:19" ht="13.95" customHeight="1">
      <c r="M6936"/>
      <c r="N6936"/>
      <c r="O6936"/>
      <c r="P6936"/>
      <c r="Q6936"/>
      <c r="R6936"/>
      <c r="S6936"/>
    </row>
    <row r="6937" spans="13:19" ht="13.95" customHeight="1">
      <c r="M6937"/>
      <c r="N6937"/>
      <c r="O6937"/>
      <c r="P6937"/>
      <c r="Q6937"/>
      <c r="R6937"/>
      <c r="S6937"/>
    </row>
    <row r="6938" spans="13:19" ht="13.95" customHeight="1">
      <c r="M6938"/>
      <c r="N6938"/>
      <c r="O6938"/>
      <c r="P6938"/>
      <c r="Q6938"/>
      <c r="R6938"/>
      <c r="S6938"/>
    </row>
    <row r="6939" spans="13:19" ht="13.95" customHeight="1">
      <c r="M6939"/>
      <c r="N6939"/>
      <c r="O6939"/>
      <c r="P6939"/>
      <c r="Q6939"/>
      <c r="R6939"/>
      <c r="S6939"/>
    </row>
    <row r="6940" spans="13:19" ht="13.95" customHeight="1">
      <c r="M6940"/>
      <c r="N6940"/>
      <c r="O6940"/>
      <c r="P6940"/>
      <c r="Q6940"/>
      <c r="R6940"/>
      <c r="S6940"/>
    </row>
    <row r="6941" spans="13:19" ht="13.95" customHeight="1">
      <c r="M6941"/>
      <c r="N6941"/>
      <c r="O6941"/>
      <c r="P6941"/>
      <c r="Q6941"/>
      <c r="R6941"/>
      <c r="S6941"/>
    </row>
    <row r="6942" spans="13:19" ht="13.95" customHeight="1">
      <c r="M6942"/>
      <c r="N6942"/>
      <c r="O6942"/>
      <c r="P6942"/>
      <c r="Q6942"/>
      <c r="R6942"/>
      <c r="S6942"/>
    </row>
    <row r="6943" spans="13:19" ht="13.95" customHeight="1">
      <c r="M6943"/>
      <c r="N6943"/>
      <c r="O6943"/>
      <c r="P6943"/>
      <c r="Q6943"/>
      <c r="R6943"/>
      <c r="S6943"/>
    </row>
    <row r="6944" spans="13:19" ht="13.95" customHeight="1">
      <c r="M6944"/>
      <c r="N6944"/>
      <c r="O6944"/>
      <c r="P6944"/>
      <c r="Q6944"/>
      <c r="R6944"/>
      <c r="S6944"/>
    </row>
    <row r="6945" spans="13:19" ht="13.95" customHeight="1">
      <c r="M6945"/>
      <c r="N6945"/>
      <c r="O6945"/>
      <c r="P6945"/>
      <c r="Q6945"/>
      <c r="R6945"/>
      <c r="S6945"/>
    </row>
    <row r="6946" spans="13:19" ht="13.95" customHeight="1">
      <c r="M6946"/>
      <c r="N6946"/>
      <c r="O6946"/>
      <c r="P6946"/>
      <c r="Q6946"/>
      <c r="R6946"/>
      <c r="S6946"/>
    </row>
    <row r="6947" spans="13:19" ht="13.95" customHeight="1">
      <c r="M6947"/>
      <c r="N6947"/>
      <c r="O6947"/>
      <c r="P6947"/>
      <c r="Q6947"/>
      <c r="R6947"/>
      <c r="S6947"/>
    </row>
    <row r="6948" spans="13:19" ht="13.95" customHeight="1">
      <c r="M6948"/>
      <c r="N6948"/>
      <c r="O6948"/>
      <c r="P6948"/>
      <c r="Q6948"/>
      <c r="R6948"/>
      <c r="S6948"/>
    </row>
    <row r="6949" spans="13:19" ht="13.95" customHeight="1">
      <c r="M6949"/>
      <c r="N6949"/>
      <c r="O6949"/>
      <c r="P6949"/>
      <c r="Q6949"/>
      <c r="R6949"/>
      <c r="S6949"/>
    </row>
    <row r="6950" spans="13:19" ht="13.95" customHeight="1">
      <c r="M6950"/>
      <c r="N6950"/>
      <c r="O6950"/>
      <c r="P6950"/>
      <c r="Q6950"/>
      <c r="R6950"/>
      <c r="S6950"/>
    </row>
    <row r="6951" spans="13:19" ht="13.95" customHeight="1">
      <c r="M6951"/>
      <c r="N6951"/>
      <c r="O6951"/>
      <c r="P6951"/>
      <c r="Q6951"/>
      <c r="R6951"/>
      <c r="S6951"/>
    </row>
    <row r="6952" spans="13:19" ht="13.95" customHeight="1">
      <c r="M6952"/>
      <c r="N6952"/>
      <c r="O6952"/>
      <c r="P6952"/>
      <c r="Q6952"/>
      <c r="R6952"/>
      <c r="S6952"/>
    </row>
    <row r="6953" spans="13:19" ht="13.95" customHeight="1">
      <c r="M6953"/>
      <c r="N6953"/>
      <c r="O6953"/>
      <c r="P6953"/>
      <c r="Q6953"/>
      <c r="R6953"/>
      <c r="S6953"/>
    </row>
    <row r="6954" spans="13:19" ht="13.95" customHeight="1">
      <c r="M6954"/>
      <c r="N6954"/>
      <c r="O6954"/>
      <c r="P6954"/>
      <c r="Q6954"/>
      <c r="R6954"/>
      <c r="S6954"/>
    </row>
    <row r="6955" spans="13:19" ht="13.95" customHeight="1">
      <c r="M6955"/>
      <c r="N6955"/>
      <c r="O6955"/>
      <c r="P6955"/>
      <c r="Q6955"/>
      <c r="R6955"/>
      <c r="S6955"/>
    </row>
    <row r="6956" spans="13:19" ht="13.95" customHeight="1">
      <c r="M6956"/>
      <c r="N6956"/>
      <c r="O6956"/>
      <c r="P6956"/>
      <c r="Q6956"/>
      <c r="R6956"/>
      <c r="S6956"/>
    </row>
    <row r="6957" spans="13:19" ht="13.95" customHeight="1">
      <c r="M6957"/>
      <c r="N6957"/>
      <c r="O6957"/>
      <c r="P6957"/>
      <c r="Q6957"/>
      <c r="R6957"/>
      <c r="S6957"/>
    </row>
    <row r="6958" spans="13:19" ht="13.95" customHeight="1">
      <c r="M6958"/>
      <c r="N6958"/>
      <c r="O6958"/>
      <c r="P6958"/>
      <c r="Q6958"/>
      <c r="R6958"/>
      <c r="S6958"/>
    </row>
    <row r="6959" spans="13:19" ht="13.95" customHeight="1">
      <c r="M6959"/>
      <c r="N6959"/>
      <c r="O6959"/>
      <c r="P6959"/>
      <c r="Q6959"/>
      <c r="R6959"/>
      <c r="S6959"/>
    </row>
    <row r="6960" spans="13:19" ht="13.95" customHeight="1">
      <c r="M6960"/>
      <c r="N6960"/>
      <c r="O6960"/>
      <c r="P6960"/>
      <c r="Q6960"/>
      <c r="R6960"/>
      <c r="S6960"/>
    </row>
    <row r="6961" spans="13:19" ht="13.95" customHeight="1">
      <c r="M6961"/>
      <c r="N6961"/>
      <c r="O6961"/>
      <c r="P6961"/>
      <c r="Q6961"/>
      <c r="R6961"/>
      <c r="S6961"/>
    </row>
    <row r="6962" spans="13:19" ht="13.95" customHeight="1">
      <c r="M6962"/>
      <c r="N6962"/>
      <c r="O6962"/>
      <c r="P6962"/>
      <c r="Q6962"/>
      <c r="R6962"/>
      <c r="S6962"/>
    </row>
    <row r="6963" spans="13:19" ht="13.95" customHeight="1">
      <c r="M6963"/>
      <c r="N6963"/>
      <c r="O6963"/>
      <c r="P6963"/>
      <c r="Q6963"/>
      <c r="R6963"/>
      <c r="S6963"/>
    </row>
    <row r="6964" spans="13:19" ht="13.95" customHeight="1">
      <c r="M6964"/>
      <c r="N6964"/>
      <c r="O6964"/>
      <c r="P6964"/>
      <c r="Q6964"/>
      <c r="R6964"/>
      <c r="S6964"/>
    </row>
    <row r="6965" spans="13:19" ht="13.95" customHeight="1">
      <c r="M6965"/>
      <c r="N6965"/>
      <c r="O6965"/>
      <c r="P6965"/>
      <c r="Q6965"/>
      <c r="R6965"/>
      <c r="S6965"/>
    </row>
    <row r="6966" spans="13:19" ht="13.95" customHeight="1">
      <c r="M6966"/>
      <c r="N6966"/>
      <c r="O6966"/>
      <c r="P6966"/>
      <c r="Q6966"/>
      <c r="R6966"/>
      <c r="S6966"/>
    </row>
    <row r="6967" spans="13:19" ht="13.95" customHeight="1">
      <c r="M6967"/>
      <c r="N6967"/>
      <c r="O6967"/>
      <c r="P6967"/>
      <c r="Q6967"/>
      <c r="R6967"/>
      <c r="S6967"/>
    </row>
    <row r="6968" spans="13:19" ht="13.95" customHeight="1">
      <c r="M6968"/>
      <c r="N6968"/>
      <c r="O6968"/>
      <c r="P6968"/>
      <c r="Q6968"/>
      <c r="R6968"/>
      <c r="S6968"/>
    </row>
    <row r="6969" spans="13:19" ht="13.95" customHeight="1">
      <c r="M6969"/>
      <c r="N6969"/>
      <c r="O6969"/>
      <c r="P6969"/>
      <c r="Q6969"/>
      <c r="R6969"/>
      <c r="S6969"/>
    </row>
    <row r="6970" spans="13:19" ht="13.95" customHeight="1">
      <c r="M6970"/>
      <c r="N6970"/>
      <c r="O6970"/>
      <c r="P6970"/>
      <c r="Q6970"/>
      <c r="R6970"/>
      <c r="S6970"/>
    </row>
    <row r="6971" spans="13:19" ht="13.95" customHeight="1">
      <c r="M6971"/>
      <c r="N6971"/>
      <c r="O6971"/>
      <c r="P6971"/>
      <c r="Q6971"/>
      <c r="R6971"/>
      <c r="S6971"/>
    </row>
    <row r="6972" spans="13:19" ht="13.95" customHeight="1">
      <c r="M6972"/>
      <c r="N6972"/>
      <c r="O6972"/>
      <c r="P6972"/>
      <c r="Q6972"/>
      <c r="R6972"/>
      <c r="S6972"/>
    </row>
    <row r="6973" spans="13:19" ht="13.95" customHeight="1">
      <c r="M6973"/>
      <c r="N6973"/>
      <c r="O6973"/>
      <c r="P6973"/>
      <c r="Q6973"/>
      <c r="R6973"/>
      <c r="S6973"/>
    </row>
    <row r="6974" spans="13:19" ht="13.95" customHeight="1">
      <c r="M6974"/>
      <c r="N6974"/>
      <c r="O6974"/>
      <c r="P6974"/>
      <c r="Q6974"/>
      <c r="R6974"/>
      <c r="S6974"/>
    </row>
    <row r="6975" spans="13:19" ht="13.95" customHeight="1">
      <c r="M6975"/>
      <c r="N6975"/>
      <c r="O6975"/>
      <c r="P6975"/>
      <c r="Q6975"/>
      <c r="R6975"/>
      <c r="S6975"/>
    </row>
    <row r="6976" spans="13:19" ht="13.95" customHeight="1">
      <c r="M6976"/>
      <c r="N6976"/>
      <c r="O6976"/>
      <c r="P6976"/>
      <c r="Q6976"/>
      <c r="R6976"/>
      <c r="S6976"/>
    </row>
    <row r="6977" spans="13:19" ht="13.95" customHeight="1">
      <c r="M6977"/>
      <c r="N6977"/>
      <c r="O6977"/>
      <c r="P6977"/>
      <c r="Q6977"/>
      <c r="R6977"/>
      <c r="S6977"/>
    </row>
    <row r="6978" spans="13:19" ht="13.95" customHeight="1">
      <c r="M6978"/>
      <c r="N6978"/>
      <c r="O6978"/>
      <c r="P6978"/>
      <c r="Q6978"/>
      <c r="R6978"/>
      <c r="S6978"/>
    </row>
    <row r="6979" spans="13:19" ht="13.95" customHeight="1">
      <c r="M6979"/>
      <c r="N6979"/>
      <c r="O6979"/>
      <c r="P6979"/>
      <c r="Q6979"/>
      <c r="R6979"/>
      <c r="S6979"/>
    </row>
    <row r="6980" spans="13:19" ht="13.95" customHeight="1">
      <c r="M6980"/>
      <c r="N6980"/>
      <c r="O6980"/>
      <c r="P6980"/>
      <c r="Q6980"/>
      <c r="R6980"/>
      <c r="S6980"/>
    </row>
    <row r="6981" spans="13:19" ht="13.95" customHeight="1">
      <c r="M6981"/>
      <c r="N6981"/>
      <c r="O6981"/>
      <c r="P6981"/>
      <c r="Q6981"/>
      <c r="R6981"/>
      <c r="S6981"/>
    </row>
    <row r="6982" spans="13:19" ht="13.95" customHeight="1">
      <c r="M6982"/>
      <c r="N6982"/>
      <c r="O6982"/>
      <c r="P6982"/>
      <c r="Q6982"/>
      <c r="R6982"/>
      <c r="S6982"/>
    </row>
    <row r="6983" spans="13:19" ht="13.95" customHeight="1">
      <c r="M6983"/>
      <c r="N6983"/>
      <c r="O6983"/>
      <c r="P6983"/>
      <c r="Q6983"/>
      <c r="R6983"/>
      <c r="S6983"/>
    </row>
    <row r="6984" spans="13:19" ht="13.95" customHeight="1">
      <c r="M6984"/>
      <c r="N6984"/>
      <c r="O6984"/>
      <c r="P6984"/>
      <c r="Q6984"/>
      <c r="R6984"/>
      <c r="S6984"/>
    </row>
    <row r="6985" spans="13:19" ht="13.95" customHeight="1">
      <c r="M6985"/>
      <c r="N6985"/>
      <c r="O6985"/>
      <c r="P6985"/>
      <c r="Q6985"/>
      <c r="R6985"/>
      <c r="S6985"/>
    </row>
    <row r="6986" spans="13:19" ht="13.95" customHeight="1">
      <c r="M6986"/>
      <c r="N6986"/>
      <c r="O6986"/>
      <c r="P6986"/>
      <c r="Q6986"/>
      <c r="R6986"/>
      <c r="S6986"/>
    </row>
    <row r="6987" spans="13:19" ht="13.95" customHeight="1">
      <c r="M6987"/>
      <c r="N6987"/>
      <c r="O6987"/>
      <c r="P6987"/>
      <c r="Q6987"/>
      <c r="R6987"/>
      <c r="S6987"/>
    </row>
    <row r="6988" spans="13:19" ht="13.95" customHeight="1">
      <c r="M6988"/>
      <c r="N6988"/>
      <c r="O6988"/>
      <c r="P6988"/>
      <c r="Q6988"/>
      <c r="R6988"/>
      <c r="S6988"/>
    </row>
    <row r="6989" spans="13:19" ht="13.95" customHeight="1">
      <c r="M6989"/>
      <c r="N6989"/>
      <c r="O6989"/>
      <c r="P6989"/>
      <c r="Q6989"/>
      <c r="R6989"/>
      <c r="S6989"/>
    </row>
    <row r="6990" spans="13:19" ht="13.95" customHeight="1">
      <c r="M6990"/>
      <c r="N6990"/>
      <c r="O6990"/>
      <c r="P6990"/>
      <c r="Q6990"/>
      <c r="R6990"/>
      <c r="S6990"/>
    </row>
    <row r="6991" spans="13:19" ht="13.95" customHeight="1">
      <c r="M6991"/>
      <c r="N6991"/>
      <c r="O6991"/>
      <c r="P6991"/>
      <c r="Q6991"/>
      <c r="R6991"/>
      <c r="S6991"/>
    </row>
    <row r="6992" spans="13:19" ht="13.95" customHeight="1">
      <c r="M6992"/>
      <c r="N6992"/>
      <c r="O6992"/>
      <c r="P6992"/>
      <c r="Q6992"/>
      <c r="R6992"/>
      <c r="S6992"/>
    </row>
    <row r="6993" spans="13:19" ht="13.95" customHeight="1">
      <c r="M6993"/>
      <c r="N6993"/>
      <c r="O6993"/>
      <c r="P6993"/>
      <c r="Q6993"/>
      <c r="R6993"/>
      <c r="S6993"/>
    </row>
    <row r="6994" spans="13:19" ht="13.95" customHeight="1">
      <c r="M6994"/>
      <c r="N6994"/>
      <c r="O6994"/>
      <c r="P6994"/>
      <c r="Q6994"/>
      <c r="R6994"/>
      <c r="S6994"/>
    </row>
    <row r="6995" spans="13:19" ht="13.95" customHeight="1">
      <c r="M6995"/>
      <c r="N6995"/>
      <c r="O6995"/>
      <c r="P6995"/>
      <c r="Q6995"/>
      <c r="R6995"/>
      <c r="S6995"/>
    </row>
    <row r="6996" spans="13:19" ht="13.95" customHeight="1">
      <c r="M6996"/>
      <c r="N6996"/>
      <c r="O6996"/>
      <c r="P6996"/>
      <c r="Q6996"/>
      <c r="R6996"/>
      <c r="S6996"/>
    </row>
    <row r="6997" spans="13:19" ht="13.95" customHeight="1">
      <c r="M6997"/>
      <c r="N6997"/>
      <c r="O6997"/>
      <c r="P6997"/>
      <c r="Q6997"/>
      <c r="R6997"/>
      <c r="S6997"/>
    </row>
    <row r="6998" spans="13:19" ht="13.95" customHeight="1">
      <c r="M6998"/>
      <c r="N6998"/>
      <c r="O6998"/>
      <c r="P6998"/>
      <c r="Q6998"/>
      <c r="R6998"/>
      <c r="S6998"/>
    </row>
    <row r="6999" spans="13:19" ht="13.95" customHeight="1">
      <c r="M6999"/>
      <c r="N6999"/>
      <c r="O6999"/>
      <c r="P6999"/>
      <c r="Q6999"/>
      <c r="R6999"/>
      <c r="S6999"/>
    </row>
    <row r="7000" spans="13:19" ht="13.95" customHeight="1">
      <c r="M7000"/>
      <c r="N7000"/>
      <c r="O7000"/>
      <c r="P7000"/>
      <c r="Q7000"/>
      <c r="R7000"/>
      <c r="S7000"/>
    </row>
    <row r="7001" spans="13:19" ht="13.95" customHeight="1">
      <c r="M7001"/>
      <c r="N7001"/>
      <c r="O7001"/>
      <c r="P7001"/>
      <c r="Q7001"/>
      <c r="R7001"/>
      <c r="S7001"/>
    </row>
    <row r="7002" spans="13:19" ht="13.95" customHeight="1">
      <c r="M7002"/>
      <c r="N7002"/>
      <c r="O7002"/>
      <c r="P7002"/>
      <c r="Q7002"/>
      <c r="R7002"/>
      <c r="S7002"/>
    </row>
    <row r="7003" spans="13:19" ht="13.95" customHeight="1">
      <c r="M7003"/>
      <c r="N7003"/>
      <c r="O7003"/>
      <c r="P7003"/>
      <c r="Q7003"/>
      <c r="R7003"/>
      <c r="S7003"/>
    </row>
    <row r="7004" spans="13:19" ht="13.95" customHeight="1">
      <c r="M7004"/>
      <c r="N7004"/>
      <c r="O7004"/>
      <c r="P7004"/>
      <c r="Q7004"/>
      <c r="R7004"/>
      <c r="S7004"/>
    </row>
    <row r="7005" spans="13:19" ht="13.95" customHeight="1">
      <c r="M7005"/>
      <c r="N7005"/>
      <c r="O7005"/>
      <c r="P7005"/>
      <c r="Q7005"/>
      <c r="R7005"/>
      <c r="S7005"/>
    </row>
    <row r="7006" spans="13:19" ht="13.95" customHeight="1">
      <c r="M7006"/>
      <c r="N7006"/>
      <c r="O7006"/>
      <c r="P7006"/>
      <c r="Q7006"/>
      <c r="R7006"/>
      <c r="S7006"/>
    </row>
    <row r="7007" spans="13:19" ht="13.95" customHeight="1">
      <c r="M7007"/>
      <c r="N7007"/>
      <c r="O7007"/>
      <c r="P7007"/>
      <c r="Q7007"/>
      <c r="R7007"/>
      <c r="S7007"/>
    </row>
    <row r="7008" spans="13:19" ht="13.95" customHeight="1">
      <c r="M7008"/>
      <c r="N7008"/>
      <c r="O7008"/>
      <c r="P7008"/>
      <c r="Q7008"/>
      <c r="R7008"/>
      <c r="S7008"/>
    </row>
    <row r="7009" spans="13:19" ht="13.95" customHeight="1">
      <c r="M7009"/>
      <c r="N7009"/>
      <c r="O7009"/>
      <c r="P7009"/>
      <c r="Q7009"/>
      <c r="R7009"/>
      <c r="S7009"/>
    </row>
    <row r="7010" spans="13:19" ht="13.95" customHeight="1">
      <c r="M7010"/>
      <c r="N7010"/>
      <c r="O7010"/>
      <c r="P7010"/>
      <c r="Q7010"/>
      <c r="R7010"/>
      <c r="S7010"/>
    </row>
    <row r="7011" spans="13:19" ht="13.95" customHeight="1">
      <c r="M7011"/>
      <c r="N7011"/>
      <c r="O7011"/>
      <c r="P7011"/>
      <c r="Q7011"/>
      <c r="R7011"/>
      <c r="S7011"/>
    </row>
    <row r="7012" spans="13:19" ht="13.95" customHeight="1">
      <c r="M7012"/>
      <c r="N7012"/>
      <c r="O7012"/>
      <c r="P7012"/>
      <c r="Q7012"/>
      <c r="R7012"/>
      <c r="S7012"/>
    </row>
    <row r="7013" spans="13:19" ht="13.95" customHeight="1">
      <c r="M7013"/>
      <c r="N7013"/>
      <c r="O7013"/>
      <c r="P7013"/>
      <c r="Q7013"/>
      <c r="R7013"/>
      <c r="S7013"/>
    </row>
    <row r="7014" spans="13:19" ht="13.95" customHeight="1">
      <c r="M7014"/>
      <c r="N7014"/>
      <c r="O7014"/>
      <c r="P7014"/>
      <c r="Q7014"/>
      <c r="R7014"/>
      <c r="S7014"/>
    </row>
    <row r="7015" spans="13:19" ht="13.95" customHeight="1">
      <c r="M7015"/>
      <c r="N7015"/>
      <c r="O7015"/>
      <c r="P7015"/>
      <c r="Q7015"/>
      <c r="R7015"/>
      <c r="S7015"/>
    </row>
    <row r="7016" spans="13:19" ht="13.95" customHeight="1">
      <c r="M7016"/>
      <c r="N7016"/>
      <c r="O7016"/>
      <c r="P7016"/>
      <c r="Q7016"/>
      <c r="R7016"/>
      <c r="S7016"/>
    </row>
    <row r="7017" spans="13:19" ht="13.95" customHeight="1">
      <c r="M7017"/>
      <c r="N7017"/>
      <c r="O7017"/>
      <c r="P7017"/>
      <c r="Q7017"/>
      <c r="R7017"/>
      <c r="S7017"/>
    </row>
    <row r="7018" spans="13:19" ht="13.95" customHeight="1">
      <c r="M7018"/>
      <c r="N7018"/>
      <c r="O7018"/>
      <c r="P7018"/>
      <c r="Q7018"/>
      <c r="R7018"/>
      <c r="S7018"/>
    </row>
    <row r="7019" spans="13:19" ht="13.95" customHeight="1">
      <c r="M7019"/>
      <c r="N7019"/>
      <c r="O7019"/>
      <c r="P7019"/>
      <c r="Q7019"/>
      <c r="R7019"/>
      <c r="S7019"/>
    </row>
    <row r="7020" spans="13:19" ht="13.95" customHeight="1">
      <c r="M7020"/>
      <c r="N7020"/>
      <c r="O7020"/>
      <c r="P7020"/>
      <c r="Q7020"/>
      <c r="R7020"/>
      <c r="S7020"/>
    </row>
    <row r="7021" spans="13:19" ht="13.95" customHeight="1">
      <c r="M7021"/>
      <c r="N7021"/>
      <c r="O7021"/>
      <c r="P7021"/>
      <c r="Q7021"/>
      <c r="R7021"/>
      <c r="S7021"/>
    </row>
    <row r="7022" spans="13:19" ht="13.95" customHeight="1">
      <c r="M7022"/>
      <c r="N7022"/>
      <c r="O7022"/>
      <c r="P7022"/>
      <c r="Q7022"/>
      <c r="R7022"/>
      <c r="S7022"/>
    </row>
    <row r="7023" spans="13:19" ht="13.95" customHeight="1">
      <c r="M7023"/>
      <c r="N7023"/>
      <c r="O7023"/>
      <c r="P7023"/>
      <c r="Q7023"/>
      <c r="R7023"/>
      <c r="S7023"/>
    </row>
    <row r="7024" spans="13:19" ht="13.95" customHeight="1">
      <c r="M7024"/>
      <c r="N7024"/>
      <c r="O7024"/>
      <c r="P7024"/>
      <c r="Q7024"/>
      <c r="R7024"/>
      <c r="S7024"/>
    </row>
    <row r="7025" spans="13:19" ht="13.95" customHeight="1">
      <c r="M7025"/>
      <c r="N7025"/>
      <c r="O7025"/>
      <c r="P7025"/>
      <c r="Q7025"/>
      <c r="R7025"/>
      <c r="S7025"/>
    </row>
    <row r="7026" spans="13:19" ht="13.95" customHeight="1">
      <c r="M7026"/>
      <c r="N7026"/>
      <c r="O7026"/>
      <c r="P7026"/>
      <c r="Q7026"/>
      <c r="R7026"/>
      <c r="S7026"/>
    </row>
    <row r="7027" spans="13:19" ht="13.95" customHeight="1">
      <c r="M7027"/>
      <c r="N7027"/>
      <c r="O7027"/>
      <c r="P7027"/>
      <c r="Q7027"/>
      <c r="R7027"/>
      <c r="S7027"/>
    </row>
    <row r="7028" spans="13:19" ht="13.95" customHeight="1">
      <c r="M7028"/>
      <c r="N7028"/>
      <c r="O7028"/>
      <c r="P7028"/>
      <c r="Q7028"/>
      <c r="R7028"/>
      <c r="S7028"/>
    </row>
    <row r="7029" spans="13:19" ht="13.95" customHeight="1">
      <c r="M7029"/>
      <c r="N7029"/>
      <c r="O7029"/>
      <c r="P7029"/>
      <c r="Q7029"/>
      <c r="R7029"/>
      <c r="S7029"/>
    </row>
    <row r="7030" spans="13:19" ht="13.95" customHeight="1">
      <c r="M7030"/>
      <c r="N7030"/>
      <c r="O7030"/>
      <c r="P7030"/>
      <c r="Q7030"/>
      <c r="R7030"/>
      <c r="S7030"/>
    </row>
    <row r="7031" spans="13:19" ht="13.95" customHeight="1">
      <c r="M7031"/>
      <c r="N7031"/>
      <c r="O7031"/>
      <c r="P7031"/>
      <c r="Q7031"/>
      <c r="R7031"/>
      <c r="S7031"/>
    </row>
    <row r="7032" spans="13:19" ht="13.95" customHeight="1">
      <c r="M7032"/>
      <c r="N7032"/>
      <c r="O7032"/>
      <c r="P7032"/>
      <c r="Q7032"/>
      <c r="R7032"/>
      <c r="S7032"/>
    </row>
    <row r="7033" spans="13:19" ht="13.95" customHeight="1">
      <c r="M7033"/>
      <c r="N7033"/>
      <c r="O7033"/>
      <c r="P7033"/>
      <c r="Q7033"/>
      <c r="R7033"/>
      <c r="S7033"/>
    </row>
    <row r="7034" spans="13:19" ht="13.95" customHeight="1">
      <c r="M7034"/>
      <c r="N7034"/>
      <c r="O7034"/>
      <c r="P7034"/>
      <c r="Q7034"/>
      <c r="R7034"/>
      <c r="S7034"/>
    </row>
    <row r="7035" spans="13:19" ht="13.95" customHeight="1">
      <c r="M7035"/>
      <c r="N7035"/>
      <c r="O7035"/>
      <c r="P7035"/>
      <c r="Q7035"/>
      <c r="R7035"/>
      <c r="S7035"/>
    </row>
    <row r="7036" spans="13:19" ht="13.95" customHeight="1">
      <c r="M7036"/>
      <c r="N7036"/>
      <c r="O7036"/>
      <c r="P7036"/>
      <c r="Q7036"/>
      <c r="R7036"/>
      <c r="S7036"/>
    </row>
    <row r="7037" spans="13:19" ht="13.95" customHeight="1">
      <c r="M7037"/>
      <c r="N7037"/>
      <c r="O7037"/>
      <c r="P7037"/>
      <c r="Q7037"/>
      <c r="R7037"/>
      <c r="S7037"/>
    </row>
    <row r="7038" spans="13:19" ht="13.95" customHeight="1">
      <c r="M7038"/>
      <c r="N7038"/>
      <c r="O7038"/>
      <c r="P7038"/>
      <c r="Q7038"/>
      <c r="R7038"/>
      <c r="S7038"/>
    </row>
    <row r="7039" spans="13:19" ht="13.95" customHeight="1">
      <c r="M7039"/>
      <c r="N7039"/>
      <c r="O7039"/>
      <c r="P7039"/>
      <c r="Q7039"/>
      <c r="R7039"/>
      <c r="S7039"/>
    </row>
    <row r="7040" spans="13:19" ht="13.95" customHeight="1">
      <c r="M7040"/>
      <c r="N7040"/>
      <c r="O7040"/>
      <c r="P7040"/>
      <c r="Q7040"/>
      <c r="R7040"/>
      <c r="S7040"/>
    </row>
    <row r="7041" spans="13:19" ht="13.95" customHeight="1">
      <c r="M7041"/>
      <c r="N7041"/>
      <c r="O7041"/>
      <c r="P7041"/>
      <c r="Q7041"/>
      <c r="R7041"/>
      <c r="S7041"/>
    </row>
    <row r="7042" spans="13:19" ht="13.95" customHeight="1">
      <c r="M7042"/>
      <c r="N7042"/>
      <c r="O7042"/>
      <c r="P7042"/>
      <c r="Q7042"/>
      <c r="R7042"/>
      <c r="S7042"/>
    </row>
    <row r="7043" spans="13:19" ht="13.95" customHeight="1">
      <c r="M7043"/>
      <c r="N7043"/>
      <c r="O7043"/>
      <c r="P7043"/>
      <c r="Q7043"/>
      <c r="R7043"/>
      <c r="S7043"/>
    </row>
    <row r="7044" spans="13:19" ht="13.95" customHeight="1">
      <c r="M7044"/>
      <c r="N7044"/>
      <c r="O7044"/>
      <c r="P7044"/>
      <c r="Q7044"/>
      <c r="R7044"/>
      <c r="S7044"/>
    </row>
    <row r="7045" spans="13:19" ht="13.95" customHeight="1">
      <c r="M7045"/>
      <c r="N7045"/>
      <c r="O7045"/>
      <c r="P7045"/>
      <c r="Q7045"/>
      <c r="R7045"/>
      <c r="S7045"/>
    </row>
    <row r="7046" spans="13:19" ht="13.95" customHeight="1">
      <c r="M7046"/>
      <c r="N7046"/>
      <c r="O7046"/>
      <c r="P7046"/>
      <c r="Q7046"/>
      <c r="R7046"/>
      <c r="S7046"/>
    </row>
    <row r="7047" spans="13:19" ht="13.95" customHeight="1">
      <c r="M7047"/>
      <c r="N7047"/>
      <c r="O7047"/>
      <c r="P7047"/>
      <c r="Q7047"/>
      <c r="R7047"/>
      <c r="S7047"/>
    </row>
    <row r="7048" spans="13:19" ht="13.95" customHeight="1">
      <c r="M7048"/>
      <c r="N7048"/>
      <c r="O7048"/>
      <c r="P7048"/>
      <c r="Q7048"/>
      <c r="R7048"/>
      <c r="S7048"/>
    </row>
    <row r="7049" spans="13:19" ht="13.95" customHeight="1">
      <c r="M7049"/>
      <c r="N7049"/>
      <c r="O7049"/>
      <c r="P7049"/>
      <c r="Q7049"/>
      <c r="R7049"/>
      <c r="S7049"/>
    </row>
    <row r="7050" spans="13:19" ht="13.95" customHeight="1">
      <c r="M7050"/>
      <c r="N7050"/>
      <c r="O7050"/>
      <c r="P7050"/>
      <c r="Q7050"/>
      <c r="R7050"/>
      <c r="S7050"/>
    </row>
    <row r="7051" spans="13:19" ht="13.95" customHeight="1">
      <c r="M7051"/>
      <c r="N7051"/>
      <c r="O7051"/>
      <c r="P7051"/>
      <c r="Q7051"/>
      <c r="R7051"/>
      <c r="S7051"/>
    </row>
    <row r="7052" spans="13:19" ht="13.95" customHeight="1">
      <c r="M7052"/>
      <c r="N7052"/>
      <c r="O7052"/>
      <c r="P7052"/>
      <c r="Q7052"/>
      <c r="R7052"/>
      <c r="S7052"/>
    </row>
    <row r="7053" spans="13:19" ht="13.95" customHeight="1">
      <c r="M7053"/>
      <c r="N7053"/>
      <c r="O7053"/>
      <c r="P7053"/>
      <c r="Q7053"/>
      <c r="R7053"/>
      <c r="S7053"/>
    </row>
    <row r="7054" spans="13:19" ht="13.95" customHeight="1">
      <c r="M7054"/>
      <c r="N7054"/>
      <c r="O7054"/>
      <c r="P7054"/>
      <c r="Q7054"/>
      <c r="R7054"/>
      <c r="S7054"/>
    </row>
    <row r="7055" spans="13:19" ht="13.95" customHeight="1">
      <c r="M7055"/>
      <c r="N7055"/>
      <c r="O7055"/>
      <c r="P7055"/>
      <c r="Q7055"/>
      <c r="R7055"/>
      <c r="S7055"/>
    </row>
    <row r="7056" spans="13:19" ht="13.95" customHeight="1">
      <c r="M7056"/>
      <c r="N7056"/>
      <c r="O7056"/>
      <c r="P7056"/>
      <c r="Q7056"/>
      <c r="R7056"/>
      <c r="S7056"/>
    </row>
    <row r="7057" spans="13:19" ht="13.95" customHeight="1">
      <c r="M7057"/>
      <c r="N7057"/>
      <c r="O7057"/>
      <c r="P7057"/>
      <c r="Q7057"/>
      <c r="R7057"/>
      <c r="S7057"/>
    </row>
    <row r="7058" spans="13:19" ht="13.95" customHeight="1">
      <c r="M7058"/>
      <c r="N7058"/>
      <c r="O7058"/>
      <c r="P7058"/>
      <c r="Q7058"/>
      <c r="R7058"/>
      <c r="S7058"/>
    </row>
    <row r="7059" spans="13:19" ht="13.95" customHeight="1">
      <c r="M7059"/>
      <c r="N7059"/>
      <c r="O7059"/>
      <c r="P7059"/>
      <c r="Q7059"/>
      <c r="R7059"/>
      <c r="S7059"/>
    </row>
    <row r="7060" spans="13:19" ht="13.95" customHeight="1">
      <c r="M7060"/>
      <c r="N7060"/>
      <c r="O7060"/>
      <c r="P7060"/>
      <c r="Q7060"/>
      <c r="R7060"/>
      <c r="S7060"/>
    </row>
    <row r="7061" spans="13:19" ht="13.95" customHeight="1">
      <c r="M7061"/>
      <c r="N7061"/>
      <c r="O7061"/>
      <c r="P7061"/>
      <c r="Q7061"/>
      <c r="R7061"/>
      <c r="S7061"/>
    </row>
    <row r="7062" spans="13:19" ht="13.95" customHeight="1">
      <c r="M7062"/>
      <c r="N7062"/>
      <c r="O7062"/>
      <c r="P7062"/>
      <c r="Q7062"/>
      <c r="R7062"/>
      <c r="S7062"/>
    </row>
    <row r="7063" spans="13:19" ht="13.95" customHeight="1">
      <c r="M7063"/>
      <c r="N7063"/>
      <c r="O7063"/>
      <c r="P7063"/>
      <c r="Q7063"/>
      <c r="R7063"/>
      <c r="S7063"/>
    </row>
    <row r="7064" spans="13:19" ht="13.95" customHeight="1">
      <c r="M7064"/>
      <c r="N7064"/>
      <c r="O7064"/>
      <c r="P7064"/>
      <c r="Q7064"/>
      <c r="R7064"/>
      <c r="S7064"/>
    </row>
    <row r="7065" spans="13:19" ht="13.95" customHeight="1">
      <c r="M7065"/>
      <c r="N7065"/>
      <c r="O7065"/>
      <c r="P7065"/>
      <c r="Q7065"/>
      <c r="R7065"/>
      <c r="S7065"/>
    </row>
    <row r="7066" spans="13:19" ht="13.95" customHeight="1">
      <c r="M7066"/>
      <c r="N7066"/>
      <c r="O7066"/>
      <c r="P7066"/>
      <c r="Q7066"/>
      <c r="R7066"/>
      <c r="S7066"/>
    </row>
    <row r="7067" spans="13:19" ht="13.95" customHeight="1">
      <c r="M7067"/>
      <c r="N7067"/>
      <c r="O7067"/>
      <c r="P7067"/>
      <c r="Q7067"/>
      <c r="R7067"/>
      <c r="S7067"/>
    </row>
    <row r="7068" spans="13:19" ht="13.95" customHeight="1">
      <c r="M7068"/>
      <c r="N7068"/>
      <c r="O7068"/>
      <c r="P7068"/>
      <c r="Q7068"/>
      <c r="R7068"/>
      <c r="S7068"/>
    </row>
    <row r="7069" spans="13:19" ht="13.95" customHeight="1">
      <c r="M7069"/>
      <c r="N7069"/>
      <c r="O7069"/>
      <c r="P7069"/>
      <c r="Q7069"/>
      <c r="R7069"/>
      <c r="S7069"/>
    </row>
    <row r="7070" spans="13:19" ht="13.95" customHeight="1">
      <c r="M7070"/>
      <c r="N7070"/>
      <c r="O7070"/>
      <c r="P7070"/>
      <c r="Q7070"/>
      <c r="R7070"/>
      <c r="S7070"/>
    </row>
    <row r="7071" spans="13:19" ht="13.95" customHeight="1">
      <c r="M7071"/>
      <c r="N7071"/>
      <c r="O7071"/>
      <c r="P7071"/>
      <c r="Q7071"/>
      <c r="R7071"/>
      <c r="S7071"/>
    </row>
    <row r="7072" spans="13:19" ht="13.95" customHeight="1">
      <c r="M7072"/>
      <c r="N7072"/>
      <c r="O7072"/>
      <c r="P7072"/>
      <c r="Q7072"/>
      <c r="R7072"/>
      <c r="S7072"/>
    </row>
    <row r="7073" spans="13:19" ht="13.95" customHeight="1">
      <c r="M7073"/>
      <c r="N7073"/>
      <c r="O7073"/>
      <c r="P7073"/>
      <c r="Q7073"/>
      <c r="R7073"/>
      <c r="S7073"/>
    </row>
    <row r="7074" spans="13:19" ht="13.95" customHeight="1">
      <c r="M7074"/>
      <c r="N7074"/>
      <c r="O7074"/>
      <c r="P7074"/>
      <c r="Q7074"/>
      <c r="R7074"/>
      <c r="S7074"/>
    </row>
    <row r="7075" spans="13:19" ht="13.95" customHeight="1">
      <c r="M7075"/>
      <c r="N7075"/>
      <c r="O7075"/>
      <c r="P7075"/>
      <c r="Q7075"/>
      <c r="R7075"/>
      <c r="S7075"/>
    </row>
    <row r="7076" spans="13:19" ht="13.95" customHeight="1">
      <c r="M7076"/>
      <c r="N7076"/>
      <c r="O7076"/>
      <c r="P7076"/>
      <c r="Q7076"/>
      <c r="R7076"/>
      <c r="S7076"/>
    </row>
    <row r="7077" spans="13:19" ht="13.95" customHeight="1">
      <c r="M7077"/>
      <c r="N7077"/>
      <c r="O7077"/>
      <c r="P7077"/>
      <c r="Q7077"/>
      <c r="R7077"/>
      <c r="S7077"/>
    </row>
    <row r="7078" spans="13:19" ht="13.95" customHeight="1">
      <c r="M7078"/>
      <c r="N7078"/>
      <c r="O7078"/>
      <c r="P7078"/>
      <c r="Q7078"/>
      <c r="R7078"/>
      <c r="S7078"/>
    </row>
    <row r="7079" spans="13:19" ht="13.95" customHeight="1">
      <c r="M7079"/>
      <c r="N7079"/>
      <c r="O7079"/>
      <c r="P7079"/>
      <c r="Q7079"/>
      <c r="R7079"/>
      <c r="S7079"/>
    </row>
    <row r="7080" spans="13:19" ht="13.95" customHeight="1">
      <c r="M7080"/>
      <c r="N7080"/>
      <c r="O7080"/>
      <c r="P7080"/>
      <c r="Q7080"/>
      <c r="R7080"/>
      <c r="S7080"/>
    </row>
    <row r="7081" spans="13:19" ht="13.95" customHeight="1">
      <c r="M7081"/>
      <c r="N7081"/>
      <c r="O7081"/>
      <c r="P7081"/>
      <c r="Q7081"/>
      <c r="R7081"/>
      <c r="S7081"/>
    </row>
    <row r="7082" spans="13:19" ht="13.95" customHeight="1">
      <c r="M7082"/>
      <c r="N7082"/>
      <c r="O7082"/>
      <c r="P7082"/>
      <c r="Q7082"/>
      <c r="R7082"/>
      <c r="S7082"/>
    </row>
    <row r="7083" spans="13:19" ht="13.95" customHeight="1">
      <c r="M7083"/>
      <c r="N7083"/>
      <c r="O7083"/>
      <c r="P7083"/>
      <c r="Q7083"/>
      <c r="R7083"/>
      <c r="S7083"/>
    </row>
    <row r="7084" spans="13:19" ht="13.95" customHeight="1">
      <c r="M7084"/>
      <c r="N7084"/>
      <c r="O7084"/>
      <c r="P7084"/>
      <c r="Q7084"/>
      <c r="R7084"/>
      <c r="S7084"/>
    </row>
    <row r="7085" spans="13:19" ht="13.95" customHeight="1">
      <c r="M7085"/>
      <c r="N7085"/>
      <c r="O7085"/>
      <c r="P7085"/>
      <c r="Q7085"/>
      <c r="R7085"/>
      <c r="S7085"/>
    </row>
    <row r="7086" spans="13:19" ht="13.95" customHeight="1">
      <c r="M7086"/>
      <c r="N7086"/>
      <c r="O7086"/>
      <c r="P7086"/>
      <c r="Q7086"/>
      <c r="R7086"/>
      <c r="S7086"/>
    </row>
    <row r="7087" spans="13:19" ht="13.95" customHeight="1">
      <c r="M7087"/>
      <c r="N7087"/>
      <c r="O7087"/>
      <c r="P7087"/>
      <c r="Q7087"/>
      <c r="R7087"/>
      <c r="S7087"/>
    </row>
    <row r="7088" spans="13:19" ht="13.95" customHeight="1">
      <c r="M7088"/>
      <c r="N7088"/>
      <c r="O7088"/>
      <c r="P7088"/>
      <c r="Q7088"/>
      <c r="R7088"/>
      <c r="S7088"/>
    </row>
    <row r="7089" spans="13:19" ht="13.95" customHeight="1">
      <c r="M7089"/>
      <c r="N7089"/>
      <c r="O7089"/>
      <c r="P7089"/>
      <c r="Q7089"/>
      <c r="R7089"/>
      <c r="S7089"/>
    </row>
    <row r="7090" spans="13:19" ht="13.95" customHeight="1">
      <c r="M7090"/>
      <c r="N7090"/>
      <c r="O7090"/>
      <c r="P7090"/>
      <c r="Q7090"/>
      <c r="R7090"/>
      <c r="S7090"/>
    </row>
    <row r="7091" spans="13:19" ht="13.95" customHeight="1">
      <c r="M7091"/>
      <c r="N7091"/>
      <c r="O7091"/>
      <c r="P7091"/>
      <c r="Q7091"/>
      <c r="R7091"/>
      <c r="S7091"/>
    </row>
    <row r="7092" spans="13:19" ht="13.95" customHeight="1">
      <c r="M7092"/>
      <c r="N7092"/>
      <c r="O7092"/>
      <c r="P7092"/>
      <c r="Q7092"/>
      <c r="R7092"/>
      <c r="S7092"/>
    </row>
    <row r="7093" spans="13:19" ht="13.95" customHeight="1">
      <c r="M7093"/>
      <c r="N7093"/>
      <c r="O7093"/>
      <c r="P7093"/>
      <c r="Q7093"/>
      <c r="R7093"/>
      <c r="S7093"/>
    </row>
    <row r="7094" spans="13:19" ht="13.95" customHeight="1">
      <c r="M7094"/>
      <c r="N7094"/>
      <c r="O7094"/>
      <c r="P7094"/>
      <c r="Q7094"/>
      <c r="R7094"/>
      <c r="S7094"/>
    </row>
    <row r="7095" spans="13:19" ht="13.95" customHeight="1">
      <c r="M7095"/>
      <c r="N7095"/>
      <c r="O7095"/>
      <c r="P7095"/>
      <c r="Q7095"/>
      <c r="R7095"/>
      <c r="S7095"/>
    </row>
    <row r="7096" spans="13:19" ht="13.95" customHeight="1">
      <c r="M7096"/>
      <c r="N7096"/>
      <c r="O7096"/>
      <c r="P7096"/>
      <c r="Q7096"/>
      <c r="R7096"/>
      <c r="S7096"/>
    </row>
    <row r="7097" spans="13:19" ht="13.95" customHeight="1">
      <c r="M7097"/>
      <c r="N7097"/>
      <c r="O7097"/>
      <c r="P7097"/>
      <c r="Q7097"/>
      <c r="R7097"/>
      <c r="S7097"/>
    </row>
    <row r="7098" spans="13:19" ht="13.95" customHeight="1">
      <c r="M7098"/>
      <c r="N7098"/>
      <c r="O7098"/>
      <c r="P7098"/>
      <c r="Q7098"/>
      <c r="R7098"/>
      <c r="S7098"/>
    </row>
    <row r="7099" spans="13:19" ht="13.95" customHeight="1">
      <c r="M7099"/>
      <c r="N7099"/>
      <c r="O7099"/>
      <c r="P7099"/>
      <c r="Q7099"/>
      <c r="R7099"/>
      <c r="S7099"/>
    </row>
    <row r="7100" spans="13:19" ht="13.95" customHeight="1">
      <c r="M7100"/>
      <c r="N7100"/>
      <c r="O7100"/>
      <c r="P7100"/>
      <c r="Q7100"/>
      <c r="R7100"/>
      <c r="S7100"/>
    </row>
    <row r="7101" spans="13:19" ht="13.95" customHeight="1">
      <c r="M7101"/>
      <c r="N7101"/>
      <c r="O7101"/>
      <c r="P7101"/>
      <c r="Q7101"/>
      <c r="R7101"/>
      <c r="S7101"/>
    </row>
    <row r="7102" spans="13:19" ht="13.95" customHeight="1">
      <c r="M7102"/>
      <c r="N7102"/>
      <c r="O7102"/>
      <c r="P7102"/>
      <c r="Q7102"/>
      <c r="R7102"/>
      <c r="S7102"/>
    </row>
    <row r="7103" spans="13:19" ht="13.95" customHeight="1">
      <c r="M7103"/>
      <c r="N7103"/>
      <c r="O7103"/>
      <c r="P7103"/>
      <c r="Q7103"/>
      <c r="R7103"/>
      <c r="S7103"/>
    </row>
    <row r="7104" spans="13:19" ht="13.95" customHeight="1">
      <c r="M7104"/>
      <c r="N7104"/>
      <c r="O7104"/>
      <c r="P7104"/>
      <c r="Q7104"/>
      <c r="R7104"/>
      <c r="S7104"/>
    </row>
    <row r="7105" spans="13:19" ht="13.95" customHeight="1">
      <c r="M7105"/>
      <c r="N7105"/>
      <c r="O7105"/>
      <c r="P7105"/>
      <c r="Q7105"/>
      <c r="R7105"/>
      <c r="S7105"/>
    </row>
    <row r="7106" spans="13:19" ht="13.95" customHeight="1">
      <c r="M7106"/>
      <c r="N7106"/>
      <c r="O7106"/>
      <c r="P7106"/>
      <c r="Q7106"/>
      <c r="R7106"/>
      <c r="S7106"/>
    </row>
    <row r="7107" spans="13:19" ht="13.95" customHeight="1">
      <c r="M7107"/>
      <c r="N7107"/>
      <c r="O7107"/>
      <c r="P7107"/>
      <c r="Q7107"/>
      <c r="R7107"/>
      <c r="S7107"/>
    </row>
    <row r="7108" spans="13:19" ht="13.95" customHeight="1">
      <c r="M7108"/>
      <c r="N7108"/>
      <c r="O7108"/>
      <c r="P7108"/>
      <c r="Q7108"/>
      <c r="R7108"/>
      <c r="S7108"/>
    </row>
    <row r="7109" spans="13:19" ht="13.95" customHeight="1">
      <c r="M7109"/>
      <c r="N7109"/>
      <c r="O7109"/>
      <c r="P7109"/>
      <c r="Q7109"/>
      <c r="R7109"/>
      <c r="S7109"/>
    </row>
    <row r="7110" spans="13:19" ht="13.95" customHeight="1">
      <c r="M7110"/>
      <c r="N7110"/>
      <c r="O7110"/>
      <c r="P7110"/>
      <c r="Q7110"/>
      <c r="R7110"/>
      <c r="S7110"/>
    </row>
    <row r="7111" spans="13:19" ht="13.95" customHeight="1">
      <c r="M7111"/>
      <c r="N7111"/>
      <c r="O7111"/>
      <c r="P7111"/>
      <c r="Q7111"/>
      <c r="R7111"/>
      <c r="S7111"/>
    </row>
    <row r="7112" spans="13:19" ht="13.95" customHeight="1">
      <c r="M7112"/>
      <c r="N7112"/>
      <c r="O7112"/>
      <c r="P7112"/>
      <c r="Q7112"/>
      <c r="R7112"/>
      <c r="S7112"/>
    </row>
    <row r="7113" spans="13:19" ht="13.95" customHeight="1">
      <c r="M7113"/>
      <c r="N7113"/>
      <c r="O7113"/>
      <c r="P7113"/>
      <c r="Q7113"/>
      <c r="R7113"/>
      <c r="S7113"/>
    </row>
    <row r="7114" spans="13:19" ht="13.95" customHeight="1">
      <c r="M7114"/>
      <c r="N7114"/>
      <c r="O7114"/>
      <c r="P7114"/>
      <c r="Q7114"/>
      <c r="R7114"/>
      <c r="S7114"/>
    </row>
    <row r="7115" spans="13:19" ht="13.95" customHeight="1">
      <c r="M7115"/>
      <c r="N7115"/>
      <c r="O7115"/>
      <c r="P7115"/>
      <c r="Q7115"/>
      <c r="R7115"/>
      <c r="S7115"/>
    </row>
    <row r="7116" spans="13:19" ht="13.95" customHeight="1">
      <c r="M7116"/>
      <c r="N7116"/>
      <c r="O7116"/>
      <c r="P7116"/>
      <c r="Q7116"/>
      <c r="R7116"/>
      <c r="S7116"/>
    </row>
    <row r="7117" spans="13:19" ht="13.95" customHeight="1">
      <c r="M7117"/>
      <c r="N7117"/>
      <c r="O7117"/>
      <c r="P7117"/>
      <c r="Q7117"/>
      <c r="R7117"/>
      <c r="S7117"/>
    </row>
    <row r="7118" spans="13:19" ht="13.95" customHeight="1">
      <c r="M7118"/>
      <c r="N7118"/>
      <c r="O7118"/>
      <c r="P7118"/>
      <c r="Q7118"/>
      <c r="R7118"/>
      <c r="S7118"/>
    </row>
    <row r="7119" spans="13:19" ht="13.95" customHeight="1">
      <c r="M7119"/>
      <c r="N7119"/>
      <c r="O7119"/>
      <c r="P7119"/>
      <c r="Q7119"/>
      <c r="R7119"/>
      <c r="S7119"/>
    </row>
    <row r="7120" spans="13:19" ht="13.95" customHeight="1">
      <c r="M7120"/>
      <c r="N7120"/>
      <c r="O7120"/>
      <c r="P7120"/>
      <c r="Q7120"/>
      <c r="R7120"/>
      <c r="S7120"/>
    </row>
    <row r="7121" spans="13:19" ht="13.95" customHeight="1">
      <c r="M7121"/>
      <c r="N7121"/>
      <c r="O7121"/>
      <c r="P7121"/>
      <c r="Q7121"/>
      <c r="R7121"/>
      <c r="S7121"/>
    </row>
    <row r="7122" spans="13:19" ht="13.95" customHeight="1">
      <c r="M7122"/>
      <c r="N7122"/>
      <c r="O7122"/>
      <c r="P7122"/>
      <c r="Q7122"/>
      <c r="R7122"/>
      <c r="S7122"/>
    </row>
    <row r="7123" spans="13:19" ht="13.95" customHeight="1">
      <c r="M7123"/>
      <c r="N7123"/>
      <c r="O7123"/>
      <c r="P7123"/>
      <c r="Q7123"/>
      <c r="R7123"/>
      <c r="S7123"/>
    </row>
    <row r="7124" spans="13:19" ht="13.95" customHeight="1">
      <c r="M7124"/>
      <c r="N7124"/>
      <c r="O7124"/>
      <c r="P7124"/>
      <c r="Q7124"/>
      <c r="R7124"/>
      <c r="S7124"/>
    </row>
    <row r="7125" spans="13:19" ht="13.95" customHeight="1">
      <c r="M7125"/>
      <c r="N7125"/>
      <c r="O7125"/>
      <c r="P7125"/>
      <c r="Q7125"/>
      <c r="R7125"/>
      <c r="S7125"/>
    </row>
    <row r="7126" spans="13:19" ht="13.95" customHeight="1">
      <c r="M7126"/>
      <c r="N7126"/>
      <c r="O7126"/>
      <c r="P7126"/>
      <c r="Q7126"/>
      <c r="R7126"/>
      <c r="S7126"/>
    </row>
    <row r="7127" spans="13:19" ht="13.95" customHeight="1">
      <c r="M7127"/>
      <c r="N7127"/>
      <c r="O7127"/>
      <c r="P7127"/>
      <c r="Q7127"/>
      <c r="R7127"/>
      <c r="S7127"/>
    </row>
    <row r="7128" spans="13:19" ht="13.95" customHeight="1">
      <c r="M7128"/>
      <c r="N7128"/>
      <c r="O7128"/>
      <c r="P7128"/>
      <c r="Q7128"/>
      <c r="R7128"/>
      <c r="S7128"/>
    </row>
    <row r="7129" spans="13:19" ht="13.95" customHeight="1">
      <c r="M7129"/>
      <c r="N7129"/>
      <c r="O7129"/>
      <c r="P7129"/>
      <c r="Q7129"/>
      <c r="R7129"/>
      <c r="S7129"/>
    </row>
    <row r="7130" spans="13:19" ht="13.95" customHeight="1">
      <c r="M7130"/>
      <c r="N7130"/>
      <c r="O7130"/>
      <c r="P7130"/>
      <c r="Q7130"/>
      <c r="R7130"/>
      <c r="S7130"/>
    </row>
    <row r="7131" spans="13:19" ht="13.95" customHeight="1">
      <c r="M7131"/>
      <c r="N7131"/>
      <c r="O7131"/>
      <c r="P7131"/>
      <c r="Q7131"/>
      <c r="R7131"/>
      <c r="S7131"/>
    </row>
    <row r="7132" spans="13:19" ht="13.95" customHeight="1">
      <c r="M7132"/>
      <c r="N7132"/>
      <c r="O7132"/>
      <c r="P7132"/>
      <c r="Q7132"/>
      <c r="R7132"/>
      <c r="S7132"/>
    </row>
    <row r="7133" spans="13:19" ht="13.95" customHeight="1">
      <c r="M7133"/>
      <c r="N7133"/>
      <c r="O7133"/>
      <c r="P7133"/>
      <c r="Q7133"/>
      <c r="R7133"/>
      <c r="S7133"/>
    </row>
    <row r="7134" spans="13:19" ht="13.95" customHeight="1">
      <c r="M7134"/>
      <c r="N7134"/>
      <c r="O7134"/>
      <c r="P7134"/>
      <c r="Q7134"/>
      <c r="R7134"/>
      <c r="S7134"/>
    </row>
    <row r="7135" spans="13:19" ht="13.95" customHeight="1">
      <c r="M7135"/>
      <c r="N7135"/>
      <c r="O7135"/>
      <c r="P7135"/>
      <c r="Q7135"/>
      <c r="R7135"/>
      <c r="S7135"/>
    </row>
    <row r="7136" spans="13:19" ht="13.95" customHeight="1">
      <c r="M7136"/>
      <c r="N7136"/>
      <c r="O7136"/>
      <c r="P7136"/>
      <c r="Q7136"/>
      <c r="R7136"/>
      <c r="S7136"/>
    </row>
    <row r="7137" spans="13:19" ht="13.95" customHeight="1">
      <c r="M7137"/>
      <c r="N7137"/>
      <c r="O7137"/>
      <c r="P7137"/>
      <c r="Q7137"/>
      <c r="R7137"/>
      <c r="S7137"/>
    </row>
    <row r="7138" spans="13:19" ht="13.95" customHeight="1">
      <c r="M7138"/>
      <c r="N7138"/>
      <c r="O7138"/>
      <c r="P7138"/>
      <c r="Q7138"/>
      <c r="R7138"/>
      <c r="S7138"/>
    </row>
    <row r="7139" spans="13:19" ht="13.95" customHeight="1">
      <c r="M7139"/>
      <c r="N7139"/>
      <c r="O7139"/>
      <c r="P7139"/>
      <c r="Q7139"/>
      <c r="R7139"/>
      <c r="S7139"/>
    </row>
    <row r="7140" spans="13:19" ht="13.95" customHeight="1">
      <c r="M7140"/>
      <c r="N7140"/>
      <c r="O7140"/>
      <c r="P7140"/>
      <c r="Q7140"/>
      <c r="R7140"/>
      <c r="S7140"/>
    </row>
    <row r="7141" spans="13:19" ht="13.95" customHeight="1">
      <c r="M7141"/>
      <c r="N7141"/>
      <c r="O7141"/>
      <c r="P7141"/>
      <c r="Q7141"/>
      <c r="R7141"/>
      <c r="S7141"/>
    </row>
    <row r="7142" spans="13:19" ht="13.95" customHeight="1">
      <c r="M7142"/>
      <c r="N7142"/>
      <c r="O7142"/>
      <c r="P7142"/>
      <c r="Q7142"/>
      <c r="R7142"/>
      <c r="S7142"/>
    </row>
    <row r="7143" spans="13:19" ht="13.95" customHeight="1">
      <c r="M7143"/>
      <c r="N7143"/>
      <c r="O7143"/>
      <c r="P7143"/>
      <c r="Q7143"/>
      <c r="R7143"/>
      <c r="S7143"/>
    </row>
    <row r="7144" spans="13:19" ht="13.95" customHeight="1">
      <c r="M7144"/>
      <c r="N7144"/>
      <c r="O7144"/>
      <c r="P7144"/>
      <c r="Q7144"/>
      <c r="R7144"/>
      <c r="S7144"/>
    </row>
    <row r="7145" spans="13:19" ht="13.95" customHeight="1">
      <c r="M7145"/>
      <c r="N7145"/>
      <c r="O7145"/>
      <c r="P7145"/>
      <c r="Q7145"/>
      <c r="R7145"/>
      <c r="S7145"/>
    </row>
    <row r="7146" spans="13:19" ht="13.95" customHeight="1">
      <c r="M7146"/>
      <c r="N7146"/>
      <c r="O7146"/>
      <c r="P7146"/>
      <c r="Q7146"/>
      <c r="R7146"/>
      <c r="S7146"/>
    </row>
    <row r="7147" spans="13:19" ht="13.95" customHeight="1">
      <c r="M7147"/>
      <c r="N7147"/>
      <c r="O7147"/>
      <c r="P7147"/>
      <c r="Q7147"/>
      <c r="R7147"/>
      <c r="S7147"/>
    </row>
    <row r="7148" spans="13:19" ht="13.95" customHeight="1">
      <c r="M7148"/>
      <c r="N7148"/>
      <c r="O7148"/>
      <c r="P7148"/>
      <c r="Q7148"/>
      <c r="R7148"/>
      <c r="S7148"/>
    </row>
    <row r="7149" spans="13:19" ht="13.95" customHeight="1">
      <c r="M7149"/>
      <c r="N7149"/>
      <c r="O7149"/>
      <c r="P7149"/>
      <c r="Q7149"/>
      <c r="R7149"/>
      <c r="S7149"/>
    </row>
    <row r="7150" spans="13:19" ht="13.95" customHeight="1">
      <c r="M7150"/>
      <c r="N7150"/>
      <c r="O7150"/>
      <c r="P7150"/>
      <c r="Q7150"/>
      <c r="R7150"/>
      <c r="S7150"/>
    </row>
    <row r="7151" spans="13:19" ht="13.95" customHeight="1">
      <c r="M7151"/>
      <c r="N7151"/>
      <c r="O7151"/>
      <c r="P7151"/>
      <c r="Q7151"/>
      <c r="R7151"/>
      <c r="S7151"/>
    </row>
    <row r="7152" spans="13:19" ht="13.95" customHeight="1">
      <c r="M7152"/>
      <c r="N7152"/>
      <c r="O7152"/>
      <c r="P7152"/>
      <c r="Q7152"/>
      <c r="R7152"/>
      <c r="S7152"/>
    </row>
    <row r="7153" spans="13:19" ht="13.95" customHeight="1">
      <c r="M7153"/>
      <c r="N7153"/>
      <c r="O7153"/>
      <c r="P7153"/>
      <c r="Q7153"/>
      <c r="R7153"/>
      <c r="S7153"/>
    </row>
    <row r="7154" spans="13:19" ht="13.95" customHeight="1">
      <c r="M7154"/>
      <c r="N7154"/>
      <c r="O7154"/>
      <c r="P7154"/>
      <c r="Q7154"/>
      <c r="R7154"/>
      <c r="S7154"/>
    </row>
    <row r="7155" spans="13:19" ht="13.95" customHeight="1">
      <c r="M7155"/>
      <c r="N7155"/>
      <c r="O7155"/>
      <c r="P7155"/>
      <c r="Q7155"/>
      <c r="R7155"/>
      <c r="S7155"/>
    </row>
    <row r="7156" spans="13:19" ht="13.95" customHeight="1">
      <c r="M7156"/>
      <c r="N7156"/>
      <c r="O7156"/>
      <c r="P7156"/>
      <c r="Q7156"/>
      <c r="R7156"/>
      <c r="S7156"/>
    </row>
    <row r="7157" spans="13:19" ht="13.95" customHeight="1">
      <c r="M7157"/>
      <c r="N7157"/>
      <c r="O7157"/>
      <c r="P7157"/>
      <c r="Q7157"/>
      <c r="R7157"/>
      <c r="S7157"/>
    </row>
    <row r="7158" spans="13:19" ht="13.95" customHeight="1">
      <c r="M7158"/>
      <c r="N7158"/>
      <c r="O7158"/>
      <c r="P7158"/>
      <c r="Q7158"/>
      <c r="R7158"/>
      <c r="S7158"/>
    </row>
    <row r="7159" spans="13:19" ht="13.95" customHeight="1">
      <c r="M7159"/>
      <c r="N7159"/>
      <c r="O7159"/>
      <c r="P7159"/>
      <c r="Q7159"/>
      <c r="R7159"/>
      <c r="S7159"/>
    </row>
    <row r="7160" spans="13:19" ht="13.95" customHeight="1">
      <c r="M7160"/>
      <c r="N7160"/>
      <c r="O7160"/>
      <c r="P7160"/>
      <c r="Q7160"/>
      <c r="R7160"/>
      <c r="S7160"/>
    </row>
    <row r="7161" spans="13:19" ht="13.95" customHeight="1">
      <c r="M7161"/>
      <c r="N7161"/>
      <c r="O7161"/>
      <c r="P7161"/>
      <c r="Q7161"/>
      <c r="R7161"/>
      <c r="S7161"/>
    </row>
    <row r="7162" spans="13:19" ht="13.95" customHeight="1">
      <c r="M7162"/>
      <c r="N7162"/>
      <c r="O7162"/>
      <c r="P7162"/>
      <c r="Q7162"/>
      <c r="R7162"/>
      <c r="S7162"/>
    </row>
    <row r="7163" spans="13:19" ht="13.95" customHeight="1">
      <c r="M7163"/>
      <c r="N7163"/>
      <c r="O7163"/>
      <c r="P7163"/>
      <c r="Q7163"/>
      <c r="R7163"/>
      <c r="S7163"/>
    </row>
    <row r="7164" spans="13:19" ht="13.95" customHeight="1">
      <c r="M7164"/>
      <c r="N7164"/>
      <c r="O7164"/>
      <c r="P7164"/>
      <c r="Q7164"/>
      <c r="R7164"/>
      <c r="S7164"/>
    </row>
    <row r="7165" spans="13:19" ht="13.95" customHeight="1">
      <c r="M7165"/>
      <c r="N7165"/>
      <c r="O7165"/>
      <c r="P7165"/>
      <c r="Q7165"/>
      <c r="R7165"/>
      <c r="S7165"/>
    </row>
    <row r="7166" spans="13:19" ht="13.95" customHeight="1">
      <c r="M7166"/>
      <c r="N7166"/>
      <c r="O7166"/>
      <c r="P7166"/>
      <c r="Q7166"/>
      <c r="R7166"/>
      <c r="S7166"/>
    </row>
    <row r="7167" spans="13:19" ht="13.95" customHeight="1">
      <c r="M7167"/>
      <c r="N7167"/>
      <c r="O7167"/>
      <c r="P7167"/>
      <c r="Q7167"/>
      <c r="R7167"/>
      <c r="S7167"/>
    </row>
    <row r="7168" spans="13:19" ht="13.95" customHeight="1">
      <c r="M7168"/>
      <c r="N7168"/>
      <c r="O7168"/>
      <c r="P7168"/>
      <c r="Q7168"/>
      <c r="R7168"/>
      <c r="S7168"/>
    </row>
    <row r="7169" spans="13:19" ht="13.95" customHeight="1">
      <c r="M7169"/>
      <c r="N7169"/>
      <c r="O7169"/>
      <c r="P7169"/>
      <c r="Q7169"/>
      <c r="R7169"/>
      <c r="S7169"/>
    </row>
    <row r="7170" spans="13:19" ht="13.95" customHeight="1">
      <c r="M7170"/>
      <c r="N7170"/>
      <c r="O7170"/>
      <c r="P7170"/>
      <c r="Q7170"/>
      <c r="R7170"/>
      <c r="S7170"/>
    </row>
    <row r="7171" spans="13:19" ht="13.95" customHeight="1">
      <c r="M7171"/>
      <c r="N7171"/>
      <c r="O7171"/>
      <c r="P7171"/>
      <c r="Q7171"/>
      <c r="R7171"/>
      <c r="S7171"/>
    </row>
    <row r="7172" spans="13:19" ht="13.95" customHeight="1">
      <c r="M7172"/>
      <c r="N7172"/>
      <c r="O7172"/>
      <c r="P7172"/>
      <c r="Q7172"/>
      <c r="R7172"/>
      <c r="S7172"/>
    </row>
    <row r="7173" spans="13:19" ht="13.95" customHeight="1">
      <c r="M7173"/>
      <c r="N7173"/>
      <c r="O7173"/>
      <c r="P7173"/>
      <c r="Q7173"/>
      <c r="R7173"/>
      <c r="S7173"/>
    </row>
    <row r="7174" spans="13:19" ht="13.95" customHeight="1">
      <c r="M7174"/>
      <c r="N7174"/>
      <c r="O7174"/>
      <c r="P7174"/>
      <c r="Q7174"/>
      <c r="R7174"/>
      <c r="S7174"/>
    </row>
    <row r="7175" spans="13:19" ht="13.95" customHeight="1">
      <c r="M7175"/>
      <c r="N7175"/>
      <c r="O7175"/>
      <c r="P7175"/>
      <c r="Q7175"/>
      <c r="R7175"/>
      <c r="S7175"/>
    </row>
    <row r="7176" spans="13:19" ht="13.95" customHeight="1">
      <c r="M7176"/>
      <c r="N7176"/>
      <c r="O7176"/>
      <c r="P7176"/>
      <c r="Q7176"/>
      <c r="R7176"/>
      <c r="S7176"/>
    </row>
    <row r="7177" spans="13:19" ht="13.95" customHeight="1">
      <c r="M7177"/>
      <c r="N7177"/>
      <c r="O7177"/>
      <c r="P7177"/>
      <c r="Q7177"/>
      <c r="R7177"/>
      <c r="S7177"/>
    </row>
    <row r="7178" spans="13:19" ht="13.95" customHeight="1">
      <c r="M7178"/>
      <c r="N7178"/>
      <c r="O7178"/>
      <c r="P7178"/>
      <c r="Q7178"/>
      <c r="R7178"/>
      <c r="S7178"/>
    </row>
    <row r="7179" spans="13:19" ht="13.95" customHeight="1">
      <c r="M7179"/>
      <c r="N7179"/>
      <c r="O7179"/>
      <c r="P7179"/>
      <c r="Q7179"/>
      <c r="R7179"/>
      <c r="S7179"/>
    </row>
    <row r="7180" spans="13:19" ht="13.95" customHeight="1">
      <c r="M7180"/>
      <c r="N7180"/>
      <c r="O7180"/>
      <c r="P7180"/>
      <c r="Q7180"/>
      <c r="R7180"/>
      <c r="S7180"/>
    </row>
    <row r="7181" spans="13:19" ht="13.95" customHeight="1">
      <c r="M7181"/>
      <c r="N7181"/>
      <c r="O7181"/>
      <c r="P7181"/>
      <c r="Q7181"/>
      <c r="R7181"/>
      <c r="S7181"/>
    </row>
    <row r="7182" spans="13:19" ht="13.95" customHeight="1">
      <c r="M7182"/>
      <c r="N7182"/>
      <c r="O7182"/>
      <c r="P7182"/>
      <c r="Q7182"/>
      <c r="R7182"/>
      <c r="S7182"/>
    </row>
    <row r="7183" spans="13:19" ht="13.95" customHeight="1">
      <c r="M7183"/>
      <c r="N7183"/>
      <c r="O7183"/>
      <c r="P7183"/>
      <c r="Q7183"/>
      <c r="R7183"/>
      <c r="S7183"/>
    </row>
    <row r="7184" spans="13:19" ht="13.95" customHeight="1">
      <c r="M7184"/>
      <c r="N7184"/>
      <c r="O7184"/>
      <c r="P7184"/>
      <c r="Q7184"/>
      <c r="R7184"/>
      <c r="S7184"/>
    </row>
    <row r="7185" spans="13:19" ht="13.95" customHeight="1">
      <c r="M7185"/>
      <c r="N7185"/>
      <c r="O7185"/>
      <c r="P7185"/>
      <c r="Q7185"/>
      <c r="R7185"/>
      <c r="S7185"/>
    </row>
    <row r="7186" spans="13:19" ht="13.95" customHeight="1">
      <c r="M7186"/>
      <c r="N7186"/>
      <c r="O7186"/>
      <c r="P7186"/>
      <c r="Q7186"/>
      <c r="R7186"/>
      <c r="S7186"/>
    </row>
    <row r="7187" spans="13:19" ht="13.95" customHeight="1">
      <c r="M7187"/>
      <c r="N7187"/>
      <c r="O7187"/>
      <c r="P7187"/>
      <c r="Q7187"/>
      <c r="R7187"/>
      <c r="S7187"/>
    </row>
    <row r="7188" spans="13:19" ht="13.95" customHeight="1">
      <c r="M7188"/>
      <c r="N7188"/>
      <c r="O7188"/>
      <c r="P7188"/>
      <c r="Q7188"/>
      <c r="R7188"/>
      <c r="S7188"/>
    </row>
    <row r="7189" spans="13:19" ht="13.95" customHeight="1">
      <c r="M7189"/>
      <c r="N7189"/>
      <c r="O7189"/>
      <c r="P7189"/>
      <c r="Q7189"/>
      <c r="R7189"/>
      <c r="S7189"/>
    </row>
    <row r="7190" spans="13:19" ht="13.95" customHeight="1">
      <c r="M7190"/>
      <c r="N7190"/>
      <c r="O7190"/>
      <c r="P7190"/>
      <c r="Q7190"/>
      <c r="R7190"/>
      <c r="S7190"/>
    </row>
    <row r="7191" spans="13:19" ht="13.95" customHeight="1">
      <c r="M7191"/>
      <c r="N7191"/>
      <c r="O7191"/>
      <c r="P7191"/>
      <c r="Q7191"/>
      <c r="R7191"/>
      <c r="S7191"/>
    </row>
    <row r="7192" spans="13:19" ht="13.95" customHeight="1">
      <c r="M7192"/>
      <c r="N7192"/>
      <c r="O7192"/>
      <c r="P7192"/>
      <c r="Q7192"/>
      <c r="R7192"/>
      <c r="S7192"/>
    </row>
    <row r="7193" spans="13:19" ht="13.95" customHeight="1">
      <c r="M7193"/>
      <c r="N7193"/>
      <c r="O7193"/>
      <c r="P7193"/>
      <c r="Q7193"/>
      <c r="R7193"/>
      <c r="S7193"/>
    </row>
    <row r="7194" spans="13:19" ht="13.95" customHeight="1">
      <c r="M7194"/>
      <c r="N7194"/>
      <c r="O7194"/>
      <c r="P7194"/>
      <c r="Q7194"/>
      <c r="R7194"/>
      <c r="S7194"/>
    </row>
    <row r="7195" spans="13:19" ht="13.95" customHeight="1">
      <c r="M7195"/>
      <c r="N7195"/>
      <c r="O7195"/>
      <c r="P7195"/>
      <c r="Q7195"/>
      <c r="R7195"/>
      <c r="S7195"/>
    </row>
    <row r="7196" spans="13:19" ht="13.95" customHeight="1">
      <c r="M7196"/>
      <c r="N7196"/>
      <c r="O7196"/>
      <c r="P7196"/>
      <c r="Q7196"/>
      <c r="R7196"/>
      <c r="S7196"/>
    </row>
    <row r="7197" spans="13:19" ht="13.95" customHeight="1">
      <c r="M7197"/>
      <c r="N7197"/>
      <c r="O7197"/>
      <c r="P7197"/>
      <c r="Q7197"/>
      <c r="R7197"/>
      <c r="S7197"/>
    </row>
    <row r="7198" spans="13:19" ht="13.95" customHeight="1">
      <c r="M7198"/>
      <c r="N7198"/>
      <c r="O7198"/>
      <c r="P7198"/>
      <c r="Q7198"/>
      <c r="R7198"/>
      <c r="S7198"/>
    </row>
    <row r="7199" spans="13:19" ht="13.95" customHeight="1">
      <c r="M7199"/>
      <c r="N7199"/>
      <c r="O7199"/>
      <c r="P7199"/>
      <c r="Q7199"/>
      <c r="R7199"/>
      <c r="S7199"/>
    </row>
    <row r="7200" spans="13:19" ht="13.95" customHeight="1">
      <c r="M7200"/>
      <c r="N7200"/>
      <c r="O7200"/>
      <c r="P7200"/>
      <c r="Q7200"/>
      <c r="R7200"/>
      <c r="S7200"/>
    </row>
    <row r="7201" spans="13:19" ht="13.95" customHeight="1">
      <c r="M7201"/>
      <c r="N7201"/>
      <c r="O7201"/>
      <c r="P7201"/>
      <c r="Q7201"/>
      <c r="R7201"/>
      <c r="S7201"/>
    </row>
    <row r="7202" spans="13:19" ht="13.95" customHeight="1">
      <c r="M7202"/>
      <c r="N7202"/>
      <c r="O7202"/>
      <c r="P7202"/>
      <c r="Q7202"/>
      <c r="R7202"/>
      <c r="S7202"/>
    </row>
    <row r="7203" spans="13:19" ht="13.95" customHeight="1">
      <c r="M7203"/>
      <c r="N7203"/>
      <c r="O7203"/>
      <c r="P7203"/>
      <c r="Q7203"/>
      <c r="R7203"/>
      <c r="S7203"/>
    </row>
    <row r="7204" spans="13:19" ht="13.95" customHeight="1">
      <c r="M7204"/>
      <c r="N7204"/>
      <c r="O7204"/>
      <c r="P7204"/>
      <c r="Q7204"/>
      <c r="R7204"/>
      <c r="S7204"/>
    </row>
    <row r="7205" spans="13:19" ht="13.95" customHeight="1">
      <c r="M7205"/>
      <c r="N7205"/>
      <c r="O7205"/>
      <c r="P7205"/>
      <c r="Q7205"/>
      <c r="R7205"/>
      <c r="S7205"/>
    </row>
    <row r="7206" spans="13:19" ht="13.95" customHeight="1">
      <c r="M7206"/>
      <c r="N7206"/>
      <c r="O7206"/>
      <c r="P7206"/>
      <c r="Q7206"/>
      <c r="R7206"/>
      <c r="S7206"/>
    </row>
    <row r="7207" spans="13:19" ht="13.95" customHeight="1">
      <c r="M7207"/>
      <c r="N7207"/>
      <c r="O7207"/>
      <c r="P7207"/>
      <c r="Q7207"/>
      <c r="R7207"/>
      <c r="S7207"/>
    </row>
    <row r="7208" spans="13:19" ht="13.95" customHeight="1">
      <c r="M7208"/>
      <c r="N7208"/>
      <c r="O7208"/>
      <c r="P7208"/>
      <c r="Q7208"/>
      <c r="R7208"/>
      <c r="S7208"/>
    </row>
    <row r="7209" spans="13:19" ht="13.95" customHeight="1">
      <c r="M7209"/>
      <c r="N7209"/>
      <c r="O7209"/>
      <c r="P7209"/>
      <c r="Q7209"/>
      <c r="R7209"/>
      <c r="S7209"/>
    </row>
    <row r="7210" spans="13:19" ht="13.95" customHeight="1">
      <c r="M7210"/>
      <c r="N7210"/>
      <c r="O7210"/>
      <c r="P7210"/>
      <c r="Q7210"/>
      <c r="R7210"/>
      <c r="S7210"/>
    </row>
    <row r="7211" spans="13:19" ht="13.95" customHeight="1">
      <c r="M7211"/>
      <c r="N7211"/>
      <c r="O7211"/>
      <c r="P7211"/>
      <c r="Q7211"/>
      <c r="R7211"/>
      <c r="S7211"/>
    </row>
    <row r="7212" spans="13:19" ht="13.95" customHeight="1">
      <c r="M7212"/>
      <c r="N7212"/>
      <c r="O7212"/>
      <c r="P7212"/>
      <c r="Q7212"/>
      <c r="R7212"/>
      <c r="S7212"/>
    </row>
    <row r="7213" spans="13:19" ht="13.95" customHeight="1">
      <c r="M7213"/>
      <c r="N7213"/>
      <c r="O7213"/>
      <c r="P7213"/>
      <c r="Q7213"/>
      <c r="R7213"/>
      <c r="S7213"/>
    </row>
    <row r="7214" spans="13:19" ht="13.95" customHeight="1">
      <c r="M7214"/>
      <c r="N7214"/>
      <c r="O7214"/>
      <c r="P7214"/>
      <c r="Q7214"/>
      <c r="R7214"/>
      <c r="S7214"/>
    </row>
    <row r="7215" spans="13:19" ht="13.95" customHeight="1">
      <c r="M7215"/>
      <c r="N7215"/>
      <c r="O7215"/>
      <c r="P7215"/>
      <c r="Q7215"/>
      <c r="R7215"/>
      <c r="S7215"/>
    </row>
    <row r="7216" spans="13:19" ht="13.95" customHeight="1">
      <c r="M7216"/>
      <c r="N7216"/>
      <c r="O7216"/>
      <c r="P7216"/>
      <c r="Q7216"/>
      <c r="R7216"/>
      <c r="S7216"/>
    </row>
    <row r="7217" spans="13:19" ht="13.95" customHeight="1">
      <c r="M7217"/>
      <c r="N7217"/>
      <c r="O7217"/>
      <c r="P7217"/>
      <c r="Q7217"/>
      <c r="R7217"/>
      <c r="S7217"/>
    </row>
    <row r="7218" spans="13:19" ht="13.95" customHeight="1">
      <c r="M7218"/>
      <c r="N7218"/>
      <c r="O7218"/>
      <c r="P7218"/>
      <c r="Q7218"/>
      <c r="R7218"/>
      <c r="S7218"/>
    </row>
    <row r="7219" spans="13:19" ht="13.95" customHeight="1">
      <c r="M7219"/>
      <c r="N7219"/>
      <c r="O7219"/>
      <c r="P7219"/>
      <c r="Q7219"/>
      <c r="R7219"/>
      <c r="S7219"/>
    </row>
    <row r="7220" spans="13:19" ht="13.95" customHeight="1">
      <c r="M7220"/>
      <c r="N7220"/>
      <c r="O7220"/>
      <c r="P7220"/>
      <c r="Q7220"/>
      <c r="R7220"/>
      <c r="S7220"/>
    </row>
    <row r="7221" spans="13:19" ht="13.95" customHeight="1">
      <c r="M7221"/>
      <c r="N7221"/>
      <c r="O7221"/>
      <c r="P7221"/>
      <c r="Q7221"/>
      <c r="R7221"/>
      <c r="S7221"/>
    </row>
    <row r="7222" spans="13:19" ht="13.95" customHeight="1">
      <c r="M7222"/>
      <c r="N7222"/>
      <c r="O7222"/>
      <c r="P7222"/>
      <c r="Q7222"/>
      <c r="R7222"/>
      <c r="S7222"/>
    </row>
    <row r="7223" spans="13:19" ht="13.95" customHeight="1">
      <c r="M7223"/>
      <c r="N7223"/>
      <c r="O7223"/>
      <c r="P7223"/>
      <c r="Q7223"/>
      <c r="R7223"/>
      <c r="S7223"/>
    </row>
    <row r="7224" spans="13:19" ht="13.95" customHeight="1">
      <c r="M7224"/>
      <c r="N7224"/>
      <c r="O7224"/>
      <c r="P7224"/>
      <c r="Q7224"/>
      <c r="R7224"/>
      <c r="S7224"/>
    </row>
    <row r="7225" spans="13:19" ht="13.95" customHeight="1">
      <c r="M7225"/>
      <c r="N7225"/>
      <c r="O7225"/>
      <c r="P7225"/>
      <c r="Q7225"/>
      <c r="R7225"/>
      <c r="S7225"/>
    </row>
    <row r="7226" spans="13:19" ht="13.95" customHeight="1">
      <c r="M7226"/>
      <c r="N7226"/>
      <c r="O7226"/>
      <c r="P7226"/>
      <c r="Q7226"/>
      <c r="R7226"/>
      <c r="S7226"/>
    </row>
    <row r="7227" spans="13:19" ht="13.95" customHeight="1">
      <c r="M7227"/>
      <c r="N7227"/>
      <c r="O7227"/>
      <c r="P7227"/>
      <c r="Q7227"/>
      <c r="R7227"/>
      <c r="S7227"/>
    </row>
    <row r="7228" spans="13:19" ht="13.95" customHeight="1">
      <c r="M7228"/>
      <c r="N7228"/>
      <c r="O7228"/>
      <c r="P7228"/>
      <c r="Q7228"/>
      <c r="R7228"/>
      <c r="S7228"/>
    </row>
    <row r="7229" spans="13:19" ht="13.95" customHeight="1">
      <c r="M7229"/>
      <c r="N7229"/>
      <c r="O7229"/>
      <c r="P7229"/>
      <c r="Q7229"/>
      <c r="R7229"/>
      <c r="S7229"/>
    </row>
    <row r="7230" spans="13:19" ht="13.95" customHeight="1">
      <c r="M7230"/>
      <c r="N7230"/>
      <c r="O7230"/>
      <c r="P7230"/>
      <c r="Q7230"/>
      <c r="R7230"/>
      <c r="S7230"/>
    </row>
    <row r="7231" spans="13:19" ht="13.95" customHeight="1">
      <c r="M7231"/>
      <c r="N7231"/>
      <c r="O7231"/>
      <c r="P7231"/>
      <c r="Q7231"/>
      <c r="R7231"/>
      <c r="S7231"/>
    </row>
    <row r="7232" spans="13:19" ht="13.95" customHeight="1">
      <c r="M7232"/>
      <c r="N7232"/>
      <c r="O7232"/>
      <c r="P7232"/>
      <c r="Q7232"/>
      <c r="R7232"/>
      <c r="S7232"/>
    </row>
    <row r="7233" spans="13:19" ht="13.95" customHeight="1">
      <c r="M7233"/>
      <c r="N7233"/>
      <c r="O7233"/>
      <c r="P7233"/>
      <c r="Q7233"/>
      <c r="R7233"/>
      <c r="S7233"/>
    </row>
    <row r="7234" spans="13:19" ht="13.95" customHeight="1">
      <c r="M7234"/>
      <c r="N7234"/>
      <c r="O7234"/>
      <c r="P7234"/>
      <c r="Q7234"/>
      <c r="R7234"/>
      <c r="S7234"/>
    </row>
    <row r="7235" spans="13:19" ht="13.95" customHeight="1">
      <c r="M7235"/>
      <c r="N7235"/>
      <c r="O7235"/>
      <c r="P7235"/>
      <c r="Q7235"/>
      <c r="R7235"/>
      <c r="S7235"/>
    </row>
    <row r="7236" spans="13:19" ht="13.95" customHeight="1">
      <c r="M7236"/>
      <c r="N7236"/>
      <c r="O7236"/>
      <c r="P7236"/>
      <c r="Q7236"/>
      <c r="R7236"/>
      <c r="S7236"/>
    </row>
    <row r="7237" spans="13:19" ht="13.95" customHeight="1">
      <c r="M7237"/>
      <c r="N7237"/>
      <c r="O7237"/>
      <c r="P7237"/>
      <c r="Q7237"/>
      <c r="R7237"/>
      <c r="S7237"/>
    </row>
    <row r="7238" spans="13:19" ht="13.95" customHeight="1">
      <c r="M7238"/>
      <c r="N7238"/>
      <c r="O7238"/>
      <c r="P7238"/>
      <c r="Q7238"/>
      <c r="R7238"/>
      <c r="S7238"/>
    </row>
    <row r="7239" spans="13:19" ht="13.95" customHeight="1">
      <c r="M7239"/>
      <c r="N7239"/>
      <c r="O7239"/>
      <c r="P7239"/>
      <c r="Q7239"/>
      <c r="R7239"/>
      <c r="S7239"/>
    </row>
    <row r="7240" spans="13:19" ht="13.95" customHeight="1">
      <c r="M7240"/>
      <c r="N7240"/>
      <c r="O7240"/>
      <c r="P7240"/>
      <c r="Q7240"/>
      <c r="R7240"/>
      <c r="S7240"/>
    </row>
    <row r="7241" spans="13:19" ht="13.95" customHeight="1">
      <c r="M7241"/>
      <c r="N7241"/>
      <c r="O7241"/>
      <c r="P7241"/>
      <c r="Q7241"/>
      <c r="R7241"/>
      <c r="S7241"/>
    </row>
    <row r="7242" spans="13:19" ht="13.95" customHeight="1">
      <c r="M7242"/>
      <c r="N7242"/>
      <c r="O7242"/>
      <c r="P7242"/>
      <c r="Q7242"/>
      <c r="R7242"/>
      <c r="S7242"/>
    </row>
    <row r="7243" spans="13:19" ht="13.95" customHeight="1">
      <c r="M7243"/>
      <c r="N7243"/>
      <c r="O7243"/>
      <c r="P7243"/>
      <c r="Q7243"/>
      <c r="R7243"/>
      <c r="S7243"/>
    </row>
    <row r="7244" spans="13:19" ht="13.95" customHeight="1">
      <c r="M7244"/>
      <c r="N7244"/>
      <c r="O7244"/>
      <c r="P7244"/>
      <c r="Q7244"/>
      <c r="R7244"/>
      <c r="S7244"/>
    </row>
    <row r="7245" spans="13:19" ht="13.95" customHeight="1">
      <c r="M7245"/>
      <c r="N7245"/>
      <c r="O7245"/>
      <c r="P7245"/>
      <c r="Q7245"/>
      <c r="R7245"/>
      <c r="S7245"/>
    </row>
    <row r="7246" spans="13:19" ht="13.95" customHeight="1">
      <c r="M7246"/>
      <c r="N7246"/>
      <c r="O7246"/>
      <c r="P7246"/>
      <c r="Q7246"/>
      <c r="R7246"/>
      <c r="S7246"/>
    </row>
    <row r="7247" spans="13:19" ht="13.95" customHeight="1">
      <c r="M7247"/>
      <c r="N7247"/>
      <c r="O7247"/>
      <c r="P7247"/>
      <c r="Q7247"/>
      <c r="R7247"/>
      <c r="S7247"/>
    </row>
    <row r="7248" spans="13:19" ht="13.95" customHeight="1">
      <c r="M7248"/>
      <c r="N7248"/>
      <c r="O7248"/>
      <c r="P7248"/>
      <c r="Q7248"/>
      <c r="R7248"/>
      <c r="S7248"/>
    </row>
    <row r="7249" spans="13:19" ht="13.95" customHeight="1">
      <c r="M7249"/>
      <c r="N7249"/>
      <c r="O7249"/>
      <c r="P7249"/>
      <c r="Q7249"/>
      <c r="R7249"/>
      <c r="S7249"/>
    </row>
    <row r="7250" spans="13:19" ht="13.95" customHeight="1">
      <c r="M7250"/>
      <c r="N7250"/>
      <c r="O7250"/>
      <c r="P7250"/>
      <c r="Q7250"/>
      <c r="R7250"/>
      <c r="S7250"/>
    </row>
    <row r="7251" spans="13:19" ht="13.95" customHeight="1">
      <c r="M7251"/>
      <c r="N7251"/>
      <c r="O7251"/>
      <c r="P7251"/>
      <c r="Q7251"/>
      <c r="R7251"/>
      <c r="S7251"/>
    </row>
    <row r="7252" spans="13:19" ht="13.95" customHeight="1">
      <c r="M7252"/>
      <c r="N7252"/>
      <c r="O7252"/>
      <c r="P7252"/>
      <c r="Q7252"/>
      <c r="R7252"/>
      <c r="S7252"/>
    </row>
    <row r="7253" spans="13:19" ht="13.95" customHeight="1">
      <c r="M7253"/>
      <c r="N7253"/>
      <c r="O7253"/>
      <c r="P7253"/>
      <c r="Q7253"/>
      <c r="R7253"/>
      <c r="S7253"/>
    </row>
    <row r="7254" spans="13:19" ht="13.95" customHeight="1">
      <c r="M7254"/>
      <c r="N7254"/>
      <c r="O7254"/>
      <c r="P7254"/>
      <c r="Q7254"/>
      <c r="R7254"/>
      <c r="S7254"/>
    </row>
    <row r="7255" spans="13:19" ht="13.95" customHeight="1">
      <c r="M7255"/>
      <c r="N7255"/>
      <c r="O7255"/>
      <c r="P7255"/>
      <c r="Q7255"/>
      <c r="R7255"/>
      <c r="S7255"/>
    </row>
    <row r="7256" spans="13:19" ht="13.95" customHeight="1">
      <c r="M7256"/>
      <c r="N7256"/>
      <c r="O7256"/>
      <c r="P7256"/>
      <c r="Q7256"/>
      <c r="R7256"/>
      <c r="S7256"/>
    </row>
    <row r="7257" spans="13:19" ht="13.95" customHeight="1">
      <c r="M7257"/>
      <c r="N7257"/>
      <c r="O7257"/>
      <c r="P7257"/>
      <c r="Q7257"/>
      <c r="R7257"/>
      <c r="S7257"/>
    </row>
    <row r="7258" spans="13:19" ht="13.95" customHeight="1">
      <c r="M7258"/>
      <c r="N7258"/>
      <c r="O7258"/>
      <c r="P7258"/>
      <c r="Q7258"/>
      <c r="R7258"/>
      <c r="S7258"/>
    </row>
    <row r="7259" spans="13:19" ht="13.95" customHeight="1">
      <c r="M7259"/>
      <c r="N7259"/>
      <c r="O7259"/>
      <c r="P7259"/>
      <c r="Q7259"/>
      <c r="R7259"/>
      <c r="S7259"/>
    </row>
    <row r="7260" spans="13:19" ht="13.95" customHeight="1">
      <c r="M7260"/>
      <c r="N7260"/>
      <c r="O7260"/>
      <c r="P7260"/>
      <c r="Q7260"/>
      <c r="R7260"/>
      <c r="S7260"/>
    </row>
    <row r="7261" spans="13:19" ht="13.95" customHeight="1">
      <c r="M7261"/>
      <c r="N7261"/>
      <c r="O7261"/>
      <c r="P7261"/>
      <c r="Q7261"/>
      <c r="R7261"/>
      <c r="S7261"/>
    </row>
    <row r="7262" spans="13:19" ht="13.95" customHeight="1">
      <c r="M7262"/>
      <c r="N7262"/>
      <c r="O7262"/>
      <c r="P7262"/>
      <c r="Q7262"/>
      <c r="R7262"/>
      <c r="S7262"/>
    </row>
    <row r="7263" spans="13:19" ht="13.95" customHeight="1">
      <c r="M7263"/>
      <c r="N7263"/>
      <c r="O7263"/>
      <c r="P7263"/>
      <c r="Q7263"/>
      <c r="R7263"/>
      <c r="S7263"/>
    </row>
    <row r="7264" spans="13:19" ht="13.95" customHeight="1">
      <c r="M7264"/>
      <c r="N7264"/>
      <c r="O7264"/>
      <c r="P7264"/>
      <c r="Q7264"/>
      <c r="R7264"/>
      <c r="S7264"/>
    </row>
    <row r="7265" spans="13:19" ht="13.95" customHeight="1">
      <c r="M7265"/>
      <c r="N7265"/>
      <c r="O7265"/>
      <c r="P7265"/>
      <c r="Q7265"/>
      <c r="R7265"/>
      <c r="S7265"/>
    </row>
    <row r="7266" spans="13:19" ht="13.95" customHeight="1">
      <c r="M7266"/>
      <c r="N7266"/>
      <c r="O7266"/>
      <c r="P7266"/>
      <c r="Q7266"/>
      <c r="R7266"/>
      <c r="S7266"/>
    </row>
    <row r="7267" spans="13:19" ht="13.95" customHeight="1">
      <c r="M7267"/>
      <c r="N7267"/>
      <c r="O7267"/>
      <c r="P7267"/>
      <c r="Q7267"/>
      <c r="R7267"/>
      <c r="S7267"/>
    </row>
    <row r="7268" spans="13:19" ht="13.95" customHeight="1">
      <c r="M7268"/>
      <c r="N7268"/>
      <c r="O7268"/>
      <c r="P7268"/>
      <c r="Q7268"/>
      <c r="R7268"/>
      <c r="S7268"/>
    </row>
    <row r="7269" spans="13:19" ht="13.95" customHeight="1">
      <c r="M7269"/>
      <c r="N7269"/>
      <c r="O7269"/>
      <c r="P7269"/>
      <c r="Q7269"/>
      <c r="R7269"/>
      <c r="S7269"/>
    </row>
    <row r="7270" spans="13:19" ht="13.95" customHeight="1">
      <c r="M7270"/>
      <c r="N7270"/>
      <c r="O7270"/>
      <c r="P7270"/>
      <c r="Q7270"/>
      <c r="R7270"/>
      <c r="S7270"/>
    </row>
    <row r="7271" spans="13:19" ht="13.95" customHeight="1">
      <c r="M7271"/>
      <c r="N7271"/>
      <c r="O7271"/>
      <c r="P7271"/>
      <c r="Q7271"/>
      <c r="R7271"/>
      <c r="S7271"/>
    </row>
    <row r="7272" spans="13:19" ht="13.95" customHeight="1">
      <c r="M7272"/>
      <c r="N7272"/>
      <c r="O7272"/>
      <c r="P7272"/>
      <c r="Q7272"/>
      <c r="R7272"/>
      <c r="S7272"/>
    </row>
    <row r="7273" spans="13:19" ht="13.95" customHeight="1">
      <c r="M7273"/>
      <c r="N7273"/>
      <c r="O7273"/>
      <c r="P7273"/>
      <c r="Q7273"/>
      <c r="R7273"/>
      <c r="S7273"/>
    </row>
    <row r="7274" spans="13:19" ht="13.95" customHeight="1">
      <c r="M7274"/>
      <c r="N7274"/>
      <c r="O7274"/>
      <c r="P7274"/>
      <c r="Q7274"/>
      <c r="R7274"/>
      <c r="S7274"/>
    </row>
    <row r="7275" spans="13:19" ht="13.95" customHeight="1">
      <c r="M7275"/>
      <c r="N7275"/>
      <c r="O7275"/>
      <c r="P7275"/>
      <c r="Q7275"/>
      <c r="R7275"/>
      <c r="S7275"/>
    </row>
    <row r="7276" spans="13:19" ht="13.95" customHeight="1">
      <c r="M7276"/>
      <c r="N7276"/>
      <c r="O7276"/>
      <c r="P7276"/>
      <c r="Q7276"/>
      <c r="R7276"/>
      <c r="S7276"/>
    </row>
    <row r="7277" spans="13:19" ht="13.95" customHeight="1">
      <c r="M7277"/>
      <c r="N7277"/>
      <c r="O7277"/>
      <c r="P7277"/>
      <c r="Q7277"/>
      <c r="R7277"/>
      <c r="S7277"/>
    </row>
    <row r="7278" spans="13:19" ht="13.95" customHeight="1">
      <c r="M7278"/>
      <c r="N7278"/>
      <c r="O7278"/>
      <c r="P7278"/>
      <c r="Q7278"/>
      <c r="R7278"/>
      <c r="S7278"/>
    </row>
    <row r="7279" spans="13:19" ht="13.95" customHeight="1">
      <c r="M7279"/>
      <c r="N7279"/>
      <c r="O7279"/>
      <c r="P7279"/>
      <c r="Q7279"/>
      <c r="R7279"/>
      <c r="S7279"/>
    </row>
    <row r="7280" spans="13:19" ht="13.95" customHeight="1">
      <c r="M7280"/>
      <c r="N7280"/>
      <c r="O7280"/>
      <c r="P7280"/>
      <c r="Q7280"/>
      <c r="R7280"/>
      <c r="S7280"/>
    </row>
    <row r="7281" spans="13:19" ht="13.95" customHeight="1">
      <c r="M7281"/>
      <c r="N7281"/>
      <c r="O7281"/>
      <c r="P7281"/>
      <c r="Q7281"/>
      <c r="R7281"/>
      <c r="S7281"/>
    </row>
    <row r="7282" spans="13:19" ht="13.95" customHeight="1">
      <c r="M7282"/>
      <c r="N7282"/>
      <c r="O7282"/>
      <c r="P7282"/>
      <c r="Q7282"/>
      <c r="R7282"/>
      <c r="S7282"/>
    </row>
    <row r="7283" spans="13:19" ht="13.95" customHeight="1">
      <c r="M7283"/>
      <c r="N7283"/>
      <c r="O7283"/>
      <c r="P7283"/>
      <c r="Q7283"/>
      <c r="R7283"/>
      <c r="S7283"/>
    </row>
    <row r="7284" spans="13:19" ht="13.95" customHeight="1">
      <c r="M7284"/>
      <c r="N7284"/>
      <c r="O7284"/>
      <c r="P7284"/>
      <c r="Q7284"/>
      <c r="R7284"/>
      <c r="S7284"/>
    </row>
    <row r="7285" spans="13:19" ht="13.95" customHeight="1">
      <c r="M7285"/>
      <c r="N7285"/>
      <c r="O7285"/>
      <c r="P7285"/>
      <c r="Q7285"/>
      <c r="R7285"/>
      <c r="S7285"/>
    </row>
    <row r="7286" spans="13:19" ht="13.95" customHeight="1">
      <c r="M7286"/>
      <c r="N7286"/>
      <c r="O7286"/>
      <c r="P7286"/>
      <c r="Q7286"/>
      <c r="R7286"/>
      <c r="S7286"/>
    </row>
    <row r="7287" spans="13:19" ht="13.95" customHeight="1">
      <c r="M7287"/>
      <c r="N7287"/>
      <c r="O7287"/>
      <c r="P7287"/>
      <c r="Q7287"/>
      <c r="R7287"/>
      <c r="S7287"/>
    </row>
    <row r="7288" spans="13:19" ht="13.95" customHeight="1">
      <c r="M7288"/>
      <c r="N7288"/>
      <c r="O7288"/>
      <c r="P7288"/>
      <c r="Q7288"/>
      <c r="R7288"/>
      <c r="S7288"/>
    </row>
    <row r="7289" spans="13:19" ht="13.95" customHeight="1">
      <c r="M7289"/>
      <c r="N7289"/>
      <c r="O7289"/>
      <c r="P7289"/>
      <c r="Q7289"/>
      <c r="R7289"/>
      <c r="S7289"/>
    </row>
    <row r="7290" spans="13:19" ht="13.95" customHeight="1">
      <c r="M7290"/>
      <c r="N7290"/>
      <c r="O7290"/>
      <c r="P7290"/>
      <c r="Q7290"/>
      <c r="R7290"/>
      <c r="S7290"/>
    </row>
    <row r="7291" spans="13:19" ht="13.95" customHeight="1">
      <c r="M7291"/>
      <c r="N7291"/>
      <c r="O7291"/>
      <c r="P7291"/>
      <c r="Q7291"/>
      <c r="R7291"/>
      <c r="S7291"/>
    </row>
    <row r="7292" spans="13:19" ht="13.95" customHeight="1">
      <c r="M7292"/>
      <c r="N7292"/>
      <c r="O7292"/>
      <c r="P7292"/>
      <c r="Q7292"/>
      <c r="R7292"/>
      <c r="S7292"/>
    </row>
    <row r="7293" spans="13:19" ht="13.95" customHeight="1">
      <c r="M7293"/>
      <c r="N7293"/>
      <c r="O7293"/>
      <c r="P7293"/>
      <c r="Q7293"/>
      <c r="R7293"/>
      <c r="S7293"/>
    </row>
    <row r="7294" spans="13:19" ht="13.95" customHeight="1">
      <c r="M7294"/>
      <c r="N7294"/>
      <c r="O7294"/>
      <c r="P7294"/>
      <c r="Q7294"/>
      <c r="R7294"/>
      <c r="S7294"/>
    </row>
    <row r="7295" spans="13:19" ht="13.95" customHeight="1">
      <c r="M7295"/>
      <c r="N7295"/>
      <c r="O7295"/>
      <c r="P7295"/>
      <c r="Q7295"/>
      <c r="R7295"/>
      <c r="S7295"/>
    </row>
    <row r="7296" spans="13:19" ht="13.95" customHeight="1">
      <c r="M7296"/>
      <c r="N7296"/>
      <c r="O7296"/>
      <c r="P7296"/>
      <c r="Q7296"/>
      <c r="R7296"/>
      <c r="S7296"/>
    </row>
    <row r="7297" spans="13:19" ht="13.95" customHeight="1">
      <c r="M7297"/>
      <c r="N7297"/>
      <c r="O7297"/>
      <c r="P7297"/>
      <c r="Q7297"/>
      <c r="R7297"/>
      <c r="S7297"/>
    </row>
    <row r="7298" spans="13:19" ht="13.95" customHeight="1">
      <c r="M7298"/>
      <c r="N7298"/>
      <c r="O7298"/>
      <c r="P7298"/>
      <c r="Q7298"/>
      <c r="R7298"/>
      <c r="S7298"/>
    </row>
    <row r="7299" spans="13:19" ht="13.95" customHeight="1">
      <c r="M7299"/>
      <c r="N7299"/>
      <c r="O7299"/>
      <c r="P7299"/>
      <c r="Q7299"/>
      <c r="R7299"/>
      <c r="S7299"/>
    </row>
    <row r="7300" spans="13:19" ht="13.95" customHeight="1">
      <c r="M7300"/>
      <c r="N7300"/>
      <c r="O7300"/>
      <c r="P7300"/>
      <c r="Q7300"/>
      <c r="R7300"/>
      <c r="S7300"/>
    </row>
    <row r="7301" spans="13:19" ht="13.95" customHeight="1">
      <c r="M7301"/>
      <c r="N7301"/>
      <c r="O7301"/>
      <c r="P7301"/>
      <c r="Q7301"/>
      <c r="R7301"/>
      <c r="S7301"/>
    </row>
    <row r="7302" spans="13:19" ht="13.95" customHeight="1">
      <c r="M7302"/>
      <c r="N7302"/>
      <c r="O7302"/>
      <c r="P7302"/>
      <c r="Q7302"/>
      <c r="R7302"/>
      <c r="S7302"/>
    </row>
    <row r="7303" spans="13:19" ht="13.95" customHeight="1">
      <c r="M7303"/>
      <c r="N7303"/>
      <c r="O7303"/>
      <c r="P7303"/>
      <c r="Q7303"/>
      <c r="R7303"/>
      <c r="S7303"/>
    </row>
    <row r="7304" spans="13:19" ht="13.95" customHeight="1">
      <c r="M7304"/>
      <c r="N7304"/>
      <c r="O7304"/>
      <c r="P7304"/>
      <c r="Q7304"/>
      <c r="R7304"/>
      <c r="S7304"/>
    </row>
    <row r="7305" spans="13:19" ht="13.95" customHeight="1">
      <c r="M7305"/>
      <c r="N7305"/>
      <c r="O7305"/>
      <c r="P7305"/>
      <c r="Q7305"/>
      <c r="R7305"/>
      <c r="S7305"/>
    </row>
    <row r="7306" spans="13:19" ht="13.95" customHeight="1">
      <c r="M7306"/>
      <c r="N7306"/>
      <c r="O7306"/>
      <c r="P7306"/>
      <c r="Q7306"/>
      <c r="R7306"/>
      <c r="S7306"/>
    </row>
    <row r="7307" spans="13:19" ht="13.95" customHeight="1">
      <c r="M7307"/>
      <c r="N7307"/>
      <c r="O7307"/>
      <c r="P7307"/>
      <c r="Q7307"/>
      <c r="R7307"/>
      <c r="S7307"/>
    </row>
    <row r="7308" spans="13:19" ht="13.95" customHeight="1">
      <c r="M7308"/>
      <c r="N7308"/>
      <c r="O7308"/>
      <c r="P7308"/>
      <c r="Q7308"/>
      <c r="R7308"/>
      <c r="S7308"/>
    </row>
    <row r="7309" spans="13:19" ht="13.95" customHeight="1">
      <c r="M7309"/>
      <c r="N7309"/>
      <c r="O7309"/>
      <c r="P7309"/>
      <c r="Q7309"/>
      <c r="R7309"/>
      <c r="S7309"/>
    </row>
    <row r="7310" spans="13:19" ht="13.95" customHeight="1">
      <c r="M7310"/>
      <c r="N7310"/>
      <c r="O7310"/>
      <c r="P7310"/>
      <c r="Q7310"/>
      <c r="R7310"/>
      <c r="S7310"/>
    </row>
    <row r="7311" spans="13:19" ht="13.95" customHeight="1">
      <c r="M7311"/>
      <c r="N7311"/>
      <c r="O7311"/>
      <c r="P7311"/>
      <c r="Q7311"/>
      <c r="R7311"/>
      <c r="S7311"/>
    </row>
    <row r="7312" spans="13:19" ht="13.95" customHeight="1">
      <c r="M7312"/>
      <c r="N7312"/>
      <c r="O7312"/>
      <c r="P7312"/>
      <c r="Q7312"/>
      <c r="R7312"/>
      <c r="S7312"/>
    </row>
    <row r="7313" spans="13:19" ht="13.95" customHeight="1">
      <c r="M7313"/>
      <c r="N7313"/>
      <c r="O7313"/>
      <c r="P7313"/>
      <c r="Q7313"/>
      <c r="R7313"/>
      <c r="S7313"/>
    </row>
    <row r="7314" spans="13:19" ht="13.95" customHeight="1">
      <c r="M7314"/>
      <c r="N7314"/>
      <c r="O7314"/>
      <c r="P7314"/>
      <c r="Q7314"/>
      <c r="R7314"/>
      <c r="S7314"/>
    </row>
    <row r="7315" spans="13:19" ht="13.95" customHeight="1">
      <c r="M7315"/>
      <c r="N7315"/>
      <c r="O7315"/>
      <c r="P7315"/>
      <c r="Q7315"/>
      <c r="R7315"/>
      <c r="S7315"/>
    </row>
    <row r="7316" spans="13:19" ht="13.95" customHeight="1">
      <c r="M7316"/>
      <c r="N7316"/>
      <c r="O7316"/>
      <c r="P7316"/>
      <c r="Q7316"/>
      <c r="R7316"/>
      <c r="S7316"/>
    </row>
    <row r="7317" spans="13:19" ht="13.95" customHeight="1">
      <c r="M7317"/>
      <c r="N7317"/>
      <c r="O7317"/>
      <c r="P7317"/>
      <c r="Q7317"/>
      <c r="R7317"/>
      <c r="S7317"/>
    </row>
    <row r="7318" spans="13:19" ht="13.95" customHeight="1">
      <c r="M7318"/>
      <c r="N7318"/>
      <c r="O7318"/>
      <c r="P7318"/>
      <c r="Q7318"/>
      <c r="R7318"/>
      <c r="S7318"/>
    </row>
    <row r="7319" spans="13:19" ht="13.95" customHeight="1">
      <c r="M7319"/>
      <c r="N7319"/>
      <c r="O7319"/>
      <c r="P7319"/>
      <c r="Q7319"/>
      <c r="R7319"/>
      <c r="S7319"/>
    </row>
    <row r="7320" spans="13:19" ht="13.95" customHeight="1">
      <c r="M7320"/>
      <c r="N7320"/>
      <c r="O7320"/>
      <c r="P7320"/>
      <c r="Q7320"/>
      <c r="R7320"/>
      <c r="S7320"/>
    </row>
    <row r="7321" spans="13:19" ht="13.95" customHeight="1">
      <c r="M7321"/>
      <c r="N7321"/>
      <c r="O7321"/>
      <c r="P7321"/>
      <c r="Q7321"/>
      <c r="R7321"/>
      <c r="S7321"/>
    </row>
    <row r="7322" spans="13:19" ht="13.95" customHeight="1">
      <c r="M7322"/>
      <c r="N7322"/>
      <c r="O7322"/>
      <c r="P7322"/>
      <c r="Q7322"/>
      <c r="R7322"/>
      <c r="S7322"/>
    </row>
    <row r="7323" spans="13:19" ht="13.95" customHeight="1">
      <c r="M7323"/>
      <c r="N7323"/>
      <c r="O7323"/>
      <c r="P7323"/>
      <c r="Q7323"/>
      <c r="R7323"/>
      <c r="S7323"/>
    </row>
    <row r="7324" spans="13:19" ht="13.95" customHeight="1">
      <c r="M7324"/>
      <c r="N7324"/>
      <c r="O7324"/>
      <c r="P7324"/>
      <c r="Q7324"/>
      <c r="R7324"/>
      <c r="S7324"/>
    </row>
    <row r="7325" spans="13:19" ht="13.95" customHeight="1">
      <c r="M7325"/>
      <c r="N7325"/>
      <c r="O7325"/>
      <c r="P7325"/>
      <c r="Q7325"/>
      <c r="R7325"/>
      <c r="S7325"/>
    </row>
    <row r="7326" spans="13:19" ht="13.95" customHeight="1">
      <c r="M7326"/>
      <c r="N7326"/>
      <c r="O7326"/>
      <c r="P7326"/>
      <c r="Q7326"/>
      <c r="R7326"/>
      <c r="S7326"/>
    </row>
    <row r="7327" spans="13:19" ht="13.95" customHeight="1">
      <c r="M7327"/>
      <c r="N7327"/>
      <c r="O7327"/>
      <c r="P7327"/>
      <c r="Q7327"/>
      <c r="R7327"/>
      <c r="S7327"/>
    </row>
    <row r="7328" spans="13:19" ht="13.95" customHeight="1">
      <c r="M7328"/>
      <c r="N7328"/>
      <c r="O7328"/>
      <c r="P7328"/>
      <c r="Q7328"/>
      <c r="R7328"/>
      <c r="S7328"/>
    </row>
    <row r="7329" spans="13:19" ht="13.95" customHeight="1">
      <c r="M7329"/>
      <c r="N7329"/>
      <c r="O7329"/>
      <c r="P7329"/>
      <c r="Q7329"/>
      <c r="R7329"/>
      <c r="S7329"/>
    </row>
    <row r="7330" spans="13:19" ht="13.95" customHeight="1">
      <c r="M7330"/>
      <c r="N7330"/>
      <c r="O7330"/>
      <c r="P7330"/>
      <c r="Q7330"/>
      <c r="R7330"/>
      <c r="S7330"/>
    </row>
    <row r="7331" spans="13:19" ht="13.95" customHeight="1">
      <c r="M7331"/>
      <c r="N7331"/>
      <c r="O7331"/>
      <c r="P7331"/>
      <c r="Q7331"/>
      <c r="R7331"/>
      <c r="S7331"/>
    </row>
    <row r="7332" spans="13:19" ht="13.95" customHeight="1">
      <c r="M7332"/>
      <c r="N7332"/>
      <c r="O7332"/>
      <c r="P7332"/>
      <c r="Q7332"/>
      <c r="R7332"/>
      <c r="S7332"/>
    </row>
    <row r="7333" spans="13:19" ht="13.95" customHeight="1">
      <c r="M7333"/>
      <c r="N7333"/>
      <c r="O7333"/>
      <c r="P7333"/>
      <c r="Q7333"/>
      <c r="R7333"/>
      <c r="S7333"/>
    </row>
    <row r="7334" spans="13:19" ht="13.95" customHeight="1">
      <c r="M7334"/>
      <c r="N7334"/>
      <c r="O7334"/>
      <c r="P7334"/>
      <c r="Q7334"/>
      <c r="R7334"/>
      <c r="S7334"/>
    </row>
    <row r="7335" spans="13:19" ht="13.95" customHeight="1">
      <c r="M7335"/>
      <c r="N7335"/>
      <c r="O7335"/>
      <c r="P7335"/>
      <c r="Q7335"/>
      <c r="R7335"/>
      <c r="S7335"/>
    </row>
    <row r="7336" spans="13:19" ht="13.95" customHeight="1">
      <c r="M7336"/>
      <c r="N7336"/>
      <c r="O7336"/>
      <c r="P7336"/>
      <c r="Q7336"/>
      <c r="R7336"/>
      <c r="S7336"/>
    </row>
    <row r="7337" spans="13:19" ht="13.95" customHeight="1">
      <c r="M7337"/>
      <c r="N7337"/>
      <c r="O7337"/>
      <c r="P7337"/>
      <c r="Q7337"/>
      <c r="R7337"/>
      <c r="S7337"/>
    </row>
    <row r="7338" spans="13:19" ht="13.95" customHeight="1">
      <c r="M7338"/>
      <c r="N7338"/>
      <c r="O7338"/>
      <c r="P7338"/>
      <c r="Q7338"/>
      <c r="R7338"/>
      <c r="S7338"/>
    </row>
    <row r="7339" spans="13:19" ht="13.95" customHeight="1">
      <c r="M7339"/>
      <c r="N7339"/>
      <c r="O7339"/>
      <c r="P7339"/>
      <c r="Q7339"/>
      <c r="R7339"/>
      <c r="S7339"/>
    </row>
    <row r="7340" spans="13:19" ht="13.95" customHeight="1">
      <c r="M7340"/>
      <c r="N7340"/>
      <c r="O7340"/>
      <c r="P7340"/>
      <c r="Q7340"/>
      <c r="R7340"/>
      <c r="S7340"/>
    </row>
    <row r="7341" spans="13:19" ht="13.95" customHeight="1">
      <c r="M7341"/>
      <c r="N7341"/>
      <c r="O7341"/>
      <c r="P7341"/>
      <c r="Q7341"/>
      <c r="R7341"/>
      <c r="S7341"/>
    </row>
    <row r="7342" spans="13:19" ht="13.95" customHeight="1">
      <c r="M7342"/>
      <c r="N7342"/>
      <c r="O7342"/>
      <c r="P7342"/>
      <c r="Q7342"/>
      <c r="R7342"/>
      <c r="S7342"/>
    </row>
    <row r="7343" spans="13:19" ht="13.95" customHeight="1">
      <c r="M7343"/>
      <c r="N7343"/>
      <c r="O7343"/>
      <c r="P7343"/>
      <c r="Q7343"/>
      <c r="R7343"/>
      <c r="S7343"/>
    </row>
    <row r="7344" spans="13:19" ht="13.95" customHeight="1">
      <c r="M7344"/>
      <c r="N7344"/>
      <c r="O7344"/>
      <c r="P7344"/>
      <c r="Q7344"/>
      <c r="R7344"/>
      <c r="S7344"/>
    </row>
    <row r="7345" spans="13:19" ht="13.95" customHeight="1">
      <c r="M7345"/>
      <c r="N7345"/>
      <c r="O7345"/>
      <c r="P7345"/>
      <c r="Q7345"/>
      <c r="R7345"/>
      <c r="S7345"/>
    </row>
    <row r="7346" spans="13:19" ht="13.95" customHeight="1">
      <c r="M7346"/>
      <c r="N7346"/>
      <c r="O7346"/>
      <c r="P7346"/>
      <c r="Q7346"/>
      <c r="R7346"/>
      <c r="S7346"/>
    </row>
    <row r="7347" spans="13:19" ht="13.95" customHeight="1">
      <c r="M7347"/>
      <c r="N7347"/>
      <c r="O7347"/>
      <c r="P7347"/>
      <c r="Q7347"/>
      <c r="R7347"/>
      <c r="S7347"/>
    </row>
    <row r="7348" spans="13:19" ht="13.95" customHeight="1">
      <c r="M7348"/>
      <c r="N7348"/>
      <c r="O7348"/>
      <c r="P7348"/>
      <c r="Q7348"/>
      <c r="R7348"/>
      <c r="S7348"/>
    </row>
    <row r="7349" spans="13:19" ht="13.95" customHeight="1">
      <c r="M7349"/>
      <c r="N7349"/>
      <c r="O7349"/>
      <c r="P7349"/>
      <c r="Q7349"/>
      <c r="R7349"/>
      <c r="S7349"/>
    </row>
    <row r="7350" spans="13:19" ht="13.95" customHeight="1">
      <c r="M7350"/>
      <c r="N7350"/>
      <c r="O7350"/>
      <c r="P7350"/>
      <c r="Q7350"/>
      <c r="R7350"/>
      <c r="S7350"/>
    </row>
    <row r="7351" spans="13:19" ht="13.95" customHeight="1">
      <c r="M7351"/>
      <c r="N7351"/>
      <c r="O7351"/>
      <c r="P7351"/>
      <c r="Q7351"/>
      <c r="R7351"/>
      <c r="S7351"/>
    </row>
    <row r="7352" spans="13:19" ht="13.95" customHeight="1">
      <c r="M7352"/>
      <c r="N7352"/>
      <c r="O7352"/>
      <c r="P7352"/>
      <c r="Q7352"/>
      <c r="R7352"/>
      <c r="S7352"/>
    </row>
    <row r="7353" spans="13:19" ht="13.95" customHeight="1">
      <c r="M7353"/>
      <c r="N7353"/>
      <c r="O7353"/>
      <c r="P7353"/>
      <c r="Q7353"/>
      <c r="R7353"/>
      <c r="S7353"/>
    </row>
    <row r="7354" spans="13:19" ht="13.95" customHeight="1">
      <c r="M7354"/>
      <c r="N7354"/>
      <c r="O7354"/>
      <c r="P7354"/>
      <c r="Q7354"/>
      <c r="R7354"/>
      <c r="S7354"/>
    </row>
    <row r="7355" spans="13:19" ht="13.95" customHeight="1">
      <c r="M7355"/>
      <c r="N7355"/>
      <c r="O7355"/>
      <c r="P7355"/>
      <c r="Q7355"/>
      <c r="R7355"/>
      <c r="S7355"/>
    </row>
    <row r="7356" spans="13:19" ht="13.95" customHeight="1">
      <c r="M7356"/>
      <c r="N7356"/>
      <c r="O7356"/>
      <c r="P7356"/>
      <c r="Q7356"/>
      <c r="R7356"/>
      <c r="S7356"/>
    </row>
    <row r="7357" spans="13:19" ht="13.95" customHeight="1">
      <c r="M7357"/>
      <c r="N7357"/>
      <c r="O7357"/>
      <c r="P7357"/>
      <c r="Q7357"/>
      <c r="R7357"/>
      <c r="S7357"/>
    </row>
    <row r="7358" spans="13:19" ht="13.95" customHeight="1">
      <c r="M7358"/>
      <c r="N7358"/>
      <c r="O7358"/>
      <c r="P7358"/>
      <c r="Q7358"/>
      <c r="R7358"/>
      <c r="S7358"/>
    </row>
    <row r="7359" spans="13:19" ht="13.95" customHeight="1">
      <c r="M7359"/>
      <c r="N7359"/>
      <c r="O7359"/>
      <c r="P7359"/>
      <c r="Q7359"/>
      <c r="R7359"/>
      <c r="S7359"/>
    </row>
    <row r="7360" spans="13:19" ht="13.95" customHeight="1">
      <c r="M7360"/>
      <c r="N7360"/>
      <c r="O7360"/>
      <c r="P7360"/>
      <c r="Q7360"/>
      <c r="R7360"/>
      <c r="S7360"/>
    </row>
    <row r="7361" spans="13:19" ht="13.95" customHeight="1">
      <c r="M7361"/>
      <c r="N7361"/>
      <c r="O7361"/>
      <c r="P7361"/>
      <c r="Q7361"/>
      <c r="R7361"/>
      <c r="S7361"/>
    </row>
    <row r="7362" spans="13:19" ht="13.95" customHeight="1">
      <c r="M7362"/>
      <c r="N7362"/>
      <c r="O7362"/>
      <c r="P7362"/>
      <c r="Q7362"/>
      <c r="R7362"/>
      <c r="S7362"/>
    </row>
    <row r="7363" spans="13:19" ht="13.95" customHeight="1">
      <c r="M7363"/>
      <c r="N7363"/>
      <c r="O7363"/>
      <c r="P7363"/>
      <c r="Q7363"/>
      <c r="R7363"/>
      <c r="S7363"/>
    </row>
    <row r="7364" spans="13:19" ht="13.95" customHeight="1">
      <c r="M7364"/>
      <c r="N7364"/>
      <c r="O7364"/>
      <c r="P7364"/>
      <c r="Q7364"/>
      <c r="R7364"/>
      <c r="S7364"/>
    </row>
    <row r="7365" spans="13:19" ht="13.95" customHeight="1">
      <c r="M7365"/>
      <c r="N7365"/>
      <c r="O7365"/>
      <c r="P7365"/>
      <c r="Q7365"/>
      <c r="R7365"/>
      <c r="S7365"/>
    </row>
    <row r="7366" spans="13:19" ht="13.95" customHeight="1">
      <c r="M7366"/>
      <c r="N7366"/>
      <c r="O7366"/>
      <c r="P7366"/>
      <c r="Q7366"/>
      <c r="R7366"/>
      <c r="S7366"/>
    </row>
    <row r="7367" spans="13:19" ht="13.95" customHeight="1">
      <c r="M7367"/>
      <c r="N7367"/>
      <c r="O7367"/>
      <c r="P7367"/>
      <c r="Q7367"/>
      <c r="R7367"/>
      <c r="S7367"/>
    </row>
    <row r="7368" spans="13:19" ht="13.95" customHeight="1">
      <c r="M7368"/>
      <c r="N7368"/>
      <c r="O7368"/>
      <c r="P7368"/>
      <c r="Q7368"/>
      <c r="R7368"/>
      <c r="S7368"/>
    </row>
    <row r="7369" spans="13:19" ht="13.95" customHeight="1">
      <c r="M7369"/>
      <c r="N7369"/>
      <c r="O7369"/>
      <c r="P7369"/>
      <c r="Q7369"/>
      <c r="R7369"/>
      <c r="S7369"/>
    </row>
    <row r="7370" spans="13:19" ht="13.95" customHeight="1">
      <c r="M7370"/>
      <c r="N7370"/>
      <c r="O7370"/>
      <c r="P7370"/>
      <c r="Q7370"/>
      <c r="R7370"/>
      <c r="S7370"/>
    </row>
    <row r="7371" spans="13:19" ht="13.95" customHeight="1">
      <c r="M7371"/>
      <c r="N7371"/>
      <c r="O7371"/>
      <c r="P7371"/>
      <c r="Q7371"/>
      <c r="R7371"/>
      <c r="S7371"/>
    </row>
    <row r="7372" spans="13:19" ht="13.95" customHeight="1">
      <c r="M7372"/>
      <c r="N7372"/>
      <c r="O7372"/>
      <c r="P7372"/>
      <c r="Q7372"/>
      <c r="R7372"/>
      <c r="S7372"/>
    </row>
    <row r="7373" spans="13:19" ht="13.95" customHeight="1">
      <c r="M7373"/>
      <c r="N7373"/>
      <c r="O7373"/>
      <c r="P7373"/>
      <c r="Q7373"/>
      <c r="R7373"/>
      <c r="S7373"/>
    </row>
    <row r="7374" spans="13:19" ht="13.95" customHeight="1">
      <c r="M7374"/>
      <c r="N7374"/>
      <c r="O7374"/>
      <c r="P7374"/>
      <c r="Q7374"/>
      <c r="R7374"/>
      <c r="S7374"/>
    </row>
    <row r="7375" spans="13:19" ht="13.95" customHeight="1">
      <c r="M7375"/>
      <c r="N7375"/>
      <c r="O7375"/>
      <c r="P7375"/>
      <c r="Q7375"/>
      <c r="R7375"/>
      <c r="S7375"/>
    </row>
    <row r="7376" spans="13:19" ht="13.95" customHeight="1">
      <c r="M7376"/>
      <c r="N7376"/>
      <c r="O7376"/>
      <c r="P7376"/>
      <c r="Q7376"/>
      <c r="R7376"/>
      <c r="S7376"/>
    </row>
    <row r="7377" spans="13:19" ht="13.95" customHeight="1">
      <c r="M7377"/>
      <c r="N7377"/>
      <c r="O7377"/>
      <c r="P7377"/>
      <c r="Q7377"/>
      <c r="R7377"/>
      <c r="S7377"/>
    </row>
    <row r="7378" spans="13:19" ht="13.95" customHeight="1">
      <c r="M7378"/>
      <c r="N7378"/>
      <c r="O7378"/>
      <c r="P7378"/>
      <c r="Q7378"/>
      <c r="R7378"/>
      <c r="S7378"/>
    </row>
    <row r="7379" spans="13:19" ht="13.95" customHeight="1">
      <c r="M7379"/>
      <c r="N7379"/>
      <c r="O7379"/>
      <c r="P7379"/>
      <c r="Q7379"/>
      <c r="R7379"/>
      <c r="S7379"/>
    </row>
    <row r="7380" spans="13:19" ht="13.95" customHeight="1">
      <c r="M7380"/>
      <c r="N7380"/>
      <c r="O7380"/>
      <c r="P7380"/>
      <c r="Q7380"/>
      <c r="R7380"/>
      <c r="S7380"/>
    </row>
    <row r="7381" spans="13:19" ht="13.95" customHeight="1">
      <c r="M7381"/>
      <c r="N7381"/>
      <c r="O7381"/>
      <c r="P7381"/>
      <c r="Q7381"/>
      <c r="R7381"/>
      <c r="S7381"/>
    </row>
    <row r="7382" spans="13:19" ht="13.95" customHeight="1">
      <c r="M7382"/>
      <c r="N7382"/>
      <c r="O7382"/>
      <c r="P7382"/>
      <c r="Q7382"/>
      <c r="R7382"/>
      <c r="S7382"/>
    </row>
    <row r="7383" spans="13:19" ht="13.95" customHeight="1">
      <c r="M7383"/>
      <c r="N7383"/>
      <c r="O7383"/>
      <c r="P7383"/>
      <c r="Q7383"/>
      <c r="R7383"/>
      <c r="S7383"/>
    </row>
    <row r="7384" spans="13:19" ht="13.95" customHeight="1">
      <c r="M7384"/>
      <c r="N7384"/>
      <c r="O7384"/>
      <c r="P7384"/>
      <c r="Q7384"/>
      <c r="R7384"/>
      <c r="S7384"/>
    </row>
    <row r="7385" spans="13:19" ht="13.95" customHeight="1">
      <c r="M7385"/>
      <c r="N7385"/>
      <c r="O7385"/>
      <c r="P7385"/>
      <c r="Q7385"/>
      <c r="R7385"/>
      <c r="S7385"/>
    </row>
    <row r="7386" spans="13:19" ht="13.95" customHeight="1">
      <c r="M7386"/>
      <c r="N7386"/>
      <c r="O7386"/>
      <c r="P7386"/>
      <c r="Q7386"/>
      <c r="R7386"/>
      <c r="S7386"/>
    </row>
    <row r="7387" spans="13:19" ht="13.95" customHeight="1">
      <c r="M7387"/>
      <c r="N7387"/>
      <c r="O7387"/>
      <c r="P7387"/>
      <c r="Q7387"/>
      <c r="R7387"/>
      <c r="S7387"/>
    </row>
    <row r="7388" spans="13:19" ht="13.95" customHeight="1">
      <c r="M7388"/>
      <c r="N7388"/>
      <c r="O7388"/>
      <c r="P7388"/>
      <c r="Q7388"/>
      <c r="R7388"/>
      <c r="S7388"/>
    </row>
    <row r="7389" spans="13:19" ht="13.95" customHeight="1">
      <c r="M7389"/>
      <c r="N7389"/>
      <c r="O7389"/>
      <c r="P7389"/>
      <c r="Q7389"/>
      <c r="R7389"/>
      <c r="S7389"/>
    </row>
    <row r="7390" spans="13:19" ht="13.95" customHeight="1">
      <c r="M7390"/>
      <c r="N7390"/>
      <c r="O7390"/>
      <c r="P7390"/>
      <c r="Q7390"/>
      <c r="R7390"/>
      <c r="S7390"/>
    </row>
    <row r="7391" spans="13:19" ht="13.95" customHeight="1">
      <c r="M7391"/>
      <c r="N7391"/>
      <c r="O7391"/>
      <c r="P7391"/>
      <c r="Q7391"/>
      <c r="R7391"/>
      <c r="S7391"/>
    </row>
    <row r="7392" spans="13:19" ht="13.95" customHeight="1">
      <c r="M7392"/>
      <c r="N7392"/>
      <c r="O7392"/>
      <c r="P7392"/>
      <c r="Q7392"/>
      <c r="R7392"/>
      <c r="S7392"/>
    </row>
    <row r="7393" spans="13:19" ht="13.95" customHeight="1">
      <c r="M7393"/>
      <c r="N7393"/>
      <c r="O7393"/>
      <c r="P7393"/>
      <c r="Q7393"/>
      <c r="R7393"/>
      <c r="S7393"/>
    </row>
    <row r="7394" spans="13:19" ht="13.95" customHeight="1">
      <c r="M7394"/>
      <c r="N7394"/>
      <c r="O7394"/>
      <c r="P7394"/>
      <c r="Q7394"/>
      <c r="R7394"/>
      <c r="S7394"/>
    </row>
    <row r="7395" spans="13:19" ht="13.95" customHeight="1">
      <c r="M7395"/>
      <c r="N7395"/>
      <c r="O7395"/>
      <c r="P7395"/>
      <c r="Q7395"/>
      <c r="R7395"/>
      <c r="S7395"/>
    </row>
    <row r="7396" spans="13:19" ht="13.95" customHeight="1">
      <c r="M7396"/>
      <c r="N7396"/>
      <c r="O7396"/>
      <c r="P7396"/>
      <c r="Q7396"/>
      <c r="R7396"/>
      <c r="S7396"/>
    </row>
    <row r="7397" spans="13:19" ht="13.95" customHeight="1">
      <c r="M7397"/>
      <c r="N7397"/>
      <c r="O7397"/>
      <c r="P7397"/>
      <c r="Q7397"/>
      <c r="R7397"/>
      <c r="S7397"/>
    </row>
    <row r="7398" spans="13:19" ht="13.95" customHeight="1">
      <c r="M7398"/>
      <c r="N7398"/>
      <c r="O7398"/>
      <c r="P7398"/>
      <c r="Q7398"/>
      <c r="R7398"/>
      <c r="S7398"/>
    </row>
    <row r="7399" spans="13:19" ht="13.95" customHeight="1">
      <c r="M7399"/>
      <c r="N7399"/>
      <c r="O7399"/>
      <c r="P7399"/>
      <c r="Q7399"/>
      <c r="R7399"/>
      <c r="S7399"/>
    </row>
    <row r="7400" spans="13:19" ht="13.95" customHeight="1">
      <c r="M7400"/>
      <c r="N7400"/>
      <c r="O7400"/>
      <c r="P7400"/>
      <c r="Q7400"/>
      <c r="R7400"/>
      <c r="S7400"/>
    </row>
    <row r="7401" spans="13:19" ht="13.95" customHeight="1">
      <c r="M7401"/>
      <c r="N7401"/>
      <c r="O7401"/>
      <c r="P7401"/>
      <c r="Q7401"/>
      <c r="R7401"/>
      <c r="S7401"/>
    </row>
    <row r="7402" spans="13:19" ht="13.95" customHeight="1">
      <c r="M7402"/>
      <c r="N7402"/>
      <c r="O7402"/>
      <c r="P7402"/>
      <c r="Q7402"/>
      <c r="R7402"/>
      <c r="S7402"/>
    </row>
    <row r="7403" spans="13:19" ht="13.95" customHeight="1">
      <c r="M7403"/>
      <c r="N7403"/>
      <c r="O7403"/>
      <c r="P7403"/>
      <c r="Q7403"/>
      <c r="R7403"/>
      <c r="S7403"/>
    </row>
    <row r="7404" spans="13:19" ht="13.95" customHeight="1">
      <c r="M7404"/>
      <c r="N7404"/>
      <c r="O7404"/>
      <c r="P7404"/>
      <c r="Q7404"/>
      <c r="R7404"/>
      <c r="S7404"/>
    </row>
    <row r="7405" spans="13:19" ht="13.95" customHeight="1">
      <c r="M7405"/>
      <c r="N7405"/>
      <c r="O7405"/>
      <c r="P7405"/>
      <c r="Q7405"/>
      <c r="R7405"/>
      <c r="S7405"/>
    </row>
    <row r="7406" spans="13:19" ht="13.95" customHeight="1">
      <c r="M7406"/>
      <c r="N7406"/>
      <c r="O7406"/>
      <c r="P7406"/>
      <c r="Q7406"/>
      <c r="R7406"/>
      <c r="S7406"/>
    </row>
    <row r="7407" spans="13:19" ht="13.95" customHeight="1">
      <c r="M7407"/>
      <c r="N7407"/>
      <c r="O7407"/>
      <c r="P7407"/>
      <c r="Q7407"/>
      <c r="R7407"/>
      <c r="S7407"/>
    </row>
    <row r="7408" spans="13:19" ht="13.95" customHeight="1">
      <c r="M7408"/>
      <c r="N7408"/>
      <c r="O7408"/>
      <c r="P7408"/>
      <c r="Q7408"/>
      <c r="R7408"/>
      <c r="S7408"/>
    </row>
    <row r="7409" spans="13:19" ht="13.95" customHeight="1">
      <c r="M7409"/>
      <c r="N7409"/>
      <c r="O7409"/>
      <c r="P7409"/>
      <c r="Q7409"/>
      <c r="R7409"/>
      <c r="S7409"/>
    </row>
    <row r="7410" spans="13:19" ht="13.95" customHeight="1">
      <c r="M7410"/>
      <c r="N7410"/>
      <c r="O7410"/>
      <c r="P7410"/>
      <c r="Q7410"/>
      <c r="R7410"/>
      <c r="S7410"/>
    </row>
    <row r="7411" spans="13:19" ht="13.95" customHeight="1">
      <c r="M7411"/>
      <c r="N7411"/>
      <c r="O7411"/>
      <c r="P7411"/>
      <c r="Q7411"/>
      <c r="R7411"/>
      <c r="S7411"/>
    </row>
    <row r="7412" spans="13:19" ht="13.95" customHeight="1">
      <c r="M7412"/>
      <c r="N7412"/>
      <c r="O7412"/>
      <c r="P7412"/>
      <c r="Q7412"/>
      <c r="R7412"/>
      <c r="S7412"/>
    </row>
    <row r="7413" spans="13:19" ht="13.95" customHeight="1">
      <c r="M7413"/>
      <c r="N7413"/>
      <c r="O7413"/>
      <c r="P7413"/>
      <c r="Q7413"/>
      <c r="R7413"/>
      <c r="S7413"/>
    </row>
    <row r="7414" spans="13:19" ht="13.95" customHeight="1">
      <c r="M7414"/>
      <c r="N7414"/>
      <c r="O7414"/>
      <c r="P7414"/>
      <c r="Q7414"/>
      <c r="R7414"/>
      <c r="S7414"/>
    </row>
    <row r="7415" spans="13:19" ht="13.95" customHeight="1">
      <c r="M7415"/>
      <c r="N7415"/>
      <c r="O7415"/>
      <c r="P7415"/>
      <c r="Q7415"/>
      <c r="R7415"/>
      <c r="S7415"/>
    </row>
    <row r="7416" spans="13:19" ht="13.95" customHeight="1">
      <c r="M7416"/>
      <c r="N7416"/>
      <c r="O7416"/>
      <c r="P7416"/>
      <c r="Q7416"/>
      <c r="R7416"/>
      <c r="S7416"/>
    </row>
    <row r="7417" spans="13:19" ht="13.95" customHeight="1">
      <c r="M7417"/>
      <c r="N7417"/>
      <c r="O7417"/>
      <c r="P7417"/>
      <c r="Q7417"/>
      <c r="R7417"/>
      <c r="S7417"/>
    </row>
    <row r="7418" spans="13:19" ht="13.95" customHeight="1">
      <c r="M7418"/>
      <c r="N7418"/>
      <c r="O7418"/>
      <c r="P7418"/>
      <c r="Q7418"/>
      <c r="R7418"/>
      <c r="S7418"/>
    </row>
    <row r="7419" spans="13:19" ht="13.95" customHeight="1">
      <c r="M7419"/>
      <c r="N7419"/>
      <c r="O7419"/>
      <c r="P7419"/>
      <c r="Q7419"/>
      <c r="R7419"/>
      <c r="S7419"/>
    </row>
    <row r="7420" spans="13:19" ht="13.95" customHeight="1">
      <c r="M7420"/>
      <c r="N7420"/>
      <c r="O7420"/>
      <c r="P7420"/>
      <c r="Q7420"/>
      <c r="R7420"/>
      <c r="S7420"/>
    </row>
    <row r="7421" spans="13:19" ht="13.95" customHeight="1">
      <c r="M7421"/>
      <c r="N7421"/>
      <c r="O7421"/>
      <c r="P7421"/>
      <c r="Q7421"/>
      <c r="R7421"/>
      <c r="S7421"/>
    </row>
    <row r="7422" spans="13:19" ht="13.95" customHeight="1">
      <c r="M7422"/>
      <c r="N7422"/>
      <c r="O7422"/>
      <c r="P7422"/>
      <c r="Q7422"/>
      <c r="R7422"/>
      <c r="S7422"/>
    </row>
    <row r="7423" spans="13:19" ht="13.95" customHeight="1">
      <c r="M7423"/>
      <c r="N7423"/>
      <c r="O7423"/>
      <c r="P7423"/>
      <c r="Q7423"/>
      <c r="R7423"/>
      <c r="S7423"/>
    </row>
    <row r="7424" spans="13:19" ht="13.95" customHeight="1">
      <c r="M7424"/>
      <c r="N7424"/>
      <c r="O7424"/>
      <c r="P7424"/>
      <c r="Q7424"/>
      <c r="R7424"/>
      <c r="S7424"/>
    </row>
    <row r="7425" spans="13:19" ht="13.95" customHeight="1">
      <c r="M7425"/>
      <c r="N7425"/>
      <c r="O7425"/>
      <c r="P7425"/>
      <c r="Q7425"/>
      <c r="R7425"/>
      <c r="S7425"/>
    </row>
    <row r="7426" spans="13:19" ht="13.95" customHeight="1">
      <c r="M7426"/>
      <c r="N7426"/>
      <c r="O7426"/>
      <c r="P7426"/>
      <c r="Q7426"/>
      <c r="R7426"/>
      <c r="S7426"/>
    </row>
    <row r="7427" spans="13:19" ht="13.95" customHeight="1">
      <c r="M7427"/>
      <c r="N7427"/>
      <c r="O7427"/>
      <c r="P7427"/>
      <c r="Q7427"/>
      <c r="R7427"/>
      <c r="S7427"/>
    </row>
    <row r="7428" spans="13:19" ht="13.95" customHeight="1">
      <c r="M7428"/>
      <c r="N7428"/>
      <c r="O7428"/>
      <c r="P7428"/>
      <c r="Q7428"/>
      <c r="R7428"/>
      <c r="S7428"/>
    </row>
    <row r="7429" spans="13:19" ht="13.95" customHeight="1">
      <c r="M7429"/>
      <c r="N7429"/>
      <c r="O7429"/>
      <c r="P7429"/>
      <c r="Q7429"/>
      <c r="R7429"/>
      <c r="S7429"/>
    </row>
    <row r="7430" spans="13:19" ht="13.95" customHeight="1">
      <c r="M7430"/>
      <c r="N7430"/>
      <c r="O7430"/>
      <c r="P7430"/>
      <c r="Q7430"/>
      <c r="R7430"/>
      <c r="S7430"/>
    </row>
    <row r="7431" spans="13:19" ht="13.95" customHeight="1">
      <c r="M7431"/>
      <c r="N7431"/>
      <c r="O7431"/>
      <c r="P7431"/>
      <c r="Q7431"/>
      <c r="R7431"/>
      <c r="S7431"/>
    </row>
    <row r="7432" spans="13:19" ht="13.95" customHeight="1">
      <c r="M7432"/>
      <c r="N7432"/>
      <c r="O7432"/>
      <c r="P7432"/>
      <c r="Q7432"/>
      <c r="R7432"/>
      <c r="S7432"/>
    </row>
    <row r="7433" spans="13:19" ht="13.95" customHeight="1">
      <c r="M7433"/>
      <c r="N7433"/>
      <c r="O7433"/>
      <c r="P7433"/>
      <c r="Q7433"/>
      <c r="R7433"/>
      <c r="S7433"/>
    </row>
    <row r="7434" spans="13:19" ht="13.95" customHeight="1">
      <c r="M7434"/>
      <c r="N7434"/>
      <c r="O7434"/>
      <c r="P7434"/>
      <c r="Q7434"/>
      <c r="R7434"/>
      <c r="S7434"/>
    </row>
    <row r="7435" spans="13:19" ht="13.95" customHeight="1">
      <c r="M7435"/>
      <c r="N7435"/>
      <c r="O7435"/>
      <c r="P7435"/>
      <c r="Q7435"/>
      <c r="R7435"/>
      <c r="S7435"/>
    </row>
    <row r="7436" spans="13:19" ht="13.95" customHeight="1">
      <c r="M7436"/>
      <c r="N7436"/>
      <c r="O7436"/>
      <c r="P7436"/>
      <c r="Q7436"/>
      <c r="R7436"/>
      <c r="S7436"/>
    </row>
    <row r="7437" spans="13:19" ht="13.95" customHeight="1">
      <c r="M7437"/>
      <c r="N7437"/>
      <c r="O7437"/>
      <c r="P7437"/>
      <c r="Q7437"/>
      <c r="R7437"/>
      <c r="S7437"/>
    </row>
    <row r="7438" spans="13:19" ht="13.95" customHeight="1">
      <c r="M7438"/>
      <c r="N7438"/>
      <c r="O7438"/>
      <c r="P7438"/>
      <c r="Q7438"/>
      <c r="R7438"/>
      <c r="S7438"/>
    </row>
    <row r="7439" spans="13:19" ht="13.95" customHeight="1">
      <c r="M7439"/>
      <c r="N7439"/>
      <c r="O7439"/>
      <c r="P7439"/>
      <c r="Q7439"/>
      <c r="R7439"/>
      <c r="S7439"/>
    </row>
    <row r="7440" spans="13:19" ht="13.95" customHeight="1">
      <c r="M7440"/>
      <c r="N7440"/>
      <c r="O7440"/>
      <c r="P7440"/>
      <c r="Q7440"/>
      <c r="R7440"/>
      <c r="S7440"/>
    </row>
    <row r="7441" spans="13:19" ht="13.95" customHeight="1">
      <c r="M7441"/>
      <c r="N7441"/>
      <c r="O7441"/>
      <c r="P7441"/>
      <c r="Q7441"/>
      <c r="R7441"/>
      <c r="S7441"/>
    </row>
    <row r="7442" spans="13:19" ht="13.95" customHeight="1">
      <c r="M7442"/>
      <c r="N7442"/>
      <c r="O7442"/>
      <c r="P7442"/>
      <c r="Q7442"/>
      <c r="R7442"/>
      <c r="S7442"/>
    </row>
    <row r="7443" spans="13:19" ht="13.95" customHeight="1">
      <c r="M7443"/>
      <c r="N7443"/>
      <c r="O7443"/>
      <c r="P7443"/>
      <c r="Q7443"/>
      <c r="R7443"/>
      <c r="S7443"/>
    </row>
    <row r="7444" spans="13:19" ht="13.95" customHeight="1">
      <c r="M7444"/>
      <c r="N7444"/>
      <c r="O7444"/>
      <c r="P7444"/>
      <c r="Q7444"/>
      <c r="R7444"/>
      <c r="S7444"/>
    </row>
    <row r="7445" spans="13:19" ht="13.95" customHeight="1">
      <c r="M7445"/>
      <c r="N7445"/>
      <c r="O7445"/>
      <c r="P7445"/>
      <c r="Q7445"/>
      <c r="R7445"/>
      <c r="S7445"/>
    </row>
    <row r="7446" spans="13:19" ht="13.95" customHeight="1">
      <c r="M7446"/>
      <c r="N7446"/>
      <c r="O7446"/>
      <c r="P7446"/>
      <c r="Q7446"/>
      <c r="R7446"/>
      <c r="S7446"/>
    </row>
    <row r="7447" spans="13:19" ht="13.95" customHeight="1">
      <c r="M7447"/>
      <c r="N7447"/>
      <c r="O7447"/>
      <c r="P7447"/>
      <c r="Q7447"/>
      <c r="R7447"/>
      <c r="S7447"/>
    </row>
    <row r="7448" spans="13:19" ht="13.95" customHeight="1">
      <c r="M7448"/>
      <c r="N7448"/>
      <c r="O7448"/>
      <c r="P7448"/>
      <c r="Q7448"/>
      <c r="R7448"/>
      <c r="S7448"/>
    </row>
    <row r="7449" spans="13:19" ht="13.95" customHeight="1">
      <c r="M7449"/>
      <c r="N7449"/>
      <c r="O7449"/>
      <c r="P7449"/>
      <c r="Q7449"/>
      <c r="R7449"/>
      <c r="S7449"/>
    </row>
    <row r="7450" spans="13:19" ht="13.95" customHeight="1">
      <c r="M7450"/>
      <c r="N7450"/>
      <c r="O7450"/>
      <c r="P7450"/>
      <c r="Q7450"/>
      <c r="R7450"/>
      <c r="S7450"/>
    </row>
    <row r="7451" spans="13:19" ht="13.95" customHeight="1">
      <c r="M7451"/>
      <c r="N7451"/>
      <c r="O7451"/>
      <c r="P7451"/>
      <c r="Q7451"/>
      <c r="R7451"/>
      <c r="S7451"/>
    </row>
    <row r="7452" spans="13:19" ht="13.95" customHeight="1">
      <c r="M7452"/>
      <c r="N7452"/>
      <c r="O7452"/>
      <c r="P7452"/>
      <c r="Q7452"/>
      <c r="R7452"/>
      <c r="S7452"/>
    </row>
    <row r="7453" spans="13:19" ht="13.95" customHeight="1">
      <c r="M7453"/>
      <c r="N7453"/>
      <c r="O7453"/>
      <c r="P7453"/>
      <c r="Q7453"/>
      <c r="R7453"/>
      <c r="S7453"/>
    </row>
    <row r="7454" spans="13:19" ht="13.95" customHeight="1">
      <c r="M7454"/>
      <c r="N7454"/>
      <c r="O7454"/>
      <c r="P7454"/>
      <c r="Q7454"/>
      <c r="R7454"/>
      <c r="S7454"/>
    </row>
    <row r="7455" spans="13:19" ht="13.95" customHeight="1">
      <c r="M7455"/>
      <c r="N7455"/>
      <c r="O7455"/>
      <c r="P7455"/>
      <c r="Q7455"/>
      <c r="R7455"/>
      <c r="S7455"/>
    </row>
    <row r="7456" spans="13:19" ht="13.95" customHeight="1">
      <c r="M7456"/>
      <c r="N7456"/>
      <c r="O7456"/>
      <c r="P7456"/>
      <c r="Q7456"/>
      <c r="R7456"/>
      <c r="S7456"/>
    </row>
    <row r="7457" spans="13:19" ht="13.95" customHeight="1">
      <c r="M7457"/>
      <c r="N7457"/>
      <c r="O7457"/>
      <c r="P7457"/>
      <c r="Q7457"/>
      <c r="R7457"/>
      <c r="S7457"/>
    </row>
    <row r="7458" spans="13:19" ht="13.95" customHeight="1">
      <c r="M7458"/>
      <c r="N7458"/>
      <c r="O7458"/>
      <c r="P7458"/>
      <c r="Q7458"/>
      <c r="R7458"/>
      <c r="S7458"/>
    </row>
    <row r="7459" spans="13:19" ht="13.95" customHeight="1">
      <c r="M7459"/>
      <c r="N7459"/>
      <c r="O7459"/>
      <c r="P7459"/>
      <c r="Q7459"/>
      <c r="R7459"/>
      <c r="S7459"/>
    </row>
    <row r="7460" spans="13:19" ht="13.95" customHeight="1">
      <c r="M7460"/>
      <c r="N7460"/>
      <c r="O7460"/>
      <c r="P7460"/>
      <c r="Q7460"/>
      <c r="R7460"/>
      <c r="S7460"/>
    </row>
    <row r="7461" spans="13:19" ht="13.95" customHeight="1">
      <c r="M7461"/>
      <c r="N7461"/>
      <c r="O7461"/>
      <c r="P7461"/>
      <c r="Q7461"/>
      <c r="R7461"/>
      <c r="S7461"/>
    </row>
    <row r="7462" spans="13:19" ht="13.95" customHeight="1">
      <c r="M7462"/>
      <c r="N7462"/>
      <c r="O7462"/>
      <c r="P7462"/>
      <c r="Q7462"/>
      <c r="R7462"/>
      <c r="S7462"/>
    </row>
    <row r="7463" spans="13:19" ht="13.95" customHeight="1">
      <c r="M7463"/>
      <c r="N7463"/>
      <c r="O7463"/>
      <c r="P7463"/>
      <c r="Q7463"/>
      <c r="R7463"/>
      <c r="S7463"/>
    </row>
    <row r="7464" spans="13:19" ht="13.95" customHeight="1">
      <c r="M7464"/>
      <c r="N7464"/>
      <c r="O7464"/>
      <c r="P7464"/>
      <c r="Q7464"/>
      <c r="R7464"/>
      <c r="S7464"/>
    </row>
    <row r="7465" spans="13:19" ht="13.95" customHeight="1">
      <c r="M7465"/>
      <c r="N7465"/>
      <c r="O7465"/>
      <c r="P7465"/>
      <c r="Q7465"/>
      <c r="R7465"/>
      <c r="S7465"/>
    </row>
    <row r="7466" spans="13:19" ht="13.95" customHeight="1">
      <c r="M7466"/>
      <c r="N7466"/>
      <c r="O7466"/>
      <c r="P7466"/>
      <c r="Q7466"/>
      <c r="R7466"/>
      <c r="S7466"/>
    </row>
    <row r="7467" spans="13:19" ht="13.95" customHeight="1">
      <c r="M7467"/>
      <c r="N7467"/>
      <c r="O7467"/>
      <c r="P7467"/>
      <c r="Q7467"/>
      <c r="R7467"/>
      <c r="S7467"/>
    </row>
    <row r="7468" spans="13:19" ht="13.95" customHeight="1">
      <c r="M7468"/>
      <c r="N7468"/>
      <c r="O7468"/>
      <c r="P7468"/>
      <c r="Q7468"/>
      <c r="R7468"/>
      <c r="S7468"/>
    </row>
    <row r="7469" spans="13:19" ht="13.95" customHeight="1">
      <c r="M7469"/>
      <c r="N7469"/>
      <c r="O7469"/>
      <c r="P7469"/>
      <c r="Q7469"/>
      <c r="R7469"/>
      <c r="S7469"/>
    </row>
    <row r="7470" spans="13:19" ht="13.95" customHeight="1">
      <c r="M7470"/>
      <c r="N7470"/>
      <c r="O7470"/>
      <c r="P7470"/>
      <c r="Q7470"/>
      <c r="R7470"/>
      <c r="S7470"/>
    </row>
    <row r="7471" spans="13:19" ht="13.95" customHeight="1">
      <c r="M7471"/>
      <c r="N7471"/>
      <c r="O7471"/>
      <c r="P7471"/>
      <c r="Q7471"/>
      <c r="R7471"/>
      <c r="S7471"/>
    </row>
    <row r="7472" spans="13:19" ht="13.95" customHeight="1">
      <c r="M7472"/>
      <c r="N7472"/>
      <c r="O7472"/>
      <c r="P7472"/>
      <c r="Q7472"/>
      <c r="R7472"/>
      <c r="S7472"/>
    </row>
    <row r="7473" spans="13:19" ht="13.95" customHeight="1">
      <c r="M7473"/>
      <c r="N7473"/>
      <c r="O7473"/>
      <c r="P7473"/>
      <c r="Q7473"/>
      <c r="R7473"/>
      <c r="S7473"/>
    </row>
    <row r="7474" spans="13:19" ht="13.95" customHeight="1">
      <c r="M7474"/>
      <c r="N7474"/>
      <c r="O7474"/>
      <c r="P7474"/>
      <c r="Q7474"/>
      <c r="R7474"/>
      <c r="S7474"/>
    </row>
    <row r="7475" spans="13:19" ht="13.95" customHeight="1">
      <c r="M7475"/>
      <c r="N7475"/>
      <c r="O7475"/>
      <c r="P7475"/>
      <c r="Q7475"/>
      <c r="R7475"/>
      <c r="S7475"/>
    </row>
    <row r="7476" spans="13:19" ht="13.95" customHeight="1">
      <c r="M7476"/>
      <c r="N7476"/>
      <c r="O7476"/>
      <c r="P7476"/>
      <c r="Q7476"/>
      <c r="R7476"/>
      <c r="S7476"/>
    </row>
    <row r="7477" spans="13:19" ht="13.95" customHeight="1">
      <c r="M7477"/>
      <c r="N7477"/>
      <c r="O7477"/>
      <c r="P7477"/>
      <c r="Q7477"/>
      <c r="R7477"/>
      <c r="S7477"/>
    </row>
    <row r="7478" spans="13:19" ht="13.95" customHeight="1">
      <c r="M7478"/>
      <c r="N7478"/>
      <c r="O7478"/>
      <c r="P7478"/>
      <c r="Q7478"/>
      <c r="R7478"/>
      <c r="S7478"/>
    </row>
    <row r="7479" spans="13:19" ht="13.95" customHeight="1">
      <c r="M7479"/>
      <c r="N7479"/>
      <c r="O7479"/>
      <c r="P7479"/>
      <c r="Q7479"/>
      <c r="R7479"/>
      <c r="S7479"/>
    </row>
    <row r="7480" spans="13:19" ht="13.95" customHeight="1">
      <c r="M7480"/>
      <c r="N7480"/>
      <c r="O7480"/>
      <c r="P7480"/>
      <c r="Q7480"/>
      <c r="R7480"/>
      <c r="S7480"/>
    </row>
    <row r="7481" spans="13:19" ht="13.95" customHeight="1">
      <c r="M7481"/>
      <c r="N7481"/>
      <c r="O7481"/>
      <c r="P7481"/>
      <c r="Q7481"/>
      <c r="R7481"/>
      <c r="S7481"/>
    </row>
    <row r="7482" spans="13:19" ht="13.95" customHeight="1">
      <c r="M7482"/>
      <c r="N7482"/>
      <c r="O7482"/>
      <c r="P7482"/>
      <c r="Q7482"/>
      <c r="R7482"/>
      <c r="S7482"/>
    </row>
    <row r="7483" spans="13:19" ht="13.95" customHeight="1">
      <c r="M7483"/>
      <c r="N7483"/>
      <c r="O7483"/>
      <c r="P7483"/>
      <c r="Q7483"/>
      <c r="R7483"/>
      <c r="S7483"/>
    </row>
    <row r="7484" spans="13:19" ht="13.95" customHeight="1">
      <c r="M7484"/>
      <c r="N7484"/>
      <c r="O7484"/>
      <c r="P7484"/>
      <c r="Q7484"/>
      <c r="R7484"/>
      <c r="S7484"/>
    </row>
    <row r="7485" spans="13:19" ht="13.95" customHeight="1">
      <c r="M7485"/>
      <c r="N7485"/>
      <c r="O7485"/>
      <c r="P7485"/>
      <c r="Q7485"/>
      <c r="R7485"/>
      <c r="S7485"/>
    </row>
    <row r="7486" spans="13:19" ht="13.95" customHeight="1">
      <c r="M7486"/>
      <c r="N7486"/>
      <c r="O7486"/>
      <c r="P7486"/>
      <c r="Q7486"/>
      <c r="R7486"/>
      <c r="S7486"/>
    </row>
    <row r="7487" spans="13:19" ht="13.95" customHeight="1">
      <c r="M7487"/>
      <c r="N7487"/>
      <c r="O7487"/>
      <c r="P7487"/>
      <c r="Q7487"/>
      <c r="R7487"/>
      <c r="S7487"/>
    </row>
    <row r="7488" spans="13:19" ht="13.95" customHeight="1">
      <c r="M7488"/>
      <c r="N7488"/>
      <c r="O7488"/>
      <c r="P7488"/>
      <c r="Q7488"/>
      <c r="R7488"/>
      <c r="S7488"/>
    </row>
    <row r="7489" spans="13:19" ht="13.95" customHeight="1">
      <c r="M7489"/>
      <c r="N7489"/>
      <c r="O7489"/>
      <c r="P7489"/>
      <c r="Q7489"/>
      <c r="R7489"/>
      <c r="S7489"/>
    </row>
    <row r="7490" spans="13:19" ht="13.95" customHeight="1">
      <c r="M7490"/>
      <c r="N7490"/>
      <c r="O7490"/>
      <c r="P7490"/>
      <c r="Q7490"/>
      <c r="R7490"/>
      <c r="S7490"/>
    </row>
    <row r="7491" spans="13:19" ht="13.95" customHeight="1">
      <c r="M7491"/>
      <c r="N7491"/>
      <c r="O7491"/>
      <c r="P7491"/>
      <c r="Q7491"/>
      <c r="R7491"/>
      <c r="S7491"/>
    </row>
    <row r="7492" spans="13:19" ht="13.95" customHeight="1">
      <c r="M7492"/>
      <c r="N7492"/>
      <c r="O7492"/>
      <c r="P7492"/>
      <c r="Q7492"/>
      <c r="R7492"/>
      <c r="S7492"/>
    </row>
    <row r="7493" spans="13:19" ht="13.95" customHeight="1">
      <c r="M7493"/>
      <c r="N7493"/>
      <c r="O7493"/>
      <c r="P7493"/>
      <c r="Q7493"/>
      <c r="R7493"/>
      <c r="S7493"/>
    </row>
    <row r="7494" spans="13:19" ht="13.95" customHeight="1">
      <c r="M7494"/>
      <c r="N7494"/>
      <c r="O7494"/>
      <c r="P7494"/>
      <c r="Q7494"/>
      <c r="R7494"/>
      <c r="S7494"/>
    </row>
    <row r="7495" spans="13:19" ht="13.95" customHeight="1">
      <c r="M7495"/>
      <c r="N7495"/>
      <c r="O7495"/>
      <c r="P7495"/>
      <c r="Q7495"/>
      <c r="R7495"/>
      <c r="S7495"/>
    </row>
    <row r="7496" spans="13:19" ht="13.95" customHeight="1">
      <c r="M7496"/>
      <c r="N7496"/>
      <c r="O7496"/>
      <c r="P7496"/>
      <c r="Q7496"/>
      <c r="R7496"/>
      <c r="S7496"/>
    </row>
    <row r="7497" spans="13:19" ht="13.95" customHeight="1">
      <c r="M7497"/>
      <c r="N7497"/>
      <c r="O7497"/>
      <c r="P7497"/>
      <c r="Q7497"/>
      <c r="R7497"/>
      <c r="S7497"/>
    </row>
    <row r="7498" spans="13:19" ht="13.95" customHeight="1">
      <c r="M7498"/>
      <c r="N7498"/>
      <c r="O7498"/>
      <c r="P7498"/>
      <c r="Q7498"/>
      <c r="R7498"/>
      <c r="S7498"/>
    </row>
    <row r="7499" spans="13:19" ht="13.95" customHeight="1">
      <c r="M7499"/>
      <c r="N7499"/>
      <c r="O7499"/>
      <c r="P7499"/>
      <c r="Q7499"/>
      <c r="R7499"/>
      <c r="S7499"/>
    </row>
    <row r="7500" spans="13:19" ht="13.95" customHeight="1">
      <c r="M7500"/>
      <c r="N7500"/>
      <c r="O7500"/>
      <c r="P7500"/>
      <c r="Q7500"/>
      <c r="R7500"/>
      <c r="S7500"/>
    </row>
    <row r="7501" spans="13:19" ht="13.95" customHeight="1">
      <c r="M7501"/>
      <c r="N7501"/>
      <c r="O7501"/>
      <c r="P7501"/>
      <c r="Q7501"/>
      <c r="R7501"/>
      <c r="S7501"/>
    </row>
    <row r="7502" spans="13:19" ht="13.95" customHeight="1">
      <c r="M7502"/>
      <c r="N7502"/>
      <c r="O7502"/>
      <c r="P7502"/>
      <c r="Q7502"/>
      <c r="R7502"/>
      <c r="S7502"/>
    </row>
    <row r="7503" spans="13:19" ht="13.95" customHeight="1">
      <c r="M7503"/>
      <c r="N7503"/>
      <c r="O7503"/>
      <c r="P7503"/>
      <c r="Q7503"/>
      <c r="R7503"/>
      <c r="S7503"/>
    </row>
    <row r="7504" spans="13:19" ht="13.95" customHeight="1">
      <c r="M7504"/>
      <c r="N7504"/>
      <c r="O7504"/>
      <c r="P7504"/>
      <c r="Q7504"/>
      <c r="R7504"/>
      <c r="S7504"/>
    </row>
    <row r="7505" spans="13:19" ht="13.95" customHeight="1">
      <c r="M7505"/>
      <c r="N7505"/>
      <c r="O7505"/>
      <c r="P7505"/>
      <c r="Q7505"/>
      <c r="R7505"/>
      <c r="S7505"/>
    </row>
    <row r="7506" spans="13:19" ht="13.95" customHeight="1">
      <c r="M7506"/>
      <c r="N7506"/>
      <c r="O7506"/>
      <c r="P7506"/>
      <c r="Q7506"/>
      <c r="R7506"/>
      <c r="S7506"/>
    </row>
    <row r="7507" spans="13:19" ht="13.95" customHeight="1">
      <c r="M7507"/>
      <c r="N7507"/>
      <c r="O7507"/>
      <c r="P7507"/>
      <c r="Q7507"/>
      <c r="R7507"/>
      <c r="S7507"/>
    </row>
    <row r="7508" spans="13:19" ht="13.95" customHeight="1">
      <c r="M7508"/>
      <c r="N7508"/>
      <c r="O7508"/>
      <c r="P7508"/>
      <c r="Q7508"/>
      <c r="R7508"/>
      <c r="S7508"/>
    </row>
    <row r="7509" spans="13:19" ht="13.95" customHeight="1">
      <c r="M7509"/>
      <c r="N7509"/>
      <c r="O7509"/>
      <c r="P7509"/>
      <c r="Q7509"/>
      <c r="R7509"/>
      <c r="S7509"/>
    </row>
    <row r="7510" spans="13:19" ht="13.95" customHeight="1">
      <c r="M7510"/>
      <c r="N7510"/>
      <c r="O7510"/>
      <c r="P7510"/>
      <c r="Q7510"/>
      <c r="R7510"/>
      <c r="S7510"/>
    </row>
    <row r="7511" spans="13:19" ht="13.95" customHeight="1">
      <c r="M7511"/>
      <c r="N7511"/>
      <c r="O7511"/>
      <c r="P7511"/>
      <c r="Q7511"/>
      <c r="R7511"/>
      <c r="S7511"/>
    </row>
    <row r="7512" spans="13:19" ht="13.95" customHeight="1">
      <c r="M7512"/>
      <c r="N7512"/>
      <c r="O7512"/>
      <c r="P7512"/>
      <c r="Q7512"/>
      <c r="R7512"/>
      <c r="S7512"/>
    </row>
    <row r="7513" spans="13:19" ht="13.95" customHeight="1">
      <c r="M7513"/>
      <c r="N7513"/>
      <c r="O7513"/>
      <c r="P7513"/>
      <c r="Q7513"/>
      <c r="R7513"/>
      <c r="S7513"/>
    </row>
    <row r="7514" spans="13:19" ht="13.95" customHeight="1">
      <c r="M7514"/>
      <c r="N7514"/>
      <c r="O7514"/>
      <c r="P7514"/>
      <c r="Q7514"/>
      <c r="R7514"/>
      <c r="S7514"/>
    </row>
    <row r="7515" spans="13:19" ht="13.95" customHeight="1">
      <c r="M7515"/>
      <c r="N7515"/>
      <c r="O7515"/>
      <c r="P7515"/>
      <c r="Q7515"/>
      <c r="R7515"/>
      <c r="S7515"/>
    </row>
    <row r="7516" spans="13:19" ht="13.95" customHeight="1">
      <c r="M7516"/>
      <c r="N7516"/>
      <c r="O7516"/>
      <c r="P7516"/>
      <c r="Q7516"/>
      <c r="R7516"/>
      <c r="S7516"/>
    </row>
    <row r="7517" spans="13:19" ht="13.95" customHeight="1">
      <c r="M7517"/>
      <c r="N7517"/>
      <c r="O7517"/>
      <c r="P7517"/>
      <c r="Q7517"/>
      <c r="R7517"/>
      <c r="S7517"/>
    </row>
    <row r="7518" spans="13:19" ht="13.95" customHeight="1">
      <c r="M7518"/>
      <c r="N7518"/>
      <c r="O7518"/>
      <c r="P7518"/>
      <c r="Q7518"/>
      <c r="R7518"/>
      <c r="S7518"/>
    </row>
    <row r="7519" spans="13:19" ht="13.95" customHeight="1">
      <c r="M7519"/>
      <c r="N7519"/>
      <c r="O7519"/>
      <c r="P7519"/>
      <c r="Q7519"/>
      <c r="R7519"/>
      <c r="S7519"/>
    </row>
    <row r="7520" spans="13:19" ht="13.95" customHeight="1">
      <c r="M7520"/>
      <c r="N7520"/>
      <c r="O7520"/>
      <c r="P7520"/>
      <c r="Q7520"/>
      <c r="R7520"/>
      <c r="S7520"/>
    </row>
    <row r="7521" spans="13:19" ht="13.95" customHeight="1">
      <c r="M7521"/>
      <c r="N7521"/>
      <c r="O7521"/>
      <c r="P7521"/>
      <c r="Q7521"/>
      <c r="R7521"/>
      <c r="S7521"/>
    </row>
    <row r="7522" spans="13:19" ht="13.95" customHeight="1">
      <c r="M7522"/>
      <c r="N7522"/>
      <c r="O7522"/>
      <c r="P7522"/>
      <c r="Q7522"/>
      <c r="R7522"/>
      <c r="S7522"/>
    </row>
    <row r="7523" spans="13:19" ht="13.95" customHeight="1">
      <c r="M7523"/>
      <c r="N7523"/>
      <c r="O7523"/>
      <c r="P7523"/>
      <c r="Q7523"/>
      <c r="R7523"/>
      <c r="S7523"/>
    </row>
    <row r="7524" spans="13:19" ht="13.95" customHeight="1">
      <c r="M7524"/>
      <c r="N7524"/>
      <c r="O7524"/>
      <c r="P7524"/>
      <c r="Q7524"/>
      <c r="R7524"/>
      <c r="S7524"/>
    </row>
    <row r="7525" spans="13:19" ht="13.95" customHeight="1">
      <c r="M7525"/>
      <c r="N7525"/>
      <c r="O7525"/>
      <c r="P7525"/>
      <c r="Q7525"/>
      <c r="R7525"/>
      <c r="S7525"/>
    </row>
    <row r="7526" spans="13:19" ht="13.95" customHeight="1">
      <c r="M7526"/>
      <c r="N7526"/>
      <c r="O7526"/>
      <c r="P7526"/>
      <c r="Q7526"/>
      <c r="R7526"/>
      <c r="S7526"/>
    </row>
    <row r="7527" spans="13:19" ht="13.95" customHeight="1">
      <c r="M7527"/>
      <c r="N7527"/>
      <c r="O7527"/>
      <c r="P7527"/>
      <c r="Q7527"/>
      <c r="R7527"/>
      <c r="S7527"/>
    </row>
    <row r="7528" spans="13:19" ht="13.95" customHeight="1">
      <c r="M7528"/>
      <c r="N7528"/>
      <c r="O7528"/>
      <c r="P7528"/>
      <c r="Q7528"/>
      <c r="R7528"/>
      <c r="S7528"/>
    </row>
    <row r="7529" spans="13:19" ht="13.95" customHeight="1">
      <c r="M7529"/>
      <c r="N7529"/>
      <c r="O7529"/>
      <c r="P7529"/>
      <c r="Q7529"/>
      <c r="R7529"/>
      <c r="S7529"/>
    </row>
    <row r="7530" spans="13:19" ht="13.95" customHeight="1">
      <c r="M7530"/>
      <c r="N7530"/>
      <c r="O7530"/>
      <c r="P7530"/>
      <c r="Q7530"/>
      <c r="R7530"/>
      <c r="S7530"/>
    </row>
    <row r="7531" spans="13:19" ht="13.95" customHeight="1">
      <c r="M7531"/>
      <c r="N7531"/>
      <c r="O7531"/>
      <c r="P7531"/>
      <c r="Q7531"/>
      <c r="R7531"/>
      <c r="S7531"/>
    </row>
    <row r="7532" spans="13:19" ht="13.95" customHeight="1">
      <c r="M7532"/>
      <c r="N7532"/>
      <c r="O7532"/>
      <c r="P7532"/>
      <c r="Q7532"/>
      <c r="R7532"/>
      <c r="S7532"/>
    </row>
    <row r="7533" spans="13:19" ht="13.95" customHeight="1">
      <c r="M7533"/>
      <c r="N7533"/>
      <c r="O7533"/>
      <c r="P7533"/>
      <c r="Q7533"/>
      <c r="R7533"/>
      <c r="S7533"/>
    </row>
    <row r="7534" spans="13:19" ht="13.95" customHeight="1">
      <c r="M7534"/>
      <c r="N7534"/>
      <c r="O7534"/>
      <c r="P7534"/>
      <c r="Q7534"/>
      <c r="R7534"/>
      <c r="S7534"/>
    </row>
    <row r="7535" spans="13:19" ht="13.95" customHeight="1">
      <c r="M7535"/>
      <c r="N7535"/>
      <c r="O7535"/>
      <c r="P7535"/>
      <c r="Q7535"/>
      <c r="R7535"/>
      <c r="S7535"/>
    </row>
    <row r="7536" spans="13:19" ht="13.95" customHeight="1">
      <c r="M7536"/>
      <c r="N7536"/>
      <c r="O7536"/>
      <c r="P7536"/>
      <c r="Q7536"/>
      <c r="R7536"/>
      <c r="S7536"/>
    </row>
    <row r="7537" spans="13:19" ht="13.95" customHeight="1">
      <c r="M7537"/>
      <c r="N7537"/>
      <c r="O7537"/>
      <c r="P7537"/>
      <c r="Q7537"/>
      <c r="R7537"/>
      <c r="S7537"/>
    </row>
    <row r="7538" spans="13:19" ht="13.95" customHeight="1">
      <c r="M7538"/>
      <c r="N7538"/>
      <c r="O7538"/>
      <c r="P7538"/>
      <c r="Q7538"/>
      <c r="R7538"/>
      <c r="S7538"/>
    </row>
    <row r="7539" spans="13:19" ht="13.95" customHeight="1">
      <c r="M7539"/>
      <c r="N7539"/>
      <c r="O7539"/>
      <c r="P7539"/>
      <c r="Q7539"/>
      <c r="R7539"/>
      <c r="S7539"/>
    </row>
    <row r="7540" spans="13:19" ht="13.95" customHeight="1">
      <c r="M7540"/>
      <c r="N7540"/>
      <c r="O7540"/>
      <c r="P7540"/>
      <c r="Q7540"/>
      <c r="R7540"/>
      <c r="S7540"/>
    </row>
    <row r="7541" spans="13:19" ht="13.95" customHeight="1">
      <c r="M7541"/>
      <c r="N7541"/>
      <c r="O7541"/>
      <c r="P7541"/>
      <c r="Q7541"/>
      <c r="R7541"/>
      <c r="S7541"/>
    </row>
    <row r="7542" spans="13:19" ht="13.95" customHeight="1">
      <c r="M7542"/>
      <c r="N7542"/>
      <c r="O7542"/>
      <c r="P7542"/>
      <c r="Q7542"/>
      <c r="R7542"/>
      <c r="S7542"/>
    </row>
    <row r="7543" spans="13:19" ht="13.95" customHeight="1">
      <c r="M7543"/>
      <c r="N7543"/>
      <c r="O7543"/>
      <c r="P7543"/>
      <c r="Q7543"/>
      <c r="R7543"/>
      <c r="S7543"/>
    </row>
    <row r="7544" spans="13:19" ht="13.95" customHeight="1">
      <c r="M7544"/>
      <c r="N7544"/>
      <c r="O7544"/>
      <c r="P7544"/>
      <c r="Q7544"/>
      <c r="R7544"/>
      <c r="S7544"/>
    </row>
    <row r="7545" spans="13:19" ht="13.95" customHeight="1">
      <c r="M7545"/>
      <c r="N7545"/>
      <c r="O7545"/>
      <c r="P7545"/>
      <c r="Q7545"/>
      <c r="R7545"/>
      <c r="S7545"/>
    </row>
    <row r="7546" spans="13:19" ht="13.95" customHeight="1">
      <c r="M7546"/>
      <c r="N7546"/>
      <c r="O7546"/>
      <c r="P7546"/>
      <c r="Q7546"/>
      <c r="R7546"/>
      <c r="S7546"/>
    </row>
    <row r="7547" spans="13:19" ht="13.95" customHeight="1">
      <c r="M7547"/>
      <c r="N7547"/>
      <c r="O7547"/>
      <c r="P7547"/>
      <c r="Q7547"/>
      <c r="R7547"/>
      <c r="S7547"/>
    </row>
    <row r="7548" spans="13:19" ht="13.95" customHeight="1">
      <c r="M7548"/>
      <c r="N7548"/>
      <c r="O7548"/>
      <c r="P7548"/>
      <c r="Q7548"/>
      <c r="R7548"/>
      <c r="S7548"/>
    </row>
    <row r="7549" spans="13:19" ht="13.95" customHeight="1">
      <c r="M7549"/>
      <c r="N7549"/>
      <c r="O7549"/>
      <c r="P7549"/>
      <c r="Q7549"/>
      <c r="R7549"/>
      <c r="S7549"/>
    </row>
    <row r="7550" spans="13:19" ht="13.95" customHeight="1">
      <c r="M7550"/>
      <c r="N7550"/>
      <c r="O7550"/>
      <c r="P7550"/>
      <c r="Q7550"/>
      <c r="R7550"/>
      <c r="S7550"/>
    </row>
    <row r="7551" spans="13:19" ht="13.95" customHeight="1">
      <c r="M7551"/>
      <c r="N7551"/>
      <c r="O7551"/>
      <c r="P7551"/>
      <c r="Q7551"/>
      <c r="R7551"/>
      <c r="S7551"/>
    </row>
    <row r="7552" spans="13:19" ht="13.95" customHeight="1">
      <c r="M7552"/>
      <c r="N7552"/>
      <c r="O7552"/>
      <c r="P7552"/>
      <c r="Q7552"/>
      <c r="R7552"/>
      <c r="S7552"/>
    </row>
    <row r="7553" spans="13:19" ht="13.95" customHeight="1">
      <c r="M7553"/>
      <c r="N7553"/>
      <c r="O7553"/>
      <c r="P7553"/>
      <c r="Q7553"/>
      <c r="R7553"/>
      <c r="S7553"/>
    </row>
    <row r="7554" spans="13:19" ht="13.95" customHeight="1">
      <c r="M7554"/>
      <c r="N7554"/>
      <c r="O7554"/>
      <c r="P7554"/>
      <c r="Q7554"/>
      <c r="R7554"/>
      <c r="S7554"/>
    </row>
    <row r="7555" spans="13:19" ht="13.95" customHeight="1">
      <c r="M7555"/>
      <c r="N7555"/>
      <c r="O7555"/>
      <c r="P7555"/>
      <c r="Q7555"/>
      <c r="R7555"/>
      <c r="S7555"/>
    </row>
    <row r="7556" spans="13:19" ht="13.95" customHeight="1">
      <c r="M7556"/>
      <c r="N7556"/>
      <c r="O7556"/>
      <c r="P7556"/>
      <c r="Q7556"/>
      <c r="R7556"/>
      <c r="S7556"/>
    </row>
    <row r="7557" spans="13:19" ht="13.95" customHeight="1">
      <c r="M7557"/>
      <c r="N7557"/>
      <c r="O7557"/>
      <c r="P7557"/>
      <c r="Q7557"/>
      <c r="R7557"/>
      <c r="S7557"/>
    </row>
    <row r="7558" spans="13:19" ht="13.95" customHeight="1">
      <c r="M7558"/>
      <c r="N7558"/>
      <c r="O7558"/>
      <c r="P7558"/>
      <c r="Q7558"/>
      <c r="R7558"/>
      <c r="S7558"/>
    </row>
    <row r="7559" spans="13:19" ht="13.95" customHeight="1">
      <c r="M7559"/>
      <c r="N7559"/>
      <c r="O7559"/>
      <c r="P7559"/>
      <c r="Q7559"/>
      <c r="R7559"/>
      <c r="S7559"/>
    </row>
    <row r="7560" spans="13:19" ht="13.95" customHeight="1">
      <c r="M7560"/>
      <c r="N7560"/>
      <c r="O7560"/>
      <c r="P7560"/>
      <c r="Q7560"/>
      <c r="R7560"/>
      <c r="S7560"/>
    </row>
    <row r="7561" spans="13:19" ht="13.95" customHeight="1">
      <c r="M7561"/>
      <c r="N7561"/>
      <c r="O7561"/>
      <c r="P7561"/>
      <c r="Q7561"/>
      <c r="R7561"/>
      <c r="S7561"/>
    </row>
    <row r="7562" spans="13:19" ht="13.95" customHeight="1">
      <c r="M7562"/>
      <c r="N7562"/>
      <c r="O7562"/>
      <c r="P7562"/>
      <c r="Q7562"/>
      <c r="R7562"/>
      <c r="S7562"/>
    </row>
    <row r="7563" spans="13:19" ht="13.95" customHeight="1">
      <c r="M7563"/>
      <c r="N7563"/>
      <c r="O7563"/>
      <c r="P7563"/>
      <c r="Q7563"/>
      <c r="R7563"/>
      <c r="S7563"/>
    </row>
    <row r="7564" spans="13:19" ht="13.95" customHeight="1">
      <c r="M7564"/>
      <c r="N7564"/>
      <c r="O7564"/>
      <c r="P7564"/>
      <c r="Q7564"/>
      <c r="R7564"/>
      <c r="S7564"/>
    </row>
    <row r="7565" spans="13:19" ht="13.95" customHeight="1">
      <c r="M7565"/>
      <c r="N7565"/>
      <c r="O7565"/>
      <c r="P7565"/>
      <c r="Q7565"/>
      <c r="R7565"/>
      <c r="S7565"/>
    </row>
    <row r="7566" spans="13:19" ht="13.95" customHeight="1">
      <c r="M7566"/>
      <c r="N7566"/>
      <c r="O7566"/>
      <c r="P7566"/>
      <c r="Q7566"/>
      <c r="R7566"/>
      <c r="S7566"/>
    </row>
    <row r="7567" spans="13:19" ht="13.95" customHeight="1">
      <c r="M7567"/>
      <c r="N7567"/>
      <c r="O7567"/>
      <c r="P7567"/>
      <c r="Q7567"/>
      <c r="R7567"/>
      <c r="S7567"/>
    </row>
    <row r="7568" spans="13:19" ht="13.95" customHeight="1">
      <c r="M7568"/>
      <c r="N7568"/>
      <c r="O7568"/>
      <c r="P7568"/>
      <c r="Q7568"/>
      <c r="R7568"/>
      <c r="S7568"/>
    </row>
    <row r="7569" spans="13:19" ht="13.95" customHeight="1">
      <c r="M7569"/>
      <c r="N7569"/>
      <c r="O7569"/>
      <c r="P7569"/>
      <c r="Q7569"/>
      <c r="R7569"/>
      <c r="S7569"/>
    </row>
    <row r="7570" spans="13:19" ht="13.95" customHeight="1">
      <c r="M7570"/>
      <c r="N7570"/>
      <c r="O7570"/>
      <c r="P7570"/>
      <c r="Q7570"/>
      <c r="R7570"/>
      <c r="S7570"/>
    </row>
    <row r="7571" spans="13:19" ht="13.95" customHeight="1">
      <c r="M7571"/>
      <c r="N7571"/>
      <c r="O7571"/>
      <c r="P7571"/>
      <c r="Q7571"/>
      <c r="R7571"/>
      <c r="S7571"/>
    </row>
    <row r="7572" spans="13:19" ht="13.95" customHeight="1">
      <c r="M7572"/>
      <c r="N7572"/>
      <c r="O7572"/>
      <c r="P7572"/>
      <c r="Q7572"/>
      <c r="R7572"/>
      <c r="S7572"/>
    </row>
    <row r="7573" spans="13:19" ht="13.95" customHeight="1">
      <c r="M7573"/>
      <c r="N7573"/>
      <c r="O7573"/>
      <c r="P7573"/>
      <c r="Q7573"/>
      <c r="R7573"/>
      <c r="S7573"/>
    </row>
    <row r="7574" spans="13:19" ht="13.95" customHeight="1">
      <c r="M7574"/>
      <c r="N7574"/>
      <c r="O7574"/>
      <c r="P7574"/>
      <c r="Q7574"/>
      <c r="R7574"/>
      <c r="S7574"/>
    </row>
    <row r="7575" spans="13:19" ht="13.95" customHeight="1">
      <c r="M7575"/>
      <c r="N7575"/>
      <c r="O7575"/>
      <c r="P7575"/>
      <c r="Q7575"/>
      <c r="R7575"/>
      <c r="S7575"/>
    </row>
    <row r="7576" spans="13:19" ht="13.95" customHeight="1">
      <c r="M7576"/>
      <c r="N7576"/>
      <c r="O7576"/>
      <c r="P7576"/>
      <c r="Q7576"/>
      <c r="R7576"/>
      <c r="S7576"/>
    </row>
    <row r="7577" spans="13:19" ht="13.95" customHeight="1">
      <c r="M7577"/>
      <c r="N7577"/>
      <c r="O7577"/>
      <c r="P7577"/>
      <c r="Q7577"/>
      <c r="R7577"/>
      <c r="S7577"/>
    </row>
    <row r="7578" spans="13:19" ht="13.95" customHeight="1">
      <c r="M7578"/>
      <c r="N7578"/>
      <c r="O7578"/>
      <c r="P7578"/>
      <c r="Q7578"/>
      <c r="R7578"/>
      <c r="S7578"/>
    </row>
    <row r="7579" spans="13:19" ht="13.95" customHeight="1">
      <c r="M7579"/>
      <c r="N7579"/>
      <c r="O7579"/>
      <c r="P7579"/>
      <c r="Q7579"/>
      <c r="R7579"/>
      <c r="S7579"/>
    </row>
    <row r="7580" spans="13:19" ht="13.95" customHeight="1">
      <c r="M7580"/>
      <c r="N7580"/>
      <c r="O7580"/>
      <c r="P7580"/>
      <c r="Q7580"/>
      <c r="R7580"/>
      <c r="S7580"/>
    </row>
    <row r="7581" spans="13:19" ht="13.95" customHeight="1">
      <c r="M7581"/>
      <c r="N7581"/>
      <c r="O7581"/>
      <c r="P7581"/>
      <c r="Q7581"/>
      <c r="R7581"/>
      <c r="S7581"/>
    </row>
    <row r="7582" spans="13:19" ht="13.95" customHeight="1">
      <c r="M7582"/>
      <c r="N7582"/>
      <c r="O7582"/>
      <c r="P7582"/>
      <c r="Q7582"/>
      <c r="R7582"/>
      <c r="S7582"/>
    </row>
    <row r="7583" spans="13:19" ht="13.95" customHeight="1">
      <c r="M7583"/>
      <c r="N7583"/>
      <c r="O7583"/>
      <c r="P7583"/>
      <c r="Q7583"/>
      <c r="R7583"/>
      <c r="S7583"/>
    </row>
    <row r="7584" spans="13:19" ht="13.95" customHeight="1">
      <c r="M7584"/>
      <c r="N7584"/>
      <c r="O7584"/>
      <c r="P7584"/>
      <c r="Q7584"/>
      <c r="R7584"/>
      <c r="S7584"/>
    </row>
    <row r="7585" spans="13:19" ht="13.95" customHeight="1">
      <c r="M7585"/>
      <c r="N7585"/>
      <c r="O7585"/>
      <c r="P7585"/>
      <c r="Q7585"/>
      <c r="R7585"/>
      <c r="S7585"/>
    </row>
    <row r="7586" spans="13:19" ht="13.95" customHeight="1">
      <c r="M7586"/>
      <c r="N7586"/>
      <c r="O7586"/>
      <c r="P7586"/>
      <c r="Q7586"/>
      <c r="R7586"/>
      <c r="S7586"/>
    </row>
    <row r="7587" spans="13:19" ht="13.95" customHeight="1">
      <c r="M7587"/>
      <c r="N7587"/>
      <c r="O7587"/>
      <c r="P7587"/>
      <c r="Q7587"/>
      <c r="R7587"/>
      <c r="S7587"/>
    </row>
    <row r="7588" spans="13:19" ht="13.95" customHeight="1">
      <c r="M7588"/>
      <c r="N7588"/>
      <c r="O7588"/>
      <c r="P7588"/>
      <c r="Q7588"/>
      <c r="R7588"/>
      <c r="S7588"/>
    </row>
    <row r="7589" spans="13:19" ht="13.95" customHeight="1">
      <c r="M7589"/>
      <c r="N7589"/>
      <c r="O7589"/>
      <c r="P7589"/>
      <c r="Q7589"/>
      <c r="R7589"/>
      <c r="S7589"/>
    </row>
    <row r="7590" spans="13:19" ht="13.95" customHeight="1">
      <c r="M7590"/>
      <c r="N7590"/>
      <c r="O7590"/>
      <c r="P7590"/>
      <c r="Q7590"/>
      <c r="R7590"/>
      <c r="S7590"/>
    </row>
    <row r="7591" spans="13:19" ht="13.95" customHeight="1">
      <c r="M7591"/>
      <c r="N7591"/>
      <c r="O7591"/>
      <c r="P7591"/>
      <c r="Q7591"/>
      <c r="R7591"/>
      <c r="S7591"/>
    </row>
    <row r="7592" spans="13:19" ht="13.95" customHeight="1">
      <c r="M7592"/>
      <c r="N7592"/>
      <c r="O7592"/>
      <c r="P7592"/>
      <c r="Q7592"/>
      <c r="R7592"/>
      <c r="S7592"/>
    </row>
    <row r="7593" spans="13:19" ht="13.95" customHeight="1">
      <c r="M7593"/>
      <c r="N7593"/>
      <c r="O7593"/>
      <c r="P7593"/>
      <c r="Q7593"/>
      <c r="R7593"/>
      <c r="S7593"/>
    </row>
    <row r="7594" spans="13:19" ht="13.95" customHeight="1">
      <c r="M7594"/>
      <c r="N7594"/>
      <c r="O7594"/>
      <c r="P7594"/>
      <c r="Q7594"/>
      <c r="R7594"/>
      <c r="S7594"/>
    </row>
    <row r="7595" spans="13:19" ht="13.95" customHeight="1">
      <c r="M7595"/>
      <c r="N7595"/>
      <c r="O7595"/>
      <c r="P7595"/>
      <c r="Q7595"/>
      <c r="R7595"/>
      <c r="S7595"/>
    </row>
    <row r="7596" spans="13:19" ht="13.95" customHeight="1">
      <c r="M7596"/>
      <c r="N7596"/>
      <c r="O7596"/>
      <c r="P7596"/>
      <c r="Q7596"/>
      <c r="R7596"/>
      <c r="S7596"/>
    </row>
    <row r="7597" spans="13:19" ht="13.95" customHeight="1">
      <c r="M7597"/>
      <c r="N7597"/>
      <c r="O7597"/>
      <c r="P7597"/>
      <c r="Q7597"/>
      <c r="R7597"/>
      <c r="S7597"/>
    </row>
    <row r="7598" spans="13:19" ht="13.95" customHeight="1">
      <c r="M7598"/>
      <c r="N7598"/>
      <c r="O7598"/>
      <c r="P7598"/>
      <c r="Q7598"/>
      <c r="R7598"/>
      <c r="S7598"/>
    </row>
    <row r="7599" spans="13:19" ht="13.95" customHeight="1">
      <c r="M7599"/>
      <c r="N7599"/>
      <c r="O7599"/>
      <c r="P7599"/>
      <c r="Q7599"/>
      <c r="R7599"/>
      <c r="S7599"/>
    </row>
    <row r="7600" spans="13:19" ht="13.95" customHeight="1">
      <c r="M7600"/>
      <c r="N7600"/>
      <c r="O7600"/>
      <c r="P7600"/>
      <c r="Q7600"/>
      <c r="R7600"/>
      <c r="S7600"/>
    </row>
    <row r="7601" spans="13:19" ht="13.95" customHeight="1">
      <c r="M7601"/>
      <c r="N7601"/>
      <c r="O7601"/>
      <c r="P7601"/>
      <c r="Q7601"/>
      <c r="R7601"/>
      <c r="S7601"/>
    </row>
    <row r="7602" spans="13:19" ht="13.95" customHeight="1">
      <c r="M7602"/>
      <c r="N7602"/>
      <c r="O7602"/>
      <c r="P7602"/>
      <c r="Q7602"/>
      <c r="R7602"/>
      <c r="S7602"/>
    </row>
    <row r="7603" spans="13:19" ht="13.95" customHeight="1">
      <c r="M7603"/>
      <c r="N7603"/>
      <c r="O7603"/>
      <c r="P7603"/>
      <c r="Q7603"/>
      <c r="R7603"/>
      <c r="S7603"/>
    </row>
    <row r="7604" spans="13:19" ht="13.95" customHeight="1">
      <c r="M7604"/>
      <c r="N7604"/>
      <c r="O7604"/>
      <c r="P7604"/>
      <c r="Q7604"/>
      <c r="R7604"/>
      <c r="S7604"/>
    </row>
    <row r="7605" spans="13:19" ht="13.95" customHeight="1">
      <c r="M7605"/>
      <c r="N7605"/>
      <c r="O7605"/>
      <c r="P7605"/>
      <c r="Q7605"/>
      <c r="R7605"/>
      <c r="S7605"/>
    </row>
    <row r="7606" spans="13:19" ht="13.95" customHeight="1">
      <c r="M7606"/>
      <c r="N7606"/>
      <c r="O7606"/>
      <c r="P7606"/>
      <c r="Q7606"/>
      <c r="R7606"/>
      <c r="S7606"/>
    </row>
    <row r="7607" spans="13:19" ht="13.95" customHeight="1">
      <c r="M7607"/>
      <c r="N7607"/>
      <c r="O7607"/>
      <c r="P7607"/>
      <c r="Q7607"/>
      <c r="R7607"/>
      <c r="S7607"/>
    </row>
    <row r="7608" spans="13:19" ht="13.95" customHeight="1">
      <c r="M7608"/>
      <c r="N7608"/>
      <c r="O7608"/>
      <c r="P7608"/>
      <c r="Q7608"/>
      <c r="R7608"/>
      <c r="S7608"/>
    </row>
    <row r="7609" spans="13:19" ht="13.95" customHeight="1">
      <c r="M7609"/>
      <c r="N7609"/>
      <c r="O7609"/>
      <c r="P7609"/>
      <c r="Q7609"/>
      <c r="R7609"/>
      <c r="S7609"/>
    </row>
    <row r="7610" spans="13:19" ht="13.95" customHeight="1">
      <c r="M7610"/>
      <c r="N7610"/>
      <c r="O7610"/>
      <c r="P7610"/>
      <c r="Q7610"/>
      <c r="R7610"/>
      <c r="S7610"/>
    </row>
    <row r="7611" spans="13:19" ht="13.95" customHeight="1">
      <c r="M7611"/>
      <c r="N7611"/>
      <c r="O7611"/>
      <c r="P7611"/>
      <c r="Q7611"/>
      <c r="R7611"/>
      <c r="S7611"/>
    </row>
    <row r="7612" spans="13:19" ht="13.95" customHeight="1">
      <c r="M7612"/>
      <c r="N7612"/>
      <c r="O7612"/>
      <c r="P7612"/>
      <c r="Q7612"/>
      <c r="R7612"/>
      <c r="S7612"/>
    </row>
    <row r="7613" spans="13:19" ht="13.95" customHeight="1">
      <c r="M7613"/>
      <c r="N7613"/>
      <c r="O7613"/>
      <c r="P7613"/>
      <c r="Q7613"/>
      <c r="R7613"/>
      <c r="S7613"/>
    </row>
    <row r="7614" spans="13:19" ht="13.95" customHeight="1">
      <c r="M7614"/>
      <c r="N7614"/>
      <c r="O7614"/>
      <c r="P7614"/>
      <c r="Q7614"/>
      <c r="R7614"/>
      <c r="S7614"/>
    </row>
    <row r="7615" spans="13:19" ht="13.95" customHeight="1">
      <c r="M7615"/>
      <c r="N7615"/>
      <c r="O7615"/>
      <c r="P7615"/>
      <c r="Q7615"/>
      <c r="R7615"/>
      <c r="S7615"/>
    </row>
    <row r="7616" spans="13:19" ht="13.95" customHeight="1">
      <c r="M7616"/>
      <c r="N7616"/>
      <c r="O7616"/>
      <c r="P7616"/>
      <c r="Q7616"/>
      <c r="R7616"/>
      <c r="S7616"/>
    </row>
    <row r="7617" spans="13:19" ht="13.95" customHeight="1">
      <c r="M7617"/>
      <c r="N7617"/>
      <c r="O7617"/>
      <c r="P7617"/>
      <c r="Q7617"/>
      <c r="R7617"/>
      <c r="S7617"/>
    </row>
    <row r="7618" spans="13:19" ht="13.95" customHeight="1">
      <c r="M7618"/>
      <c r="N7618"/>
      <c r="O7618"/>
      <c r="P7618"/>
      <c r="Q7618"/>
      <c r="R7618"/>
      <c r="S7618"/>
    </row>
    <row r="7619" spans="13:19" ht="13.95" customHeight="1">
      <c r="M7619"/>
      <c r="N7619"/>
      <c r="O7619"/>
      <c r="P7619"/>
      <c r="Q7619"/>
      <c r="R7619"/>
      <c r="S7619"/>
    </row>
    <row r="7620" spans="13:19" ht="13.95" customHeight="1">
      <c r="M7620"/>
      <c r="N7620"/>
      <c r="O7620"/>
      <c r="P7620"/>
      <c r="Q7620"/>
      <c r="R7620"/>
      <c r="S7620"/>
    </row>
    <row r="7621" spans="13:19" ht="13.95" customHeight="1">
      <c r="M7621"/>
      <c r="N7621"/>
      <c r="O7621"/>
      <c r="P7621"/>
      <c r="Q7621"/>
      <c r="R7621"/>
      <c r="S7621"/>
    </row>
    <row r="7622" spans="13:19" ht="13.95" customHeight="1">
      <c r="M7622"/>
      <c r="N7622"/>
      <c r="O7622"/>
      <c r="P7622"/>
      <c r="Q7622"/>
      <c r="R7622"/>
      <c r="S7622"/>
    </row>
    <row r="7623" spans="13:19" ht="13.95" customHeight="1">
      <c r="M7623"/>
      <c r="N7623"/>
      <c r="O7623"/>
      <c r="P7623"/>
      <c r="Q7623"/>
      <c r="R7623"/>
      <c r="S7623"/>
    </row>
    <row r="7624" spans="13:19" ht="13.95" customHeight="1">
      <c r="M7624"/>
      <c r="N7624"/>
      <c r="O7624"/>
      <c r="P7624"/>
      <c r="Q7624"/>
      <c r="R7624"/>
      <c r="S7624"/>
    </row>
    <row r="7625" spans="13:19" ht="13.95" customHeight="1">
      <c r="M7625"/>
      <c r="N7625"/>
      <c r="O7625"/>
      <c r="P7625"/>
      <c r="Q7625"/>
      <c r="R7625"/>
      <c r="S7625"/>
    </row>
    <row r="7626" spans="13:19" ht="13.95" customHeight="1">
      <c r="M7626"/>
      <c r="N7626"/>
      <c r="O7626"/>
      <c r="P7626"/>
      <c r="Q7626"/>
      <c r="R7626"/>
      <c r="S7626"/>
    </row>
    <row r="7627" spans="13:19" ht="13.95" customHeight="1">
      <c r="M7627"/>
      <c r="N7627"/>
      <c r="O7627"/>
      <c r="P7627"/>
      <c r="Q7627"/>
      <c r="R7627"/>
      <c r="S7627"/>
    </row>
    <row r="7628" spans="13:19" ht="13.95" customHeight="1">
      <c r="M7628"/>
      <c r="N7628"/>
      <c r="O7628"/>
      <c r="P7628"/>
      <c r="Q7628"/>
      <c r="R7628"/>
      <c r="S7628"/>
    </row>
    <row r="7629" spans="13:19" ht="13.95" customHeight="1">
      <c r="M7629"/>
      <c r="N7629"/>
      <c r="O7629"/>
      <c r="P7629"/>
      <c r="Q7629"/>
      <c r="R7629"/>
      <c r="S7629"/>
    </row>
    <row r="7630" spans="13:19" ht="13.95" customHeight="1">
      <c r="M7630"/>
      <c r="N7630"/>
      <c r="O7630"/>
      <c r="P7630"/>
      <c r="Q7630"/>
      <c r="R7630"/>
      <c r="S7630"/>
    </row>
    <row r="7631" spans="13:19" ht="13.95" customHeight="1">
      <c r="M7631"/>
      <c r="N7631"/>
      <c r="O7631"/>
      <c r="P7631"/>
      <c r="Q7631"/>
      <c r="R7631"/>
      <c r="S7631"/>
    </row>
    <row r="7632" spans="13:19" ht="13.95" customHeight="1">
      <c r="M7632"/>
      <c r="N7632"/>
      <c r="O7632"/>
      <c r="P7632"/>
      <c r="Q7632"/>
      <c r="R7632"/>
      <c r="S7632"/>
    </row>
    <row r="7633" spans="13:19" ht="13.95" customHeight="1">
      <c r="M7633"/>
      <c r="N7633"/>
      <c r="O7633"/>
      <c r="P7633"/>
      <c r="Q7633"/>
      <c r="R7633"/>
      <c r="S7633"/>
    </row>
    <row r="7634" spans="13:19" ht="13.95" customHeight="1">
      <c r="M7634"/>
      <c r="N7634"/>
      <c r="O7634"/>
      <c r="P7634"/>
      <c r="Q7634"/>
      <c r="R7634"/>
      <c r="S7634"/>
    </row>
    <row r="7635" spans="13:19" ht="13.95" customHeight="1">
      <c r="M7635"/>
      <c r="N7635"/>
      <c r="O7635"/>
      <c r="P7635"/>
      <c r="Q7635"/>
      <c r="R7635"/>
      <c r="S7635"/>
    </row>
    <row r="7636" spans="13:19" ht="13.95" customHeight="1">
      <c r="M7636"/>
      <c r="N7636"/>
      <c r="O7636"/>
      <c r="P7636"/>
      <c r="Q7636"/>
      <c r="R7636"/>
      <c r="S7636"/>
    </row>
    <row r="7637" spans="13:19" ht="13.95" customHeight="1">
      <c r="M7637"/>
      <c r="N7637"/>
      <c r="O7637"/>
      <c r="P7637"/>
      <c r="Q7637"/>
      <c r="R7637"/>
      <c r="S7637"/>
    </row>
    <row r="7638" spans="13:19" ht="13.95" customHeight="1">
      <c r="M7638"/>
      <c r="N7638"/>
      <c r="O7638"/>
      <c r="P7638"/>
      <c r="Q7638"/>
      <c r="R7638"/>
      <c r="S7638"/>
    </row>
    <row r="7639" spans="13:19" ht="13.95" customHeight="1">
      <c r="M7639"/>
      <c r="N7639"/>
      <c r="O7639"/>
      <c r="P7639"/>
      <c r="Q7639"/>
      <c r="R7639"/>
      <c r="S7639"/>
    </row>
    <row r="7640" spans="13:19" ht="13.95" customHeight="1">
      <c r="M7640"/>
      <c r="N7640"/>
      <c r="O7640"/>
      <c r="P7640"/>
      <c r="Q7640"/>
      <c r="R7640"/>
      <c r="S7640"/>
    </row>
    <row r="7641" spans="13:19" ht="13.95" customHeight="1">
      <c r="M7641"/>
      <c r="N7641"/>
      <c r="O7641"/>
      <c r="P7641"/>
      <c r="Q7641"/>
      <c r="R7641"/>
      <c r="S7641"/>
    </row>
    <row r="7642" spans="13:19" ht="13.95" customHeight="1">
      <c r="M7642"/>
      <c r="N7642"/>
      <c r="O7642"/>
      <c r="P7642"/>
      <c r="Q7642"/>
      <c r="R7642"/>
      <c r="S7642"/>
    </row>
    <row r="7643" spans="13:19" ht="13.95" customHeight="1">
      <c r="M7643"/>
      <c r="N7643"/>
      <c r="O7643"/>
      <c r="P7643"/>
      <c r="Q7643"/>
      <c r="R7643"/>
      <c r="S7643"/>
    </row>
    <row r="7644" spans="13:19" ht="13.95" customHeight="1">
      <c r="M7644"/>
      <c r="N7644"/>
      <c r="O7644"/>
      <c r="P7644"/>
      <c r="Q7644"/>
      <c r="R7644"/>
      <c r="S7644"/>
    </row>
    <row r="7645" spans="13:19" ht="13.95" customHeight="1">
      <c r="M7645"/>
      <c r="N7645"/>
      <c r="O7645"/>
      <c r="P7645"/>
      <c r="Q7645"/>
      <c r="R7645"/>
      <c r="S7645"/>
    </row>
    <row r="7646" spans="13:19" ht="13.95" customHeight="1">
      <c r="M7646"/>
      <c r="N7646"/>
      <c r="O7646"/>
      <c r="P7646"/>
      <c r="Q7646"/>
      <c r="R7646"/>
      <c r="S7646"/>
    </row>
    <row r="7647" spans="13:19" ht="13.95" customHeight="1">
      <c r="M7647"/>
      <c r="N7647"/>
      <c r="O7647"/>
      <c r="P7647"/>
      <c r="Q7647"/>
      <c r="R7647"/>
      <c r="S7647"/>
    </row>
    <row r="7648" spans="13:19" ht="13.95" customHeight="1">
      <c r="M7648"/>
      <c r="N7648"/>
      <c r="O7648"/>
      <c r="P7648"/>
      <c r="Q7648"/>
      <c r="R7648"/>
      <c r="S7648"/>
    </row>
    <row r="7649" spans="13:19" ht="13.95" customHeight="1">
      <c r="M7649"/>
      <c r="N7649"/>
      <c r="O7649"/>
      <c r="P7649"/>
      <c r="Q7649"/>
      <c r="R7649"/>
      <c r="S7649"/>
    </row>
    <row r="7650" spans="13:19" ht="13.95" customHeight="1">
      <c r="M7650"/>
      <c r="N7650"/>
      <c r="O7650"/>
      <c r="P7650"/>
      <c r="Q7650"/>
      <c r="R7650"/>
      <c r="S7650"/>
    </row>
    <row r="7651" spans="13:19" ht="13.95" customHeight="1">
      <c r="M7651"/>
      <c r="N7651"/>
      <c r="O7651"/>
      <c r="P7651"/>
      <c r="Q7651"/>
      <c r="R7651"/>
      <c r="S7651"/>
    </row>
    <row r="7652" spans="13:19" ht="13.95" customHeight="1">
      <c r="M7652"/>
      <c r="N7652"/>
      <c r="O7652"/>
      <c r="P7652"/>
      <c r="Q7652"/>
      <c r="R7652"/>
      <c r="S7652"/>
    </row>
    <row r="7653" spans="13:19" ht="13.95" customHeight="1">
      <c r="M7653"/>
      <c r="N7653"/>
      <c r="O7653"/>
      <c r="P7653"/>
      <c r="Q7653"/>
      <c r="R7653"/>
      <c r="S7653"/>
    </row>
    <row r="7654" spans="13:19" ht="13.95" customHeight="1">
      <c r="M7654"/>
      <c r="N7654"/>
      <c r="O7654"/>
      <c r="P7654"/>
      <c r="Q7654"/>
      <c r="R7654"/>
      <c r="S7654"/>
    </row>
    <row r="7655" spans="13:19" ht="13.95" customHeight="1">
      <c r="M7655"/>
      <c r="N7655"/>
      <c r="O7655"/>
      <c r="P7655"/>
      <c r="Q7655"/>
      <c r="R7655"/>
      <c r="S7655"/>
    </row>
    <row r="7656" spans="13:19" ht="13.95" customHeight="1">
      <c r="M7656"/>
      <c r="N7656"/>
      <c r="O7656"/>
      <c r="P7656"/>
      <c r="Q7656"/>
      <c r="R7656"/>
      <c r="S7656"/>
    </row>
    <row r="7657" spans="13:19" ht="13.95" customHeight="1">
      <c r="M7657"/>
      <c r="N7657"/>
      <c r="O7657"/>
      <c r="P7657"/>
      <c r="Q7657"/>
      <c r="R7657"/>
      <c r="S7657"/>
    </row>
    <row r="7658" spans="13:19" ht="13.95" customHeight="1">
      <c r="M7658"/>
      <c r="N7658"/>
      <c r="O7658"/>
      <c r="P7658"/>
      <c r="Q7658"/>
      <c r="R7658"/>
      <c r="S7658"/>
    </row>
    <row r="7659" spans="13:19" ht="13.95" customHeight="1">
      <c r="M7659"/>
      <c r="N7659"/>
      <c r="O7659"/>
      <c r="P7659"/>
      <c r="Q7659"/>
      <c r="R7659"/>
      <c r="S7659"/>
    </row>
    <row r="7660" spans="13:19" ht="13.95" customHeight="1">
      <c r="M7660"/>
      <c r="N7660"/>
      <c r="O7660"/>
      <c r="P7660"/>
      <c r="Q7660"/>
      <c r="R7660"/>
      <c r="S7660"/>
    </row>
    <row r="7661" spans="13:19" ht="13.95" customHeight="1">
      <c r="M7661"/>
      <c r="N7661"/>
      <c r="O7661"/>
      <c r="P7661"/>
      <c r="Q7661"/>
      <c r="R7661"/>
      <c r="S7661"/>
    </row>
    <row r="7662" spans="13:19" ht="13.95" customHeight="1">
      <c r="M7662"/>
      <c r="N7662"/>
      <c r="O7662"/>
      <c r="P7662"/>
      <c r="Q7662"/>
      <c r="R7662"/>
      <c r="S7662"/>
    </row>
    <row r="7663" spans="13:19" ht="13.95" customHeight="1">
      <c r="M7663"/>
      <c r="N7663"/>
      <c r="O7663"/>
      <c r="P7663"/>
      <c r="Q7663"/>
      <c r="R7663"/>
      <c r="S7663"/>
    </row>
    <row r="7664" spans="13:19" ht="13.95" customHeight="1">
      <c r="M7664"/>
      <c r="N7664"/>
      <c r="O7664"/>
      <c r="P7664"/>
      <c r="Q7664"/>
      <c r="R7664"/>
      <c r="S7664"/>
    </row>
    <row r="7665" spans="13:19" ht="13.95" customHeight="1">
      <c r="M7665"/>
      <c r="N7665"/>
      <c r="O7665"/>
      <c r="P7665"/>
      <c r="Q7665"/>
      <c r="R7665"/>
      <c r="S7665"/>
    </row>
    <row r="7666" spans="13:19" ht="13.95" customHeight="1">
      <c r="M7666"/>
      <c r="N7666"/>
      <c r="O7666"/>
      <c r="P7666"/>
      <c r="Q7666"/>
      <c r="R7666"/>
      <c r="S7666"/>
    </row>
    <row r="7667" spans="13:19" ht="13.95" customHeight="1">
      <c r="M7667"/>
      <c r="N7667"/>
      <c r="O7667"/>
      <c r="P7667"/>
      <c r="Q7667"/>
      <c r="R7667"/>
      <c r="S7667"/>
    </row>
    <row r="7668" spans="13:19" ht="13.95" customHeight="1">
      <c r="M7668"/>
      <c r="N7668"/>
      <c r="O7668"/>
      <c r="P7668"/>
      <c r="Q7668"/>
      <c r="R7668"/>
      <c r="S7668"/>
    </row>
    <row r="7669" spans="13:19" ht="13.95" customHeight="1">
      <c r="M7669"/>
      <c r="N7669"/>
      <c r="O7669"/>
      <c r="P7669"/>
      <c r="Q7669"/>
      <c r="R7669"/>
      <c r="S7669"/>
    </row>
    <row r="7670" spans="13:19" ht="13.95" customHeight="1">
      <c r="M7670"/>
      <c r="N7670"/>
      <c r="O7670"/>
      <c r="P7670"/>
      <c r="Q7670"/>
      <c r="R7670"/>
      <c r="S7670"/>
    </row>
    <row r="7671" spans="13:19" ht="13.95" customHeight="1">
      <c r="M7671"/>
      <c r="N7671"/>
      <c r="O7671"/>
      <c r="P7671"/>
      <c r="Q7671"/>
      <c r="R7671"/>
      <c r="S7671"/>
    </row>
    <row r="7672" spans="13:19" ht="13.95" customHeight="1">
      <c r="M7672"/>
      <c r="N7672"/>
      <c r="O7672"/>
      <c r="P7672"/>
      <c r="Q7672"/>
      <c r="R7672"/>
      <c r="S7672"/>
    </row>
    <row r="7673" spans="13:19" ht="13.95" customHeight="1">
      <c r="M7673"/>
      <c r="N7673"/>
      <c r="O7673"/>
      <c r="P7673"/>
      <c r="Q7673"/>
      <c r="R7673"/>
      <c r="S7673"/>
    </row>
    <row r="7674" spans="13:19" ht="13.95" customHeight="1">
      <c r="M7674"/>
      <c r="N7674"/>
      <c r="O7674"/>
      <c r="P7674"/>
      <c r="Q7674"/>
      <c r="R7674"/>
      <c r="S7674"/>
    </row>
    <row r="7675" spans="13:19" ht="13.95" customHeight="1">
      <c r="M7675"/>
      <c r="N7675"/>
      <c r="O7675"/>
      <c r="P7675"/>
      <c r="Q7675"/>
      <c r="R7675"/>
      <c r="S7675"/>
    </row>
    <row r="7676" spans="13:19" ht="13.95" customHeight="1">
      <c r="M7676"/>
      <c r="N7676"/>
      <c r="O7676"/>
      <c r="P7676"/>
      <c r="Q7676"/>
      <c r="R7676"/>
      <c r="S7676"/>
    </row>
    <row r="7677" spans="13:19" ht="13.95" customHeight="1">
      <c r="M7677"/>
      <c r="N7677"/>
      <c r="O7677"/>
      <c r="P7677"/>
      <c r="Q7677"/>
      <c r="R7677"/>
      <c r="S7677"/>
    </row>
    <row r="7678" spans="13:19" ht="13.95" customHeight="1">
      <c r="M7678"/>
      <c r="N7678"/>
      <c r="O7678"/>
      <c r="P7678"/>
      <c r="Q7678"/>
      <c r="R7678"/>
      <c r="S7678"/>
    </row>
    <row r="7679" spans="13:19" ht="13.95" customHeight="1">
      <c r="M7679"/>
      <c r="N7679"/>
      <c r="O7679"/>
      <c r="P7679"/>
      <c r="Q7679"/>
      <c r="R7679"/>
      <c r="S7679"/>
    </row>
    <row r="7680" spans="13:19" ht="13.95" customHeight="1">
      <c r="M7680"/>
      <c r="N7680"/>
      <c r="O7680"/>
      <c r="P7680"/>
      <c r="Q7680"/>
      <c r="R7680"/>
      <c r="S7680"/>
    </row>
    <row r="7681" spans="13:19" ht="13.95" customHeight="1">
      <c r="M7681"/>
      <c r="N7681"/>
      <c r="O7681"/>
      <c r="P7681"/>
      <c r="Q7681"/>
      <c r="R7681"/>
      <c r="S7681"/>
    </row>
    <row r="7682" spans="13:19" ht="13.95" customHeight="1">
      <c r="M7682"/>
      <c r="N7682"/>
      <c r="O7682"/>
      <c r="P7682"/>
      <c r="Q7682"/>
      <c r="R7682"/>
      <c r="S7682"/>
    </row>
    <row r="7683" spans="13:19" ht="13.95" customHeight="1">
      <c r="M7683"/>
      <c r="N7683"/>
      <c r="O7683"/>
      <c r="P7683"/>
      <c r="Q7683"/>
      <c r="R7683"/>
      <c r="S7683"/>
    </row>
    <row r="7684" spans="13:19" ht="13.95" customHeight="1">
      <c r="M7684"/>
      <c r="N7684"/>
      <c r="O7684"/>
      <c r="P7684"/>
      <c r="Q7684"/>
      <c r="R7684"/>
      <c r="S7684"/>
    </row>
    <row r="7685" spans="13:19" ht="13.95" customHeight="1">
      <c r="M7685"/>
      <c r="N7685"/>
      <c r="O7685"/>
      <c r="P7685"/>
      <c r="Q7685"/>
      <c r="R7685"/>
      <c r="S7685"/>
    </row>
    <row r="7686" spans="13:19" ht="13.95" customHeight="1">
      <c r="M7686"/>
      <c r="N7686"/>
      <c r="O7686"/>
      <c r="P7686"/>
      <c r="Q7686"/>
      <c r="R7686"/>
      <c r="S7686"/>
    </row>
    <row r="7687" spans="13:19" ht="13.95" customHeight="1">
      <c r="M7687"/>
      <c r="N7687"/>
      <c r="O7687"/>
      <c r="P7687"/>
      <c r="Q7687"/>
      <c r="R7687"/>
      <c r="S7687"/>
    </row>
    <row r="7688" spans="13:19" ht="13.95" customHeight="1">
      <c r="M7688"/>
      <c r="N7688"/>
      <c r="O7688"/>
      <c r="P7688"/>
      <c r="Q7688"/>
      <c r="R7688"/>
      <c r="S7688"/>
    </row>
    <row r="7689" spans="13:19" ht="13.95" customHeight="1">
      <c r="M7689"/>
      <c r="N7689"/>
      <c r="O7689"/>
      <c r="P7689"/>
      <c r="Q7689"/>
      <c r="R7689"/>
      <c r="S7689"/>
    </row>
    <row r="7690" spans="13:19" ht="13.95" customHeight="1">
      <c r="M7690"/>
      <c r="N7690"/>
      <c r="O7690"/>
      <c r="P7690"/>
      <c r="Q7690"/>
      <c r="R7690"/>
      <c r="S7690"/>
    </row>
    <row r="7691" spans="13:19" ht="13.95" customHeight="1">
      <c r="M7691"/>
      <c r="N7691"/>
      <c r="O7691"/>
      <c r="P7691"/>
      <c r="Q7691"/>
      <c r="R7691"/>
      <c r="S7691"/>
    </row>
    <row r="7692" spans="13:19" ht="13.95" customHeight="1">
      <c r="M7692"/>
      <c r="N7692"/>
      <c r="O7692"/>
      <c r="P7692"/>
      <c r="Q7692"/>
      <c r="R7692"/>
      <c r="S7692"/>
    </row>
    <row r="7693" spans="13:19" ht="13.95" customHeight="1">
      <c r="M7693"/>
      <c r="N7693"/>
      <c r="O7693"/>
      <c r="P7693"/>
      <c r="Q7693"/>
      <c r="R7693"/>
      <c r="S7693"/>
    </row>
    <row r="7694" spans="13:19" ht="13.95" customHeight="1">
      <c r="M7694"/>
      <c r="N7694"/>
      <c r="O7694"/>
      <c r="P7694"/>
      <c r="Q7694"/>
      <c r="R7694"/>
      <c r="S7694"/>
    </row>
    <row r="7695" spans="13:19" ht="13.95" customHeight="1">
      <c r="M7695"/>
      <c r="N7695"/>
      <c r="O7695"/>
      <c r="P7695"/>
      <c r="Q7695"/>
      <c r="R7695"/>
      <c r="S7695"/>
    </row>
    <row r="7696" spans="13:19" ht="13.95" customHeight="1">
      <c r="M7696"/>
      <c r="N7696"/>
      <c r="O7696"/>
      <c r="P7696"/>
      <c r="Q7696"/>
      <c r="R7696"/>
      <c r="S7696"/>
    </row>
    <row r="7697" spans="13:19" ht="13.95" customHeight="1">
      <c r="M7697"/>
      <c r="N7697"/>
      <c r="O7697"/>
      <c r="P7697"/>
      <c r="Q7697"/>
      <c r="R7697"/>
      <c r="S7697"/>
    </row>
    <row r="7698" spans="13:19" ht="13.95" customHeight="1">
      <c r="M7698"/>
      <c r="N7698"/>
      <c r="O7698"/>
      <c r="P7698"/>
      <c r="Q7698"/>
      <c r="R7698"/>
      <c r="S7698"/>
    </row>
    <row r="7699" spans="13:19" ht="13.95" customHeight="1">
      <c r="M7699"/>
      <c r="N7699"/>
      <c r="O7699"/>
      <c r="P7699"/>
      <c r="Q7699"/>
      <c r="R7699"/>
      <c r="S7699"/>
    </row>
    <row r="7700" spans="13:19" ht="13.95" customHeight="1">
      <c r="M7700"/>
      <c r="N7700"/>
      <c r="O7700"/>
      <c r="P7700"/>
      <c r="Q7700"/>
      <c r="R7700"/>
      <c r="S7700"/>
    </row>
    <row r="7701" spans="13:19" ht="13.95" customHeight="1">
      <c r="M7701"/>
      <c r="N7701"/>
      <c r="O7701"/>
      <c r="P7701"/>
      <c r="Q7701"/>
      <c r="R7701"/>
      <c r="S7701"/>
    </row>
    <row r="7702" spans="13:19" ht="13.95" customHeight="1">
      <c r="M7702"/>
      <c r="N7702"/>
      <c r="O7702"/>
      <c r="P7702"/>
      <c r="Q7702"/>
      <c r="R7702"/>
      <c r="S7702"/>
    </row>
    <row r="7703" spans="13:19" ht="13.95" customHeight="1">
      <c r="M7703"/>
      <c r="N7703"/>
      <c r="O7703"/>
      <c r="P7703"/>
      <c r="Q7703"/>
      <c r="R7703"/>
      <c r="S7703"/>
    </row>
    <row r="7704" spans="13:19" ht="13.95" customHeight="1">
      <c r="M7704"/>
      <c r="N7704"/>
      <c r="O7704"/>
      <c r="P7704"/>
      <c r="Q7704"/>
      <c r="R7704"/>
      <c r="S7704"/>
    </row>
    <row r="7705" spans="13:19" ht="13.95" customHeight="1">
      <c r="M7705"/>
      <c r="N7705"/>
      <c r="O7705"/>
      <c r="P7705"/>
      <c r="Q7705"/>
      <c r="R7705"/>
      <c r="S7705"/>
    </row>
    <row r="7706" spans="13:19" ht="13.95" customHeight="1">
      <c r="M7706"/>
      <c r="N7706"/>
      <c r="O7706"/>
      <c r="P7706"/>
      <c r="Q7706"/>
      <c r="R7706"/>
      <c r="S7706"/>
    </row>
    <row r="7707" spans="13:19" ht="13.95" customHeight="1">
      <c r="M7707"/>
      <c r="N7707"/>
      <c r="O7707"/>
      <c r="P7707"/>
      <c r="Q7707"/>
      <c r="R7707"/>
      <c r="S7707"/>
    </row>
    <row r="7708" spans="13:19" ht="13.95" customHeight="1">
      <c r="M7708"/>
      <c r="N7708"/>
      <c r="O7708"/>
      <c r="P7708"/>
      <c r="Q7708"/>
      <c r="R7708"/>
      <c r="S7708"/>
    </row>
    <row r="7709" spans="13:19" ht="13.95" customHeight="1">
      <c r="M7709"/>
      <c r="N7709"/>
      <c r="O7709"/>
      <c r="P7709"/>
      <c r="Q7709"/>
      <c r="R7709"/>
      <c r="S7709"/>
    </row>
    <row r="7710" spans="13:19" ht="13.95" customHeight="1">
      <c r="M7710"/>
      <c r="N7710"/>
      <c r="O7710"/>
      <c r="P7710"/>
      <c r="Q7710"/>
      <c r="R7710"/>
      <c r="S7710"/>
    </row>
    <row r="7711" spans="13:19" ht="13.95" customHeight="1">
      <c r="M7711"/>
      <c r="N7711"/>
      <c r="O7711"/>
      <c r="P7711"/>
      <c r="Q7711"/>
      <c r="R7711"/>
      <c r="S7711"/>
    </row>
    <row r="7712" spans="13:19" ht="13.95" customHeight="1">
      <c r="M7712"/>
      <c r="N7712"/>
      <c r="O7712"/>
      <c r="P7712"/>
      <c r="Q7712"/>
      <c r="R7712"/>
      <c r="S7712"/>
    </row>
    <row r="7713" spans="13:19" ht="13.95" customHeight="1">
      <c r="M7713"/>
      <c r="N7713"/>
      <c r="O7713"/>
      <c r="P7713"/>
      <c r="Q7713"/>
      <c r="R7713"/>
      <c r="S7713"/>
    </row>
    <row r="7714" spans="13:19" ht="13.95" customHeight="1">
      <c r="M7714"/>
      <c r="N7714"/>
      <c r="O7714"/>
      <c r="P7714"/>
      <c r="Q7714"/>
      <c r="R7714"/>
      <c r="S7714"/>
    </row>
    <row r="7715" spans="13:19" ht="13.95" customHeight="1">
      <c r="M7715"/>
      <c r="N7715"/>
      <c r="O7715"/>
      <c r="P7715"/>
      <c r="Q7715"/>
      <c r="R7715"/>
      <c r="S7715"/>
    </row>
    <row r="7716" spans="13:19" ht="13.95" customHeight="1">
      <c r="M7716"/>
      <c r="N7716"/>
      <c r="O7716"/>
      <c r="P7716"/>
      <c r="Q7716"/>
      <c r="R7716"/>
      <c r="S7716"/>
    </row>
    <row r="7717" spans="13:19" ht="13.95" customHeight="1">
      <c r="M7717"/>
      <c r="N7717"/>
      <c r="O7717"/>
      <c r="P7717"/>
      <c r="Q7717"/>
      <c r="R7717"/>
      <c r="S7717"/>
    </row>
    <row r="7718" spans="13:19" ht="13.95" customHeight="1">
      <c r="M7718"/>
      <c r="N7718"/>
      <c r="O7718"/>
      <c r="P7718"/>
      <c r="Q7718"/>
      <c r="R7718"/>
      <c r="S7718"/>
    </row>
    <row r="7719" spans="13:19" ht="13.95" customHeight="1">
      <c r="M7719"/>
      <c r="N7719"/>
      <c r="O7719"/>
      <c r="P7719"/>
      <c r="Q7719"/>
      <c r="R7719"/>
      <c r="S7719"/>
    </row>
    <row r="7720" spans="13:19" ht="13.95" customHeight="1">
      <c r="M7720"/>
      <c r="N7720"/>
      <c r="O7720"/>
      <c r="P7720"/>
      <c r="Q7720"/>
      <c r="R7720"/>
      <c r="S7720"/>
    </row>
    <row r="7721" spans="13:19" ht="13.95" customHeight="1">
      <c r="M7721"/>
      <c r="N7721"/>
      <c r="O7721"/>
      <c r="P7721"/>
      <c r="Q7721"/>
      <c r="R7721"/>
      <c r="S7721"/>
    </row>
    <row r="7722" spans="13:19" ht="13.95" customHeight="1">
      <c r="M7722"/>
      <c r="N7722"/>
      <c r="O7722"/>
      <c r="P7722"/>
      <c r="Q7722"/>
      <c r="R7722"/>
      <c r="S7722"/>
    </row>
    <row r="7723" spans="13:19" ht="13.95" customHeight="1">
      <c r="M7723"/>
      <c r="N7723"/>
      <c r="O7723"/>
      <c r="P7723"/>
      <c r="Q7723"/>
      <c r="R7723"/>
      <c r="S7723"/>
    </row>
    <row r="7724" spans="13:19" ht="13.95" customHeight="1">
      <c r="M7724"/>
      <c r="N7724"/>
      <c r="O7724"/>
      <c r="P7724"/>
      <c r="Q7724"/>
      <c r="R7724"/>
      <c r="S7724"/>
    </row>
    <row r="7725" spans="13:19" ht="13.95" customHeight="1">
      <c r="M7725"/>
      <c r="N7725"/>
      <c r="O7725"/>
      <c r="P7725"/>
      <c r="Q7725"/>
      <c r="R7725"/>
      <c r="S7725"/>
    </row>
    <row r="7726" spans="13:19" ht="13.95" customHeight="1">
      <c r="M7726"/>
      <c r="N7726"/>
      <c r="O7726"/>
      <c r="P7726"/>
      <c r="Q7726"/>
      <c r="R7726"/>
      <c r="S7726"/>
    </row>
    <row r="7727" spans="13:19" ht="13.95" customHeight="1">
      <c r="M7727"/>
      <c r="N7727"/>
      <c r="O7727"/>
      <c r="P7727"/>
      <c r="Q7727"/>
      <c r="R7727"/>
      <c r="S7727"/>
    </row>
    <row r="7728" spans="13:19" ht="13.95" customHeight="1">
      <c r="M7728"/>
      <c r="N7728"/>
      <c r="O7728"/>
      <c r="P7728"/>
      <c r="Q7728"/>
      <c r="R7728"/>
      <c r="S7728"/>
    </row>
    <row r="7729" spans="13:19" ht="13.95" customHeight="1">
      <c r="M7729"/>
      <c r="N7729"/>
      <c r="O7729"/>
      <c r="P7729"/>
      <c r="Q7729"/>
      <c r="R7729"/>
      <c r="S7729"/>
    </row>
    <row r="7730" spans="13:19" ht="13.95" customHeight="1">
      <c r="M7730"/>
      <c r="N7730"/>
      <c r="O7730"/>
      <c r="P7730"/>
      <c r="Q7730"/>
      <c r="R7730"/>
      <c r="S7730"/>
    </row>
    <row r="7731" spans="13:19" ht="13.95" customHeight="1">
      <c r="M7731"/>
      <c r="N7731"/>
      <c r="O7731"/>
      <c r="P7731"/>
      <c r="Q7731"/>
      <c r="R7731"/>
      <c r="S7731"/>
    </row>
    <row r="7732" spans="13:19" ht="13.95" customHeight="1">
      <c r="M7732"/>
      <c r="N7732"/>
      <c r="O7732"/>
      <c r="P7732"/>
      <c r="Q7732"/>
      <c r="R7732"/>
      <c r="S7732"/>
    </row>
    <row r="7733" spans="13:19" ht="13.95" customHeight="1">
      <c r="M7733"/>
      <c r="N7733"/>
      <c r="O7733"/>
      <c r="P7733"/>
      <c r="Q7733"/>
      <c r="R7733"/>
      <c r="S7733"/>
    </row>
    <row r="7734" spans="13:19" ht="13.95" customHeight="1">
      <c r="M7734"/>
      <c r="N7734"/>
      <c r="O7734"/>
      <c r="P7734"/>
      <c r="Q7734"/>
      <c r="R7734"/>
      <c r="S7734"/>
    </row>
    <row r="7735" spans="13:19" ht="13.95" customHeight="1">
      <c r="M7735"/>
      <c r="N7735"/>
      <c r="O7735"/>
      <c r="P7735"/>
      <c r="Q7735"/>
      <c r="R7735"/>
      <c r="S7735"/>
    </row>
    <row r="7736" spans="13:19" ht="13.95" customHeight="1">
      <c r="M7736"/>
      <c r="N7736"/>
      <c r="O7736"/>
      <c r="P7736"/>
      <c r="Q7736"/>
      <c r="R7736"/>
      <c r="S7736"/>
    </row>
    <row r="7737" spans="13:19" ht="13.95" customHeight="1">
      <c r="M7737"/>
      <c r="N7737"/>
      <c r="O7737"/>
      <c r="P7737"/>
      <c r="Q7737"/>
      <c r="R7737"/>
      <c r="S7737"/>
    </row>
    <row r="7738" spans="13:19" ht="13.95" customHeight="1">
      <c r="M7738"/>
      <c r="N7738"/>
      <c r="O7738"/>
      <c r="P7738"/>
      <c r="Q7738"/>
      <c r="R7738"/>
      <c r="S7738"/>
    </row>
    <row r="7739" spans="13:19" ht="13.95" customHeight="1">
      <c r="M7739"/>
      <c r="N7739"/>
      <c r="O7739"/>
      <c r="P7739"/>
      <c r="Q7739"/>
      <c r="R7739"/>
      <c r="S7739"/>
    </row>
    <row r="7740" spans="13:19" ht="13.95" customHeight="1">
      <c r="M7740"/>
      <c r="N7740"/>
      <c r="O7740"/>
      <c r="P7740"/>
      <c r="Q7740"/>
      <c r="R7740"/>
      <c r="S7740"/>
    </row>
    <row r="7741" spans="13:19" ht="13.95" customHeight="1">
      <c r="M7741"/>
      <c r="N7741"/>
      <c r="O7741"/>
      <c r="P7741"/>
      <c r="Q7741"/>
      <c r="R7741"/>
      <c r="S7741"/>
    </row>
    <row r="7742" spans="13:19" ht="13.95" customHeight="1">
      <c r="M7742"/>
      <c r="N7742"/>
      <c r="O7742"/>
      <c r="P7742"/>
      <c r="Q7742"/>
      <c r="R7742"/>
      <c r="S7742"/>
    </row>
    <row r="7743" spans="13:19" ht="13.95" customHeight="1">
      <c r="M7743"/>
      <c r="N7743"/>
      <c r="O7743"/>
      <c r="P7743"/>
      <c r="Q7743"/>
      <c r="R7743"/>
      <c r="S7743"/>
    </row>
    <row r="7744" spans="13:19" ht="13.95" customHeight="1">
      <c r="M7744"/>
      <c r="N7744"/>
      <c r="O7744"/>
      <c r="P7744"/>
      <c r="Q7744"/>
      <c r="R7744"/>
      <c r="S7744"/>
    </row>
    <row r="7745" spans="13:19" ht="13.95" customHeight="1">
      <c r="M7745"/>
      <c r="N7745"/>
      <c r="O7745"/>
      <c r="P7745"/>
      <c r="Q7745"/>
      <c r="R7745"/>
      <c r="S7745"/>
    </row>
    <row r="7746" spans="13:19" ht="13.95" customHeight="1">
      <c r="M7746"/>
      <c r="N7746"/>
      <c r="O7746"/>
      <c r="P7746"/>
      <c r="Q7746"/>
      <c r="R7746"/>
      <c r="S7746"/>
    </row>
    <row r="7747" spans="13:19" ht="13.95" customHeight="1">
      <c r="M7747"/>
      <c r="N7747"/>
      <c r="O7747"/>
      <c r="P7747"/>
      <c r="Q7747"/>
      <c r="R7747"/>
      <c r="S7747"/>
    </row>
    <row r="7748" spans="13:19" ht="13.95" customHeight="1">
      <c r="M7748"/>
      <c r="N7748"/>
      <c r="O7748"/>
      <c r="P7748"/>
      <c r="Q7748"/>
      <c r="R7748"/>
      <c r="S7748"/>
    </row>
    <row r="7749" spans="13:19" ht="13.95" customHeight="1">
      <c r="M7749"/>
      <c r="N7749"/>
      <c r="O7749"/>
      <c r="P7749"/>
      <c r="Q7749"/>
      <c r="R7749"/>
      <c r="S7749"/>
    </row>
    <row r="7750" spans="13:19" ht="13.95" customHeight="1">
      <c r="M7750"/>
      <c r="N7750"/>
      <c r="O7750"/>
      <c r="P7750"/>
      <c r="Q7750"/>
      <c r="R7750"/>
      <c r="S7750"/>
    </row>
    <row r="7751" spans="13:19" ht="13.95" customHeight="1">
      <c r="M7751"/>
      <c r="N7751"/>
      <c r="O7751"/>
      <c r="P7751"/>
      <c r="Q7751"/>
      <c r="R7751"/>
      <c r="S7751"/>
    </row>
    <row r="7752" spans="13:19" ht="13.95" customHeight="1">
      <c r="M7752"/>
      <c r="N7752"/>
      <c r="O7752"/>
      <c r="P7752"/>
      <c r="Q7752"/>
      <c r="R7752"/>
      <c r="S7752"/>
    </row>
    <row r="7753" spans="13:19" ht="13.95" customHeight="1">
      <c r="M7753"/>
      <c r="N7753"/>
      <c r="O7753"/>
      <c r="P7753"/>
      <c r="Q7753"/>
      <c r="R7753"/>
      <c r="S7753"/>
    </row>
    <row r="7754" spans="13:19" ht="13.95" customHeight="1">
      <c r="M7754"/>
      <c r="N7754"/>
      <c r="O7754"/>
      <c r="P7754"/>
      <c r="Q7754"/>
      <c r="R7754"/>
      <c r="S7754"/>
    </row>
    <row r="7755" spans="13:19" ht="13.95" customHeight="1">
      <c r="M7755"/>
      <c r="N7755"/>
      <c r="O7755"/>
      <c r="P7755"/>
      <c r="Q7755"/>
      <c r="R7755"/>
      <c r="S7755"/>
    </row>
    <row r="7756" spans="13:19" ht="13.95" customHeight="1">
      <c r="M7756"/>
      <c r="N7756"/>
      <c r="O7756"/>
      <c r="P7756"/>
      <c r="Q7756"/>
      <c r="R7756"/>
      <c r="S7756"/>
    </row>
    <row r="7757" spans="13:19" ht="13.95" customHeight="1">
      <c r="M7757"/>
      <c r="N7757"/>
      <c r="O7757"/>
      <c r="P7757"/>
      <c r="Q7757"/>
      <c r="R7757"/>
      <c r="S7757"/>
    </row>
    <row r="7758" spans="13:19" ht="13.95" customHeight="1">
      <c r="M7758"/>
      <c r="N7758"/>
      <c r="O7758"/>
      <c r="P7758"/>
      <c r="Q7758"/>
      <c r="R7758"/>
      <c r="S7758"/>
    </row>
    <row r="7759" spans="13:19" ht="13.95" customHeight="1">
      <c r="M7759"/>
      <c r="N7759"/>
      <c r="O7759"/>
      <c r="P7759"/>
      <c r="Q7759"/>
      <c r="R7759"/>
      <c r="S7759"/>
    </row>
    <row r="7760" spans="13:19" ht="13.95" customHeight="1">
      <c r="M7760"/>
      <c r="N7760"/>
      <c r="O7760"/>
      <c r="P7760"/>
      <c r="Q7760"/>
      <c r="R7760"/>
      <c r="S7760"/>
    </row>
    <row r="7761" spans="13:19" ht="13.95" customHeight="1">
      <c r="M7761"/>
      <c r="N7761"/>
      <c r="O7761"/>
      <c r="P7761"/>
      <c r="Q7761"/>
      <c r="R7761"/>
      <c r="S7761"/>
    </row>
    <row r="7762" spans="13:19" ht="13.95" customHeight="1">
      <c r="M7762"/>
      <c r="N7762"/>
      <c r="O7762"/>
      <c r="P7762"/>
      <c r="Q7762"/>
      <c r="R7762"/>
      <c r="S7762"/>
    </row>
    <row r="7763" spans="13:19" ht="13.95" customHeight="1">
      <c r="M7763"/>
      <c r="N7763"/>
      <c r="O7763"/>
      <c r="P7763"/>
      <c r="Q7763"/>
      <c r="R7763"/>
      <c r="S7763"/>
    </row>
    <row r="7764" spans="13:19" ht="13.95" customHeight="1">
      <c r="M7764"/>
      <c r="N7764"/>
      <c r="O7764"/>
      <c r="P7764"/>
      <c r="Q7764"/>
      <c r="R7764"/>
      <c r="S7764"/>
    </row>
    <row r="7765" spans="13:19" ht="13.95" customHeight="1">
      <c r="M7765"/>
      <c r="N7765"/>
      <c r="O7765"/>
      <c r="P7765"/>
      <c r="Q7765"/>
      <c r="R7765"/>
      <c r="S7765"/>
    </row>
    <row r="7766" spans="13:19" ht="13.95" customHeight="1">
      <c r="M7766"/>
      <c r="N7766"/>
      <c r="O7766"/>
      <c r="P7766"/>
      <c r="Q7766"/>
      <c r="R7766"/>
      <c r="S7766"/>
    </row>
    <row r="7767" spans="13:19" ht="13.95" customHeight="1">
      <c r="M7767"/>
      <c r="N7767"/>
      <c r="O7767"/>
      <c r="P7767"/>
      <c r="Q7767"/>
      <c r="R7767"/>
      <c r="S7767"/>
    </row>
    <row r="7768" spans="13:19" ht="13.95" customHeight="1">
      <c r="M7768"/>
      <c r="N7768"/>
      <c r="O7768"/>
      <c r="P7768"/>
      <c r="Q7768"/>
      <c r="R7768"/>
      <c r="S7768"/>
    </row>
    <row r="7769" spans="13:19" ht="13.95" customHeight="1">
      <c r="M7769"/>
      <c r="N7769"/>
      <c r="O7769"/>
      <c r="P7769"/>
      <c r="Q7769"/>
      <c r="R7769"/>
      <c r="S7769"/>
    </row>
    <row r="7770" spans="13:19" ht="13.95" customHeight="1">
      <c r="M7770"/>
      <c r="N7770"/>
      <c r="O7770"/>
      <c r="P7770"/>
      <c r="Q7770"/>
      <c r="R7770"/>
      <c r="S7770"/>
    </row>
    <row r="7771" spans="13:19" ht="13.95" customHeight="1">
      <c r="M7771"/>
      <c r="N7771"/>
      <c r="O7771"/>
      <c r="P7771"/>
      <c r="Q7771"/>
      <c r="R7771"/>
      <c r="S7771"/>
    </row>
    <row r="7772" spans="13:19" ht="13.95" customHeight="1">
      <c r="M7772"/>
      <c r="N7772"/>
      <c r="O7772"/>
      <c r="P7772"/>
      <c r="Q7772"/>
      <c r="R7772"/>
      <c r="S7772"/>
    </row>
    <row r="7773" spans="13:19" ht="13.95" customHeight="1">
      <c r="M7773"/>
      <c r="N7773"/>
      <c r="O7773"/>
      <c r="P7773"/>
      <c r="Q7773"/>
      <c r="R7773"/>
      <c r="S7773"/>
    </row>
    <row r="7774" spans="13:19" ht="13.95" customHeight="1">
      <c r="M7774"/>
      <c r="N7774"/>
      <c r="O7774"/>
      <c r="P7774"/>
      <c r="Q7774"/>
      <c r="R7774"/>
      <c r="S7774"/>
    </row>
    <row r="7775" spans="13:19" ht="13.95" customHeight="1">
      <c r="M7775"/>
      <c r="N7775"/>
      <c r="O7775"/>
      <c r="P7775"/>
      <c r="Q7775"/>
      <c r="R7775"/>
      <c r="S7775"/>
    </row>
    <row r="7776" spans="13:19" ht="13.95" customHeight="1">
      <c r="M7776"/>
      <c r="N7776"/>
      <c r="O7776"/>
      <c r="P7776"/>
      <c r="Q7776"/>
      <c r="R7776"/>
      <c r="S7776"/>
    </row>
    <row r="7777" spans="13:19" ht="13.95" customHeight="1">
      <c r="M7777"/>
      <c r="N7777"/>
      <c r="O7777"/>
      <c r="P7777"/>
      <c r="Q7777"/>
      <c r="R7777"/>
      <c r="S7777"/>
    </row>
    <row r="7778" spans="13:19" ht="13.95" customHeight="1">
      <c r="M7778"/>
      <c r="N7778"/>
      <c r="O7778"/>
      <c r="P7778"/>
      <c r="Q7778"/>
      <c r="R7778"/>
      <c r="S7778"/>
    </row>
    <row r="7779" spans="13:19" ht="13.95" customHeight="1">
      <c r="M7779"/>
      <c r="N7779"/>
      <c r="O7779"/>
      <c r="P7779"/>
      <c r="Q7779"/>
      <c r="R7779"/>
      <c r="S7779"/>
    </row>
    <row r="7780" spans="13:19" ht="13.95" customHeight="1">
      <c r="M7780"/>
      <c r="N7780"/>
      <c r="O7780"/>
      <c r="P7780"/>
      <c r="Q7780"/>
      <c r="R7780"/>
      <c r="S7780"/>
    </row>
    <row r="7781" spans="13:19" ht="13.95" customHeight="1">
      <c r="M7781"/>
      <c r="N7781"/>
      <c r="O7781"/>
      <c r="P7781"/>
      <c r="Q7781"/>
      <c r="R7781"/>
      <c r="S7781"/>
    </row>
    <row r="7782" spans="13:19" ht="13.95" customHeight="1">
      <c r="M7782"/>
      <c r="N7782"/>
      <c r="O7782"/>
      <c r="P7782"/>
      <c r="Q7782"/>
      <c r="R7782"/>
      <c r="S7782"/>
    </row>
    <row r="7783" spans="13:19" ht="13.95" customHeight="1">
      <c r="M7783"/>
      <c r="N7783"/>
      <c r="O7783"/>
      <c r="P7783"/>
      <c r="Q7783"/>
      <c r="R7783"/>
      <c r="S7783"/>
    </row>
    <row r="7784" spans="13:19" ht="13.95" customHeight="1">
      <c r="M7784"/>
      <c r="N7784"/>
      <c r="O7784"/>
      <c r="P7784"/>
      <c r="Q7784"/>
      <c r="R7784"/>
      <c r="S7784"/>
    </row>
    <row r="7785" spans="13:19" ht="13.95" customHeight="1">
      <c r="M7785"/>
      <c r="N7785"/>
      <c r="O7785"/>
      <c r="P7785"/>
      <c r="Q7785"/>
      <c r="R7785"/>
      <c r="S7785"/>
    </row>
    <row r="7786" spans="13:19" ht="13.95" customHeight="1">
      <c r="M7786"/>
      <c r="N7786"/>
      <c r="O7786"/>
      <c r="P7786"/>
      <c r="Q7786"/>
      <c r="R7786"/>
      <c r="S7786"/>
    </row>
    <row r="7787" spans="13:19" ht="13.95" customHeight="1">
      <c r="M7787"/>
      <c r="N7787"/>
      <c r="O7787"/>
      <c r="P7787"/>
      <c r="Q7787"/>
      <c r="R7787"/>
      <c r="S7787"/>
    </row>
    <row r="7788" spans="13:19" ht="13.95" customHeight="1">
      <c r="M7788"/>
      <c r="N7788"/>
      <c r="O7788"/>
      <c r="P7788"/>
      <c r="Q7788"/>
      <c r="R7788"/>
      <c r="S7788"/>
    </row>
    <row r="7789" spans="13:19" ht="13.95" customHeight="1">
      <c r="M7789"/>
      <c r="N7789"/>
      <c r="O7789"/>
      <c r="P7789"/>
      <c r="Q7789"/>
      <c r="R7789"/>
      <c r="S7789"/>
    </row>
    <row r="7790" spans="13:19" ht="13.95" customHeight="1">
      <c r="M7790"/>
      <c r="N7790"/>
      <c r="O7790"/>
      <c r="P7790"/>
      <c r="Q7790"/>
      <c r="R7790"/>
      <c r="S7790"/>
    </row>
    <row r="7791" spans="13:19" ht="13.95" customHeight="1">
      <c r="M7791"/>
      <c r="N7791"/>
      <c r="O7791"/>
      <c r="P7791"/>
      <c r="Q7791"/>
      <c r="R7791"/>
      <c r="S7791"/>
    </row>
    <row r="7792" spans="13:19" ht="13.95" customHeight="1">
      <c r="M7792"/>
      <c r="N7792"/>
      <c r="O7792"/>
      <c r="P7792"/>
      <c r="Q7792"/>
      <c r="R7792"/>
      <c r="S7792"/>
    </row>
    <row r="7793" spans="13:19" ht="13.95" customHeight="1">
      <c r="M7793"/>
      <c r="N7793"/>
      <c r="O7793"/>
      <c r="P7793"/>
      <c r="Q7793"/>
      <c r="R7793"/>
      <c r="S7793"/>
    </row>
    <row r="7794" spans="13:19" ht="13.95" customHeight="1">
      <c r="M7794"/>
      <c r="N7794"/>
      <c r="O7794"/>
      <c r="P7794"/>
      <c r="Q7794"/>
      <c r="R7794"/>
      <c r="S7794"/>
    </row>
    <row r="7795" spans="13:19" ht="13.95" customHeight="1">
      <c r="M7795"/>
      <c r="N7795"/>
      <c r="O7795"/>
      <c r="P7795"/>
      <c r="Q7795"/>
      <c r="R7795"/>
      <c r="S7795"/>
    </row>
    <row r="7796" spans="13:19" ht="13.95" customHeight="1">
      <c r="M7796"/>
      <c r="N7796"/>
      <c r="O7796"/>
      <c r="P7796"/>
      <c r="Q7796"/>
      <c r="R7796"/>
      <c r="S7796"/>
    </row>
    <row r="7797" spans="13:19" ht="13.95" customHeight="1">
      <c r="M7797"/>
      <c r="N7797"/>
      <c r="O7797"/>
      <c r="P7797"/>
      <c r="Q7797"/>
      <c r="R7797"/>
      <c r="S7797"/>
    </row>
    <row r="7798" spans="13:19" ht="13.95" customHeight="1">
      <c r="M7798"/>
      <c r="N7798"/>
      <c r="O7798"/>
      <c r="P7798"/>
      <c r="Q7798"/>
      <c r="R7798"/>
      <c r="S7798"/>
    </row>
    <row r="7799" spans="13:19" ht="13.95" customHeight="1">
      <c r="M7799"/>
      <c r="N7799"/>
      <c r="O7799"/>
      <c r="P7799"/>
      <c r="Q7799"/>
      <c r="R7799"/>
      <c r="S7799"/>
    </row>
    <row r="7800" spans="13:19" ht="13.95" customHeight="1">
      <c r="M7800"/>
      <c r="N7800"/>
      <c r="O7800"/>
      <c r="P7800"/>
      <c r="Q7800"/>
      <c r="R7800"/>
      <c r="S7800"/>
    </row>
    <row r="7801" spans="13:19" ht="13.95" customHeight="1">
      <c r="M7801"/>
      <c r="N7801"/>
      <c r="O7801"/>
      <c r="P7801"/>
      <c r="Q7801"/>
      <c r="R7801"/>
      <c r="S7801"/>
    </row>
    <row r="7802" spans="13:19" ht="13.95" customHeight="1">
      <c r="M7802"/>
      <c r="N7802"/>
      <c r="O7802"/>
      <c r="P7802"/>
      <c r="Q7802"/>
      <c r="R7802"/>
      <c r="S7802"/>
    </row>
    <row r="7803" spans="13:19" ht="13.95" customHeight="1">
      <c r="M7803"/>
      <c r="N7803"/>
      <c r="O7803"/>
      <c r="P7803"/>
      <c r="Q7803"/>
      <c r="R7803"/>
      <c r="S7803"/>
    </row>
    <row r="7804" spans="13:19" ht="13.95" customHeight="1">
      <c r="M7804"/>
      <c r="N7804"/>
      <c r="O7804"/>
      <c r="P7804"/>
      <c r="Q7804"/>
      <c r="R7804"/>
      <c r="S7804"/>
    </row>
    <row r="7805" spans="13:19" ht="13.95" customHeight="1">
      <c r="M7805"/>
      <c r="N7805"/>
      <c r="O7805"/>
      <c r="P7805"/>
      <c r="Q7805"/>
      <c r="R7805"/>
      <c r="S7805"/>
    </row>
    <row r="7806" spans="13:19" ht="13.95" customHeight="1">
      <c r="M7806"/>
      <c r="N7806"/>
      <c r="O7806"/>
      <c r="P7806"/>
      <c r="Q7806"/>
      <c r="R7806"/>
      <c r="S7806"/>
    </row>
    <row r="7807" spans="13:19" ht="13.95" customHeight="1">
      <c r="M7807"/>
      <c r="N7807"/>
      <c r="O7807"/>
      <c r="P7807"/>
      <c r="Q7807"/>
      <c r="R7807"/>
      <c r="S7807"/>
    </row>
    <row r="7808" spans="13:19" ht="13.95" customHeight="1">
      <c r="M7808"/>
      <c r="N7808"/>
      <c r="O7808"/>
      <c r="P7808"/>
      <c r="Q7808"/>
      <c r="R7808"/>
      <c r="S7808"/>
    </row>
    <row r="7809" spans="13:19" ht="13.95" customHeight="1">
      <c r="M7809"/>
      <c r="N7809"/>
      <c r="O7809"/>
      <c r="P7809"/>
      <c r="Q7809"/>
      <c r="R7809"/>
      <c r="S7809"/>
    </row>
    <row r="7810" spans="13:19" ht="13.95" customHeight="1">
      <c r="M7810"/>
      <c r="N7810"/>
      <c r="O7810"/>
      <c r="P7810"/>
      <c r="Q7810"/>
      <c r="R7810"/>
      <c r="S7810"/>
    </row>
    <row r="7811" spans="13:19" ht="13.95" customHeight="1">
      <c r="M7811"/>
      <c r="N7811"/>
      <c r="O7811"/>
      <c r="P7811"/>
      <c r="Q7811"/>
      <c r="R7811"/>
      <c r="S7811"/>
    </row>
    <row r="7812" spans="13:19" ht="13.95" customHeight="1">
      <c r="M7812"/>
      <c r="N7812"/>
      <c r="O7812"/>
      <c r="P7812"/>
      <c r="Q7812"/>
      <c r="R7812"/>
      <c r="S7812"/>
    </row>
    <row r="7813" spans="13:19" ht="13.95" customHeight="1">
      <c r="M7813"/>
      <c r="N7813"/>
      <c r="O7813"/>
      <c r="P7813"/>
      <c r="Q7813"/>
      <c r="R7813"/>
      <c r="S7813"/>
    </row>
    <row r="7814" spans="13:19" ht="13.95" customHeight="1">
      <c r="M7814"/>
      <c r="N7814"/>
      <c r="O7814"/>
      <c r="P7814"/>
      <c r="Q7814"/>
      <c r="R7814"/>
      <c r="S7814"/>
    </row>
    <row r="7815" spans="13:19" ht="13.95" customHeight="1">
      <c r="M7815"/>
      <c r="N7815"/>
      <c r="O7815"/>
      <c r="P7815"/>
      <c r="Q7815"/>
      <c r="R7815"/>
      <c r="S7815"/>
    </row>
    <row r="7816" spans="13:19" ht="13.95" customHeight="1">
      <c r="M7816"/>
      <c r="N7816"/>
      <c r="O7816"/>
      <c r="P7816"/>
      <c r="Q7816"/>
      <c r="R7816"/>
      <c r="S7816"/>
    </row>
    <row r="7817" spans="13:19" ht="13.95" customHeight="1">
      <c r="M7817"/>
      <c r="N7817"/>
      <c r="O7817"/>
      <c r="P7817"/>
      <c r="Q7817"/>
      <c r="R7817"/>
      <c r="S7817"/>
    </row>
    <row r="7818" spans="13:19" ht="13.95" customHeight="1">
      <c r="M7818"/>
      <c r="N7818"/>
      <c r="O7818"/>
      <c r="P7818"/>
      <c r="Q7818"/>
      <c r="R7818"/>
      <c r="S7818"/>
    </row>
    <row r="7819" spans="13:19" ht="13.95" customHeight="1">
      <c r="M7819"/>
      <c r="N7819"/>
      <c r="O7819"/>
      <c r="P7819"/>
      <c r="Q7819"/>
      <c r="R7819"/>
      <c r="S7819"/>
    </row>
    <row r="7820" spans="13:19" ht="13.95" customHeight="1">
      <c r="M7820"/>
      <c r="N7820"/>
      <c r="O7820"/>
      <c r="P7820"/>
      <c r="Q7820"/>
      <c r="R7820"/>
      <c r="S7820"/>
    </row>
    <row r="7821" spans="13:19" ht="13.95" customHeight="1">
      <c r="M7821"/>
      <c r="N7821"/>
      <c r="O7821"/>
      <c r="P7821"/>
      <c r="Q7821"/>
      <c r="R7821"/>
      <c r="S7821"/>
    </row>
    <row r="7822" spans="13:19" ht="13.95" customHeight="1">
      <c r="M7822"/>
      <c r="N7822"/>
      <c r="O7822"/>
      <c r="P7822"/>
      <c r="Q7822"/>
      <c r="R7822"/>
      <c r="S7822"/>
    </row>
    <row r="7823" spans="13:19" ht="13.95" customHeight="1">
      <c r="M7823"/>
      <c r="N7823"/>
      <c r="O7823"/>
      <c r="P7823"/>
      <c r="Q7823"/>
      <c r="R7823"/>
      <c r="S7823"/>
    </row>
    <row r="7824" spans="13:19" ht="13.95" customHeight="1">
      <c r="M7824"/>
      <c r="N7824"/>
      <c r="O7824"/>
      <c r="P7824"/>
      <c r="Q7824"/>
      <c r="R7824"/>
      <c r="S7824"/>
    </row>
    <row r="7825" spans="13:19" ht="13.95" customHeight="1">
      <c r="M7825"/>
      <c r="N7825"/>
      <c r="O7825"/>
      <c r="P7825"/>
      <c r="Q7825"/>
      <c r="R7825"/>
      <c r="S7825"/>
    </row>
    <row r="7826" spans="13:19" ht="13.95" customHeight="1">
      <c r="M7826"/>
      <c r="N7826"/>
      <c r="O7826"/>
      <c r="P7826"/>
      <c r="Q7826"/>
      <c r="R7826"/>
      <c r="S7826"/>
    </row>
    <row r="7827" spans="13:19" ht="13.95" customHeight="1">
      <c r="M7827"/>
      <c r="N7827"/>
      <c r="O7827"/>
      <c r="P7827"/>
      <c r="Q7827"/>
      <c r="R7827"/>
      <c r="S7827"/>
    </row>
    <row r="7828" spans="13:19" ht="13.95" customHeight="1">
      <c r="M7828"/>
      <c r="N7828"/>
      <c r="O7828"/>
      <c r="P7828"/>
      <c r="Q7828"/>
      <c r="R7828"/>
      <c r="S7828"/>
    </row>
    <row r="7829" spans="13:19" ht="13.95" customHeight="1">
      <c r="M7829"/>
      <c r="N7829"/>
      <c r="O7829"/>
      <c r="P7829"/>
      <c r="Q7829"/>
      <c r="R7829"/>
      <c r="S7829"/>
    </row>
    <row r="7830" spans="13:19" ht="13.95" customHeight="1">
      <c r="M7830"/>
      <c r="N7830"/>
      <c r="O7830"/>
      <c r="P7830"/>
      <c r="Q7830"/>
      <c r="R7830"/>
      <c r="S7830"/>
    </row>
    <row r="7831" spans="13:19" ht="13.95" customHeight="1">
      <c r="M7831"/>
      <c r="N7831"/>
      <c r="O7831"/>
      <c r="P7831"/>
      <c r="Q7831"/>
      <c r="R7831"/>
      <c r="S7831"/>
    </row>
    <row r="7832" spans="13:19" ht="13.95" customHeight="1">
      <c r="M7832"/>
      <c r="N7832"/>
      <c r="O7832"/>
      <c r="P7832"/>
      <c r="Q7832"/>
      <c r="R7832"/>
      <c r="S7832"/>
    </row>
    <row r="7833" spans="13:19" ht="13.95" customHeight="1">
      <c r="M7833"/>
      <c r="N7833"/>
      <c r="O7833"/>
      <c r="P7833"/>
      <c r="Q7833"/>
      <c r="R7833"/>
      <c r="S7833"/>
    </row>
    <row r="7834" spans="13:19" ht="13.95" customHeight="1">
      <c r="M7834"/>
      <c r="N7834"/>
      <c r="O7834"/>
      <c r="P7834"/>
      <c r="Q7834"/>
      <c r="R7834"/>
      <c r="S7834"/>
    </row>
    <row r="7835" spans="13:19" ht="13.95" customHeight="1">
      <c r="M7835"/>
      <c r="N7835"/>
      <c r="O7835"/>
      <c r="P7835"/>
      <c r="Q7835"/>
      <c r="R7835"/>
      <c r="S7835"/>
    </row>
    <row r="7836" spans="13:19" ht="13.95" customHeight="1">
      <c r="M7836"/>
      <c r="N7836"/>
      <c r="O7836"/>
      <c r="P7836"/>
      <c r="Q7836"/>
      <c r="R7836"/>
      <c r="S7836"/>
    </row>
    <row r="7837" spans="13:19" ht="13.95" customHeight="1">
      <c r="M7837"/>
      <c r="N7837"/>
      <c r="O7837"/>
      <c r="P7837"/>
      <c r="Q7837"/>
      <c r="R7837"/>
      <c r="S7837"/>
    </row>
    <row r="7838" spans="13:19" ht="13.95" customHeight="1">
      <c r="M7838"/>
      <c r="N7838"/>
      <c r="O7838"/>
      <c r="P7838"/>
      <c r="Q7838"/>
      <c r="R7838"/>
      <c r="S7838"/>
    </row>
    <row r="7839" spans="13:19" ht="13.95" customHeight="1">
      <c r="M7839"/>
      <c r="N7839"/>
      <c r="O7839"/>
      <c r="P7839"/>
      <c r="Q7839"/>
      <c r="R7839"/>
      <c r="S7839"/>
    </row>
    <row r="7840" spans="13:19" ht="13.95" customHeight="1">
      <c r="M7840"/>
      <c r="N7840"/>
      <c r="O7840"/>
      <c r="P7840"/>
      <c r="Q7840"/>
      <c r="R7840"/>
      <c r="S7840"/>
    </row>
    <row r="7841" spans="13:19" ht="13.95" customHeight="1">
      <c r="M7841"/>
      <c r="N7841"/>
      <c r="O7841"/>
      <c r="P7841"/>
      <c r="Q7841"/>
      <c r="R7841"/>
      <c r="S7841"/>
    </row>
    <row r="7842" spans="13:19" ht="13.95" customHeight="1">
      <c r="M7842"/>
      <c r="N7842"/>
      <c r="O7842"/>
      <c r="P7842"/>
      <c r="Q7842"/>
      <c r="R7842"/>
      <c r="S7842"/>
    </row>
    <row r="7843" spans="13:19" ht="13.95" customHeight="1">
      <c r="M7843"/>
      <c r="N7843"/>
      <c r="O7843"/>
      <c r="P7843"/>
      <c r="Q7843"/>
      <c r="R7843"/>
      <c r="S7843"/>
    </row>
    <row r="7844" spans="13:19" ht="13.95" customHeight="1">
      <c r="M7844"/>
      <c r="N7844"/>
      <c r="O7844"/>
      <c r="P7844"/>
      <c r="Q7844"/>
      <c r="R7844"/>
      <c r="S7844"/>
    </row>
    <row r="7845" spans="13:19" ht="13.95" customHeight="1">
      <c r="M7845"/>
      <c r="N7845"/>
      <c r="O7845"/>
      <c r="P7845"/>
      <c r="Q7845"/>
      <c r="R7845"/>
      <c r="S7845"/>
    </row>
    <row r="7846" spans="13:19" ht="13.95" customHeight="1">
      <c r="M7846"/>
      <c r="N7846"/>
      <c r="O7846"/>
      <c r="P7846"/>
      <c r="Q7846"/>
      <c r="R7846"/>
      <c r="S7846"/>
    </row>
    <row r="7847" spans="13:19" ht="13.95" customHeight="1">
      <c r="M7847"/>
      <c r="N7847"/>
      <c r="O7847"/>
      <c r="P7847"/>
      <c r="Q7847"/>
      <c r="R7847"/>
      <c r="S7847"/>
    </row>
    <row r="7848" spans="13:19" ht="13.95" customHeight="1">
      <c r="M7848"/>
      <c r="N7848"/>
      <c r="O7848"/>
      <c r="P7848"/>
      <c r="Q7848"/>
      <c r="R7848"/>
      <c r="S7848"/>
    </row>
    <row r="7849" spans="13:19" ht="13.95" customHeight="1">
      <c r="M7849"/>
      <c r="N7849"/>
      <c r="O7849"/>
      <c r="P7849"/>
      <c r="Q7849"/>
      <c r="R7849"/>
      <c r="S7849"/>
    </row>
    <row r="7850" spans="13:19" ht="13.95" customHeight="1">
      <c r="M7850"/>
      <c r="N7850"/>
      <c r="O7850"/>
      <c r="P7850"/>
      <c r="Q7850"/>
      <c r="R7850"/>
      <c r="S7850"/>
    </row>
    <row r="7851" spans="13:19" ht="13.95" customHeight="1">
      <c r="M7851"/>
      <c r="N7851"/>
      <c r="O7851"/>
      <c r="P7851"/>
      <c r="Q7851"/>
      <c r="R7851"/>
      <c r="S7851"/>
    </row>
    <row r="7852" spans="13:19" ht="13.95" customHeight="1">
      <c r="M7852"/>
      <c r="N7852"/>
      <c r="O7852"/>
      <c r="P7852"/>
      <c r="Q7852"/>
      <c r="R7852"/>
      <c r="S7852"/>
    </row>
    <row r="7853" spans="13:19" ht="13.95" customHeight="1">
      <c r="M7853"/>
      <c r="N7853"/>
      <c r="O7853"/>
      <c r="P7853"/>
      <c r="Q7853"/>
      <c r="R7853"/>
      <c r="S7853"/>
    </row>
    <row r="7854" spans="13:19" ht="13.95" customHeight="1">
      <c r="M7854"/>
      <c r="N7854"/>
      <c r="O7854"/>
      <c r="P7854"/>
      <c r="Q7854"/>
      <c r="R7854"/>
      <c r="S7854"/>
    </row>
    <row r="7855" spans="13:19" ht="13.95" customHeight="1">
      <c r="M7855"/>
      <c r="N7855"/>
      <c r="O7855"/>
      <c r="P7855"/>
      <c r="Q7855"/>
      <c r="R7855"/>
      <c r="S7855"/>
    </row>
    <row r="7856" spans="13:19" ht="13.95" customHeight="1">
      <c r="M7856"/>
      <c r="N7856"/>
      <c r="O7856"/>
      <c r="P7856"/>
      <c r="Q7856"/>
      <c r="R7856"/>
      <c r="S7856"/>
    </row>
    <row r="7857" spans="13:19" ht="13.95" customHeight="1">
      <c r="M7857"/>
      <c r="N7857"/>
      <c r="O7857"/>
      <c r="P7857"/>
      <c r="Q7857"/>
      <c r="R7857"/>
      <c r="S7857"/>
    </row>
    <row r="7858" spans="13:19" ht="13.95" customHeight="1">
      <c r="M7858"/>
      <c r="N7858"/>
      <c r="O7858"/>
      <c r="P7858"/>
      <c r="Q7858"/>
      <c r="R7858"/>
      <c r="S7858"/>
    </row>
    <row r="7859" spans="13:19" ht="13.95" customHeight="1">
      <c r="M7859"/>
      <c r="N7859"/>
      <c r="O7859"/>
      <c r="P7859"/>
      <c r="Q7859"/>
      <c r="R7859"/>
      <c r="S7859"/>
    </row>
    <row r="7860" spans="13:19" ht="13.95" customHeight="1">
      <c r="M7860"/>
      <c r="N7860"/>
      <c r="O7860"/>
      <c r="P7860"/>
      <c r="Q7860"/>
      <c r="R7860"/>
      <c r="S7860"/>
    </row>
    <row r="7861" spans="13:19" ht="13.95" customHeight="1">
      <c r="M7861"/>
      <c r="N7861"/>
      <c r="O7861"/>
      <c r="P7861"/>
      <c r="Q7861"/>
      <c r="R7861"/>
      <c r="S7861"/>
    </row>
    <row r="7862" spans="13:19" ht="13.95" customHeight="1">
      <c r="M7862"/>
      <c r="N7862"/>
      <c r="O7862"/>
      <c r="P7862"/>
      <c r="Q7862"/>
      <c r="R7862"/>
      <c r="S7862"/>
    </row>
    <row r="7863" spans="13:19" ht="13.95" customHeight="1">
      <c r="M7863"/>
      <c r="N7863"/>
      <c r="O7863"/>
      <c r="P7863"/>
      <c r="Q7863"/>
      <c r="R7863"/>
      <c r="S7863"/>
    </row>
    <row r="7864" spans="13:19" ht="13.95" customHeight="1">
      <c r="M7864"/>
      <c r="N7864"/>
      <c r="O7864"/>
      <c r="P7864"/>
      <c r="Q7864"/>
      <c r="R7864"/>
      <c r="S7864"/>
    </row>
    <row r="7865" spans="13:19" ht="13.95" customHeight="1">
      <c r="M7865"/>
      <c r="N7865"/>
      <c r="O7865"/>
      <c r="P7865"/>
      <c r="Q7865"/>
      <c r="R7865"/>
      <c r="S7865"/>
    </row>
    <row r="7866" spans="13:19" ht="13.95" customHeight="1">
      <c r="M7866"/>
      <c r="N7866"/>
      <c r="O7866"/>
      <c r="P7866"/>
      <c r="Q7866"/>
      <c r="R7866"/>
      <c r="S7866"/>
    </row>
    <row r="7867" spans="13:19" ht="13.95" customHeight="1">
      <c r="M7867"/>
      <c r="N7867"/>
      <c r="O7867"/>
      <c r="P7867"/>
      <c r="Q7867"/>
      <c r="R7867"/>
      <c r="S7867"/>
    </row>
    <row r="7868" spans="13:19" ht="13.95" customHeight="1">
      <c r="M7868"/>
      <c r="N7868"/>
      <c r="O7868"/>
      <c r="P7868"/>
      <c r="Q7868"/>
      <c r="R7868"/>
      <c r="S7868"/>
    </row>
    <row r="7869" spans="13:19" ht="13.95" customHeight="1">
      <c r="M7869"/>
      <c r="N7869"/>
      <c r="O7869"/>
      <c r="P7869"/>
      <c r="Q7869"/>
      <c r="R7869"/>
      <c r="S7869"/>
    </row>
    <row r="7870" spans="13:19" ht="13.95" customHeight="1">
      <c r="M7870"/>
      <c r="N7870"/>
      <c r="O7870"/>
      <c r="P7870"/>
      <c r="Q7870"/>
      <c r="R7870"/>
      <c r="S7870"/>
    </row>
    <row r="7871" spans="13:19" ht="13.95" customHeight="1">
      <c r="M7871"/>
      <c r="N7871"/>
      <c r="O7871"/>
      <c r="P7871"/>
      <c r="Q7871"/>
      <c r="R7871"/>
      <c r="S7871"/>
    </row>
    <row r="7872" spans="13:19" ht="13.95" customHeight="1">
      <c r="M7872"/>
      <c r="N7872"/>
      <c r="O7872"/>
      <c r="P7872"/>
      <c r="Q7872"/>
      <c r="R7872"/>
      <c r="S7872"/>
    </row>
    <row r="7873" spans="13:19" ht="13.95" customHeight="1">
      <c r="M7873"/>
      <c r="N7873"/>
      <c r="O7873"/>
      <c r="P7873"/>
      <c r="Q7873"/>
      <c r="R7873"/>
      <c r="S7873"/>
    </row>
    <row r="7874" spans="13:19" ht="13.95" customHeight="1">
      <c r="M7874"/>
      <c r="N7874"/>
      <c r="O7874"/>
      <c r="P7874"/>
      <c r="Q7874"/>
      <c r="R7874"/>
      <c r="S7874"/>
    </row>
    <row r="7875" spans="13:19" ht="13.95" customHeight="1">
      <c r="M7875"/>
      <c r="N7875"/>
      <c r="O7875"/>
      <c r="P7875"/>
      <c r="Q7875"/>
      <c r="R7875"/>
      <c r="S7875"/>
    </row>
    <row r="7876" spans="13:19" ht="13.95" customHeight="1">
      <c r="M7876"/>
      <c r="N7876"/>
      <c r="O7876"/>
      <c r="P7876"/>
      <c r="Q7876"/>
      <c r="R7876"/>
      <c r="S7876"/>
    </row>
    <row r="7877" spans="13:19" ht="13.95" customHeight="1">
      <c r="M7877"/>
      <c r="N7877"/>
      <c r="O7877"/>
      <c r="P7877"/>
      <c r="Q7877"/>
      <c r="R7877"/>
      <c r="S7877"/>
    </row>
    <row r="7878" spans="13:19" ht="13.95" customHeight="1">
      <c r="M7878"/>
      <c r="N7878"/>
      <c r="O7878"/>
      <c r="P7878"/>
      <c r="Q7878"/>
      <c r="R7878"/>
      <c r="S7878"/>
    </row>
    <row r="7879" spans="13:19" ht="13.95" customHeight="1">
      <c r="M7879"/>
      <c r="N7879"/>
      <c r="O7879"/>
      <c r="P7879"/>
      <c r="Q7879"/>
      <c r="R7879"/>
      <c r="S7879"/>
    </row>
    <row r="7880" spans="13:19" ht="13.95" customHeight="1">
      <c r="M7880"/>
      <c r="N7880"/>
      <c r="O7880"/>
      <c r="P7880"/>
      <c r="Q7880"/>
      <c r="R7880"/>
      <c r="S7880"/>
    </row>
    <row r="7881" spans="13:19" ht="13.95" customHeight="1">
      <c r="M7881"/>
      <c r="N7881"/>
      <c r="O7881"/>
      <c r="P7881"/>
      <c r="Q7881"/>
      <c r="R7881"/>
      <c r="S7881"/>
    </row>
    <row r="7882" spans="13:19" ht="13.95" customHeight="1">
      <c r="M7882"/>
      <c r="N7882"/>
      <c r="O7882"/>
      <c r="P7882"/>
      <c r="Q7882"/>
      <c r="R7882"/>
      <c r="S7882"/>
    </row>
    <row r="7883" spans="13:19" ht="13.95" customHeight="1">
      <c r="M7883"/>
      <c r="N7883"/>
      <c r="O7883"/>
      <c r="P7883"/>
      <c r="Q7883"/>
      <c r="R7883"/>
      <c r="S7883"/>
    </row>
    <row r="7884" spans="13:19" ht="13.95" customHeight="1">
      <c r="M7884"/>
      <c r="N7884"/>
      <c r="O7884"/>
      <c r="P7884"/>
      <c r="Q7884"/>
      <c r="R7884"/>
      <c r="S7884"/>
    </row>
    <row r="7885" spans="13:19" ht="13.95" customHeight="1">
      <c r="M7885"/>
      <c r="N7885"/>
      <c r="O7885"/>
      <c r="P7885"/>
      <c r="Q7885"/>
      <c r="R7885"/>
      <c r="S7885"/>
    </row>
    <row r="7886" spans="13:19" ht="13.95" customHeight="1">
      <c r="M7886"/>
      <c r="N7886"/>
      <c r="O7886"/>
      <c r="P7886"/>
      <c r="Q7886"/>
      <c r="R7886"/>
      <c r="S7886"/>
    </row>
    <row r="7887" spans="13:19" ht="13.95" customHeight="1">
      <c r="M7887"/>
      <c r="N7887"/>
      <c r="O7887"/>
      <c r="P7887"/>
      <c r="Q7887"/>
      <c r="R7887"/>
      <c r="S7887"/>
    </row>
    <row r="7888" spans="13:19" ht="13.95" customHeight="1">
      <c r="M7888"/>
      <c r="N7888"/>
      <c r="O7888"/>
      <c r="P7888"/>
      <c r="Q7888"/>
      <c r="R7888"/>
      <c r="S7888"/>
    </row>
    <row r="7889" spans="13:19" ht="13.95" customHeight="1">
      <c r="M7889"/>
      <c r="N7889"/>
      <c r="O7889"/>
      <c r="P7889"/>
      <c r="Q7889"/>
      <c r="R7889"/>
      <c r="S7889"/>
    </row>
    <row r="7890" spans="13:19" ht="13.95" customHeight="1">
      <c r="M7890"/>
      <c r="N7890"/>
      <c r="O7890"/>
      <c r="P7890"/>
      <c r="Q7890"/>
      <c r="R7890"/>
      <c r="S7890"/>
    </row>
    <row r="7891" spans="13:19" ht="13.95" customHeight="1">
      <c r="M7891"/>
      <c r="N7891"/>
      <c r="O7891"/>
      <c r="P7891"/>
      <c r="Q7891"/>
      <c r="R7891"/>
      <c r="S7891"/>
    </row>
    <row r="7892" spans="13:19" ht="13.95" customHeight="1">
      <c r="M7892"/>
      <c r="N7892"/>
      <c r="O7892"/>
      <c r="P7892"/>
      <c r="Q7892"/>
      <c r="R7892"/>
      <c r="S7892"/>
    </row>
    <row r="7893" spans="13:19" ht="13.95" customHeight="1">
      <c r="M7893"/>
      <c r="N7893"/>
      <c r="O7893"/>
      <c r="P7893"/>
      <c r="Q7893"/>
      <c r="R7893"/>
      <c r="S7893"/>
    </row>
    <row r="7894" spans="13:19" ht="13.95" customHeight="1">
      <c r="M7894"/>
      <c r="N7894"/>
      <c r="O7894"/>
      <c r="P7894"/>
      <c r="Q7894"/>
      <c r="R7894"/>
      <c r="S7894"/>
    </row>
    <row r="7895" spans="13:19" ht="13.95" customHeight="1">
      <c r="M7895"/>
      <c r="N7895"/>
      <c r="O7895"/>
      <c r="P7895"/>
      <c r="Q7895"/>
      <c r="R7895"/>
      <c r="S7895"/>
    </row>
    <row r="7896" spans="13:19" ht="13.95" customHeight="1">
      <c r="M7896"/>
      <c r="N7896"/>
      <c r="O7896"/>
      <c r="P7896"/>
      <c r="Q7896"/>
      <c r="R7896"/>
      <c r="S7896"/>
    </row>
    <row r="7897" spans="13:19" ht="13.95" customHeight="1">
      <c r="M7897"/>
      <c r="N7897"/>
      <c r="O7897"/>
      <c r="P7897"/>
      <c r="Q7897"/>
      <c r="R7897"/>
      <c r="S7897"/>
    </row>
    <row r="7898" spans="13:19" ht="13.95" customHeight="1">
      <c r="M7898"/>
      <c r="N7898"/>
      <c r="O7898"/>
      <c r="P7898"/>
      <c r="Q7898"/>
      <c r="R7898"/>
      <c r="S7898"/>
    </row>
    <row r="7899" spans="13:19" ht="13.95" customHeight="1">
      <c r="M7899"/>
      <c r="N7899"/>
      <c r="O7899"/>
      <c r="P7899"/>
      <c r="Q7899"/>
      <c r="R7899"/>
      <c r="S7899"/>
    </row>
    <row r="7900" spans="13:19" ht="13.95" customHeight="1">
      <c r="M7900"/>
      <c r="N7900"/>
      <c r="O7900"/>
      <c r="P7900"/>
      <c r="Q7900"/>
      <c r="R7900"/>
      <c r="S7900"/>
    </row>
    <row r="7901" spans="13:19" ht="13.95" customHeight="1">
      <c r="M7901"/>
      <c r="N7901"/>
      <c r="O7901"/>
      <c r="P7901"/>
      <c r="Q7901"/>
      <c r="R7901"/>
      <c r="S7901"/>
    </row>
    <row r="7902" spans="13:19" ht="13.95" customHeight="1">
      <c r="M7902"/>
      <c r="N7902"/>
      <c r="O7902"/>
      <c r="P7902"/>
      <c r="Q7902"/>
      <c r="R7902"/>
      <c r="S7902"/>
    </row>
    <row r="7903" spans="13:19" ht="13.95" customHeight="1">
      <c r="M7903"/>
      <c r="N7903"/>
      <c r="O7903"/>
      <c r="P7903"/>
      <c r="Q7903"/>
      <c r="R7903"/>
      <c r="S7903"/>
    </row>
    <row r="7904" spans="13:19" ht="13.95" customHeight="1">
      <c r="M7904"/>
      <c r="N7904"/>
      <c r="O7904"/>
      <c r="P7904"/>
      <c r="Q7904"/>
      <c r="R7904"/>
      <c r="S7904"/>
    </row>
    <row r="7905" spans="13:19" ht="13.95" customHeight="1">
      <c r="M7905"/>
      <c r="N7905"/>
      <c r="O7905"/>
      <c r="P7905"/>
      <c r="Q7905"/>
      <c r="R7905"/>
      <c r="S7905"/>
    </row>
    <row r="7906" spans="13:19" ht="13.95" customHeight="1">
      <c r="M7906"/>
      <c r="N7906"/>
      <c r="O7906"/>
      <c r="P7906"/>
      <c r="Q7906"/>
      <c r="R7906"/>
      <c r="S7906"/>
    </row>
    <row r="7907" spans="13:19" ht="13.95" customHeight="1">
      <c r="M7907"/>
      <c r="N7907"/>
      <c r="O7907"/>
      <c r="P7907"/>
      <c r="Q7907"/>
      <c r="R7907"/>
      <c r="S7907"/>
    </row>
    <row r="7908" spans="13:19" ht="13.95" customHeight="1">
      <c r="M7908"/>
      <c r="N7908"/>
      <c r="O7908"/>
      <c r="P7908"/>
      <c r="Q7908"/>
      <c r="R7908"/>
      <c r="S7908"/>
    </row>
    <row r="7909" spans="13:19" ht="13.95" customHeight="1">
      <c r="M7909"/>
      <c r="N7909"/>
      <c r="O7909"/>
      <c r="P7909"/>
      <c r="Q7909"/>
      <c r="R7909"/>
      <c r="S7909"/>
    </row>
    <row r="7910" spans="13:19" ht="13.95" customHeight="1">
      <c r="M7910"/>
      <c r="N7910"/>
      <c r="O7910"/>
      <c r="P7910"/>
      <c r="Q7910"/>
      <c r="R7910"/>
      <c r="S7910"/>
    </row>
    <row r="7911" spans="13:19" ht="13.95" customHeight="1">
      <c r="M7911"/>
      <c r="N7911"/>
      <c r="O7911"/>
      <c r="P7911"/>
      <c r="Q7911"/>
      <c r="R7911"/>
      <c r="S7911"/>
    </row>
    <row r="7912" spans="13:19" ht="13.95" customHeight="1">
      <c r="M7912"/>
      <c r="N7912"/>
      <c r="O7912"/>
      <c r="P7912"/>
      <c r="Q7912"/>
      <c r="R7912"/>
      <c r="S7912"/>
    </row>
    <row r="7913" spans="13:19" ht="13.95" customHeight="1">
      <c r="M7913"/>
      <c r="N7913"/>
      <c r="O7913"/>
      <c r="P7913"/>
      <c r="Q7913"/>
      <c r="R7913"/>
      <c r="S7913"/>
    </row>
    <row r="7914" spans="13:19" ht="13.95" customHeight="1">
      <c r="M7914"/>
      <c r="N7914"/>
      <c r="O7914"/>
      <c r="P7914"/>
      <c r="Q7914"/>
      <c r="R7914"/>
      <c r="S7914"/>
    </row>
    <row r="7915" spans="13:19" ht="13.95" customHeight="1">
      <c r="M7915"/>
      <c r="N7915"/>
      <c r="O7915"/>
      <c r="P7915"/>
      <c r="Q7915"/>
      <c r="R7915"/>
      <c r="S7915"/>
    </row>
    <row r="7916" spans="13:19" ht="13.95" customHeight="1">
      <c r="M7916"/>
      <c r="N7916"/>
      <c r="O7916"/>
      <c r="P7916"/>
      <c r="Q7916"/>
      <c r="R7916"/>
      <c r="S7916"/>
    </row>
    <row r="7917" spans="13:19" ht="13.95" customHeight="1">
      <c r="M7917"/>
      <c r="N7917"/>
      <c r="O7917"/>
      <c r="P7917"/>
      <c r="Q7917"/>
      <c r="R7917"/>
      <c r="S7917"/>
    </row>
    <row r="7918" spans="13:19" ht="13.95" customHeight="1">
      <c r="M7918"/>
      <c r="N7918"/>
      <c r="O7918"/>
      <c r="P7918"/>
      <c r="Q7918"/>
      <c r="R7918"/>
      <c r="S7918"/>
    </row>
    <row r="7919" spans="13:19" ht="13.95" customHeight="1">
      <c r="M7919"/>
      <c r="N7919"/>
      <c r="O7919"/>
      <c r="P7919"/>
      <c r="Q7919"/>
      <c r="R7919"/>
      <c r="S7919"/>
    </row>
    <row r="7920" spans="13:19" ht="13.95" customHeight="1">
      <c r="M7920"/>
      <c r="N7920"/>
      <c r="O7920"/>
      <c r="P7920"/>
      <c r="Q7920"/>
      <c r="R7920"/>
      <c r="S7920"/>
    </row>
    <row r="7921" spans="13:19" ht="13.95" customHeight="1">
      <c r="M7921"/>
      <c r="N7921"/>
      <c r="O7921"/>
      <c r="P7921"/>
      <c r="Q7921"/>
      <c r="R7921"/>
      <c r="S7921"/>
    </row>
    <row r="7922" spans="13:19" ht="13.95" customHeight="1">
      <c r="M7922"/>
      <c r="N7922"/>
      <c r="O7922"/>
      <c r="P7922"/>
      <c r="Q7922"/>
      <c r="R7922"/>
      <c r="S7922"/>
    </row>
    <row r="7923" spans="13:19" ht="13.95" customHeight="1">
      <c r="M7923"/>
      <c r="N7923"/>
      <c r="O7923"/>
      <c r="P7923"/>
      <c r="Q7923"/>
      <c r="R7923"/>
      <c r="S7923"/>
    </row>
    <row r="7924" spans="13:19" ht="13.95" customHeight="1">
      <c r="M7924"/>
      <c r="N7924"/>
      <c r="O7924"/>
      <c r="P7924"/>
      <c r="Q7924"/>
      <c r="R7924"/>
      <c r="S7924"/>
    </row>
    <row r="7925" spans="13:19" ht="13.95" customHeight="1">
      <c r="M7925"/>
      <c r="N7925"/>
      <c r="O7925"/>
      <c r="P7925"/>
      <c r="Q7925"/>
      <c r="R7925"/>
      <c r="S7925"/>
    </row>
    <row r="7926" spans="13:19" ht="13.95" customHeight="1">
      <c r="M7926"/>
      <c r="N7926"/>
      <c r="O7926"/>
      <c r="P7926"/>
      <c r="Q7926"/>
      <c r="R7926"/>
      <c r="S7926"/>
    </row>
    <row r="7927" spans="13:19" ht="13.95" customHeight="1">
      <c r="M7927"/>
      <c r="N7927"/>
      <c r="O7927"/>
      <c r="P7927"/>
      <c r="Q7927"/>
      <c r="R7927"/>
      <c r="S7927"/>
    </row>
    <row r="7928" spans="13:19" ht="13.95" customHeight="1">
      <c r="M7928"/>
      <c r="N7928"/>
      <c r="O7928"/>
      <c r="P7928"/>
      <c r="Q7928"/>
      <c r="R7928"/>
      <c r="S7928"/>
    </row>
    <row r="7929" spans="13:19" ht="13.95" customHeight="1">
      <c r="M7929"/>
      <c r="N7929"/>
      <c r="O7929"/>
      <c r="P7929"/>
      <c r="Q7929"/>
      <c r="R7929"/>
      <c r="S7929"/>
    </row>
    <row r="7930" spans="13:19" ht="13.95" customHeight="1">
      <c r="M7930"/>
      <c r="N7930"/>
      <c r="O7930"/>
      <c r="P7930"/>
      <c r="Q7930"/>
      <c r="R7930"/>
      <c r="S7930"/>
    </row>
    <row r="7931" spans="13:19" ht="13.95" customHeight="1">
      <c r="M7931"/>
      <c r="N7931"/>
      <c r="O7931"/>
      <c r="P7931"/>
      <c r="Q7931"/>
      <c r="R7931"/>
      <c r="S7931"/>
    </row>
    <row r="7932" spans="13:19" ht="13.95" customHeight="1">
      <c r="M7932"/>
      <c r="N7932"/>
      <c r="O7932"/>
      <c r="P7932"/>
      <c r="Q7932"/>
      <c r="R7932"/>
      <c r="S7932"/>
    </row>
    <row r="7933" spans="13:19" ht="13.95" customHeight="1">
      <c r="M7933"/>
      <c r="N7933"/>
      <c r="O7933"/>
      <c r="P7933"/>
      <c r="Q7933"/>
      <c r="R7933"/>
      <c r="S7933"/>
    </row>
    <row r="7934" spans="13:19" ht="13.95" customHeight="1">
      <c r="M7934"/>
      <c r="N7934"/>
      <c r="O7934"/>
      <c r="P7934"/>
      <c r="Q7934"/>
      <c r="R7934"/>
      <c r="S7934"/>
    </row>
    <row r="7935" spans="13:19" ht="13.95" customHeight="1">
      <c r="M7935"/>
      <c r="N7935"/>
      <c r="O7935"/>
      <c r="P7935"/>
      <c r="Q7935"/>
      <c r="R7935"/>
      <c r="S7935"/>
    </row>
    <row r="7936" spans="13:19" ht="13.95" customHeight="1">
      <c r="M7936"/>
      <c r="N7936"/>
      <c r="O7936"/>
      <c r="P7936"/>
      <c r="Q7936"/>
      <c r="R7936"/>
      <c r="S7936"/>
    </row>
    <row r="7937" spans="13:19" ht="13.95" customHeight="1">
      <c r="M7937"/>
      <c r="N7937"/>
      <c r="O7937"/>
      <c r="P7937"/>
      <c r="Q7937"/>
      <c r="R7937"/>
      <c r="S7937"/>
    </row>
    <row r="7938" spans="13:19" ht="13.95" customHeight="1">
      <c r="M7938"/>
      <c r="N7938"/>
      <c r="O7938"/>
      <c r="P7938"/>
      <c r="Q7938"/>
      <c r="R7938"/>
      <c r="S7938"/>
    </row>
    <row r="7939" spans="13:19" ht="13.95" customHeight="1">
      <c r="M7939"/>
      <c r="N7939"/>
      <c r="O7939"/>
      <c r="P7939"/>
      <c r="Q7939"/>
      <c r="R7939"/>
      <c r="S7939"/>
    </row>
    <row r="7940" spans="13:19" ht="13.95" customHeight="1">
      <c r="M7940"/>
      <c r="N7940"/>
      <c r="O7940"/>
      <c r="P7940"/>
      <c r="Q7940"/>
      <c r="R7940"/>
      <c r="S7940"/>
    </row>
    <row r="7941" spans="13:19" ht="13.95" customHeight="1">
      <c r="M7941"/>
      <c r="N7941"/>
      <c r="O7941"/>
      <c r="P7941"/>
      <c r="Q7941"/>
      <c r="R7941"/>
      <c r="S7941"/>
    </row>
    <row r="7942" spans="13:19" ht="13.95" customHeight="1">
      <c r="M7942"/>
      <c r="N7942"/>
      <c r="O7942"/>
      <c r="P7942"/>
      <c r="Q7942"/>
      <c r="R7942"/>
      <c r="S7942"/>
    </row>
    <row r="7943" spans="13:19" ht="13.95" customHeight="1">
      <c r="M7943"/>
      <c r="N7943"/>
      <c r="O7943"/>
      <c r="P7943"/>
      <c r="Q7943"/>
      <c r="R7943"/>
      <c r="S7943"/>
    </row>
    <row r="7944" spans="13:19" ht="13.95" customHeight="1">
      <c r="M7944"/>
      <c r="N7944"/>
      <c r="O7944"/>
      <c r="P7944"/>
      <c r="Q7944"/>
      <c r="R7944"/>
      <c r="S7944"/>
    </row>
    <row r="7945" spans="13:19" ht="13.95" customHeight="1">
      <c r="M7945"/>
      <c r="N7945"/>
      <c r="O7945"/>
      <c r="P7945"/>
      <c r="Q7945"/>
      <c r="R7945"/>
      <c r="S7945"/>
    </row>
    <row r="7946" spans="13:19" ht="13.95" customHeight="1">
      <c r="M7946"/>
      <c r="N7946"/>
      <c r="O7946"/>
      <c r="P7946"/>
      <c r="Q7946"/>
      <c r="R7946"/>
      <c r="S7946"/>
    </row>
    <row r="7947" spans="13:19" ht="13.95" customHeight="1">
      <c r="M7947"/>
      <c r="N7947"/>
      <c r="O7947"/>
      <c r="P7947"/>
      <c r="Q7947"/>
      <c r="R7947"/>
      <c r="S7947"/>
    </row>
    <row r="7948" spans="13:19" ht="13.95" customHeight="1">
      <c r="M7948"/>
      <c r="N7948"/>
      <c r="O7948"/>
      <c r="P7948"/>
      <c r="Q7948"/>
      <c r="R7948"/>
      <c r="S7948"/>
    </row>
    <row r="7949" spans="13:19" ht="13.95" customHeight="1">
      <c r="M7949"/>
      <c r="N7949"/>
      <c r="O7949"/>
      <c r="P7949"/>
      <c r="Q7949"/>
      <c r="R7949"/>
      <c r="S7949"/>
    </row>
    <row r="7950" spans="13:19" ht="13.95" customHeight="1">
      <c r="M7950"/>
      <c r="N7950"/>
      <c r="O7950"/>
      <c r="P7950"/>
      <c r="Q7950"/>
      <c r="R7950"/>
      <c r="S7950"/>
    </row>
    <row r="7951" spans="13:19" ht="13.95" customHeight="1">
      <c r="M7951"/>
      <c r="N7951"/>
      <c r="O7951"/>
      <c r="P7951"/>
      <c r="Q7951"/>
      <c r="R7951"/>
      <c r="S7951"/>
    </row>
    <row r="7952" spans="13:19" ht="13.95" customHeight="1">
      <c r="M7952"/>
      <c r="N7952"/>
      <c r="O7952"/>
      <c r="P7952"/>
      <c r="Q7952"/>
      <c r="R7952"/>
      <c r="S7952"/>
    </row>
    <row r="7953" spans="13:19" ht="13.95" customHeight="1">
      <c r="M7953"/>
      <c r="N7953"/>
      <c r="O7953"/>
      <c r="P7953"/>
      <c r="Q7953"/>
      <c r="R7953"/>
      <c r="S7953"/>
    </row>
    <row r="7954" spans="13:19" ht="13.95" customHeight="1">
      <c r="M7954"/>
      <c r="N7954"/>
      <c r="O7954"/>
      <c r="P7954"/>
      <c r="Q7954"/>
      <c r="R7954"/>
      <c r="S7954"/>
    </row>
    <row r="7955" spans="13:19" ht="13.95" customHeight="1">
      <c r="M7955"/>
      <c r="N7955"/>
      <c r="O7955"/>
      <c r="P7955"/>
      <c r="Q7955"/>
      <c r="R7955"/>
      <c r="S7955"/>
    </row>
    <row r="7956" spans="13:19" ht="13.95" customHeight="1">
      <c r="M7956"/>
      <c r="N7956"/>
      <c r="O7956"/>
      <c r="P7956"/>
      <c r="Q7956"/>
      <c r="R7956"/>
      <c r="S7956"/>
    </row>
    <row r="7957" spans="13:19" ht="13.95" customHeight="1">
      <c r="M7957"/>
      <c r="N7957"/>
      <c r="O7957"/>
      <c r="P7957"/>
      <c r="Q7957"/>
      <c r="R7957"/>
      <c r="S7957"/>
    </row>
    <row r="7958" spans="13:19" ht="13.95" customHeight="1">
      <c r="M7958"/>
      <c r="N7958"/>
      <c r="O7958"/>
      <c r="P7958"/>
      <c r="Q7958"/>
      <c r="R7958"/>
      <c r="S7958"/>
    </row>
    <row r="7959" spans="13:19" ht="13.95" customHeight="1">
      <c r="M7959"/>
      <c r="N7959"/>
      <c r="O7959"/>
      <c r="P7959"/>
      <c r="Q7959"/>
      <c r="R7959"/>
      <c r="S7959"/>
    </row>
    <row r="7960" spans="13:19" ht="13.95" customHeight="1">
      <c r="M7960"/>
      <c r="N7960"/>
      <c r="O7960"/>
      <c r="P7960"/>
      <c r="Q7960"/>
      <c r="R7960"/>
      <c r="S7960"/>
    </row>
    <row r="7961" spans="13:19" ht="13.95" customHeight="1">
      <c r="M7961"/>
      <c r="N7961"/>
      <c r="O7961"/>
      <c r="P7961"/>
      <c r="Q7961"/>
      <c r="R7961"/>
      <c r="S7961"/>
    </row>
    <row r="7962" spans="13:19" ht="13.95" customHeight="1">
      <c r="M7962"/>
      <c r="N7962"/>
      <c r="O7962"/>
      <c r="P7962"/>
      <c r="Q7962"/>
      <c r="R7962"/>
      <c r="S7962"/>
    </row>
    <row r="7963" spans="13:19" ht="13.95" customHeight="1">
      <c r="M7963"/>
      <c r="N7963"/>
      <c r="O7963"/>
      <c r="P7963"/>
      <c r="Q7963"/>
      <c r="R7963"/>
      <c r="S7963"/>
    </row>
    <row r="7964" spans="13:19" ht="13.95" customHeight="1">
      <c r="M7964"/>
      <c r="N7964"/>
      <c r="O7964"/>
      <c r="P7964"/>
      <c r="Q7964"/>
      <c r="R7964"/>
      <c r="S7964"/>
    </row>
    <row r="7965" spans="13:19" ht="13.95" customHeight="1">
      <c r="M7965"/>
      <c r="N7965"/>
      <c r="O7965"/>
      <c r="P7965"/>
      <c r="Q7965"/>
      <c r="R7965"/>
      <c r="S7965"/>
    </row>
    <row r="7966" spans="13:19" ht="13.95" customHeight="1">
      <c r="M7966"/>
      <c r="N7966"/>
      <c r="O7966"/>
      <c r="P7966"/>
      <c r="Q7966"/>
      <c r="R7966"/>
      <c r="S7966"/>
    </row>
    <row r="7967" spans="13:19" ht="13.95" customHeight="1">
      <c r="M7967"/>
      <c r="N7967"/>
      <c r="O7967"/>
      <c r="P7967"/>
      <c r="Q7967"/>
      <c r="R7967"/>
      <c r="S7967"/>
    </row>
    <row r="7968" spans="13:19" ht="13.95" customHeight="1">
      <c r="M7968"/>
      <c r="N7968"/>
      <c r="O7968"/>
      <c r="P7968"/>
      <c r="Q7968"/>
      <c r="R7968"/>
      <c r="S7968"/>
    </row>
    <row r="7969" spans="13:19" ht="13.95" customHeight="1">
      <c r="M7969"/>
      <c r="N7969"/>
      <c r="O7969"/>
      <c r="P7969"/>
      <c r="Q7969"/>
      <c r="R7969"/>
      <c r="S7969"/>
    </row>
    <row r="7970" spans="13:19" ht="13.95" customHeight="1">
      <c r="M7970"/>
      <c r="N7970"/>
      <c r="O7970"/>
      <c r="P7970"/>
      <c r="Q7970"/>
      <c r="R7970"/>
      <c r="S7970"/>
    </row>
    <row r="7971" spans="13:19" ht="13.95" customHeight="1">
      <c r="M7971"/>
      <c r="N7971"/>
      <c r="O7971"/>
      <c r="P7971"/>
      <c r="Q7971"/>
      <c r="R7971"/>
      <c r="S7971"/>
    </row>
    <row r="7972" spans="13:19" ht="13.95" customHeight="1">
      <c r="M7972"/>
      <c r="N7972"/>
      <c r="O7972"/>
      <c r="P7972"/>
      <c r="Q7972"/>
      <c r="R7972"/>
      <c r="S7972"/>
    </row>
    <row r="7973" spans="13:19" ht="13.95" customHeight="1">
      <c r="M7973"/>
      <c r="N7973"/>
      <c r="O7973"/>
      <c r="P7973"/>
      <c r="Q7973"/>
      <c r="R7973"/>
      <c r="S7973"/>
    </row>
    <row r="7974" spans="13:19" ht="13.95" customHeight="1">
      <c r="M7974"/>
      <c r="N7974"/>
      <c r="O7974"/>
      <c r="P7974"/>
      <c r="Q7974"/>
      <c r="R7974"/>
      <c r="S7974"/>
    </row>
    <row r="7975" spans="13:19" ht="13.95" customHeight="1">
      <c r="M7975"/>
      <c r="N7975"/>
      <c r="O7975"/>
      <c r="P7975"/>
      <c r="Q7975"/>
      <c r="R7975"/>
      <c r="S7975"/>
    </row>
    <row r="7976" spans="13:19" ht="13.95" customHeight="1">
      <c r="M7976"/>
      <c r="N7976"/>
      <c r="O7976"/>
      <c r="P7976"/>
      <c r="Q7976"/>
      <c r="R7976"/>
      <c r="S7976"/>
    </row>
    <row r="7977" spans="13:19" ht="13.95" customHeight="1">
      <c r="M7977"/>
      <c r="N7977"/>
      <c r="O7977"/>
      <c r="P7977"/>
      <c r="Q7977"/>
      <c r="R7977"/>
      <c r="S7977"/>
    </row>
    <row r="7978" spans="13:19" ht="13.95" customHeight="1">
      <c r="M7978"/>
      <c r="N7978"/>
      <c r="O7978"/>
      <c r="P7978"/>
      <c r="Q7978"/>
      <c r="R7978"/>
      <c r="S7978"/>
    </row>
    <row r="7979" spans="13:19" ht="13.95" customHeight="1">
      <c r="M7979"/>
      <c r="N7979"/>
      <c r="O7979"/>
      <c r="P7979"/>
      <c r="Q7979"/>
      <c r="R7979"/>
      <c r="S7979"/>
    </row>
    <row r="7980" spans="13:19" ht="13.95" customHeight="1">
      <c r="M7980"/>
      <c r="N7980"/>
      <c r="O7980"/>
      <c r="P7980"/>
      <c r="Q7980"/>
      <c r="R7980"/>
      <c r="S7980"/>
    </row>
    <row r="7981" spans="13:19" ht="13.95" customHeight="1">
      <c r="M7981"/>
      <c r="N7981"/>
      <c r="O7981"/>
      <c r="P7981"/>
      <c r="Q7981"/>
      <c r="R7981"/>
      <c r="S7981"/>
    </row>
    <row r="7982" spans="13:19" ht="13.95" customHeight="1">
      <c r="M7982"/>
      <c r="N7982"/>
      <c r="O7982"/>
      <c r="P7982"/>
      <c r="Q7982"/>
      <c r="R7982"/>
      <c r="S7982"/>
    </row>
    <row r="7983" spans="13:19" ht="13.95" customHeight="1">
      <c r="M7983"/>
      <c r="N7983"/>
      <c r="O7983"/>
      <c r="P7983"/>
      <c r="Q7983"/>
      <c r="R7983"/>
      <c r="S7983"/>
    </row>
    <row r="7984" spans="13:19" ht="13.95" customHeight="1">
      <c r="M7984"/>
      <c r="N7984"/>
      <c r="O7984"/>
      <c r="P7984"/>
      <c r="Q7984"/>
      <c r="R7984"/>
      <c r="S7984"/>
    </row>
    <row r="7985" spans="13:19" ht="13.95" customHeight="1">
      <c r="M7985"/>
      <c r="N7985"/>
      <c r="O7985"/>
      <c r="P7985"/>
      <c r="Q7985"/>
      <c r="R7985"/>
      <c r="S7985"/>
    </row>
    <row r="7986" spans="13:19" ht="13.95" customHeight="1">
      <c r="M7986"/>
      <c r="N7986"/>
      <c r="O7986"/>
      <c r="P7986"/>
      <c r="Q7986"/>
      <c r="R7986"/>
      <c r="S7986"/>
    </row>
    <row r="7987" spans="13:19" ht="13.95" customHeight="1">
      <c r="M7987"/>
      <c r="N7987"/>
      <c r="O7987"/>
      <c r="P7987"/>
      <c r="Q7987"/>
      <c r="R7987"/>
      <c r="S7987"/>
    </row>
    <row r="7988" spans="13:19" ht="13.95" customHeight="1">
      <c r="M7988"/>
      <c r="N7988"/>
      <c r="O7988"/>
      <c r="P7988"/>
      <c r="Q7988"/>
      <c r="R7988"/>
      <c r="S7988"/>
    </row>
    <row r="7989" spans="13:19" ht="13.95" customHeight="1">
      <c r="M7989"/>
      <c r="N7989"/>
      <c r="O7989"/>
      <c r="P7989"/>
      <c r="Q7989"/>
      <c r="R7989"/>
      <c r="S7989"/>
    </row>
    <row r="7990" spans="13:19" ht="13.95" customHeight="1">
      <c r="M7990"/>
      <c r="N7990"/>
      <c r="O7990"/>
      <c r="P7990"/>
      <c r="Q7990"/>
      <c r="R7990"/>
      <c r="S7990"/>
    </row>
    <row r="7991" spans="13:19" ht="13.95" customHeight="1">
      <c r="M7991"/>
      <c r="N7991"/>
      <c r="O7991"/>
      <c r="P7991"/>
      <c r="Q7991"/>
      <c r="R7991"/>
      <c r="S7991"/>
    </row>
    <row r="7992" spans="13:19" ht="13.95" customHeight="1">
      <c r="M7992"/>
      <c r="N7992"/>
      <c r="O7992"/>
      <c r="P7992"/>
      <c r="Q7992"/>
      <c r="R7992"/>
      <c r="S7992"/>
    </row>
    <row r="7993" spans="13:19" ht="13.95" customHeight="1">
      <c r="M7993"/>
      <c r="N7993"/>
      <c r="O7993"/>
      <c r="P7993"/>
      <c r="Q7993"/>
      <c r="R7993"/>
      <c r="S7993"/>
    </row>
    <row r="7994" spans="13:19" ht="13.95" customHeight="1">
      <c r="M7994"/>
      <c r="N7994"/>
      <c r="O7994"/>
      <c r="P7994"/>
      <c r="Q7994"/>
      <c r="R7994"/>
      <c r="S7994"/>
    </row>
    <row r="7995" spans="13:19" ht="13.95" customHeight="1">
      <c r="M7995"/>
      <c r="N7995"/>
      <c r="O7995"/>
      <c r="P7995"/>
      <c r="Q7995"/>
      <c r="R7995"/>
      <c r="S7995"/>
    </row>
    <row r="7996" spans="13:19" ht="13.95" customHeight="1">
      <c r="M7996"/>
      <c r="N7996"/>
      <c r="O7996"/>
      <c r="P7996"/>
      <c r="Q7996"/>
      <c r="R7996"/>
      <c r="S7996"/>
    </row>
    <row r="7997" spans="13:19" ht="13.95" customHeight="1">
      <c r="M7997"/>
      <c r="N7997"/>
      <c r="O7997"/>
      <c r="P7997"/>
      <c r="Q7997"/>
      <c r="R7997"/>
      <c r="S7997"/>
    </row>
    <row r="7998" spans="13:19" ht="13.95" customHeight="1">
      <c r="M7998"/>
      <c r="N7998"/>
      <c r="O7998"/>
      <c r="P7998"/>
      <c r="Q7998"/>
      <c r="R7998"/>
      <c r="S7998"/>
    </row>
    <row r="7999" spans="13:19" ht="13.95" customHeight="1">
      <c r="M7999"/>
      <c r="N7999"/>
      <c r="O7999"/>
      <c r="P7999"/>
      <c r="Q7999"/>
      <c r="R7999"/>
      <c r="S7999"/>
    </row>
    <row r="8000" spans="13:19" ht="13.95" customHeight="1">
      <c r="M8000"/>
      <c r="N8000"/>
      <c r="O8000"/>
      <c r="P8000"/>
      <c r="Q8000"/>
      <c r="R8000"/>
      <c r="S8000"/>
    </row>
    <row r="8001" spans="13:19" ht="13.95" customHeight="1">
      <c r="M8001"/>
      <c r="N8001"/>
      <c r="O8001"/>
      <c r="P8001"/>
      <c r="Q8001"/>
      <c r="R8001"/>
      <c r="S8001"/>
    </row>
    <row r="8002" spans="13:19" ht="13.95" customHeight="1">
      <c r="M8002"/>
      <c r="N8002"/>
      <c r="O8002"/>
      <c r="P8002"/>
      <c r="Q8002"/>
      <c r="R8002"/>
      <c r="S8002"/>
    </row>
    <row r="8003" spans="13:19" ht="13.95" customHeight="1">
      <c r="M8003"/>
      <c r="N8003"/>
      <c r="O8003"/>
      <c r="P8003"/>
      <c r="Q8003"/>
      <c r="R8003"/>
      <c r="S8003"/>
    </row>
    <row r="8004" spans="13:19" ht="13.95" customHeight="1">
      <c r="M8004"/>
      <c r="N8004"/>
      <c r="O8004"/>
      <c r="P8004"/>
      <c r="Q8004"/>
      <c r="R8004"/>
      <c r="S8004"/>
    </row>
    <row r="8005" spans="13:19" ht="13.95" customHeight="1">
      <c r="M8005"/>
      <c r="N8005"/>
      <c r="O8005"/>
      <c r="P8005"/>
      <c r="Q8005"/>
      <c r="R8005"/>
      <c r="S8005"/>
    </row>
    <row r="8006" spans="13:19" ht="13.95" customHeight="1">
      <c r="M8006"/>
      <c r="N8006"/>
      <c r="O8006"/>
      <c r="P8006"/>
      <c r="Q8006"/>
      <c r="R8006"/>
      <c r="S8006"/>
    </row>
    <row r="8007" spans="13:19" ht="13.95" customHeight="1">
      <c r="M8007"/>
      <c r="N8007"/>
      <c r="O8007"/>
      <c r="P8007"/>
      <c r="Q8007"/>
      <c r="R8007"/>
      <c r="S8007"/>
    </row>
    <row r="8008" spans="13:19" ht="13.95" customHeight="1">
      <c r="M8008"/>
      <c r="N8008"/>
      <c r="O8008"/>
      <c r="P8008"/>
      <c r="Q8008"/>
      <c r="R8008"/>
      <c r="S8008"/>
    </row>
    <row r="8009" spans="13:19" ht="13.95" customHeight="1">
      <c r="M8009"/>
      <c r="N8009"/>
      <c r="O8009"/>
      <c r="P8009"/>
      <c r="Q8009"/>
      <c r="R8009"/>
      <c r="S8009"/>
    </row>
    <row r="8010" spans="13:19" ht="13.95" customHeight="1">
      <c r="M8010"/>
      <c r="N8010"/>
      <c r="O8010"/>
      <c r="P8010"/>
      <c r="Q8010"/>
      <c r="R8010"/>
      <c r="S8010"/>
    </row>
    <row r="8011" spans="13:19" ht="13.95" customHeight="1">
      <c r="M8011"/>
      <c r="N8011"/>
      <c r="O8011"/>
      <c r="P8011"/>
      <c r="Q8011"/>
      <c r="R8011"/>
      <c r="S8011"/>
    </row>
    <row r="8012" spans="13:19" ht="13.95" customHeight="1">
      <c r="M8012"/>
      <c r="N8012"/>
      <c r="O8012"/>
      <c r="P8012"/>
      <c r="Q8012"/>
      <c r="R8012"/>
      <c r="S8012"/>
    </row>
    <row r="8013" spans="13:19" ht="13.95" customHeight="1">
      <c r="M8013"/>
      <c r="N8013"/>
      <c r="O8013"/>
      <c r="P8013"/>
      <c r="Q8013"/>
      <c r="R8013"/>
      <c r="S8013"/>
    </row>
    <row r="8014" spans="13:19" ht="13.95" customHeight="1">
      <c r="M8014"/>
      <c r="N8014"/>
      <c r="O8014"/>
      <c r="P8014"/>
      <c r="Q8014"/>
      <c r="R8014"/>
      <c r="S8014"/>
    </row>
    <row r="8015" spans="13:19" ht="13.95" customHeight="1">
      <c r="M8015"/>
      <c r="N8015"/>
      <c r="O8015"/>
      <c r="P8015"/>
      <c r="Q8015"/>
      <c r="R8015"/>
      <c r="S8015"/>
    </row>
    <row r="8016" spans="13:19" ht="13.95" customHeight="1">
      <c r="M8016"/>
      <c r="N8016"/>
      <c r="O8016"/>
      <c r="P8016"/>
      <c r="Q8016"/>
      <c r="R8016"/>
      <c r="S8016"/>
    </row>
    <row r="8017" spans="13:19" ht="13.95" customHeight="1">
      <c r="M8017"/>
      <c r="N8017"/>
      <c r="O8017"/>
      <c r="P8017"/>
      <c r="Q8017"/>
      <c r="R8017"/>
      <c r="S8017"/>
    </row>
    <row r="8018" spans="13:19" ht="13.95" customHeight="1">
      <c r="M8018"/>
      <c r="N8018"/>
      <c r="O8018"/>
      <c r="P8018"/>
      <c r="Q8018"/>
      <c r="R8018"/>
      <c r="S8018"/>
    </row>
    <row r="8019" spans="13:19" ht="13.95" customHeight="1">
      <c r="M8019"/>
      <c r="N8019"/>
      <c r="O8019"/>
      <c r="P8019"/>
      <c r="Q8019"/>
      <c r="R8019"/>
      <c r="S8019"/>
    </row>
    <row r="8020" spans="13:19" ht="13.95" customHeight="1">
      <c r="M8020"/>
      <c r="N8020"/>
      <c r="O8020"/>
      <c r="P8020"/>
      <c r="Q8020"/>
      <c r="R8020"/>
      <c r="S8020"/>
    </row>
    <row r="8021" spans="13:19" ht="13.95" customHeight="1">
      <c r="M8021"/>
      <c r="N8021"/>
      <c r="O8021"/>
      <c r="P8021"/>
      <c r="Q8021"/>
      <c r="R8021"/>
      <c r="S8021"/>
    </row>
    <row r="8022" spans="13:19" ht="13.95" customHeight="1">
      <c r="M8022"/>
      <c r="N8022"/>
      <c r="O8022"/>
      <c r="P8022"/>
      <c r="Q8022"/>
      <c r="R8022"/>
      <c r="S8022"/>
    </row>
    <row r="8023" spans="13:19" ht="13.95" customHeight="1">
      <c r="M8023"/>
      <c r="N8023"/>
      <c r="O8023"/>
      <c r="P8023"/>
      <c r="Q8023"/>
      <c r="R8023"/>
      <c r="S8023"/>
    </row>
    <row r="8024" spans="13:19" ht="13.95" customHeight="1">
      <c r="M8024"/>
      <c r="N8024"/>
      <c r="O8024"/>
      <c r="P8024"/>
      <c r="Q8024"/>
      <c r="R8024"/>
      <c r="S8024"/>
    </row>
    <row r="8025" spans="13:19" ht="13.95" customHeight="1">
      <c r="M8025"/>
      <c r="N8025"/>
      <c r="O8025"/>
      <c r="P8025"/>
      <c r="Q8025"/>
      <c r="R8025"/>
      <c r="S8025"/>
    </row>
    <row r="8026" spans="13:19" ht="13.95" customHeight="1">
      <c r="M8026"/>
      <c r="N8026"/>
      <c r="O8026"/>
      <c r="P8026"/>
      <c r="Q8026"/>
      <c r="R8026"/>
      <c r="S8026"/>
    </row>
    <row r="8027" spans="13:19" ht="13.95" customHeight="1">
      <c r="M8027"/>
      <c r="N8027"/>
      <c r="O8027"/>
      <c r="P8027"/>
      <c r="Q8027"/>
      <c r="R8027"/>
      <c r="S8027"/>
    </row>
    <row r="8028" spans="13:19" ht="13.95" customHeight="1">
      <c r="M8028"/>
      <c r="N8028"/>
      <c r="O8028"/>
      <c r="P8028"/>
      <c r="Q8028"/>
      <c r="R8028"/>
      <c r="S8028"/>
    </row>
    <row r="8029" spans="13:19" ht="13.95" customHeight="1">
      <c r="M8029"/>
      <c r="N8029"/>
      <c r="O8029"/>
      <c r="P8029"/>
      <c r="Q8029"/>
      <c r="R8029"/>
      <c r="S8029"/>
    </row>
    <row r="8030" spans="13:19" ht="13.95" customHeight="1">
      <c r="M8030"/>
      <c r="N8030"/>
      <c r="O8030"/>
      <c r="P8030"/>
      <c r="Q8030"/>
      <c r="R8030"/>
      <c r="S8030"/>
    </row>
    <row r="8031" spans="13:19" ht="13.95" customHeight="1">
      <c r="M8031"/>
      <c r="N8031"/>
      <c r="O8031"/>
      <c r="P8031"/>
      <c r="Q8031"/>
      <c r="R8031"/>
      <c r="S8031"/>
    </row>
    <row r="8032" spans="13:19" ht="13.95" customHeight="1">
      <c r="M8032"/>
      <c r="N8032"/>
      <c r="O8032"/>
      <c r="P8032"/>
      <c r="Q8032"/>
      <c r="R8032"/>
      <c r="S8032"/>
    </row>
    <row r="8033" spans="13:19" ht="13.95" customHeight="1">
      <c r="M8033"/>
      <c r="N8033"/>
      <c r="O8033"/>
      <c r="P8033"/>
      <c r="Q8033"/>
      <c r="R8033"/>
      <c r="S8033"/>
    </row>
    <row r="8034" spans="13:19" ht="13.95" customHeight="1">
      <c r="M8034"/>
      <c r="N8034"/>
      <c r="O8034"/>
      <c r="P8034"/>
      <c r="Q8034"/>
      <c r="R8034"/>
      <c r="S8034"/>
    </row>
    <row r="8035" spans="13:19" ht="13.95" customHeight="1">
      <c r="M8035"/>
      <c r="N8035"/>
      <c r="O8035"/>
      <c r="P8035"/>
      <c r="Q8035"/>
      <c r="R8035"/>
      <c r="S8035"/>
    </row>
    <row r="8036" spans="13:19" ht="13.95" customHeight="1">
      <c r="M8036"/>
      <c r="N8036"/>
      <c r="O8036"/>
      <c r="P8036"/>
      <c r="Q8036"/>
      <c r="R8036"/>
      <c r="S8036"/>
    </row>
    <row r="8037" spans="13:19" ht="13.95" customHeight="1">
      <c r="M8037"/>
      <c r="N8037"/>
      <c r="O8037"/>
      <c r="P8037"/>
      <c r="Q8037"/>
      <c r="R8037"/>
      <c r="S8037"/>
    </row>
    <row r="8038" spans="13:19" ht="13.95" customHeight="1">
      <c r="M8038"/>
      <c r="N8038"/>
      <c r="O8038"/>
      <c r="P8038"/>
      <c r="Q8038"/>
      <c r="R8038"/>
      <c r="S8038"/>
    </row>
    <row r="8039" spans="13:19" ht="13.95" customHeight="1">
      <c r="M8039"/>
      <c r="N8039"/>
      <c r="O8039"/>
      <c r="P8039"/>
      <c r="Q8039"/>
      <c r="R8039"/>
      <c r="S8039"/>
    </row>
    <row r="8040" spans="13:19" ht="13.95" customHeight="1">
      <c r="M8040"/>
      <c r="N8040"/>
      <c r="O8040"/>
      <c r="P8040"/>
      <c r="Q8040"/>
      <c r="R8040"/>
      <c r="S8040"/>
    </row>
    <row r="8041" spans="13:19" ht="13.95" customHeight="1">
      <c r="M8041"/>
      <c r="N8041"/>
      <c r="O8041"/>
      <c r="P8041"/>
      <c r="Q8041"/>
      <c r="R8041"/>
      <c r="S8041"/>
    </row>
    <row r="8042" spans="13:19" ht="13.95" customHeight="1">
      <c r="M8042"/>
      <c r="N8042"/>
      <c r="O8042"/>
      <c r="P8042"/>
      <c r="Q8042"/>
      <c r="R8042"/>
      <c r="S8042"/>
    </row>
    <row r="8043" spans="13:19" ht="13.95" customHeight="1">
      <c r="M8043"/>
      <c r="N8043"/>
      <c r="O8043"/>
      <c r="P8043"/>
      <c r="Q8043"/>
      <c r="R8043"/>
      <c r="S8043"/>
    </row>
    <row r="8044" spans="13:19" ht="13.95" customHeight="1">
      <c r="M8044"/>
      <c r="N8044"/>
      <c r="O8044"/>
      <c r="P8044"/>
      <c r="Q8044"/>
      <c r="R8044"/>
      <c r="S8044"/>
    </row>
    <row r="8045" spans="13:19" ht="13.95" customHeight="1">
      <c r="M8045"/>
      <c r="N8045"/>
      <c r="O8045"/>
      <c r="P8045"/>
      <c r="Q8045"/>
      <c r="R8045"/>
      <c r="S8045"/>
    </row>
    <row r="8046" spans="13:19" ht="13.95" customHeight="1">
      <c r="M8046"/>
      <c r="N8046"/>
      <c r="O8046"/>
      <c r="P8046"/>
      <c r="Q8046"/>
      <c r="R8046"/>
      <c r="S8046"/>
    </row>
    <row r="8047" spans="13:19" ht="13.95" customHeight="1">
      <c r="M8047"/>
      <c r="N8047"/>
      <c r="O8047"/>
      <c r="P8047"/>
      <c r="Q8047"/>
      <c r="R8047"/>
      <c r="S8047"/>
    </row>
    <row r="8048" spans="13:19" ht="13.95" customHeight="1">
      <c r="M8048"/>
      <c r="N8048"/>
      <c r="O8048"/>
      <c r="P8048"/>
      <c r="Q8048"/>
      <c r="R8048"/>
      <c r="S8048"/>
    </row>
    <row r="8049" spans="13:19" ht="13.95" customHeight="1">
      <c r="M8049"/>
      <c r="N8049"/>
      <c r="O8049"/>
      <c r="P8049"/>
      <c r="Q8049"/>
      <c r="R8049"/>
      <c r="S8049"/>
    </row>
    <row r="8050" spans="13:19" ht="13.95" customHeight="1">
      <c r="M8050"/>
      <c r="N8050"/>
      <c r="O8050"/>
      <c r="P8050"/>
      <c r="Q8050"/>
      <c r="R8050"/>
      <c r="S8050"/>
    </row>
    <row r="8051" spans="13:19" ht="13.95" customHeight="1">
      <c r="M8051"/>
      <c r="N8051"/>
      <c r="O8051"/>
      <c r="P8051"/>
      <c r="Q8051"/>
      <c r="R8051"/>
      <c r="S8051"/>
    </row>
    <row r="8052" spans="13:19" ht="13.95" customHeight="1">
      <c r="M8052"/>
      <c r="N8052"/>
      <c r="O8052"/>
      <c r="P8052"/>
      <c r="Q8052"/>
      <c r="R8052"/>
      <c r="S8052"/>
    </row>
    <row r="8053" spans="13:19" ht="13.95" customHeight="1">
      <c r="M8053"/>
      <c r="N8053"/>
      <c r="O8053"/>
      <c r="P8053"/>
      <c r="Q8053"/>
      <c r="R8053"/>
      <c r="S8053"/>
    </row>
    <row r="8054" spans="13:19" ht="13.95" customHeight="1">
      <c r="M8054"/>
      <c r="N8054"/>
      <c r="O8054"/>
      <c r="P8054"/>
      <c r="Q8054"/>
      <c r="R8054"/>
      <c r="S8054"/>
    </row>
    <row r="8055" spans="13:19" ht="13.95" customHeight="1">
      <c r="M8055"/>
      <c r="N8055"/>
      <c r="O8055"/>
      <c r="P8055"/>
      <c r="Q8055"/>
      <c r="R8055"/>
      <c r="S8055"/>
    </row>
    <row r="8056" spans="13:19" ht="13.95" customHeight="1">
      <c r="M8056"/>
      <c r="N8056"/>
      <c r="O8056"/>
      <c r="P8056"/>
      <c r="Q8056"/>
      <c r="R8056"/>
      <c r="S8056"/>
    </row>
    <row r="8057" spans="13:19" ht="13.95" customHeight="1">
      <c r="M8057"/>
      <c r="N8057"/>
      <c r="O8057"/>
      <c r="P8057"/>
      <c r="Q8057"/>
      <c r="R8057"/>
      <c r="S8057"/>
    </row>
    <row r="8058" spans="13:19" ht="13.95" customHeight="1">
      <c r="M8058"/>
      <c r="N8058"/>
      <c r="O8058"/>
      <c r="P8058"/>
      <c r="Q8058"/>
      <c r="R8058"/>
      <c r="S8058"/>
    </row>
    <row r="8059" spans="13:19" ht="13.95" customHeight="1">
      <c r="M8059"/>
      <c r="N8059"/>
      <c r="O8059"/>
      <c r="P8059"/>
      <c r="Q8059"/>
      <c r="R8059"/>
      <c r="S8059"/>
    </row>
    <row r="8060" spans="13:19" ht="13.95" customHeight="1">
      <c r="M8060"/>
      <c r="N8060"/>
      <c r="O8060"/>
      <c r="P8060"/>
      <c r="Q8060"/>
      <c r="R8060"/>
      <c r="S8060"/>
    </row>
    <row r="8061" spans="13:19" ht="13.95" customHeight="1">
      <c r="M8061"/>
      <c r="N8061"/>
      <c r="O8061"/>
      <c r="P8061"/>
      <c r="Q8061"/>
      <c r="R8061"/>
      <c r="S8061"/>
    </row>
    <row r="8062" spans="13:19" ht="13.95" customHeight="1">
      <c r="M8062"/>
      <c r="N8062"/>
      <c r="O8062"/>
      <c r="P8062"/>
      <c r="Q8062"/>
      <c r="R8062"/>
      <c r="S8062"/>
    </row>
    <row r="8063" spans="13:19" ht="13.95" customHeight="1">
      <c r="M8063"/>
      <c r="N8063"/>
      <c r="O8063"/>
      <c r="P8063"/>
      <c r="Q8063"/>
      <c r="R8063"/>
      <c r="S8063"/>
    </row>
    <row r="8064" spans="13:19" ht="13.95" customHeight="1">
      <c r="M8064"/>
      <c r="N8064"/>
      <c r="O8064"/>
      <c r="P8064"/>
      <c r="Q8064"/>
      <c r="R8064"/>
      <c r="S8064"/>
    </row>
    <row r="8065" spans="13:19" ht="13.95" customHeight="1">
      <c r="M8065"/>
      <c r="N8065"/>
      <c r="O8065"/>
      <c r="P8065"/>
      <c r="Q8065"/>
      <c r="R8065"/>
      <c r="S8065"/>
    </row>
    <row r="8066" spans="13:19" ht="13.95" customHeight="1">
      <c r="M8066"/>
      <c r="N8066"/>
      <c r="O8066"/>
      <c r="P8066"/>
      <c r="Q8066"/>
      <c r="R8066"/>
      <c r="S8066"/>
    </row>
    <row r="8067" spans="13:19" ht="13.95" customHeight="1">
      <c r="M8067"/>
      <c r="N8067"/>
      <c r="O8067"/>
      <c r="P8067"/>
      <c r="Q8067"/>
      <c r="R8067"/>
      <c r="S8067"/>
    </row>
    <row r="8068" spans="13:19" ht="13.95" customHeight="1">
      <c r="M8068"/>
      <c r="N8068"/>
      <c r="O8068"/>
      <c r="P8068"/>
      <c r="Q8068"/>
      <c r="R8068"/>
      <c r="S8068"/>
    </row>
    <row r="8069" spans="13:19" ht="13.95" customHeight="1">
      <c r="M8069"/>
      <c r="N8069"/>
      <c r="O8069"/>
      <c r="P8069"/>
      <c r="Q8069"/>
      <c r="R8069"/>
      <c r="S8069"/>
    </row>
    <row r="8070" spans="13:19" ht="13.95" customHeight="1">
      <c r="M8070"/>
      <c r="N8070"/>
      <c r="O8070"/>
      <c r="P8070"/>
      <c r="Q8070"/>
      <c r="R8070"/>
      <c r="S8070"/>
    </row>
    <row r="8071" spans="13:19" ht="13.95" customHeight="1">
      <c r="M8071"/>
      <c r="N8071"/>
      <c r="O8071"/>
      <c r="P8071"/>
      <c r="Q8071"/>
      <c r="R8071"/>
      <c r="S8071"/>
    </row>
    <row r="8072" spans="13:19" ht="13.95" customHeight="1">
      <c r="M8072"/>
      <c r="N8072"/>
      <c r="O8072"/>
      <c r="P8072"/>
      <c r="Q8072"/>
      <c r="R8072"/>
      <c r="S8072"/>
    </row>
    <row r="8073" spans="13:19" ht="13.95" customHeight="1">
      <c r="M8073"/>
      <c r="N8073"/>
      <c r="O8073"/>
      <c r="P8073"/>
      <c r="Q8073"/>
      <c r="R8073"/>
      <c r="S8073"/>
    </row>
    <row r="8074" spans="13:19" ht="13.95" customHeight="1">
      <c r="M8074"/>
      <c r="N8074"/>
      <c r="O8074"/>
      <c r="P8074"/>
      <c r="Q8074"/>
      <c r="R8074"/>
      <c r="S8074"/>
    </row>
    <row r="8075" spans="13:19" ht="13.95" customHeight="1">
      <c r="M8075"/>
      <c r="N8075"/>
      <c r="O8075"/>
      <c r="P8075"/>
      <c r="Q8075"/>
      <c r="R8075"/>
      <c r="S8075"/>
    </row>
    <row r="8076" spans="13:19" ht="13.95" customHeight="1">
      <c r="M8076"/>
      <c r="N8076"/>
      <c r="O8076"/>
      <c r="P8076"/>
      <c r="Q8076"/>
      <c r="R8076"/>
      <c r="S8076"/>
    </row>
    <row r="8077" spans="13:19" ht="13.95" customHeight="1">
      <c r="M8077"/>
      <c r="N8077"/>
      <c r="O8077"/>
      <c r="P8077"/>
      <c r="Q8077"/>
      <c r="R8077"/>
      <c r="S8077"/>
    </row>
    <row r="8078" spans="13:19" ht="13.95" customHeight="1">
      <c r="M8078"/>
      <c r="N8078"/>
      <c r="O8078"/>
      <c r="P8078"/>
      <c r="Q8078"/>
      <c r="R8078"/>
      <c r="S8078"/>
    </row>
    <row r="8079" spans="13:19" ht="13.95" customHeight="1">
      <c r="M8079"/>
      <c r="N8079"/>
      <c r="O8079"/>
      <c r="P8079"/>
      <c r="Q8079"/>
      <c r="R8079"/>
      <c r="S8079"/>
    </row>
    <row r="8080" spans="13:19" ht="13.95" customHeight="1">
      <c r="M8080"/>
      <c r="N8080"/>
      <c r="O8080"/>
      <c r="P8080"/>
      <c r="Q8080"/>
      <c r="R8080"/>
      <c r="S8080"/>
    </row>
    <row r="8081" spans="13:19" ht="13.95" customHeight="1">
      <c r="M8081"/>
      <c r="N8081"/>
      <c r="O8081"/>
      <c r="P8081"/>
      <c r="Q8081"/>
      <c r="R8081"/>
      <c r="S8081"/>
    </row>
    <row r="8082" spans="13:19" ht="13.95" customHeight="1">
      <c r="M8082"/>
      <c r="N8082"/>
      <c r="O8082"/>
      <c r="P8082"/>
      <c r="Q8082"/>
      <c r="R8082"/>
      <c r="S8082"/>
    </row>
    <row r="8083" spans="13:19" ht="13.95" customHeight="1">
      <c r="M8083"/>
      <c r="N8083"/>
      <c r="O8083"/>
      <c r="P8083"/>
      <c r="Q8083"/>
      <c r="R8083"/>
      <c r="S8083"/>
    </row>
    <row r="8084" spans="13:19" ht="13.95" customHeight="1">
      <c r="M8084"/>
      <c r="N8084"/>
      <c r="O8084"/>
      <c r="P8084"/>
      <c r="Q8084"/>
      <c r="R8084"/>
      <c r="S8084"/>
    </row>
    <row r="8085" spans="13:19" ht="13.95" customHeight="1">
      <c r="M8085"/>
      <c r="N8085"/>
      <c r="O8085"/>
      <c r="P8085"/>
      <c r="Q8085"/>
      <c r="R8085"/>
      <c r="S8085"/>
    </row>
    <row r="8086" spans="13:19" ht="13.95" customHeight="1">
      <c r="M8086"/>
      <c r="N8086"/>
      <c r="O8086"/>
      <c r="P8086"/>
      <c r="Q8086"/>
      <c r="R8086"/>
      <c r="S8086"/>
    </row>
    <row r="8087" spans="13:19" ht="13.95" customHeight="1">
      <c r="M8087"/>
      <c r="N8087"/>
      <c r="O8087"/>
      <c r="P8087"/>
      <c r="Q8087"/>
      <c r="R8087"/>
      <c r="S8087"/>
    </row>
    <row r="8088" spans="13:19" ht="13.95" customHeight="1">
      <c r="M8088"/>
      <c r="N8088"/>
      <c r="O8088"/>
      <c r="P8088"/>
      <c r="Q8088"/>
      <c r="R8088"/>
      <c r="S8088"/>
    </row>
    <row r="8089" spans="13:19" ht="13.95" customHeight="1">
      <c r="M8089"/>
      <c r="N8089"/>
      <c r="O8089"/>
      <c r="P8089"/>
      <c r="Q8089"/>
      <c r="R8089"/>
      <c r="S8089"/>
    </row>
    <row r="8090" spans="13:19" ht="13.95" customHeight="1">
      <c r="M8090"/>
      <c r="N8090"/>
      <c r="O8090"/>
      <c r="P8090"/>
      <c r="Q8090"/>
      <c r="R8090"/>
      <c r="S8090"/>
    </row>
    <row r="8091" spans="13:19" ht="13.95" customHeight="1">
      <c r="M8091"/>
      <c r="N8091"/>
      <c r="O8091"/>
      <c r="P8091"/>
      <c r="Q8091"/>
      <c r="R8091"/>
      <c r="S8091"/>
    </row>
    <row r="8092" spans="13:19" ht="13.95" customHeight="1">
      <c r="M8092"/>
      <c r="N8092"/>
      <c r="O8092"/>
      <c r="P8092"/>
      <c r="Q8092"/>
      <c r="R8092"/>
      <c r="S8092"/>
    </row>
    <row r="8093" spans="13:19" ht="13.95" customHeight="1">
      <c r="M8093"/>
      <c r="N8093"/>
      <c r="O8093"/>
      <c r="P8093"/>
      <c r="Q8093"/>
      <c r="R8093"/>
      <c r="S8093"/>
    </row>
    <row r="8094" spans="13:19" ht="13.95" customHeight="1">
      <c r="M8094"/>
      <c r="N8094"/>
      <c r="O8094"/>
      <c r="P8094"/>
      <c r="Q8094"/>
      <c r="R8094"/>
      <c r="S8094"/>
    </row>
    <row r="8095" spans="13:19" ht="13.95" customHeight="1">
      <c r="M8095"/>
      <c r="N8095"/>
      <c r="O8095"/>
      <c r="P8095"/>
      <c r="Q8095"/>
      <c r="R8095"/>
      <c r="S8095"/>
    </row>
    <row r="8096" spans="13:19" ht="13.95" customHeight="1">
      <c r="M8096"/>
      <c r="N8096"/>
      <c r="O8096"/>
      <c r="P8096"/>
      <c r="Q8096"/>
      <c r="R8096"/>
      <c r="S8096"/>
    </row>
    <row r="8097" spans="13:19" ht="13.95" customHeight="1">
      <c r="M8097"/>
      <c r="N8097"/>
      <c r="O8097"/>
      <c r="P8097"/>
      <c r="Q8097"/>
      <c r="R8097"/>
      <c r="S8097"/>
    </row>
    <row r="8098" spans="13:19" ht="13.95" customHeight="1">
      <c r="M8098"/>
      <c r="N8098"/>
      <c r="O8098"/>
      <c r="P8098"/>
      <c r="Q8098"/>
      <c r="R8098"/>
      <c r="S8098"/>
    </row>
    <row r="8099" spans="13:19" ht="13.95" customHeight="1">
      <c r="M8099"/>
      <c r="N8099"/>
      <c r="O8099"/>
      <c r="P8099"/>
      <c r="Q8099"/>
      <c r="R8099"/>
      <c r="S8099"/>
    </row>
    <row r="8100" spans="13:19" ht="13.95" customHeight="1">
      <c r="M8100"/>
      <c r="N8100"/>
      <c r="O8100"/>
      <c r="P8100"/>
      <c r="Q8100"/>
      <c r="R8100"/>
      <c r="S8100"/>
    </row>
    <row r="8101" spans="13:19" ht="13.95" customHeight="1">
      <c r="M8101"/>
      <c r="N8101"/>
      <c r="O8101"/>
      <c r="P8101"/>
      <c r="Q8101"/>
      <c r="R8101"/>
      <c r="S8101"/>
    </row>
    <row r="8102" spans="13:19" ht="13.95" customHeight="1">
      <c r="M8102"/>
      <c r="N8102"/>
      <c r="O8102"/>
      <c r="P8102"/>
      <c r="Q8102"/>
      <c r="R8102"/>
      <c r="S8102"/>
    </row>
    <row r="8103" spans="13:19" ht="13.95" customHeight="1">
      <c r="M8103"/>
      <c r="N8103"/>
      <c r="O8103"/>
      <c r="P8103"/>
      <c r="Q8103"/>
      <c r="R8103"/>
      <c r="S8103"/>
    </row>
    <row r="8104" spans="13:19" ht="13.95" customHeight="1">
      <c r="M8104"/>
      <c r="N8104"/>
      <c r="O8104"/>
      <c r="P8104"/>
      <c r="Q8104"/>
      <c r="R8104"/>
      <c r="S8104"/>
    </row>
    <row r="8105" spans="13:19" ht="13.95" customHeight="1">
      <c r="M8105"/>
      <c r="N8105"/>
      <c r="O8105"/>
      <c r="P8105"/>
      <c r="Q8105"/>
      <c r="R8105"/>
      <c r="S8105"/>
    </row>
    <row r="8106" spans="13:19" ht="13.95" customHeight="1">
      <c r="M8106"/>
      <c r="N8106"/>
      <c r="O8106"/>
      <c r="P8106"/>
      <c r="Q8106"/>
      <c r="R8106"/>
      <c r="S8106"/>
    </row>
    <row r="8107" spans="13:19" ht="13.95" customHeight="1">
      <c r="M8107"/>
      <c r="N8107"/>
      <c r="O8107"/>
      <c r="P8107"/>
      <c r="Q8107"/>
      <c r="R8107"/>
      <c r="S8107"/>
    </row>
    <row r="8108" spans="13:19" ht="13.95" customHeight="1">
      <c r="M8108"/>
      <c r="N8108"/>
      <c r="O8108"/>
      <c r="P8108"/>
      <c r="Q8108"/>
      <c r="R8108"/>
      <c r="S8108"/>
    </row>
    <row r="8109" spans="13:19" ht="13.95" customHeight="1">
      <c r="M8109"/>
      <c r="N8109"/>
      <c r="O8109"/>
      <c r="P8109"/>
      <c r="Q8109"/>
      <c r="R8109"/>
      <c r="S8109"/>
    </row>
    <row r="8110" spans="13:19" ht="13.95" customHeight="1">
      <c r="M8110"/>
      <c r="N8110"/>
      <c r="O8110"/>
      <c r="P8110"/>
      <c r="Q8110"/>
      <c r="R8110"/>
      <c r="S8110"/>
    </row>
    <row r="8111" spans="13:19" ht="13.95" customHeight="1">
      <c r="M8111"/>
      <c r="N8111"/>
      <c r="O8111"/>
      <c r="P8111"/>
      <c r="Q8111"/>
      <c r="R8111"/>
      <c r="S8111"/>
    </row>
    <row r="8112" spans="13:19" ht="13.95" customHeight="1">
      <c r="M8112"/>
      <c r="N8112"/>
      <c r="O8112"/>
      <c r="P8112"/>
      <c r="Q8112"/>
      <c r="R8112"/>
      <c r="S8112"/>
    </row>
    <row r="8113" spans="13:19" ht="13.95" customHeight="1">
      <c r="M8113"/>
      <c r="N8113"/>
      <c r="O8113"/>
      <c r="P8113"/>
      <c r="Q8113"/>
      <c r="R8113"/>
      <c r="S8113"/>
    </row>
    <row r="8114" spans="13:19" ht="13.95" customHeight="1">
      <c r="M8114"/>
      <c r="N8114"/>
      <c r="O8114"/>
      <c r="P8114"/>
      <c r="Q8114"/>
      <c r="R8114"/>
      <c r="S8114"/>
    </row>
    <row r="8115" spans="13:19" ht="13.95" customHeight="1">
      <c r="M8115"/>
      <c r="N8115"/>
      <c r="O8115"/>
      <c r="P8115"/>
      <c r="Q8115"/>
      <c r="R8115"/>
      <c r="S8115"/>
    </row>
    <row r="8116" spans="13:19" ht="13.95" customHeight="1">
      <c r="M8116"/>
      <c r="N8116"/>
      <c r="O8116"/>
      <c r="P8116"/>
      <c r="Q8116"/>
      <c r="R8116"/>
      <c r="S8116"/>
    </row>
    <row r="8117" spans="13:19" ht="13.95" customHeight="1">
      <c r="M8117"/>
      <c r="N8117"/>
      <c r="O8117"/>
      <c r="P8117"/>
      <c r="Q8117"/>
      <c r="R8117"/>
      <c r="S8117"/>
    </row>
    <row r="8118" spans="13:19" ht="13.95" customHeight="1">
      <c r="M8118"/>
      <c r="N8118"/>
      <c r="O8118"/>
      <c r="P8118"/>
      <c r="Q8118"/>
      <c r="R8118"/>
      <c r="S8118"/>
    </row>
    <row r="8119" spans="13:19" ht="13.95" customHeight="1">
      <c r="M8119"/>
      <c r="N8119"/>
      <c r="O8119"/>
      <c r="P8119"/>
      <c r="Q8119"/>
      <c r="R8119"/>
      <c r="S8119"/>
    </row>
    <row r="8120" spans="13:19" ht="13.95" customHeight="1">
      <c r="M8120"/>
      <c r="N8120"/>
      <c r="O8120"/>
      <c r="P8120"/>
      <c r="Q8120"/>
      <c r="R8120"/>
      <c r="S8120"/>
    </row>
    <row r="8121" spans="13:19" ht="13.95" customHeight="1">
      <c r="M8121"/>
      <c r="N8121"/>
      <c r="O8121"/>
      <c r="P8121"/>
      <c r="Q8121"/>
      <c r="R8121"/>
      <c r="S8121"/>
    </row>
    <row r="8122" spans="13:19" ht="13.95" customHeight="1">
      <c r="M8122"/>
      <c r="N8122"/>
      <c r="O8122"/>
      <c r="P8122"/>
      <c r="Q8122"/>
      <c r="R8122"/>
      <c r="S8122"/>
    </row>
    <row r="8123" spans="13:19" ht="13.95" customHeight="1">
      <c r="M8123"/>
      <c r="N8123"/>
      <c r="O8123"/>
      <c r="P8123"/>
      <c r="Q8123"/>
      <c r="R8123"/>
      <c r="S8123"/>
    </row>
    <row r="8124" spans="13:19" ht="13.95" customHeight="1">
      <c r="M8124"/>
      <c r="N8124"/>
      <c r="O8124"/>
      <c r="P8124"/>
      <c r="Q8124"/>
      <c r="R8124"/>
      <c r="S8124"/>
    </row>
    <row r="8125" spans="13:19" ht="13.95" customHeight="1">
      <c r="M8125"/>
      <c r="N8125"/>
      <c r="O8125"/>
      <c r="P8125"/>
      <c r="Q8125"/>
      <c r="R8125"/>
      <c r="S8125"/>
    </row>
    <row r="8126" spans="13:19" ht="13.95" customHeight="1">
      <c r="M8126"/>
      <c r="N8126"/>
      <c r="O8126"/>
      <c r="P8126"/>
      <c r="Q8126"/>
      <c r="R8126"/>
      <c r="S8126"/>
    </row>
    <row r="8127" spans="13:19" ht="13.95" customHeight="1">
      <c r="M8127"/>
      <c r="N8127"/>
      <c r="O8127"/>
      <c r="P8127"/>
      <c r="Q8127"/>
      <c r="R8127"/>
      <c r="S8127"/>
    </row>
    <row r="8128" spans="13:19" ht="13.95" customHeight="1">
      <c r="M8128"/>
      <c r="N8128"/>
      <c r="O8128"/>
      <c r="P8128"/>
      <c r="Q8128"/>
      <c r="R8128"/>
      <c r="S8128"/>
    </row>
    <row r="8129" spans="13:19" ht="13.95" customHeight="1">
      <c r="M8129"/>
      <c r="N8129"/>
      <c r="O8129"/>
      <c r="P8129"/>
      <c r="Q8129"/>
      <c r="R8129"/>
      <c r="S8129"/>
    </row>
    <row r="8130" spans="13:19" ht="13.95" customHeight="1">
      <c r="M8130"/>
      <c r="N8130"/>
      <c r="O8130"/>
      <c r="P8130"/>
      <c r="Q8130"/>
      <c r="R8130"/>
      <c r="S8130"/>
    </row>
    <row r="8131" spans="13:19" ht="13.95" customHeight="1">
      <c r="M8131"/>
      <c r="N8131"/>
      <c r="O8131"/>
      <c r="P8131"/>
      <c r="Q8131"/>
      <c r="R8131"/>
      <c r="S8131"/>
    </row>
    <row r="8132" spans="13:19" ht="13.95" customHeight="1">
      <c r="M8132"/>
      <c r="N8132"/>
      <c r="O8132"/>
      <c r="P8132"/>
      <c r="Q8132"/>
      <c r="R8132"/>
      <c r="S8132"/>
    </row>
    <row r="8133" spans="13:19" ht="13.95" customHeight="1">
      <c r="M8133"/>
      <c r="N8133"/>
      <c r="O8133"/>
      <c r="P8133"/>
      <c r="Q8133"/>
      <c r="R8133"/>
      <c r="S8133"/>
    </row>
    <row r="8134" spans="13:19" ht="13.95" customHeight="1">
      <c r="M8134"/>
      <c r="N8134"/>
      <c r="O8134"/>
      <c r="P8134"/>
      <c r="Q8134"/>
      <c r="R8134"/>
      <c r="S8134"/>
    </row>
    <row r="8135" spans="13:19" ht="13.95" customHeight="1">
      <c r="M8135"/>
      <c r="N8135"/>
      <c r="O8135"/>
      <c r="P8135"/>
      <c r="Q8135"/>
      <c r="R8135"/>
      <c r="S8135"/>
    </row>
    <row r="8136" spans="13:19" ht="13.95" customHeight="1">
      <c r="M8136"/>
      <c r="N8136"/>
      <c r="O8136"/>
      <c r="P8136"/>
      <c r="Q8136"/>
      <c r="R8136"/>
      <c r="S8136"/>
    </row>
    <row r="8137" spans="13:19" ht="13.95" customHeight="1">
      <c r="M8137"/>
      <c r="N8137"/>
      <c r="O8137"/>
      <c r="P8137"/>
      <c r="Q8137"/>
      <c r="R8137"/>
      <c r="S8137"/>
    </row>
    <row r="8138" spans="13:19" ht="13.95" customHeight="1">
      <c r="M8138"/>
      <c r="N8138"/>
      <c r="O8138"/>
      <c r="P8138"/>
      <c r="Q8138"/>
      <c r="R8138"/>
      <c r="S8138"/>
    </row>
    <row r="8139" spans="13:19" ht="13.95" customHeight="1">
      <c r="M8139"/>
      <c r="N8139"/>
      <c r="O8139"/>
      <c r="P8139"/>
      <c r="Q8139"/>
      <c r="R8139"/>
      <c r="S8139"/>
    </row>
    <row r="8140" spans="13:19" ht="13.95" customHeight="1">
      <c r="M8140"/>
      <c r="N8140"/>
      <c r="O8140"/>
      <c r="P8140"/>
      <c r="Q8140"/>
      <c r="R8140"/>
      <c r="S8140"/>
    </row>
    <row r="8141" spans="13:19" ht="13.95" customHeight="1">
      <c r="M8141"/>
      <c r="N8141"/>
      <c r="O8141"/>
      <c r="P8141"/>
      <c r="Q8141"/>
      <c r="R8141"/>
      <c r="S8141"/>
    </row>
    <row r="8142" spans="13:19" ht="13.95" customHeight="1">
      <c r="M8142"/>
      <c r="N8142"/>
      <c r="O8142"/>
      <c r="P8142"/>
      <c r="Q8142"/>
      <c r="R8142"/>
      <c r="S8142"/>
    </row>
    <row r="8143" spans="13:19" ht="13.95" customHeight="1">
      <c r="M8143"/>
      <c r="N8143"/>
      <c r="O8143"/>
      <c r="P8143"/>
      <c r="Q8143"/>
      <c r="R8143"/>
      <c r="S8143"/>
    </row>
    <row r="8144" spans="13:19" ht="13.95" customHeight="1">
      <c r="M8144"/>
      <c r="N8144"/>
      <c r="O8144"/>
      <c r="P8144"/>
      <c r="Q8144"/>
      <c r="R8144"/>
      <c r="S8144"/>
    </row>
    <row r="8145" spans="13:19" ht="13.95" customHeight="1">
      <c r="M8145"/>
      <c r="N8145"/>
      <c r="O8145"/>
      <c r="P8145"/>
      <c r="Q8145"/>
      <c r="R8145"/>
      <c r="S8145"/>
    </row>
    <row r="8146" spans="13:19" ht="13.95" customHeight="1">
      <c r="M8146"/>
      <c r="N8146"/>
      <c r="O8146"/>
      <c r="P8146"/>
      <c r="Q8146"/>
      <c r="R8146"/>
      <c r="S8146"/>
    </row>
    <row r="8147" spans="13:19" ht="13.95" customHeight="1">
      <c r="M8147"/>
      <c r="N8147"/>
      <c r="O8147"/>
      <c r="P8147"/>
      <c r="Q8147"/>
      <c r="R8147"/>
      <c r="S8147"/>
    </row>
    <row r="8148" spans="13:19" ht="13.95" customHeight="1">
      <c r="M8148"/>
      <c r="N8148"/>
      <c r="O8148"/>
      <c r="P8148"/>
      <c r="Q8148"/>
      <c r="R8148"/>
      <c r="S8148"/>
    </row>
    <row r="8149" spans="13:19" ht="13.95" customHeight="1">
      <c r="M8149"/>
      <c r="N8149"/>
      <c r="O8149"/>
      <c r="P8149"/>
      <c r="Q8149"/>
      <c r="R8149"/>
      <c r="S8149"/>
    </row>
    <row r="8150" spans="13:19" ht="13.95" customHeight="1">
      <c r="M8150"/>
      <c r="N8150"/>
      <c r="O8150"/>
      <c r="P8150"/>
      <c r="Q8150"/>
      <c r="R8150"/>
      <c r="S8150"/>
    </row>
    <row r="8151" spans="13:19" ht="13.95" customHeight="1">
      <c r="M8151"/>
      <c r="N8151"/>
      <c r="O8151"/>
      <c r="P8151"/>
      <c r="Q8151"/>
      <c r="R8151"/>
      <c r="S8151"/>
    </row>
    <row r="8152" spans="13:19" ht="13.95" customHeight="1">
      <c r="M8152"/>
      <c r="N8152"/>
      <c r="O8152"/>
      <c r="P8152"/>
      <c r="Q8152"/>
      <c r="R8152"/>
      <c r="S8152"/>
    </row>
    <row r="8153" spans="13:19" ht="13.95" customHeight="1">
      <c r="M8153"/>
      <c r="N8153"/>
      <c r="O8153"/>
      <c r="P8153"/>
      <c r="Q8153"/>
      <c r="R8153"/>
      <c r="S8153"/>
    </row>
    <row r="8154" spans="13:19" ht="13.95" customHeight="1">
      <c r="M8154"/>
      <c r="N8154"/>
      <c r="O8154"/>
      <c r="P8154"/>
      <c r="Q8154"/>
      <c r="R8154"/>
      <c r="S8154"/>
    </row>
    <row r="8155" spans="13:19" ht="13.95" customHeight="1">
      <c r="M8155"/>
      <c r="N8155"/>
      <c r="O8155"/>
      <c r="P8155"/>
      <c r="Q8155"/>
      <c r="R8155"/>
      <c r="S8155"/>
    </row>
    <row r="8156" spans="13:19" ht="13.95" customHeight="1">
      <c r="M8156"/>
      <c r="N8156"/>
      <c r="O8156"/>
      <c r="P8156"/>
      <c r="Q8156"/>
      <c r="R8156"/>
      <c r="S8156"/>
    </row>
    <row r="8157" spans="13:19" ht="13.95" customHeight="1">
      <c r="M8157"/>
      <c r="N8157"/>
      <c r="O8157"/>
      <c r="P8157"/>
      <c r="Q8157"/>
      <c r="R8157"/>
      <c r="S8157"/>
    </row>
    <row r="8158" spans="13:19" ht="13.95" customHeight="1">
      <c r="M8158"/>
      <c r="N8158"/>
      <c r="O8158"/>
      <c r="P8158"/>
      <c r="Q8158"/>
      <c r="R8158"/>
      <c r="S8158"/>
    </row>
    <row r="8159" spans="13:19" ht="13.95" customHeight="1">
      <c r="M8159"/>
      <c r="N8159"/>
      <c r="O8159"/>
      <c r="P8159"/>
      <c r="Q8159"/>
      <c r="R8159"/>
      <c r="S8159"/>
    </row>
    <row r="8160" spans="13:19" ht="13.95" customHeight="1">
      <c r="M8160"/>
      <c r="N8160"/>
      <c r="O8160"/>
      <c r="P8160"/>
      <c r="Q8160"/>
      <c r="R8160"/>
      <c r="S8160"/>
    </row>
    <row r="8161" spans="13:19" ht="13.95" customHeight="1">
      <c r="M8161"/>
      <c r="N8161"/>
      <c r="O8161"/>
      <c r="P8161"/>
      <c r="Q8161"/>
      <c r="R8161"/>
      <c r="S8161"/>
    </row>
    <row r="8162" spans="13:19" ht="13.95" customHeight="1">
      <c r="M8162"/>
      <c r="N8162"/>
      <c r="O8162"/>
      <c r="P8162"/>
      <c r="Q8162"/>
      <c r="R8162"/>
      <c r="S8162"/>
    </row>
    <row r="8163" spans="13:19" ht="13.95" customHeight="1">
      <c r="M8163"/>
      <c r="N8163"/>
      <c r="O8163"/>
      <c r="P8163"/>
      <c r="Q8163"/>
      <c r="R8163"/>
      <c r="S8163"/>
    </row>
    <row r="8164" spans="13:19" ht="13.95" customHeight="1">
      <c r="M8164"/>
      <c r="N8164"/>
      <c r="O8164"/>
      <c r="P8164"/>
      <c r="Q8164"/>
      <c r="R8164"/>
      <c r="S8164"/>
    </row>
    <row r="8165" spans="13:19" ht="13.95" customHeight="1">
      <c r="M8165"/>
      <c r="N8165"/>
      <c r="O8165"/>
      <c r="P8165"/>
      <c r="Q8165"/>
      <c r="R8165"/>
      <c r="S8165"/>
    </row>
    <row r="8166" spans="13:19" ht="13.95" customHeight="1">
      <c r="M8166"/>
      <c r="N8166"/>
      <c r="O8166"/>
      <c r="P8166"/>
      <c r="Q8166"/>
      <c r="R8166"/>
      <c r="S8166"/>
    </row>
    <row r="8167" spans="13:19" ht="13.95" customHeight="1">
      <c r="M8167"/>
      <c r="N8167"/>
      <c r="O8167"/>
      <c r="P8167"/>
      <c r="Q8167"/>
      <c r="R8167"/>
      <c r="S8167"/>
    </row>
    <row r="8168" spans="13:19" ht="13.95" customHeight="1">
      <c r="M8168"/>
      <c r="N8168"/>
      <c r="O8168"/>
      <c r="P8168"/>
      <c r="Q8168"/>
      <c r="R8168"/>
      <c r="S8168"/>
    </row>
    <row r="8169" spans="13:19" ht="13.95" customHeight="1">
      <c r="M8169"/>
      <c r="N8169"/>
      <c r="O8169"/>
      <c r="P8169"/>
      <c r="Q8169"/>
      <c r="R8169"/>
      <c r="S8169"/>
    </row>
    <row r="8170" spans="13:19" ht="13.95" customHeight="1">
      <c r="M8170"/>
      <c r="N8170"/>
      <c r="O8170"/>
      <c r="P8170"/>
      <c r="Q8170"/>
      <c r="R8170"/>
      <c r="S8170"/>
    </row>
    <row r="8171" spans="13:19" ht="13.95" customHeight="1">
      <c r="M8171"/>
      <c r="N8171"/>
      <c r="O8171"/>
      <c r="P8171"/>
      <c r="Q8171"/>
      <c r="R8171"/>
      <c r="S8171"/>
    </row>
    <row r="8172" spans="13:19" ht="13.95" customHeight="1">
      <c r="M8172"/>
      <c r="N8172"/>
      <c r="O8172"/>
      <c r="P8172"/>
      <c r="Q8172"/>
      <c r="R8172"/>
      <c r="S8172"/>
    </row>
    <row r="8173" spans="13:19" ht="13.95" customHeight="1">
      <c r="M8173"/>
      <c r="N8173"/>
      <c r="O8173"/>
      <c r="P8173"/>
      <c r="Q8173"/>
      <c r="R8173"/>
      <c r="S8173"/>
    </row>
    <row r="8174" spans="13:19" ht="13.95" customHeight="1">
      <c r="M8174"/>
      <c r="N8174"/>
      <c r="O8174"/>
      <c r="P8174"/>
      <c r="Q8174"/>
      <c r="R8174"/>
      <c r="S8174"/>
    </row>
    <row r="8175" spans="13:19" ht="13.95" customHeight="1">
      <c r="M8175"/>
      <c r="N8175"/>
      <c r="O8175"/>
      <c r="P8175"/>
      <c r="Q8175"/>
      <c r="R8175"/>
      <c r="S8175"/>
    </row>
    <row r="8176" spans="13:19" ht="13.95" customHeight="1">
      <c r="M8176"/>
      <c r="N8176"/>
      <c r="O8176"/>
      <c r="P8176"/>
      <c r="Q8176"/>
      <c r="R8176"/>
      <c r="S8176"/>
    </row>
    <row r="8177" spans="13:19" ht="13.95" customHeight="1">
      <c r="M8177"/>
      <c r="N8177"/>
      <c r="O8177"/>
      <c r="P8177"/>
      <c r="Q8177"/>
      <c r="R8177"/>
      <c r="S8177"/>
    </row>
    <row r="8178" spans="13:19" ht="13.95" customHeight="1">
      <c r="M8178"/>
      <c r="N8178"/>
      <c r="O8178"/>
      <c r="P8178"/>
      <c r="Q8178"/>
      <c r="R8178"/>
      <c r="S8178"/>
    </row>
    <row r="8179" spans="13:19" ht="13.95" customHeight="1">
      <c r="M8179"/>
      <c r="N8179"/>
      <c r="O8179"/>
      <c r="P8179"/>
      <c r="Q8179"/>
      <c r="R8179"/>
      <c r="S8179"/>
    </row>
    <row r="8180" spans="13:19" ht="13.95" customHeight="1">
      <c r="M8180"/>
      <c r="N8180"/>
      <c r="O8180"/>
      <c r="P8180"/>
      <c r="Q8180"/>
      <c r="R8180"/>
      <c r="S8180"/>
    </row>
    <row r="8181" spans="13:19" ht="13.95" customHeight="1">
      <c r="M8181"/>
      <c r="N8181"/>
      <c r="O8181"/>
      <c r="P8181"/>
      <c r="Q8181"/>
      <c r="R8181"/>
      <c r="S8181"/>
    </row>
    <row r="8182" spans="13:19" ht="13.95" customHeight="1">
      <c r="M8182"/>
      <c r="N8182"/>
      <c r="O8182"/>
      <c r="P8182"/>
      <c r="Q8182"/>
      <c r="R8182"/>
      <c r="S8182"/>
    </row>
    <row r="8183" spans="13:19" ht="13.95" customHeight="1">
      <c r="M8183"/>
      <c r="N8183"/>
      <c r="O8183"/>
      <c r="P8183"/>
      <c r="Q8183"/>
      <c r="R8183"/>
      <c r="S8183"/>
    </row>
    <row r="8184" spans="13:19" ht="13.95" customHeight="1">
      <c r="M8184"/>
      <c r="N8184"/>
      <c r="O8184"/>
      <c r="P8184"/>
      <c r="Q8184"/>
      <c r="R8184"/>
      <c r="S8184"/>
    </row>
    <row r="8185" spans="13:19" ht="13.95" customHeight="1">
      <c r="M8185"/>
      <c r="N8185"/>
      <c r="O8185"/>
      <c r="P8185"/>
      <c r="Q8185"/>
      <c r="R8185"/>
      <c r="S8185"/>
    </row>
    <row r="8186" spans="13:19" ht="13.95" customHeight="1">
      <c r="M8186"/>
      <c r="N8186"/>
      <c r="O8186"/>
      <c r="P8186"/>
      <c r="Q8186"/>
      <c r="R8186"/>
      <c r="S8186"/>
    </row>
    <row r="8187" spans="13:19" ht="13.95" customHeight="1">
      <c r="M8187"/>
      <c r="N8187"/>
      <c r="O8187"/>
      <c r="P8187"/>
      <c r="Q8187"/>
      <c r="R8187"/>
      <c r="S8187"/>
    </row>
    <row r="8188" spans="13:19" ht="13.95" customHeight="1">
      <c r="M8188"/>
      <c r="N8188"/>
      <c r="O8188"/>
      <c r="P8188"/>
      <c r="Q8188"/>
      <c r="R8188"/>
      <c r="S8188"/>
    </row>
    <row r="8189" spans="13:19" ht="13.95" customHeight="1">
      <c r="M8189"/>
      <c r="N8189"/>
      <c r="O8189"/>
      <c r="P8189"/>
      <c r="Q8189"/>
      <c r="R8189"/>
      <c r="S8189"/>
    </row>
    <row r="8190" spans="13:19" ht="13.95" customHeight="1">
      <c r="M8190"/>
      <c r="N8190"/>
      <c r="O8190"/>
      <c r="P8190"/>
      <c r="Q8190"/>
      <c r="R8190"/>
      <c r="S8190"/>
    </row>
    <row r="8191" spans="13:19" ht="13.95" customHeight="1">
      <c r="M8191"/>
      <c r="N8191"/>
      <c r="O8191"/>
      <c r="P8191"/>
      <c r="Q8191"/>
      <c r="R8191"/>
      <c r="S8191"/>
    </row>
    <row r="8192" spans="13:19" ht="13.95" customHeight="1">
      <c r="M8192"/>
      <c r="N8192"/>
      <c r="O8192"/>
      <c r="P8192"/>
      <c r="Q8192"/>
      <c r="R8192"/>
      <c r="S8192"/>
    </row>
    <row r="8193" spans="13:19" ht="13.95" customHeight="1">
      <c r="M8193"/>
      <c r="N8193"/>
      <c r="O8193"/>
      <c r="P8193"/>
      <c r="Q8193"/>
      <c r="R8193"/>
      <c r="S8193"/>
    </row>
    <row r="8194" spans="13:19" ht="13.95" customHeight="1">
      <c r="M8194"/>
      <c r="N8194"/>
      <c r="O8194"/>
      <c r="P8194"/>
      <c r="Q8194"/>
      <c r="R8194"/>
      <c r="S8194"/>
    </row>
    <row r="8195" spans="13:19" ht="13.95" customHeight="1">
      <c r="M8195"/>
      <c r="N8195"/>
      <c r="O8195"/>
      <c r="P8195"/>
      <c r="Q8195"/>
      <c r="R8195"/>
      <c r="S8195"/>
    </row>
    <row r="8196" spans="13:19" ht="13.95" customHeight="1">
      <c r="M8196"/>
      <c r="N8196"/>
      <c r="O8196"/>
      <c r="P8196"/>
      <c r="Q8196"/>
      <c r="R8196"/>
      <c r="S8196"/>
    </row>
    <row r="8197" spans="13:19" ht="13.95" customHeight="1">
      <c r="M8197"/>
      <c r="N8197"/>
      <c r="O8197"/>
      <c r="P8197"/>
      <c r="Q8197"/>
      <c r="R8197"/>
      <c r="S8197"/>
    </row>
    <row r="8198" spans="13:19" ht="13.95" customHeight="1">
      <c r="M8198"/>
      <c r="N8198"/>
      <c r="O8198"/>
      <c r="P8198"/>
      <c r="Q8198"/>
      <c r="R8198"/>
      <c r="S8198"/>
    </row>
    <row r="8199" spans="13:19" ht="13.95" customHeight="1">
      <c r="M8199"/>
      <c r="N8199"/>
      <c r="O8199"/>
      <c r="P8199"/>
      <c r="Q8199"/>
      <c r="R8199"/>
      <c r="S8199"/>
    </row>
    <row r="8200" spans="13:19" ht="13.95" customHeight="1">
      <c r="M8200"/>
      <c r="N8200"/>
      <c r="O8200"/>
      <c r="P8200"/>
      <c r="Q8200"/>
      <c r="R8200"/>
      <c r="S8200"/>
    </row>
    <row r="8201" spans="13:19" ht="13.95" customHeight="1">
      <c r="M8201"/>
      <c r="N8201"/>
      <c r="O8201"/>
      <c r="P8201"/>
      <c r="Q8201"/>
      <c r="R8201"/>
      <c r="S8201"/>
    </row>
    <row r="8202" spans="13:19" ht="13.95" customHeight="1">
      <c r="M8202"/>
      <c r="N8202"/>
      <c r="O8202"/>
      <c r="P8202"/>
      <c r="Q8202"/>
      <c r="R8202"/>
      <c r="S8202"/>
    </row>
    <row r="8203" spans="13:19" ht="13.95" customHeight="1">
      <c r="M8203"/>
      <c r="N8203"/>
      <c r="O8203"/>
      <c r="P8203"/>
      <c r="Q8203"/>
      <c r="R8203"/>
      <c r="S8203"/>
    </row>
    <row r="8204" spans="13:19" ht="13.95" customHeight="1">
      <c r="M8204"/>
      <c r="N8204"/>
      <c r="O8204"/>
      <c r="P8204"/>
      <c r="Q8204"/>
      <c r="R8204"/>
      <c r="S8204"/>
    </row>
    <row r="8205" spans="13:19" ht="13.95" customHeight="1">
      <c r="M8205"/>
      <c r="N8205"/>
      <c r="O8205"/>
      <c r="P8205"/>
      <c r="Q8205"/>
      <c r="R8205"/>
      <c r="S8205"/>
    </row>
    <row r="8206" spans="13:19" ht="13.95" customHeight="1">
      <c r="M8206"/>
      <c r="N8206"/>
      <c r="O8206"/>
      <c r="P8206"/>
      <c r="Q8206"/>
      <c r="R8206"/>
      <c r="S8206"/>
    </row>
    <row r="8207" spans="13:19" ht="13.95" customHeight="1">
      <c r="M8207"/>
      <c r="N8207"/>
      <c r="O8207"/>
      <c r="P8207"/>
      <c r="Q8207"/>
      <c r="R8207"/>
      <c r="S8207"/>
    </row>
    <row r="8208" spans="13:19" ht="13.95" customHeight="1">
      <c r="M8208"/>
      <c r="N8208"/>
      <c r="O8208"/>
      <c r="P8208"/>
      <c r="Q8208"/>
      <c r="R8208"/>
      <c r="S8208"/>
    </row>
    <row r="8209" spans="13:19" ht="13.95" customHeight="1">
      <c r="M8209"/>
      <c r="N8209"/>
      <c r="O8209"/>
      <c r="P8209"/>
      <c r="Q8209"/>
      <c r="R8209"/>
      <c r="S8209"/>
    </row>
    <row r="8210" spans="13:19" ht="13.95" customHeight="1">
      <c r="M8210"/>
      <c r="N8210"/>
      <c r="O8210"/>
      <c r="P8210"/>
      <c r="Q8210"/>
      <c r="R8210"/>
      <c r="S8210"/>
    </row>
    <row r="8211" spans="13:19" ht="13.95" customHeight="1">
      <c r="M8211"/>
      <c r="N8211"/>
      <c r="O8211"/>
      <c r="P8211"/>
      <c r="Q8211"/>
      <c r="R8211"/>
      <c r="S8211"/>
    </row>
    <row r="8212" spans="13:19" ht="13.95" customHeight="1">
      <c r="M8212"/>
      <c r="N8212"/>
      <c r="O8212"/>
      <c r="P8212"/>
      <c r="Q8212"/>
      <c r="R8212"/>
      <c r="S8212"/>
    </row>
    <row r="8213" spans="13:19" ht="13.95" customHeight="1">
      <c r="M8213"/>
      <c r="N8213"/>
      <c r="O8213"/>
      <c r="P8213"/>
      <c r="Q8213"/>
      <c r="R8213"/>
      <c r="S8213"/>
    </row>
    <row r="8214" spans="13:19" ht="13.95" customHeight="1">
      <c r="M8214"/>
      <c r="N8214"/>
      <c r="O8214"/>
      <c r="P8214"/>
      <c r="Q8214"/>
      <c r="R8214"/>
      <c r="S8214"/>
    </row>
    <row r="8215" spans="13:19" ht="13.95" customHeight="1">
      <c r="M8215"/>
      <c r="N8215"/>
      <c r="O8215"/>
      <c r="P8215"/>
      <c r="Q8215"/>
      <c r="R8215"/>
      <c r="S8215"/>
    </row>
    <row r="8216" spans="13:19" ht="13.95" customHeight="1">
      <c r="M8216"/>
      <c r="N8216"/>
      <c r="O8216"/>
      <c r="P8216"/>
      <c r="Q8216"/>
      <c r="R8216"/>
      <c r="S8216"/>
    </row>
    <row r="8217" spans="13:19" ht="13.95" customHeight="1">
      <c r="M8217"/>
      <c r="N8217"/>
      <c r="O8217"/>
      <c r="P8217"/>
      <c r="Q8217"/>
      <c r="R8217"/>
      <c r="S8217"/>
    </row>
    <row r="8218" spans="13:19" ht="13.95" customHeight="1">
      <c r="M8218"/>
      <c r="N8218"/>
      <c r="O8218"/>
      <c r="P8218"/>
      <c r="Q8218"/>
      <c r="R8218"/>
      <c r="S8218"/>
    </row>
    <row r="8219" spans="13:19" ht="13.95" customHeight="1">
      <c r="M8219"/>
      <c r="N8219"/>
      <c r="O8219"/>
      <c r="P8219"/>
      <c r="Q8219"/>
      <c r="R8219"/>
      <c r="S8219"/>
    </row>
    <row r="8220" spans="13:19" ht="13.95" customHeight="1">
      <c r="M8220"/>
      <c r="N8220"/>
      <c r="O8220"/>
      <c r="P8220"/>
      <c r="Q8220"/>
      <c r="R8220"/>
      <c r="S8220"/>
    </row>
    <row r="8221" spans="13:19" ht="13.95" customHeight="1">
      <c r="M8221"/>
      <c r="N8221"/>
      <c r="O8221"/>
      <c r="P8221"/>
      <c r="Q8221"/>
      <c r="R8221"/>
      <c r="S8221"/>
    </row>
    <row r="8222" spans="13:19" ht="13.95" customHeight="1">
      <c r="M8222"/>
      <c r="N8222"/>
      <c r="O8222"/>
      <c r="P8222"/>
      <c r="Q8222"/>
      <c r="R8222"/>
      <c r="S8222"/>
    </row>
    <row r="8223" spans="13:19" ht="13.95" customHeight="1">
      <c r="M8223"/>
      <c r="N8223"/>
      <c r="O8223"/>
      <c r="P8223"/>
      <c r="Q8223"/>
      <c r="R8223"/>
      <c r="S8223"/>
    </row>
    <row r="8224" spans="13:19" ht="13.95" customHeight="1">
      <c r="M8224"/>
      <c r="N8224"/>
      <c r="O8224"/>
      <c r="P8224"/>
      <c r="Q8224"/>
      <c r="R8224"/>
      <c r="S8224"/>
    </row>
    <row r="8225" spans="13:19" ht="13.95" customHeight="1">
      <c r="M8225"/>
      <c r="N8225"/>
      <c r="O8225"/>
      <c r="P8225"/>
      <c r="Q8225"/>
      <c r="R8225"/>
      <c r="S8225"/>
    </row>
    <row r="8226" spans="13:19" ht="13.95" customHeight="1">
      <c r="M8226"/>
      <c r="N8226"/>
      <c r="O8226"/>
      <c r="P8226"/>
      <c r="Q8226"/>
      <c r="R8226"/>
      <c r="S8226"/>
    </row>
    <row r="8227" spans="13:19" ht="13.95" customHeight="1">
      <c r="M8227"/>
      <c r="N8227"/>
      <c r="O8227"/>
      <c r="P8227"/>
      <c r="Q8227"/>
      <c r="R8227"/>
      <c r="S8227"/>
    </row>
    <row r="8228" spans="13:19" ht="13.95" customHeight="1">
      <c r="M8228"/>
      <c r="N8228"/>
      <c r="O8228"/>
      <c r="P8228"/>
      <c r="Q8228"/>
      <c r="R8228"/>
      <c r="S8228"/>
    </row>
    <row r="8229" spans="13:19" ht="13.95" customHeight="1">
      <c r="M8229"/>
      <c r="N8229"/>
      <c r="O8229"/>
      <c r="P8229"/>
      <c r="Q8229"/>
      <c r="R8229"/>
      <c r="S8229"/>
    </row>
    <row r="8230" spans="13:19" ht="13.95" customHeight="1">
      <c r="M8230"/>
      <c r="N8230"/>
      <c r="O8230"/>
      <c r="P8230"/>
      <c r="Q8230"/>
      <c r="R8230"/>
      <c r="S8230"/>
    </row>
    <row r="8231" spans="13:19" ht="13.95" customHeight="1">
      <c r="M8231"/>
      <c r="N8231"/>
      <c r="O8231"/>
      <c r="P8231"/>
      <c r="Q8231"/>
      <c r="R8231"/>
      <c r="S8231"/>
    </row>
    <row r="8232" spans="13:19" ht="13.95" customHeight="1">
      <c r="M8232"/>
      <c r="N8232"/>
      <c r="O8232"/>
      <c r="P8232"/>
      <c r="Q8232"/>
      <c r="R8232"/>
      <c r="S8232"/>
    </row>
    <row r="8233" spans="13:19" ht="13.95" customHeight="1">
      <c r="M8233"/>
      <c r="N8233"/>
      <c r="O8233"/>
      <c r="P8233"/>
      <c r="Q8233"/>
      <c r="R8233"/>
      <c r="S8233"/>
    </row>
    <row r="8234" spans="13:19" ht="13.95" customHeight="1">
      <c r="M8234"/>
      <c r="N8234"/>
      <c r="O8234"/>
      <c r="P8234"/>
      <c r="Q8234"/>
      <c r="R8234"/>
      <c r="S8234"/>
    </row>
    <row r="8235" spans="13:19" ht="13.95" customHeight="1">
      <c r="M8235"/>
      <c r="N8235"/>
      <c r="O8235"/>
      <c r="P8235"/>
      <c r="Q8235"/>
      <c r="R8235"/>
      <c r="S8235"/>
    </row>
    <row r="8236" spans="13:19" ht="13.95" customHeight="1">
      <c r="M8236"/>
      <c r="N8236"/>
      <c r="O8236"/>
      <c r="P8236"/>
      <c r="Q8236"/>
      <c r="R8236"/>
      <c r="S8236"/>
    </row>
    <row r="8237" spans="13:19" ht="13.95" customHeight="1">
      <c r="M8237"/>
      <c r="N8237"/>
      <c r="O8237"/>
      <c r="P8237"/>
      <c r="Q8237"/>
      <c r="R8237"/>
      <c r="S8237"/>
    </row>
    <row r="8238" spans="13:19" ht="13.95" customHeight="1">
      <c r="M8238"/>
      <c r="N8238"/>
      <c r="O8238"/>
      <c r="P8238"/>
      <c r="Q8238"/>
      <c r="R8238"/>
      <c r="S8238"/>
    </row>
    <row r="8239" spans="13:19" ht="13.95" customHeight="1">
      <c r="M8239"/>
      <c r="N8239"/>
      <c r="O8239"/>
      <c r="P8239"/>
      <c r="Q8239"/>
      <c r="R8239"/>
      <c r="S8239"/>
    </row>
    <row r="8240" spans="13:19" ht="13.95" customHeight="1">
      <c r="M8240"/>
      <c r="N8240"/>
      <c r="O8240"/>
      <c r="P8240"/>
      <c r="Q8240"/>
      <c r="R8240"/>
      <c r="S8240"/>
    </row>
    <row r="8241" spans="13:19" ht="13.95" customHeight="1">
      <c r="M8241"/>
      <c r="N8241"/>
      <c r="O8241"/>
      <c r="P8241"/>
      <c r="Q8241"/>
      <c r="R8241"/>
      <c r="S8241"/>
    </row>
    <row r="8242" spans="13:19" ht="13.95" customHeight="1">
      <c r="M8242"/>
      <c r="N8242"/>
      <c r="O8242"/>
      <c r="P8242"/>
      <c r="Q8242"/>
      <c r="R8242"/>
      <c r="S8242"/>
    </row>
    <row r="8243" spans="13:19" ht="13.95" customHeight="1">
      <c r="M8243"/>
      <c r="N8243"/>
      <c r="O8243"/>
      <c r="P8243"/>
      <c r="Q8243"/>
      <c r="R8243"/>
      <c r="S8243"/>
    </row>
    <row r="8244" spans="13:19" ht="13.95" customHeight="1">
      <c r="M8244"/>
      <c r="N8244"/>
      <c r="O8244"/>
      <c r="P8244"/>
      <c r="Q8244"/>
      <c r="R8244"/>
      <c r="S8244"/>
    </row>
    <row r="8245" spans="13:19" ht="13.95" customHeight="1">
      <c r="M8245"/>
      <c r="N8245"/>
      <c r="O8245"/>
      <c r="P8245"/>
      <c r="Q8245"/>
      <c r="R8245"/>
      <c r="S8245"/>
    </row>
    <row r="8246" spans="13:19" ht="13.95" customHeight="1">
      <c r="M8246"/>
      <c r="N8246"/>
      <c r="O8246"/>
      <c r="P8246"/>
      <c r="Q8246"/>
      <c r="R8246"/>
      <c r="S8246"/>
    </row>
    <row r="8247" spans="13:19" ht="13.95" customHeight="1">
      <c r="M8247"/>
      <c r="N8247"/>
      <c r="O8247"/>
      <c r="P8247"/>
      <c r="Q8247"/>
      <c r="R8247"/>
      <c r="S8247"/>
    </row>
    <row r="8248" spans="13:19" ht="13.95" customHeight="1">
      <c r="M8248"/>
      <c r="N8248"/>
      <c r="O8248"/>
      <c r="P8248"/>
      <c r="Q8248"/>
      <c r="R8248"/>
      <c r="S8248"/>
    </row>
    <row r="8249" spans="13:19" ht="13.95" customHeight="1">
      <c r="M8249"/>
      <c r="N8249"/>
      <c r="O8249"/>
      <c r="P8249"/>
      <c r="Q8249"/>
      <c r="R8249"/>
      <c r="S8249"/>
    </row>
    <row r="8250" spans="13:19" ht="13.95" customHeight="1">
      <c r="M8250"/>
      <c r="N8250"/>
      <c r="O8250"/>
      <c r="P8250"/>
      <c r="Q8250"/>
      <c r="R8250"/>
      <c r="S8250"/>
    </row>
    <row r="8251" spans="13:19" ht="13.95" customHeight="1">
      <c r="M8251"/>
      <c r="N8251"/>
      <c r="O8251"/>
      <c r="P8251"/>
      <c r="Q8251"/>
      <c r="R8251"/>
      <c r="S8251"/>
    </row>
    <row r="8252" spans="13:19" ht="13.95" customHeight="1">
      <c r="M8252"/>
      <c r="N8252"/>
      <c r="O8252"/>
      <c r="P8252"/>
      <c r="Q8252"/>
      <c r="R8252"/>
      <c r="S8252"/>
    </row>
    <row r="8253" spans="13:19" ht="13.95" customHeight="1">
      <c r="M8253"/>
      <c r="N8253"/>
      <c r="O8253"/>
      <c r="P8253"/>
      <c r="Q8253"/>
      <c r="R8253"/>
      <c r="S8253"/>
    </row>
    <row r="8254" spans="13:19" ht="13.95" customHeight="1">
      <c r="M8254"/>
      <c r="N8254"/>
      <c r="O8254"/>
      <c r="P8254"/>
      <c r="Q8254"/>
      <c r="R8254"/>
      <c r="S8254"/>
    </row>
    <row r="8255" spans="13:19" ht="13.95" customHeight="1">
      <c r="M8255"/>
      <c r="N8255"/>
      <c r="O8255"/>
      <c r="P8255"/>
      <c r="Q8255"/>
      <c r="R8255"/>
      <c r="S8255"/>
    </row>
    <row r="8256" spans="13:19" ht="13.95" customHeight="1">
      <c r="M8256"/>
      <c r="N8256"/>
      <c r="O8256"/>
      <c r="P8256"/>
      <c r="Q8256"/>
      <c r="R8256"/>
      <c r="S8256"/>
    </row>
    <row r="8257" spans="13:19" ht="13.95" customHeight="1">
      <c r="M8257"/>
      <c r="N8257"/>
      <c r="O8257"/>
      <c r="P8257"/>
      <c r="Q8257"/>
      <c r="R8257"/>
      <c r="S8257"/>
    </row>
    <row r="8258" spans="13:19" ht="13.95" customHeight="1">
      <c r="M8258"/>
      <c r="N8258"/>
      <c r="O8258"/>
      <c r="P8258"/>
      <c r="Q8258"/>
      <c r="R8258"/>
      <c r="S8258"/>
    </row>
    <row r="8259" spans="13:19" ht="13.95" customHeight="1">
      <c r="M8259"/>
      <c r="N8259"/>
      <c r="O8259"/>
      <c r="P8259"/>
      <c r="Q8259"/>
      <c r="R8259"/>
      <c r="S8259"/>
    </row>
    <row r="8260" spans="13:19" ht="13.95" customHeight="1">
      <c r="M8260"/>
      <c r="N8260"/>
      <c r="O8260"/>
      <c r="P8260"/>
      <c r="Q8260"/>
      <c r="R8260"/>
      <c r="S8260"/>
    </row>
    <row r="8261" spans="13:19" ht="13.95" customHeight="1">
      <c r="M8261"/>
      <c r="N8261"/>
      <c r="O8261"/>
      <c r="P8261"/>
      <c r="Q8261"/>
      <c r="R8261"/>
      <c r="S8261"/>
    </row>
    <row r="8262" spans="13:19" ht="13.95" customHeight="1">
      <c r="M8262"/>
      <c r="N8262"/>
      <c r="O8262"/>
      <c r="P8262"/>
      <c r="Q8262"/>
      <c r="R8262"/>
      <c r="S8262"/>
    </row>
    <row r="8263" spans="13:19" ht="13.95" customHeight="1">
      <c r="M8263"/>
      <c r="N8263"/>
      <c r="O8263"/>
      <c r="P8263"/>
      <c r="Q8263"/>
      <c r="R8263"/>
      <c r="S8263"/>
    </row>
    <row r="8264" spans="13:19" ht="13.95" customHeight="1">
      <c r="M8264"/>
      <c r="N8264"/>
      <c r="O8264"/>
      <c r="P8264"/>
      <c r="Q8264"/>
      <c r="R8264"/>
      <c r="S8264"/>
    </row>
    <row r="8265" spans="13:19" ht="13.95" customHeight="1">
      <c r="M8265"/>
      <c r="N8265"/>
      <c r="O8265"/>
      <c r="P8265"/>
      <c r="Q8265"/>
      <c r="R8265"/>
      <c r="S8265"/>
    </row>
    <row r="8266" spans="13:19" ht="13.95" customHeight="1">
      <c r="M8266"/>
      <c r="N8266"/>
      <c r="O8266"/>
      <c r="P8266"/>
      <c r="Q8266"/>
      <c r="R8266"/>
      <c r="S8266"/>
    </row>
    <row r="8267" spans="13:19" ht="13.95" customHeight="1">
      <c r="M8267"/>
      <c r="N8267"/>
      <c r="O8267"/>
      <c r="P8267"/>
      <c r="Q8267"/>
      <c r="R8267"/>
      <c r="S8267"/>
    </row>
    <row r="8268" spans="13:19" ht="13.95" customHeight="1">
      <c r="M8268"/>
      <c r="N8268"/>
      <c r="O8268"/>
      <c r="P8268"/>
      <c r="Q8268"/>
      <c r="R8268"/>
      <c r="S8268"/>
    </row>
    <row r="8269" spans="13:19" ht="13.95" customHeight="1">
      <c r="M8269"/>
      <c r="N8269"/>
      <c r="O8269"/>
      <c r="P8269"/>
      <c r="Q8269"/>
      <c r="R8269"/>
      <c r="S8269"/>
    </row>
    <row r="8270" spans="13:19" ht="13.95" customHeight="1">
      <c r="M8270"/>
      <c r="N8270"/>
      <c r="O8270"/>
      <c r="P8270"/>
      <c r="Q8270"/>
      <c r="R8270"/>
      <c r="S8270"/>
    </row>
    <row r="8271" spans="13:19" ht="13.95" customHeight="1">
      <c r="M8271"/>
      <c r="N8271"/>
      <c r="O8271"/>
      <c r="P8271"/>
      <c r="Q8271"/>
      <c r="R8271"/>
      <c r="S8271"/>
    </row>
    <row r="8272" spans="13:19" ht="13.95" customHeight="1">
      <c r="M8272"/>
      <c r="N8272"/>
      <c r="O8272"/>
      <c r="P8272"/>
      <c r="Q8272"/>
      <c r="R8272"/>
      <c r="S8272"/>
    </row>
    <row r="8273" spans="13:19" ht="13.95" customHeight="1">
      <c r="M8273"/>
      <c r="N8273"/>
      <c r="O8273"/>
      <c r="P8273"/>
      <c r="Q8273"/>
      <c r="R8273"/>
      <c r="S8273"/>
    </row>
    <row r="8274" spans="13:19" ht="13.95" customHeight="1">
      <c r="M8274"/>
      <c r="N8274"/>
      <c r="O8274"/>
      <c r="P8274"/>
      <c r="Q8274"/>
      <c r="R8274"/>
      <c r="S8274"/>
    </row>
    <row r="8275" spans="13:19" ht="13.95" customHeight="1">
      <c r="M8275"/>
      <c r="N8275"/>
      <c r="O8275"/>
      <c r="P8275"/>
      <c r="Q8275"/>
      <c r="R8275"/>
      <c r="S8275"/>
    </row>
    <row r="8276" spans="13:19" ht="13.95" customHeight="1">
      <c r="M8276"/>
      <c r="N8276"/>
      <c r="O8276"/>
      <c r="P8276"/>
      <c r="Q8276"/>
      <c r="R8276"/>
      <c r="S8276"/>
    </row>
    <row r="8277" spans="13:19" ht="13.95" customHeight="1">
      <c r="M8277"/>
      <c r="N8277"/>
      <c r="O8277"/>
      <c r="P8277"/>
      <c r="Q8277"/>
      <c r="R8277"/>
      <c r="S8277"/>
    </row>
    <row r="8278" spans="13:19" ht="13.95" customHeight="1">
      <c r="M8278"/>
      <c r="N8278"/>
      <c r="O8278"/>
      <c r="P8278"/>
      <c r="Q8278"/>
      <c r="R8278"/>
      <c r="S8278"/>
    </row>
    <row r="8279" spans="13:19" ht="13.95" customHeight="1">
      <c r="M8279"/>
      <c r="N8279"/>
      <c r="O8279"/>
      <c r="P8279"/>
      <c r="Q8279"/>
      <c r="R8279"/>
      <c r="S8279"/>
    </row>
    <row r="8280" spans="13:19" ht="13.95" customHeight="1">
      <c r="M8280"/>
      <c r="N8280"/>
      <c r="O8280"/>
      <c r="P8280"/>
      <c r="Q8280"/>
      <c r="R8280"/>
      <c r="S8280"/>
    </row>
    <row r="8281" spans="13:19" ht="13.95" customHeight="1">
      <c r="M8281"/>
      <c r="N8281"/>
      <c r="O8281"/>
      <c r="P8281"/>
      <c r="Q8281"/>
      <c r="R8281"/>
      <c r="S8281"/>
    </row>
    <row r="8282" spans="13:19" ht="13.95" customHeight="1">
      <c r="M8282"/>
      <c r="N8282"/>
      <c r="O8282"/>
      <c r="P8282"/>
      <c r="Q8282"/>
      <c r="R8282"/>
      <c r="S8282"/>
    </row>
    <row r="8283" spans="13:19" ht="13.95" customHeight="1">
      <c r="M8283"/>
      <c r="N8283"/>
      <c r="O8283"/>
      <c r="P8283"/>
      <c r="Q8283"/>
      <c r="R8283"/>
      <c r="S8283"/>
    </row>
    <row r="8284" spans="13:19" ht="13.95" customHeight="1">
      <c r="M8284"/>
      <c r="N8284"/>
      <c r="O8284"/>
      <c r="P8284"/>
      <c r="Q8284"/>
      <c r="R8284"/>
      <c r="S8284"/>
    </row>
    <row r="8285" spans="13:19" ht="13.95" customHeight="1">
      <c r="M8285"/>
      <c r="N8285"/>
      <c r="O8285"/>
      <c r="P8285"/>
      <c r="Q8285"/>
      <c r="R8285"/>
      <c r="S8285"/>
    </row>
    <row r="8286" spans="13:19" ht="13.95" customHeight="1">
      <c r="M8286"/>
      <c r="N8286"/>
      <c r="O8286"/>
      <c r="P8286"/>
      <c r="Q8286"/>
      <c r="R8286"/>
      <c r="S8286"/>
    </row>
    <row r="8287" spans="13:19" ht="13.95" customHeight="1">
      <c r="M8287"/>
      <c r="N8287"/>
      <c r="O8287"/>
      <c r="P8287"/>
      <c r="Q8287"/>
      <c r="R8287"/>
      <c r="S8287"/>
    </row>
    <row r="8288" spans="13:19" ht="13.95" customHeight="1">
      <c r="M8288"/>
      <c r="N8288"/>
      <c r="O8288"/>
      <c r="P8288"/>
      <c r="Q8288"/>
      <c r="R8288"/>
      <c r="S8288"/>
    </row>
    <row r="8289" spans="13:19" ht="13.95" customHeight="1">
      <c r="M8289"/>
      <c r="N8289"/>
      <c r="O8289"/>
      <c r="P8289"/>
      <c r="Q8289"/>
      <c r="R8289"/>
      <c r="S8289"/>
    </row>
    <row r="8290" spans="13:19" ht="13.95" customHeight="1">
      <c r="M8290"/>
      <c r="N8290"/>
      <c r="O8290"/>
      <c r="P8290"/>
      <c r="Q8290"/>
      <c r="R8290"/>
      <c r="S8290"/>
    </row>
    <row r="8291" spans="13:19" ht="13.95" customHeight="1">
      <c r="M8291"/>
      <c r="N8291"/>
      <c r="O8291"/>
      <c r="P8291"/>
      <c r="Q8291"/>
      <c r="R8291"/>
      <c r="S8291"/>
    </row>
    <row r="8292" spans="13:19" ht="13.95" customHeight="1">
      <c r="M8292"/>
      <c r="N8292"/>
      <c r="O8292"/>
      <c r="P8292"/>
      <c r="Q8292"/>
      <c r="R8292"/>
      <c r="S8292"/>
    </row>
    <row r="8293" spans="13:19" ht="13.95" customHeight="1">
      <c r="M8293"/>
      <c r="N8293"/>
      <c r="O8293"/>
      <c r="P8293"/>
      <c r="Q8293"/>
      <c r="R8293"/>
      <c r="S8293"/>
    </row>
    <row r="8294" spans="13:19" ht="13.95" customHeight="1">
      <c r="M8294"/>
      <c r="N8294"/>
      <c r="O8294"/>
      <c r="P8294"/>
      <c r="Q8294"/>
      <c r="R8294"/>
      <c r="S8294"/>
    </row>
    <row r="8295" spans="13:19" ht="13.95" customHeight="1">
      <c r="M8295"/>
      <c r="N8295"/>
      <c r="O8295"/>
      <c r="P8295"/>
      <c r="Q8295"/>
      <c r="R8295"/>
      <c r="S8295"/>
    </row>
    <row r="8296" spans="13:19" ht="13.95" customHeight="1">
      <c r="M8296"/>
      <c r="N8296"/>
      <c r="O8296"/>
      <c r="P8296"/>
      <c r="Q8296"/>
      <c r="R8296"/>
      <c r="S8296"/>
    </row>
    <row r="8297" spans="13:19" ht="13.95" customHeight="1">
      <c r="M8297"/>
      <c r="N8297"/>
      <c r="O8297"/>
      <c r="P8297"/>
      <c r="Q8297"/>
      <c r="R8297"/>
      <c r="S8297"/>
    </row>
    <row r="8298" spans="13:19" ht="13.95" customHeight="1">
      <c r="M8298"/>
      <c r="N8298"/>
      <c r="O8298"/>
      <c r="P8298"/>
      <c r="Q8298"/>
      <c r="R8298"/>
      <c r="S8298"/>
    </row>
    <row r="8299" spans="13:19" ht="13.95" customHeight="1">
      <c r="M8299"/>
      <c r="N8299"/>
      <c r="O8299"/>
      <c r="P8299"/>
      <c r="Q8299"/>
      <c r="R8299"/>
      <c r="S8299"/>
    </row>
    <row r="8300" spans="13:19" ht="13.95" customHeight="1">
      <c r="M8300"/>
      <c r="N8300"/>
      <c r="O8300"/>
      <c r="P8300"/>
      <c r="Q8300"/>
      <c r="R8300"/>
      <c r="S8300"/>
    </row>
    <row r="8301" spans="13:19" ht="13.95" customHeight="1">
      <c r="M8301"/>
      <c r="N8301"/>
      <c r="O8301"/>
      <c r="P8301"/>
      <c r="Q8301"/>
      <c r="R8301"/>
      <c r="S8301"/>
    </row>
    <row r="8302" spans="13:19" ht="13.95" customHeight="1">
      <c r="M8302"/>
      <c r="N8302"/>
      <c r="O8302"/>
      <c r="P8302"/>
      <c r="Q8302"/>
      <c r="R8302"/>
      <c r="S8302"/>
    </row>
    <row r="8303" spans="13:19" ht="13.95" customHeight="1">
      <c r="M8303"/>
      <c r="N8303"/>
      <c r="O8303"/>
      <c r="P8303"/>
      <c r="Q8303"/>
      <c r="R8303"/>
      <c r="S8303"/>
    </row>
    <row r="8304" spans="13:19" ht="13.95" customHeight="1">
      <c r="M8304"/>
      <c r="N8304"/>
      <c r="O8304"/>
      <c r="P8304"/>
      <c r="Q8304"/>
      <c r="R8304"/>
      <c r="S8304"/>
    </row>
    <row r="8305" spans="13:19" ht="13.95" customHeight="1">
      <c r="M8305"/>
      <c r="N8305"/>
      <c r="O8305"/>
      <c r="P8305"/>
      <c r="Q8305"/>
      <c r="R8305"/>
      <c r="S8305"/>
    </row>
    <row r="8306" spans="13:19" ht="13.95" customHeight="1">
      <c r="M8306"/>
      <c r="N8306"/>
      <c r="O8306"/>
      <c r="P8306"/>
      <c r="Q8306"/>
      <c r="R8306"/>
      <c r="S8306"/>
    </row>
    <row r="8307" spans="13:19" ht="13.95" customHeight="1">
      <c r="M8307"/>
      <c r="N8307"/>
      <c r="O8307"/>
      <c r="P8307"/>
      <c r="Q8307"/>
      <c r="R8307"/>
      <c r="S8307"/>
    </row>
    <row r="8308" spans="13:19" ht="13.95" customHeight="1">
      <c r="M8308"/>
      <c r="N8308"/>
      <c r="O8308"/>
      <c r="P8308"/>
      <c r="Q8308"/>
      <c r="R8308"/>
      <c r="S8308"/>
    </row>
    <row r="8309" spans="13:19" ht="13.95" customHeight="1">
      <c r="M8309"/>
      <c r="N8309"/>
      <c r="O8309"/>
      <c r="P8309"/>
      <c r="Q8309"/>
      <c r="R8309"/>
      <c r="S8309"/>
    </row>
    <row r="8310" spans="13:19" ht="13.95" customHeight="1">
      <c r="M8310"/>
      <c r="N8310"/>
      <c r="O8310"/>
      <c r="P8310"/>
      <c r="Q8310"/>
      <c r="R8310"/>
      <c r="S8310"/>
    </row>
    <row r="8311" spans="13:19" ht="13.95" customHeight="1">
      <c r="M8311"/>
      <c r="N8311"/>
      <c r="O8311"/>
      <c r="P8311"/>
      <c r="Q8311"/>
      <c r="R8311"/>
      <c r="S8311"/>
    </row>
    <row r="8312" spans="13:19" ht="13.95" customHeight="1">
      <c r="M8312"/>
      <c r="N8312"/>
      <c r="O8312"/>
      <c r="P8312"/>
      <c r="Q8312"/>
      <c r="R8312"/>
      <c r="S8312"/>
    </row>
    <row r="8313" spans="13:19" ht="13.95" customHeight="1">
      <c r="M8313"/>
      <c r="N8313"/>
      <c r="O8313"/>
      <c r="P8313"/>
      <c r="Q8313"/>
      <c r="R8313"/>
      <c r="S8313"/>
    </row>
    <row r="8314" spans="13:19" ht="13.95" customHeight="1">
      <c r="M8314"/>
      <c r="N8314"/>
      <c r="O8314"/>
      <c r="P8314"/>
      <c r="Q8314"/>
      <c r="R8314"/>
      <c r="S8314"/>
    </row>
    <row r="8315" spans="13:19" ht="13.95" customHeight="1">
      <c r="M8315"/>
      <c r="N8315"/>
      <c r="O8315"/>
      <c r="P8315"/>
      <c r="Q8315"/>
      <c r="R8315"/>
      <c r="S8315"/>
    </row>
    <row r="8316" spans="13:19" ht="13.95" customHeight="1">
      <c r="M8316"/>
      <c r="N8316"/>
      <c r="O8316"/>
      <c r="P8316"/>
      <c r="Q8316"/>
      <c r="R8316"/>
      <c r="S8316"/>
    </row>
    <row r="8317" spans="13:19" ht="13.95" customHeight="1">
      <c r="M8317"/>
      <c r="N8317"/>
      <c r="O8317"/>
      <c r="P8317"/>
      <c r="Q8317"/>
      <c r="R8317"/>
      <c r="S8317"/>
    </row>
    <row r="8318" spans="13:19" ht="13.95" customHeight="1">
      <c r="M8318"/>
      <c r="N8318"/>
      <c r="O8318"/>
      <c r="P8318"/>
      <c r="Q8318"/>
      <c r="R8318"/>
      <c r="S8318"/>
    </row>
    <row r="8319" spans="13:19" ht="13.95" customHeight="1">
      <c r="M8319"/>
      <c r="N8319"/>
      <c r="O8319"/>
      <c r="P8319"/>
      <c r="Q8319"/>
      <c r="R8319"/>
      <c r="S8319"/>
    </row>
    <row r="8320" spans="13:19" ht="13.95" customHeight="1">
      <c r="M8320"/>
      <c r="N8320"/>
      <c r="O8320"/>
      <c r="P8320"/>
      <c r="Q8320"/>
      <c r="R8320"/>
      <c r="S8320"/>
    </row>
    <row r="8321" spans="13:19" ht="13.95" customHeight="1">
      <c r="M8321"/>
      <c r="N8321"/>
      <c r="O8321"/>
      <c r="P8321"/>
      <c r="Q8321"/>
      <c r="R8321"/>
      <c r="S8321"/>
    </row>
    <row r="8322" spans="13:19" ht="13.95" customHeight="1">
      <c r="M8322"/>
      <c r="N8322"/>
      <c r="O8322"/>
      <c r="P8322"/>
      <c r="Q8322"/>
      <c r="R8322"/>
      <c r="S8322"/>
    </row>
    <row r="8323" spans="13:19" ht="13.95" customHeight="1">
      <c r="M8323"/>
      <c r="N8323"/>
      <c r="O8323"/>
      <c r="P8323"/>
      <c r="Q8323"/>
      <c r="R8323"/>
      <c r="S8323"/>
    </row>
    <row r="8324" spans="13:19" ht="13.95" customHeight="1">
      <c r="M8324"/>
      <c r="N8324"/>
      <c r="O8324"/>
      <c r="P8324"/>
      <c r="Q8324"/>
      <c r="R8324"/>
      <c r="S8324"/>
    </row>
    <row r="8325" spans="13:19" ht="13.95" customHeight="1">
      <c r="M8325"/>
      <c r="N8325"/>
      <c r="O8325"/>
      <c r="P8325"/>
      <c r="Q8325"/>
      <c r="R8325"/>
      <c r="S8325"/>
    </row>
    <row r="8326" spans="13:19" ht="13.95" customHeight="1">
      <c r="M8326"/>
      <c r="N8326"/>
      <c r="O8326"/>
      <c r="P8326"/>
      <c r="Q8326"/>
      <c r="R8326"/>
      <c r="S8326"/>
    </row>
    <row r="8327" spans="13:19" ht="13.95" customHeight="1">
      <c r="M8327"/>
      <c r="N8327"/>
      <c r="O8327"/>
      <c r="P8327"/>
      <c r="Q8327"/>
      <c r="R8327"/>
      <c r="S8327"/>
    </row>
    <row r="8328" spans="13:19" ht="13.95" customHeight="1">
      <c r="M8328"/>
      <c r="N8328"/>
      <c r="O8328"/>
      <c r="P8328"/>
      <c r="Q8328"/>
      <c r="R8328"/>
      <c r="S8328"/>
    </row>
    <row r="8329" spans="13:19" ht="13.95" customHeight="1">
      <c r="M8329"/>
      <c r="N8329"/>
      <c r="O8329"/>
      <c r="P8329"/>
      <c r="Q8329"/>
      <c r="R8329"/>
      <c r="S8329"/>
    </row>
    <row r="8330" spans="13:19" ht="13.95" customHeight="1">
      <c r="M8330"/>
      <c r="N8330"/>
      <c r="O8330"/>
      <c r="P8330"/>
      <c r="Q8330"/>
      <c r="R8330"/>
      <c r="S8330"/>
    </row>
    <row r="8331" spans="13:19" ht="13.95" customHeight="1">
      <c r="M8331"/>
      <c r="N8331"/>
      <c r="O8331"/>
      <c r="P8331"/>
      <c r="Q8331"/>
      <c r="R8331"/>
      <c r="S8331"/>
    </row>
    <row r="8332" spans="13:19" ht="13.95" customHeight="1">
      <c r="M8332"/>
      <c r="N8332"/>
      <c r="O8332"/>
      <c r="P8332"/>
      <c r="Q8332"/>
      <c r="R8332"/>
      <c r="S8332"/>
    </row>
    <row r="8333" spans="13:19" ht="13.95" customHeight="1">
      <c r="M8333"/>
      <c r="N8333"/>
      <c r="O8333"/>
      <c r="P8333"/>
      <c r="Q8333"/>
      <c r="R8333"/>
      <c r="S8333"/>
    </row>
    <row r="8334" spans="13:19" ht="13.95" customHeight="1">
      <c r="M8334"/>
      <c r="N8334"/>
      <c r="O8334"/>
      <c r="P8334"/>
      <c r="Q8334"/>
      <c r="R8334"/>
      <c r="S8334"/>
    </row>
    <row r="8335" spans="13:19" ht="13.95" customHeight="1">
      <c r="M8335"/>
      <c r="N8335"/>
      <c r="O8335"/>
      <c r="P8335"/>
      <c r="Q8335"/>
      <c r="R8335"/>
      <c r="S8335"/>
    </row>
    <row r="8336" spans="13:19" ht="13.95" customHeight="1">
      <c r="M8336"/>
      <c r="N8336"/>
      <c r="O8336"/>
      <c r="P8336"/>
      <c r="Q8336"/>
      <c r="R8336"/>
      <c r="S8336"/>
    </row>
    <row r="8337" spans="13:19" ht="13.95" customHeight="1">
      <c r="M8337"/>
      <c r="N8337"/>
      <c r="O8337"/>
      <c r="P8337"/>
      <c r="Q8337"/>
      <c r="R8337"/>
      <c r="S8337"/>
    </row>
    <row r="8338" spans="13:19" ht="13.95" customHeight="1">
      <c r="M8338"/>
      <c r="N8338"/>
      <c r="O8338"/>
      <c r="P8338"/>
      <c r="Q8338"/>
      <c r="R8338"/>
      <c r="S8338"/>
    </row>
    <row r="8339" spans="13:19" ht="13.95" customHeight="1">
      <c r="M8339"/>
      <c r="N8339"/>
      <c r="O8339"/>
      <c r="P8339"/>
      <c r="Q8339"/>
      <c r="R8339"/>
      <c r="S8339"/>
    </row>
    <row r="8340" spans="13:19" ht="13.95" customHeight="1">
      <c r="M8340"/>
      <c r="N8340"/>
      <c r="O8340"/>
      <c r="P8340"/>
      <c r="Q8340"/>
      <c r="R8340"/>
      <c r="S8340"/>
    </row>
    <row r="8341" spans="13:19" ht="13.95" customHeight="1">
      <c r="M8341"/>
      <c r="N8341"/>
      <c r="O8341"/>
      <c r="P8341"/>
      <c r="Q8341"/>
      <c r="R8341"/>
      <c r="S8341"/>
    </row>
    <row r="8342" spans="13:19" ht="13.95" customHeight="1">
      <c r="M8342"/>
      <c r="N8342"/>
      <c r="O8342"/>
      <c r="P8342"/>
      <c r="Q8342"/>
      <c r="R8342"/>
      <c r="S8342"/>
    </row>
    <row r="8343" spans="13:19" ht="13.95" customHeight="1">
      <c r="M8343"/>
      <c r="N8343"/>
      <c r="O8343"/>
      <c r="P8343"/>
      <c r="Q8343"/>
      <c r="R8343"/>
      <c r="S8343"/>
    </row>
    <row r="8344" spans="13:19" ht="13.95" customHeight="1">
      <c r="M8344"/>
      <c r="N8344"/>
      <c r="O8344"/>
      <c r="P8344"/>
      <c r="Q8344"/>
      <c r="R8344"/>
      <c r="S8344"/>
    </row>
    <row r="8345" spans="13:19" ht="13.95" customHeight="1">
      <c r="M8345"/>
      <c r="N8345"/>
      <c r="O8345"/>
      <c r="P8345"/>
      <c r="Q8345"/>
      <c r="R8345"/>
      <c r="S8345"/>
    </row>
    <row r="8346" spans="13:19" ht="13.95" customHeight="1">
      <c r="M8346"/>
      <c r="N8346"/>
      <c r="O8346"/>
      <c r="P8346"/>
      <c r="Q8346"/>
      <c r="R8346"/>
      <c r="S8346"/>
    </row>
    <row r="8347" spans="13:19" ht="13.95" customHeight="1">
      <c r="M8347"/>
      <c r="N8347"/>
      <c r="O8347"/>
      <c r="P8347"/>
      <c r="Q8347"/>
      <c r="R8347"/>
      <c r="S8347"/>
    </row>
    <row r="8348" spans="13:19" ht="13.95" customHeight="1">
      <c r="M8348"/>
      <c r="N8348"/>
      <c r="O8348"/>
      <c r="P8348"/>
      <c r="Q8348"/>
      <c r="R8348"/>
      <c r="S8348"/>
    </row>
    <row r="8349" spans="13:19" ht="13.95" customHeight="1">
      <c r="M8349"/>
      <c r="N8349"/>
      <c r="O8349"/>
      <c r="P8349"/>
      <c r="Q8349"/>
      <c r="R8349"/>
      <c r="S8349"/>
    </row>
    <row r="8350" spans="13:19" ht="13.95" customHeight="1">
      <c r="M8350"/>
      <c r="N8350"/>
      <c r="O8350"/>
      <c r="P8350"/>
      <c r="Q8350"/>
      <c r="R8350"/>
      <c r="S8350"/>
    </row>
    <row r="8351" spans="13:19" ht="13.95" customHeight="1">
      <c r="M8351"/>
      <c r="N8351"/>
      <c r="O8351"/>
      <c r="P8351"/>
      <c r="Q8351"/>
      <c r="R8351"/>
      <c r="S8351"/>
    </row>
    <row r="8352" spans="13:19" ht="13.95" customHeight="1">
      <c r="M8352"/>
      <c r="N8352"/>
      <c r="O8352"/>
      <c r="P8352"/>
      <c r="Q8352"/>
      <c r="R8352"/>
      <c r="S8352"/>
    </row>
    <row r="8353" spans="13:19" ht="13.95" customHeight="1">
      <c r="M8353"/>
      <c r="N8353"/>
      <c r="O8353"/>
      <c r="P8353"/>
      <c r="Q8353"/>
      <c r="R8353"/>
      <c r="S8353"/>
    </row>
    <row r="8354" spans="13:19" ht="13.95" customHeight="1">
      <c r="M8354"/>
      <c r="N8354"/>
      <c r="O8354"/>
      <c r="P8354"/>
      <c r="Q8354"/>
      <c r="R8354"/>
      <c r="S8354"/>
    </row>
    <row r="8355" spans="13:19" ht="13.95" customHeight="1">
      <c r="M8355"/>
      <c r="N8355"/>
      <c r="O8355"/>
      <c r="P8355"/>
      <c r="Q8355"/>
      <c r="R8355"/>
      <c r="S8355"/>
    </row>
    <row r="8356" spans="13:19" ht="13.95" customHeight="1">
      <c r="M8356"/>
      <c r="N8356"/>
      <c r="O8356"/>
      <c r="P8356"/>
      <c r="Q8356"/>
      <c r="R8356"/>
      <c r="S8356"/>
    </row>
    <row r="8357" spans="13:19" ht="13.95" customHeight="1">
      <c r="M8357"/>
      <c r="N8357"/>
      <c r="O8357"/>
      <c r="P8357"/>
      <c r="Q8357"/>
      <c r="R8357"/>
      <c r="S8357"/>
    </row>
    <row r="8358" spans="13:19" ht="13.95" customHeight="1">
      <c r="M8358"/>
      <c r="N8358"/>
      <c r="O8358"/>
      <c r="P8358"/>
      <c r="Q8358"/>
      <c r="R8358"/>
      <c r="S8358"/>
    </row>
    <row r="8359" spans="13:19" ht="13.95" customHeight="1">
      <c r="M8359"/>
      <c r="N8359"/>
      <c r="O8359"/>
      <c r="P8359"/>
      <c r="Q8359"/>
      <c r="R8359"/>
      <c r="S8359"/>
    </row>
    <row r="8360" spans="13:19" ht="13.95" customHeight="1">
      <c r="M8360"/>
      <c r="N8360"/>
      <c r="O8360"/>
      <c r="P8360"/>
      <c r="Q8360"/>
      <c r="R8360"/>
      <c r="S8360"/>
    </row>
    <row r="8361" spans="13:19" ht="13.95" customHeight="1">
      <c r="M8361"/>
      <c r="N8361"/>
      <c r="O8361"/>
      <c r="P8361"/>
      <c r="Q8361"/>
      <c r="R8361"/>
      <c r="S8361"/>
    </row>
    <row r="8362" spans="13:19" ht="13.95" customHeight="1">
      <c r="M8362"/>
      <c r="N8362"/>
      <c r="O8362"/>
      <c r="P8362"/>
      <c r="Q8362"/>
      <c r="R8362"/>
      <c r="S8362"/>
    </row>
    <row r="8363" spans="13:19" ht="13.95" customHeight="1">
      <c r="M8363"/>
      <c r="N8363"/>
      <c r="O8363"/>
      <c r="P8363"/>
      <c r="Q8363"/>
      <c r="R8363"/>
      <c r="S8363"/>
    </row>
    <row r="8364" spans="13:19" ht="13.95" customHeight="1">
      <c r="M8364"/>
      <c r="N8364"/>
      <c r="O8364"/>
      <c r="P8364"/>
      <c r="Q8364"/>
      <c r="R8364"/>
      <c r="S8364"/>
    </row>
    <row r="8365" spans="13:19" ht="13.95" customHeight="1">
      <c r="M8365"/>
      <c r="N8365"/>
      <c r="O8365"/>
      <c r="P8365"/>
      <c r="Q8365"/>
      <c r="R8365"/>
      <c r="S8365"/>
    </row>
    <row r="8366" spans="13:19" ht="13.95" customHeight="1">
      <c r="M8366"/>
      <c r="N8366"/>
      <c r="O8366"/>
      <c r="P8366"/>
      <c r="Q8366"/>
      <c r="R8366"/>
      <c r="S8366"/>
    </row>
    <row r="8367" spans="13:19" ht="13.95" customHeight="1">
      <c r="M8367"/>
      <c r="N8367"/>
      <c r="O8367"/>
      <c r="P8367"/>
      <c r="Q8367"/>
      <c r="R8367"/>
      <c r="S8367"/>
    </row>
    <row r="8368" spans="13:19" ht="13.95" customHeight="1">
      <c r="M8368"/>
      <c r="N8368"/>
      <c r="O8368"/>
      <c r="P8368"/>
      <c r="Q8368"/>
      <c r="R8368"/>
      <c r="S8368"/>
    </row>
    <row r="8369" spans="13:19" ht="13.95" customHeight="1">
      <c r="M8369"/>
      <c r="N8369"/>
      <c r="O8369"/>
      <c r="P8369"/>
      <c r="Q8369"/>
      <c r="R8369"/>
      <c r="S8369"/>
    </row>
    <row r="8370" spans="13:19" ht="13.95" customHeight="1">
      <c r="M8370"/>
      <c r="N8370"/>
      <c r="O8370"/>
      <c r="P8370"/>
      <c r="Q8370"/>
      <c r="R8370"/>
      <c r="S8370"/>
    </row>
    <row r="8371" spans="13:19" ht="13.95" customHeight="1">
      <c r="M8371"/>
      <c r="N8371"/>
      <c r="O8371"/>
      <c r="P8371"/>
      <c r="Q8371"/>
      <c r="R8371"/>
      <c r="S8371"/>
    </row>
    <row r="8372" spans="13:19" ht="13.95" customHeight="1">
      <c r="M8372"/>
      <c r="N8372"/>
      <c r="O8372"/>
      <c r="P8372"/>
      <c r="Q8372"/>
      <c r="R8372"/>
      <c r="S8372"/>
    </row>
    <row r="8373" spans="13:19" ht="13.95" customHeight="1">
      <c r="M8373"/>
      <c r="N8373"/>
      <c r="O8373"/>
      <c r="P8373"/>
      <c r="Q8373"/>
      <c r="R8373"/>
      <c r="S8373"/>
    </row>
    <row r="8374" spans="13:19" ht="13.95" customHeight="1">
      <c r="M8374"/>
      <c r="N8374"/>
      <c r="O8374"/>
      <c r="P8374"/>
      <c r="Q8374"/>
      <c r="R8374"/>
      <c r="S8374"/>
    </row>
    <row r="8375" spans="13:19" ht="13.95" customHeight="1">
      <c r="M8375"/>
      <c r="N8375"/>
      <c r="O8375"/>
      <c r="P8375"/>
      <c r="Q8375"/>
      <c r="R8375"/>
      <c r="S8375"/>
    </row>
    <row r="8376" spans="13:19" ht="13.95" customHeight="1">
      <c r="M8376"/>
      <c r="N8376"/>
      <c r="O8376"/>
      <c r="P8376"/>
      <c r="Q8376"/>
      <c r="R8376"/>
      <c r="S8376"/>
    </row>
    <row r="8377" spans="13:19" ht="13.95" customHeight="1">
      <c r="M8377"/>
      <c r="N8377"/>
      <c r="O8377"/>
      <c r="P8377"/>
      <c r="Q8377"/>
      <c r="R8377"/>
      <c r="S8377"/>
    </row>
    <row r="8378" spans="13:19" ht="13.95" customHeight="1">
      <c r="M8378"/>
      <c r="N8378"/>
      <c r="O8378"/>
      <c r="P8378"/>
      <c r="Q8378"/>
      <c r="R8378"/>
      <c r="S8378"/>
    </row>
    <row r="8379" spans="13:19" ht="13.95" customHeight="1">
      <c r="M8379"/>
      <c r="N8379"/>
      <c r="O8379"/>
      <c r="P8379"/>
      <c r="Q8379"/>
      <c r="R8379"/>
      <c r="S8379"/>
    </row>
    <row r="8380" spans="13:19" ht="13.95" customHeight="1">
      <c r="M8380"/>
      <c r="N8380"/>
      <c r="O8380"/>
      <c r="P8380"/>
      <c r="Q8380"/>
      <c r="R8380"/>
      <c r="S8380"/>
    </row>
    <row r="8381" spans="13:19" ht="13.95" customHeight="1">
      <c r="M8381"/>
      <c r="N8381"/>
      <c r="O8381"/>
      <c r="P8381"/>
      <c r="Q8381"/>
      <c r="R8381"/>
      <c r="S8381"/>
    </row>
    <row r="8382" spans="13:19" ht="13.95" customHeight="1">
      <c r="M8382"/>
      <c r="N8382"/>
      <c r="O8382"/>
      <c r="P8382"/>
      <c r="Q8382"/>
      <c r="R8382"/>
      <c r="S8382"/>
    </row>
    <row r="8383" spans="13:19" ht="13.95" customHeight="1">
      <c r="M8383"/>
      <c r="N8383"/>
      <c r="O8383"/>
      <c r="P8383"/>
      <c r="Q8383"/>
      <c r="R8383"/>
      <c r="S8383"/>
    </row>
    <row r="8384" spans="13:19" ht="13.95" customHeight="1">
      <c r="M8384"/>
      <c r="N8384"/>
      <c r="O8384"/>
      <c r="P8384"/>
      <c r="Q8384"/>
      <c r="R8384"/>
      <c r="S8384"/>
    </row>
    <row r="8385" spans="13:19" ht="13.95" customHeight="1">
      <c r="M8385"/>
      <c r="N8385"/>
      <c r="O8385"/>
      <c r="P8385"/>
      <c r="Q8385"/>
      <c r="R8385"/>
      <c r="S8385"/>
    </row>
    <row r="8386" spans="13:19" ht="13.95" customHeight="1">
      <c r="M8386"/>
      <c r="N8386"/>
      <c r="O8386"/>
      <c r="P8386"/>
      <c r="Q8386"/>
      <c r="R8386"/>
      <c r="S8386"/>
    </row>
    <row r="8387" spans="13:19" ht="13.95" customHeight="1">
      <c r="M8387"/>
      <c r="N8387"/>
      <c r="O8387"/>
      <c r="P8387"/>
      <c r="Q8387"/>
      <c r="R8387"/>
      <c r="S8387"/>
    </row>
    <row r="8388" spans="13:19" ht="13.95" customHeight="1">
      <c r="M8388"/>
      <c r="N8388"/>
      <c r="O8388"/>
      <c r="P8388"/>
      <c r="Q8388"/>
      <c r="R8388"/>
      <c r="S8388"/>
    </row>
    <row r="8389" spans="13:19" ht="13.95" customHeight="1">
      <c r="M8389"/>
      <c r="N8389"/>
      <c r="O8389"/>
      <c r="P8389"/>
      <c r="Q8389"/>
      <c r="R8389"/>
      <c r="S8389"/>
    </row>
    <row r="8390" spans="13:19" ht="13.95" customHeight="1">
      <c r="M8390"/>
      <c r="N8390"/>
      <c r="O8390"/>
      <c r="P8390"/>
      <c r="Q8390"/>
      <c r="R8390"/>
      <c r="S8390"/>
    </row>
    <row r="8391" spans="13:19" ht="13.95" customHeight="1">
      <c r="M8391"/>
      <c r="N8391"/>
      <c r="O8391"/>
      <c r="P8391"/>
      <c r="Q8391"/>
      <c r="R8391"/>
      <c r="S8391"/>
    </row>
    <row r="8392" spans="13:19" ht="13.95" customHeight="1">
      <c r="M8392"/>
      <c r="N8392"/>
      <c r="O8392"/>
      <c r="P8392"/>
      <c r="Q8392"/>
      <c r="R8392"/>
      <c r="S8392"/>
    </row>
    <row r="8393" spans="13:19" ht="13.95" customHeight="1">
      <c r="M8393"/>
      <c r="N8393"/>
      <c r="O8393"/>
      <c r="P8393"/>
      <c r="Q8393"/>
      <c r="R8393"/>
      <c r="S8393"/>
    </row>
    <row r="8394" spans="13:19" ht="13.95" customHeight="1">
      <c r="M8394"/>
      <c r="N8394"/>
      <c r="O8394"/>
      <c r="P8394"/>
      <c r="Q8394"/>
      <c r="R8394"/>
      <c r="S8394"/>
    </row>
    <row r="8395" spans="13:19" ht="13.95" customHeight="1">
      <c r="M8395"/>
      <c r="N8395"/>
      <c r="O8395"/>
      <c r="P8395"/>
      <c r="Q8395"/>
      <c r="R8395"/>
      <c r="S8395"/>
    </row>
    <row r="8396" spans="13:19" ht="13.95" customHeight="1">
      <c r="M8396"/>
      <c r="N8396"/>
      <c r="O8396"/>
      <c r="P8396"/>
      <c r="Q8396"/>
      <c r="R8396"/>
      <c r="S8396"/>
    </row>
    <row r="8397" spans="13:19" ht="13.95" customHeight="1">
      <c r="M8397"/>
      <c r="N8397"/>
      <c r="O8397"/>
      <c r="P8397"/>
      <c r="Q8397"/>
      <c r="R8397"/>
      <c r="S8397"/>
    </row>
    <row r="8398" spans="13:19" ht="13.95" customHeight="1">
      <c r="M8398"/>
      <c r="N8398"/>
      <c r="O8398"/>
      <c r="P8398"/>
      <c r="Q8398"/>
      <c r="R8398"/>
      <c r="S8398"/>
    </row>
    <row r="8399" spans="13:19" ht="13.95" customHeight="1">
      <c r="M8399"/>
      <c r="N8399"/>
      <c r="O8399"/>
      <c r="P8399"/>
      <c r="Q8399"/>
      <c r="R8399"/>
      <c r="S8399"/>
    </row>
    <row r="8400" spans="13:19" ht="13.95" customHeight="1">
      <c r="M8400"/>
      <c r="N8400"/>
      <c r="O8400"/>
      <c r="P8400"/>
      <c r="Q8400"/>
      <c r="R8400"/>
      <c r="S8400"/>
    </row>
    <row r="8401" spans="13:19" ht="13.95" customHeight="1">
      <c r="M8401"/>
      <c r="N8401"/>
      <c r="O8401"/>
      <c r="P8401"/>
      <c r="Q8401"/>
      <c r="R8401"/>
      <c r="S8401"/>
    </row>
    <row r="8402" spans="13:19" ht="13.95" customHeight="1">
      <c r="M8402"/>
      <c r="N8402"/>
      <c r="O8402"/>
      <c r="P8402"/>
      <c r="Q8402"/>
      <c r="R8402"/>
      <c r="S8402"/>
    </row>
    <row r="8403" spans="13:19" ht="13.95" customHeight="1">
      <c r="M8403"/>
      <c r="N8403"/>
      <c r="O8403"/>
      <c r="P8403"/>
      <c r="Q8403"/>
      <c r="R8403"/>
      <c r="S8403"/>
    </row>
    <row r="8404" spans="13:19" ht="13.95" customHeight="1">
      <c r="M8404"/>
      <c r="N8404"/>
      <c r="O8404"/>
      <c r="P8404"/>
      <c r="Q8404"/>
      <c r="R8404"/>
      <c r="S8404"/>
    </row>
    <row r="8405" spans="13:19" ht="13.95" customHeight="1">
      <c r="M8405"/>
      <c r="N8405"/>
      <c r="O8405"/>
      <c r="P8405"/>
      <c r="Q8405"/>
      <c r="R8405"/>
      <c r="S8405"/>
    </row>
    <row r="8406" spans="13:19" ht="13.95" customHeight="1">
      <c r="M8406"/>
      <c r="N8406"/>
      <c r="O8406"/>
      <c r="P8406"/>
      <c r="Q8406"/>
      <c r="R8406"/>
      <c r="S8406"/>
    </row>
    <row r="8407" spans="13:19" ht="13.95" customHeight="1">
      <c r="M8407"/>
      <c r="N8407"/>
      <c r="O8407"/>
      <c r="P8407"/>
      <c r="Q8407"/>
      <c r="R8407"/>
      <c r="S8407"/>
    </row>
    <row r="8408" spans="13:19" ht="13.95" customHeight="1">
      <c r="M8408"/>
      <c r="N8408"/>
      <c r="O8408"/>
      <c r="P8408"/>
      <c r="Q8408"/>
      <c r="R8408"/>
      <c r="S8408"/>
    </row>
    <row r="8409" spans="13:19" ht="13.95" customHeight="1">
      <c r="M8409"/>
      <c r="N8409"/>
      <c r="O8409"/>
      <c r="P8409"/>
      <c r="Q8409"/>
      <c r="R8409"/>
      <c r="S8409"/>
    </row>
    <row r="8410" spans="13:19" ht="13.95" customHeight="1">
      <c r="M8410"/>
      <c r="N8410"/>
      <c r="O8410"/>
      <c r="P8410"/>
      <c r="Q8410"/>
      <c r="R8410"/>
      <c r="S8410"/>
    </row>
    <row r="8411" spans="13:19" ht="13.95" customHeight="1">
      <c r="M8411"/>
      <c r="N8411"/>
      <c r="O8411"/>
      <c r="P8411"/>
      <c r="Q8411"/>
      <c r="R8411"/>
      <c r="S8411"/>
    </row>
    <row r="8412" spans="13:19" ht="13.95" customHeight="1">
      <c r="M8412"/>
      <c r="N8412"/>
      <c r="O8412"/>
      <c r="P8412"/>
      <c r="Q8412"/>
      <c r="R8412"/>
      <c r="S8412"/>
    </row>
    <row r="8413" spans="13:19" ht="13.95" customHeight="1">
      <c r="M8413"/>
      <c r="N8413"/>
      <c r="O8413"/>
      <c r="P8413"/>
      <c r="Q8413"/>
      <c r="R8413"/>
      <c r="S8413"/>
    </row>
    <row r="8414" spans="13:19" ht="13.95" customHeight="1">
      <c r="M8414"/>
      <c r="N8414"/>
      <c r="O8414"/>
      <c r="P8414"/>
      <c r="Q8414"/>
      <c r="R8414"/>
      <c r="S8414"/>
    </row>
    <row r="8415" spans="13:19" ht="13.95" customHeight="1">
      <c r="M8415"/>
      <c r="N8415"/>
      <c r="O8415"/>
      <c r="P8415"/>
      <c r="Q8415"/>
      <c r="R8415"/>
      <c r="S8415"/>
    </row>
    <row r="8416" spans="13:19" ht="13.95" customHeight="1">
      <c r="M8416"/>
      <c r="N8416"/>
      <c r="O8416"/>
      <c r="P8416"/>
      <c r="Q8416"/>
      <c r="R8416"/>
      <c r="S8416"/>
    </row>
    <row r="8417" spans="13:19" ht="13.95" customHeight="1">
      <c r="M8417"/>
      <c r="N8417"/>
      <c r="O8417"/>
      <c r="P8417"/>
      <c r="Q8417"/>
      <c r="R8417"/>
      <c r="S8417"/>
    </row>
    <row r="8418" spans="13:19" ht="13.95" customHeight="1">
      <c r="M8418"/>
      <c r="N8418"/>
      <c r="O8418"/>
      <c r="P8418"/>
      <c r="Q8418"/>
      <c r="R8418"/>
      <c r="S8418"/>
    </row>
    <row r="8419" spans="13:19" ht="13.95" customHeight="1">
      <c r="M8419"/>
      <c r="N8419"/>
      <c r="O8419"/>
      <c r="P8419"/>
      <c r="Q8419"/>
      <c r="R8419"/>
      <c r="S8419"/>
    </row>
    <row r="8420" spans="13:19" ht="13.95" customHeight="1">
      <c r="M8420"/>
      <c r="N8420"/>
      <c r="O8420"/>
      <c r="P8420"/>
      <c r="Q8420"/>
      <c r="R8420"/>
      <c r="S8420"/>
    </row>
    <row r="8421" spans="13:19" ht="13.95" customHeight="1">
      <c r="M8421"/>
      <c r="N8421"/>
      <c r="O8421"/>
      <c r="P8421"/>
      <c r="Q8421"/>
      <c r="R8421"/>
      <c r="S8421"/>
    </row>
    <row r="8422" spans="13:19" ht="13.95" customHeight="1">
      <c r="M8422"/>
      <c r="N8422"/>
      <c r="O8422"/>
      <c r="P8422"/>
      <c r="Q8422"/>
      <c r="R8422"/>
      <c r="S8422"/>
    </row>
    <row r="8423" spans="13:19" ht="13.95" customHeight="1">
      <c r="M8423"/>
      <c r="N8423"/>
      <c r="O8423"/>
      <c r="P8423"/>
      <c r="Q8423"/>
      <c r="R8423"/>
      <c r="S8423"/>
    </row>
    <row r="8424" spans="13:19" ht="13.95" customHeight="1">
      <c r="M8424"/>
      <c r="N8424"/>
      <c r="O8424"/>
      <c r="P8424"/>
      <c r="Q8424"/>
      <c r="R8424"/>
      <c r="S8424"/>
    </row>
    <row r="8425" spans="13:19" ht="13.95" customHeight="1">
      <c r="M8425"/>
      <c r="N8425"/>
      <c r="O8425"/>
      <c r="P8425"/>
      <c r="Q8425"/>
      <c r="R8425"/>
      <c r="S8425"/>
    </row>
    <row r="8426" spans="13:19" ht="13.95" customHeight="1">
      <c r="M8426"/>
      <c r="N8426"/>
      <c r="O8426"/>
      <c r="P8426"/>
      <c r="Q8426"/>
      <c r="R8426"/>
      <c r="S8426"/>
    </row>
    <row r="8427" spans="13:19" ht="13.95" customHeight="1">
      <c r="M8427"/>
      <c r="N8427"/>
      <c r="O8427"/>
      <c r="P8427"/>
      <c r="Q8427"/>
      <c r="R8427"/>
      <c r="S8427"/>
    </row>
    <row r="8428" spans="13:19" ht="13.95" customHeight="1">
      <c r="M8428"/>
      <c r="N8428"/>
      <c r="O8428"/>
      <c r="P8428"/>
      <c r="Q8428"/>
      <c r="R8428"/>
      <c r="S8428"/>
    </row>
    <row r="8429" spans="13:19" ht="13.95" customHeight="1">
      <c r="M8429"/>
      <c r="N8429"/>
      <c r="O8429"/>
      <c r="P8429"/>
      <c r="Q8429"/>
      <c r="R8429"/>
      <c r="S8429"/>
    </row>
    <row r="8430" spans="13:19" ht="13.95" customHeight="1">
      <c r="M8430"/>
      <c r="N8430"/>
      <c r="O8430"/>
      <c r="P8430"/>
      <c r="Q8430"/>
      <c r="R8430"/>
      <c r="S8430"/>
    </row>
    <row r="8431" spans="13:19" ht="13.95" customHeight="1">
      <c r="M8431"/>
      <c r="N8431"/>
      <c r="O8431"/>
      <c r="P8431"/>
      <c r="Q8431"/>
      <c r="R8431"/>
      <c r="S8431"/>
    </row>
    <row r="8432" spans="13:19" ht="13.95" customHeight="1">
      <c r="M8432"/>
      <c r="N8432"/>
      <c r="O8432"/>
      <c r="P8432"/>
      <c r="Q8432"/>
      <c r="R8432"/>
      <c r="S8432"/>
    </row>
    <row r="8433" spans="13:19" ht="13.95" customHeight="1">
      <c r="M8433"/>
      <c r="N8433"/>
      <c r="O8433"/>
      <c r="P8433"/>
      <c r="Q8433"/>
      <c r="R8433"/>
      <c r="S8433"/>
    </row>
    <row r="8434" spans="13:19" ht="13.95" customHeight="1">
      <c r="M8434"/>
      <c r="N8434"/>
      <c r="O8434"/>
      <c r="P8434"/>
      <c r="Q8434"/>
      <c r="R8434"/>
      <c r="S8434"/>
    </row>
    <row r="8435" spans="13:19" ht="13.95" customHeight="1">
      <c r="M8435"/>
      <c r="N8435"/>
      <c r="O8435"/>
      <c r="P8435"/>
      <c r="Q8435"/>
      <c r="R8435"/>
      <c r="S8435"/>
    </row>
    <row r="8436" spans="13:19" ht="13.95" customHeight="1">
      <c r="M8436"/>
      <c r="N8436"/>
      <c r="O8436"/>
      <c r="P8436"/>
      <c r="Q8436"/>
      <c r="R8436"/>
      <c r="S8436"/>
    </row>
    <row r="8437" spans="13:19" ht="13.95" customHeight="1">
      <c r="M8437"/>
      <c r="N8437"/>
      <c r="O8437"/>
      <c r="P8437"/>
      <c r="Q8437"/>
      <c r="R8437"/>
      <c r="S8437"/>
    </row>
    <row r="8438" spans="13:19" ht="13.95" customHeight="1">
      <c r="M8438"/>
      <c r="N8438"/>
      <c r="O8438"/>
      <c r="P8438"/>
      <c r="Q8438"/>
      <c r="R8438"/>
      <c r="S8438"/>
    </row>
    <row r="8439" spans="13:19" ht="13.95" customHeight="1">
      <c r="M8439"/>
      <c r="N8439"/>
      <c r="O8439"/>
      <c r="P8439"/>
      <c r="Q8439"/>
      <c r="R8439"/>
      <c r="S8439"/>
    </row>
    <row r="8440" spans="13:19" ht="13.95" customHeight="1">
      <c r="M8440"/>
      <c r="N8440"/>
      <c r="O8440"/>
      <c r="P8440"/>
      <c r="Q8440"/>
      <c r="R8440"/>
      <c r="S8440"/>
    </row>
    <row r="8441" spans="13:19" ht="13.95" customHeight="1">
      <c r="M8441"/>
      <c r="N8441"/>
      <c r="O8441"/>
      <c r="P8441"/>
      <c r="Q8441"/>
      <c r="R8441"/>
      <c r="S8441"/>
    </row>
    <row r="8442" spans="13:19" ht="13.95" customHeight="1">
      <c r="M8442"/>
      <c r="N8442"/>
      <c r="O8442"/>
      <c r="P8442"/>
      <c r="Q8442"/>
      <c r="R8442"/>
      <c r="S8442"/>
    </row>
    <row r="8443" spans="13:19" ht="13.95" customHeight="1">
      <c r="M8443"/>
      <c r="N8443"/>
      <c r="O8443"/>
      <c r="P8443"/>
      <c r="Q8443"/>
      <c r="R8443"/>
      <c r="S8443"/>
    </row>
    <row r="8444" spans="13:19" ht="13.95" customHeight="1">
      <c r="M8444"/>
      <c r="N8444"/>
      <c r="O8444"/>
      <c r="P8444"/>
      <c r="Q8444"/>
      <c r="R8444"/>
      <c r="S8444"/>
    </row>
    <row r="8445" spans="13:19" ht="13.95" customHeight="1">
      <c r="M8445"/>
      <c r="N8445"/>
      <c r="O8445"/>
      <c r="P8445"/>
      <c r="Q8445"/>
      <c r="R8445"/>
      <c r="S8445"/>
    </row>
    <row r="8446" spans="13:19" ht="13.95" customHeight="1">
      <c r="M8446"/>
      <c r="N8446"/>
      <c r="O8446"/>
      <c r="P8446"/>
      <c r="Q8446"/>
      <c r="R8446"/>
      <c r="S8446"/>
    </row>
    <row r="8447" spans="13:19" ht="13.95" customHeight="1">
      <c r="M8447"/>
      <c r="N8447"/>
      <c r="O8447"/>
      <c r="P8447"/>
      <c r="Q8447"/>
      <c r="R8447"/>
      <c r="S8447"/>
    </row>
    <row r="8448" spans="13:19" ht="13.95" customHeight="1">
      <c r="M8448"/>
      <c r="N8448"/>
      <c r="O8448"/>
      <c r="P8448"/>
      <c r="Q8448"/>
      <c r="R8448"/>
      <c r="S8448"/>
    </row>
    <row r="8449" spans="13:19" ht="13.95" customHeight="1">
      <c r="M8449"/>
      <c r="N8449"/>
      <c r="O8449"/>
      <c r="P8449"/>
      <c r="Q8449"/>
      <c r="R8449"/>
      <c r="S8449"/>
    </row>
    <row r="8450" spans="13:19" ht="13.95" customHeight="1">
      <c r="M8450"/>
      <c r="N8450"/>
      <c r="O8450"/>
      <c r="P8450"/>
      <c r="Q8450"/>
      <c r="R8450"/>
      <c r="S8450"/>
    </row>
    <row r="8451" spans="13:19" ht="13.95" customHeight="1">
      <c r="M8451"/>
      <c r="N8451"/>
      <c r="O8451"/>
      <c r="P8451"/>
      <c r="Q8451"/>
      <c r="R8451"/>
      <c r="S8451"/>
    </row>
    <row r="8452" spans="13:19" ht="13.95" customHeight="1">
      <c r="M8452"/>
      <c r="N8452"/>
      <c r="O8452"/>
      <c r="P8452"/>
      <c r="Q8452"/>
      <c r="R8452"/>
      <c r="S8452"/>
    </row>
    <row r="8453" spans="13:19" ht="13.95" customHeight="1">
      <c r="M8453"/>
      <c r="N8453"/>
      <c r="O8453"/>
      <c r="P8453"/>
      <c r="Q8453"/>
      <c r="R8453"/>
      <c r="S8453"/>
    </row>
    <row r="8454" spans="13:19" ht="13.95" customHeight="1">
      <c r="M8454"/>
      <c r="N8454"/>
      <c r="O8454"/>
      <c r="P8454"/>
      <c r="Q8454"/>
      <c r="R8454"/>
      <c r="S8454"/>
    </row>
    <row r="8455" spans="13:19" ht="13.95" customHeight="1">
      <c r="M8455"/>
      <c r="N8455"/>
      <c r="O8455"/>
      <c r="P8455"/>
      <c r="Q8455"/>
      <c r="R8455"/>
      <c r="S8455"/>
    </row>
    <row r="8456" spans="13:19" ht="13.95" customHeight="1">
      <c r="M8456"/>
      <c r="N8456"/>
      <c r="O8456"/>
      <c r="P8456"/>
      <c r="Q8456"/>
      <c r="R8456"/>
      <c r="S8456"/>
    </row>
    <row r="8457" spans="13:19" ht="13.95" customHeight="1">
      <c r="M8457"/>
      <c r="N8457"/>
      <c r="O8457"/>
      <c r="P8457"/>
      <c r="Q8457"/>
      <c r="R8457"/>
      <c r="S8457"/>
    </row>
    <row r="8458" spans="13:19" ht="13.95" customHeight="1">
      <c r="M8458"/>
      <c r="N8458"/>
      <c r="O8458"/>
      <c r="P8458"/>
      <c r="Q8458"/>
      <c r="R8458"/>
      <c r="S8458"/>
    </row>
    <row r="8459" spans="13:19" ht="13.95" customHeight="1">
      <c r="M8459"/>
      <c r="N8459"/>
      <c r="O8459"/>
      <c r="P8459"/>
      <c r="Q8459"/>
      <c r="R8459"/>
      <c r="S8459"/>
    </row>
    <row r="8460" spans="13:19" ht="13.95" customHeight="1">
      <c r="M8460"/>
      <c r="N8460"/>
      <c r="O8460"/>
      <c r="P8460"/>
      <c r="Q8460"/>
      <c r="R8460"/>
      <c r="S8460"/>
    </row>
    <row r="8461" spans="13:19" ht="13.95" customHeight="1">
      <c r="M8461"/>
      <c r="N8461"/>
      <c r="O8461"/>
      <c r="P8461"/>
      <c r="Q8461"/>
      <c r="R8461"/>
      <c r="S8461"/>
    </row>
    <row r="8462" spans="13:19" ht="13.95" customHeight="1">
      <c r="M8462"/>
      <c r="N8462"/>
      <c r="O8462"/>
      <c r="P8462"/>
      <c r="Q8462"/>
      <c r="R8462"/>
      <c r="S8462"/>
    </row>
    <row r="8463" spans="13:19" ht="13.95" customHeight="1">
      <c r="M8463"/>
      <c r="N8463"/>
      <c r="O8463"/>
      <c r="P8463"/>
      <c r="Q8463"/>
      <c r="R8463"/>
      <c r="S8463"/>
    </row>
    <row r="8464" spans="13:19" ht="13.95" customHeight="1">
      <c r="M8464"/>
      <c r="N8464"/>
      <c r="O8464"/>
      <c r="P8464"/>
      <c r="Q8464"/>
      <c r="R8464"/>
      <c r="S8464"/>
    </row>
    <row r="8465" spans="13:19" ht="13.95" customHeight="1">
      <c r="M8465"/>
      <c r="N8465"/>
      <c r="O8465"/>
      <c r="P8465"/>
      <c r="Q8465"/>
      <c r="R8465"/>
      <c r="S8465"/>
    </row>
    <row r="8466" spans="13:19" ht="13.95" customHeight="1">
      <c r="M8466"/>
      <c r="N8466"/>
      <c r="O8466"/>
      <c r="P8466"/>
      <c r="Q8466"/>
      <c r="R8466"/>
      <c r="S8466"/>
    </row>
    <row r="8467" spans="13:19" ht="13.95" customHeight="1">
      <c r="M8467"/>
      <c r="N8467"/>
      <c r="O8467"/>
      <c r="P8467"/>
      <c r="Q8467"/>
      <c r="R8467"/>
      <c r="S8467"/>
    </row>
    <row r="8468" spans="13:19" ht="13.95" customHeight="1">
      <c r="M8468"/>
      <c r="N8468"/>
      <c r="O8468"/>
      <c r="P8468"/>
      <c r="Q8468"/>
      <c r="R8468"/>
      <c r="S8468"/>
    </row>
    <row r="8469" spans="13:19" ht="13.95" customHeight="1">
      <c r="M8469"/>
      <c r="N8469"/>
      <c r="O8469"/>
      <c r="P8469"/>
      <c r="Q8469"/>
      <c r="R8469"/>
      <c r="S8469"/>
    </row>
    <row r="8470" spans="13:19" ht="13.95" customHeight="1">
      <c r="M8470"/>
      <c r="N8470"/>
      <c r="O8470"/>
      <c r="P8470"/>
      <c r="Q8470"/>
      <c r="R8470"/>
      <c r="S8470"/>
    </row>
    <row r="8471" spans="13:19" ht="13.95" customHeight="1">
      <c r="M8471"/>
      <c r="N8471"/>
      <c r="O8471"/>
      <c r="P8471"/>
      <c r="Q8471"/>
      <c r="R8471"/>
      <c r="S8471"/>
    </row>
    <row r="8472" spans="13:19" ht="13.95" customHeight="1">
      <c r="M8472"/>
      <c r="N8472"/>
      <c r="O8472"/>
      <c r="P8472"/>
      <c r="Q8472"/>
      <c r="R8472"/>
      <c r="S8472"/>
    </row>
    <row r="8473" spans="13:19" ht="13.95" customHeight="1">
      <c r="M8473"/>
      <c r="N8473"/>
      <c r="O8473"/>
      <c r="P8473"/>
      <c r="Q8473"/>
      <c r="R8473"/>
      <c r="S8473"/>
    </row>
    <row r="8474" spans="13:19" ht="13.95" customHeight="1">
      <c r="M8474"/>
      <c r="N8474"/>
      <c r="O8474"/>
      <c r="P8474"/>
      <c r="Q8474"/>
      <c r="R8474"/>
      <c r="S8474"/>
    </row>
    <row r="8475" spans="13:19" ht="13.95" customHeight="1">
      <c r="M8475"/>
      <c r="N8475"/>
      <c r="O8475"/>
      <c r="P8475"/>
      <c r="Q8475"/>
      <c r="R8475"/>
      <c r="S8475"/>
    </row>
    <row r="8476" spans="13:19" ht="13.95" customHeight="1">
      <c r="M8476"/>
      <c r="N8476"/>
      <c r="O8476"/>
      <c r="P8476"/>
      <c r="Q8476"/>
      <c r="R8476"/>
      <c r="S8476"/>
    </row>
    <row r="8477" spans="13:19" ht="13.95" customHeight="1">
      <c r="M8477"/>
      <c r="N8477"/>
      <c r="O8477"/>
      <c r="P8477"/>
      <c r="Q8477"/>
      <c r="R8477"/>
      <c r="S8477"/>
    </row>
    <row r="8478" spans="13:19" ht="13.95" customHeight="1">
      <c r="M8478"/>
      <c r="N8478"/>
      <c r="O8478"/>
      <c r="P8478"/>
      <c r="Q8478"/>
      <c r="R8478"/>
      <c r="S8478"/>
    </row>
    <row r="8479" spans="13:19" ht="13.95" customHeight="1">
      <c r="M8479"/>
      <c r="N8479"/>
      <c r="O8479"/>
      <c r="P8479"/>
      <c r="Q8479"/>
      <c r="R8479"/>
      <c r="S8479"/>
    </row>
    <row r="8480" spans="13:19" ht="13.95" customHeight="1">
      <c r="M8480"/>
      <c r="N8480"/>
      <c r="O8480"/>
      <c r="P8480"/>
      <c r="Q8480"/>
      <c r="R8480"/>
      <c r="S8480"/>
    </row>
    <row r="8481" spans="13:19" ht="13.95" customHeight="1">
      <c r="M8481"/>
      <c r="N8481"/>
      <c r="O8481"/>
      <c r="P8481"/>
      <c r="Q8481"/>
      <c r="R8481"/>
      <c r="S8481"/>
    </row>
    <row r="8482" spans="13:19" ht="13.95" customHeight="1">
      <c r="M8482"/>
      <c r="N8482"/>
      <c r="O8482"/>
      <c r="P8482"/>
      <c r="Q8482"/>
      <c r="R8482"/>
      <c r="S8482"/>
    </row>
    <row r="8483" spans="13:19" ht="13.95" customHeight="1">
      <c r="M8483"/>
      <c r="N8483"/>
      <c r="O8483"/>
      <c r="P8483"/>
      <c r="Q8483"/>
      <c r="R8483"/>
      <c r="S8483"/>
    </row>
    <row r="8484" spans="13:19" ht="13.95" customHeight="1">
      <c r="M8484"/>
      <c r="N8484"/>
      <c r="O8484"/>
      <c r="P8484"/>
      <c r="Q8484"/>
      <c r="R8484"/>
      <c r="S8484"/>
    </row>
    <row r="8485" spans="13:19" ht="13.95" customHeight="1">
      <c r="M8485"/>
      <c r="N8485"/>
      <c r="O8485"/>
      <c r="P8485"/>
      <c r="Q8485"/>
      <c r="R8485"/>
      <c r="S8485"/>
    </row>
    <row r="8486" spans="13:19" ht="13.95" customHeight="1">
      <c r="M8486"/>
      <c r="N8486"/>
      <c r="O8486"/>
      <c r="P8486"/>
      <c r="Q8486"/>
      <c r="R8486"/>
      <c r="S8486"/>
    </row>
    <row r="8487" spans="13:19" ht="13.95" customHeight="1">
      <c r="M8487"/>
      <c r="N8487"/>
      <c r="O8487"/>
      <c r="P8487"/>
      <c r="Q8487"/>
      <c r="R8487"/>
      <c r="S8487"/>
    </row>
    <row r="8488" spans="13:19" ht="13.95" customHeight="1">
      <c r="M8488"/>
      <c r="N8488"/>
      <c r="O8488"/>
      <c r="P8488"/>
      <c r="Q8488"/>
      <c r="R8488"/>
      <c r="S8488"/>
    </row>
    <row r="8489" spans="13:19" ht="13.95" customHeight="1">
      <c r="M8489"/>
      <c r="N8489"/>
      <c r="O8489"/>
      <c r="P8489"/>
      <c r="Q8489"/>
      <c r="R8489"/>
      <c r="S8489"/>
    </row>
    <row r="8490" spans="13:19" ht="13.95" customHeight="1">
      <c r="M8490"/>
      <c r="N8490"/>
      <c r="O8490"/>
      <c r="P8490"/>
      <c r="Q8490"/>
      <c r="R8490"/>
      <c r="S8490"/>
    </row>
    <row r="8491" spans="13:19" ht="13.95" customHeight="1">
      <c r="M8491"/>
      <c r="N8491"/>
      <c r="O8491"/>
      <c r="P8491"/>
      <c r="Q8491"/>
      <c r="R8491"/>
      <c r="S8491"/>
    </row>
    <row r="8492" spans="13:19" ht="13.95" customHeight="1">
      <c r="M8492"/>
      <c r="N8492"/>
      <c r="O8492"/>
      <c r="P8492"/>
      <c r="Q8492"/>
      <c r="R8492"/>
      <c r="S8492"/>
    </row>
    <row r="8493" spans="13:19" ht="13.95" customHeight="1">
      <c r="M8493"/>
      <c r="N8493"/>
      <c r="O8493"/>
      <c r="P8493"/>
      <c r="Q8493"/>
      <c r="R8493"/>
      <c r="S8493"/>
    </row>
    <row r="8494" spans="13:19" ht="13.95" customHeight="1">
      <c r="M8494"/>
      <c r="N8494"/>
      <c r="O8494"/>
      <c r="P8494"/>
      <c r="Q8494"/>
      <c r="R8494"/>
      <c r="S8494"/>
    </row>
    <row r="8495" spans="13:19" ht="13.95" customHeight="1">
      <c r="M8495"/>
      <c r="N8495"/>
      <c r="O8495"/>
      <c r="P8495"/>
      <c r="Q8495"/>
      <c r="R8495"/>
      <c r="S8495"/>
    </row>
    <row r="8496" spans="13:19" ht="13.95" customHeight="1">
      <c r="M8496"/>
      <c r="N8496"/>
      <c r="O8496"/>
      <c r="P8496"/>
      <c r="Q8496"/>
      <c r="R8496"/>
      <c r="S8496"/>
    </row>
    <row r="8497" spans="13:19" ht="13.95" customHeight="1">
      <c r="M8497"/>
      <c r="N8497"/>
      <c r="O8497"/>
      <c r="P8497"/>
      <c r="Q8497"/>
      <c r="R8497"/>
      <c r="S8497"/>
    </row>
    <row r="8498" spans="13:19" ht="13.95" customHeight="1">
      <c r="M8498"/>
      <c r="N8498"/>
      <c r="O8498"/>
      <c r="P8498"/>
      <c r="Q8498"/>
      <c r="R8498"/>
      <c r="S8498"/>
    </row>
    <row r="8499" spans="13:19" ht="13.95" customHeight="1">
      <c r="M8499"/>
      <c r="N8499"/>
      <c r="O8499"/>
      <c r="P8499"/>
      <c r="Q8499"/>
      <c r="R8499"/>
      <c r="S8499"/>
    </row>
    <row r="8500" spans="13:19" ht="13.95" customHeight="1">
      <c r="M8500"/>
      <c r="N8500"/>
      <c r="O8500"/>
      <c r="P8500"/>
      <c r="Q8500"/>
      <c r="R8500"/>
      <c r="S8500"/>
    </row>
    <row r="8501" spans="13:19" ht="13.95" customHeight="1">
      <c r="M8501"/>
      <c r="N8501"/>
      <c r="O8501"/>
      <c r="P8501"/>
      <c r="Q8501"/>
      <c r="R8501"/>
      <c r="S8501"/>
    </row>
    <row r="8502" spans="13:19" ht="13.95" customHeight="1">
      <c r="M8502"/>
      <c r="N8502"/>
      <c r="O8502"/>
      <c r="P8502"/>
      <c r="Q8502"/>
      <c r="R8502"/>
      <c r="S8502"/>
    </row>
    <row r="8503" spans="13:19" ht="13.95" customHeight="1">
      <c r="M8503"/>
      <c r="N8503"/>
      <c r="O8503"/>
      <c r="P8503"/>
      <c r="Q8503"/>
      <c r="R8503"/>
      <c r="S8503"/>
    </row>
    <row r="8504" spans="13:19" ht="13.95" customHeight="1">
      <c r="M8504"/>
      <c r="N8504"/>
      <c r="O8504"/>
      <c r="P8504"/>
      <c r="Q8504"/>
      <c r="R8504"/>
      <c r="S8504"/>
    </row>
    <row r="8505" spans="13:19" ht="13.95" customHeight="1">
      <c r="M8505"/>
      <c r="N8505"/>
      <c r="O8505"/>
      <c r="P8505"/>
      <c r="Q8505"/>
      <c r="R8505"/>
      <c r="S8505"/>
    </row>
    <row r="8506" spans="13:19" ht="13.95" customHeight="1">
      <c r="M8506"/>
      <c r="N8506"/>
      <c r="O8506"/>
      <c r="P8506"/>
      <c r="Q8506"/>
      <c r="R8506"/>
      <c r="S8506"/>
    </row>
    <row r="8507" spans="13:19" ht="13.95" customHeight="1">
      <c r="M8507"/>
      <c r="N8507"/>
      <c r="O8507"/>
      <c r="P8507"/>
      <c r="Q8507"/>
      <c r="R8507"/>
      <c r="S8507"/>
    </row>
    <row r="8508" spans="13:19" ht="13.95" customHeight="1">
      <c r="M8508"/>
      <c r="N8508"/>
      <c r="O8508"/>
      <c r="P8508"/>
      <c r="Q8508"/>
      <c r="R8508"/>
      <c r="S8508"/>
    </row>
    <row r="8509" spans="13:19" ht="13.95" customHeight="1">
      <c r="M8509"/>
      <c r="N8509"/>
      <c r="O8509"/>
      <c r="P8509"/>
      <c r="Q8509"/>
      <c r="R8509"/>
      <c r="S8509"/>
    </row>
    <row r="8510" spans="13:19" ht="13.95" customHeight="1">
      <c r="M8510"/>
      <c r="N8510"/>
      <c r="O8510"/>
      <c r="P8510"/>
      <c r="Q8510"/>
      <c r="R8510"/>
      <c r="S8510"/>
    </row>
    <row r="8511" spans="13:19" ht="13.95" customHeight="1">
      <c r="M8511"/>
      <c r="N8511"/>
      <c r="O8511"/>
      <c r="P8511"/>
      <c r="Q8511"/>
      <c r="R8511"/>
      <c r="S8511"/>
    </row>
    <row r="8512" spans="13:19" ht="13.95" customHeight="1">
      <c r="M8512"/>
      <c r="N8512"/>
      <c r="O8512"/>
      <c r="P8512"/>
      <c r="Q8512"/>
      <c r="R8512"/>
      <c r="S8512"/>
    </row>
    <row r="8513" spans="13:19" ht="13.95" customHeight="1">
      <c r="M8513"/>
      <c r="N8513"/>
      <c r="O8513"/>
      <c r="P8513"/>
      <c r="Q8513"/>
      <c r="R8513"/>
      <c r="S8513"/>
    </row>
    <row r="8514" spans="13:19" ht="13.95" customHeight="1">
      <c r="M8514"/>
      <c r="N8514"/>
      <c r="O8514"/>
      <c r="P8514"/>
      <c r="Q8514"/>
      <c r="R8514"/>
      <c r="S8514"/>
    </row>
    <row r="8515" spans="13:19" ht="13.95" customHeight="1">
      <c r="M8515"/>
      <c r="N8515"/>
      <c r="O8515"/>
      <c r="P8515"/>
      <c r="Q8515"/>
      <c r="R8515"/>
      <c r="S8515"/>
    </row>
    <row r="8516" spans="13:19" ht="13.95" customHeight="1">
      <c r="M8516"/>
      <c r="N8516"/>
      <c r="O8516"/>
      <c r="P8516"/>
      <c r="Q8516"/>
      <c r="R8516"/>
      <c r="S8516"/>
    </row>
    <row r="8517" spans="13:19" ht="13.95" customHeight="1">
      <c r="M8517"/>
      <c r="N8517"/>
      <c r="O8517"/>
      <c r="P8517"/>
      <c r="Q8517"/>
      <c r="R8517"/>
      <c r="S8517"/>
    </row>
    <row r="8518" spans="13:19" ht="13.95" customHeight="1">
      <c r="M8518"/>
      <c r="N8518"/>
      <c r="O8518"/>
      <c r="P8518"/>
      <c r="Q8518"/>
      <c r="R8518"/>
      <c r="S8518"/>
    </row>
    <row r="8519" spans="13:19" ht="13.95" customHeight="1">
      <c r="M8519"/>
      <c r="N8519"/>
      <c r="O8519"/>
      <c r="P8519"/>
      <c r="Q8519"/>
      <c r="R8519"/>
      <c r="S8519"/>
    </row>
    <row r="8520" spans="13:19" ht="13.95" customHeight="1">
      <c r="M8520"/>
      <c r="N8520"/>
      <c r="O8520"/>
      <c r="P8520"/>
      <c r="Q8520"/>
      <c r="R8520"/>
      <c r="S8520"/>
    </row>
    <row r="8521" spans="13:19" ht="13.95" customHeight="1">
      <c r="M8521"/>
      <c r="N8521"/>
      <c r="O8521"/>
      <c r="P8521"/>
      <c r="Q8521"/>
      <c r="R8521"/>
      <c r="S8521"/>
    </row>
    <row r="8522" spans="13:19" ht="13.95" customHeight="1">
      <c r="M8522"/>
      <c r="N8522"/>
      <c r="O8522"/>
      <c r="P8522"/>
      <c r="Q8522"/>
      <c r="R8522"/>
      <c r="S8522"/>
    </row>
    <row r="8523" spans="13:19" ht="13.95" customHeight="1">
      <c r="M8523"/>
      <c r="N8523"/>
      <c r="O8523"/>
      <c r="P8523"/>
      <c r="Q8523"/>
      <c r="R8523"/>
      <c r="S8523"/>
    </row>
    <row r="8524" spans="13:19" ht="13.95" customHeight="1">
      <c r="M8524"/>
      <c r="N8524"/>
      <c r="O8524"/>
      <c r="P8524"/>
      <c r="Q8524"/>
      <c r="R8524"/>
      <c r="S8524"/>
    </row>
    <row r="8525" spans="13:19" ht="13.95" customHeight="1">
      <c r="M8525"/>
      <c r="N8525"/>
      <c r="O8525"/>
      <c r="P8525"/>
      <c r="Q8525"/>
      <c r="R8525"/>
      <c r="S8525"/>
    </row>
    <row r="8526" spans="13:19" ht="13.95" customHeight="1">
      <c r="M8526"/>
      <c r="N8526"/>
      <c r="O8526"/>
      <c r="P8526"/>
      <c r="Q8526"/>
      <c r="R8526"/>
      <c r="S8526"/>
    </row>
    <row r="8527" spans="13:19" ht="13.95" customHeight="1">
      <c r="M8527"/>
      <c r="N8527"/>
      <c r="O8527"/>
      <c r="P8527"/>
      <c r="Q8527"/>
      <c r="R8527"/>
      <c r="S8527"/>
    </row>
    <row r="8528" spans="13:19" ht="13.95" customHeight="1">
      <c r="M8528"/>
      <c r="N8528"/>
      <c r="O8528"/>
      <c r="P8528"/>
      <c r="Q8528"/>
      <c r="R8528"/>
      <c r="S8528"/>
    </row>
    <row r="8529" spans="13:19" ht="13.95" customHeight="1">
      <c r="M8529"/>
      <c r="N8529"/>
      <c r="O8529"/>
      <c r="P8529"/>
      <c r="Q8529"/>
      <c r="R8529"/>
      <c r="S8529"/>
    </row>
    <row r="8530" spans="13:19" ht="13.95" customHeight="1">
      <c r="M8530"/>
      <c r="N8530"/>
      <c r="O8530"/>
      <c r="P8530"/>
      <c r="Q8530"/>
      <c r="R8530"/>
      <c r="S8530"/>
    </row>
    <row r="8531" spans="13:19" ht="13.95" customHeight="1">
      <c r="M8531"/>
      <c r="N8531"/>
      <c r="O8531"/>
      <c r="P8531"/>
      <c r="Q8531"/>
      <c r="R8531"/>
      <c r="S8531"/>
    </row>
    <row r="8532" spans="13:19" ht="13.95" customHeight="1">
      <c r="M8532"/>
      <c r="N8532"/>
      <c r="O8532"/>
      <c r="P8532"/>
      <c r="Q8532"/>
      <c r="R8532"/>
      <c r="S8532"/>
    </row>
    <row r="8533" spans="13:19" ht="13.95" customHeight="1">
      <c r="M8533"/>
      <c r="N8533"/>
      <c r="O8533"/>
      <c r="P8533"/>
      <c r="Q8533"/>
      <c r="R8533"/>
      <c r="S8533"/>
    </row>
    <row r="8534" spans="13:19" ht="13.95" customHeight="1">
      <c r="M8534"/>
      <c r="N8534"/>
      <c r="O8534"/>
      <c r="P8534"/>
      <c r="Q8534"/>
      <c r="R8534"/>
      <c r="S8534"/>
    </row>
    <row r="8535" spans="13:19" ht="13.95" customHeight="1">
      <c r="M8535"/>
      <c r="N8535"/>
      <c r="O8535"/>
      <c r="P8535"/>
      <c r="Q8535"/>
      <c r="R8535"/>
      <c r="S8535"/>
    </row>
    <row r="8536" spans="13:19" ht="13.95" customHeight="1">
      <c r="M8536"/>
      <c r="N8536"/>
      <c r="O8536"/>
      <c r="P8536"/>
      <c r="Q8536"/>
      <c r="R8536"/>
      <c r="S8536"/>
    </row>
    <row r="8537" spans="13:19" ht="13.95" customHeight="1">
      <c r="M8537"/>
      <c r="N8537"/>
      <c r="O8537"/>
      <c r="P8537"/>
      <c r="Q8537"/>
      <c r="R8537"/>
      <c r="S8537"/>
    </row>
    <row r="8538" spans="13:19" ht="13.95" customHeight="1">
      <c r="M8538"/>
      <c r="N8538"/>
      <c r="O8538"/>
      <c r="P8538"/>
      <c r="Q8538"/>
      <c r="R8538"/>
      <c r="S8538"/>
    </row>
    <row r="8539" spans="13:19" ht="13.95" customHeight="1">
      <c r="M8539"/>
      <c r="N8539"/>
      <c r="O8539"/>
      <c r="P8539"/>
      <c r="Q8539"/>
      <c r="R8539"/>
      <c r="S8539"/>
    </row>
    <row r="8540" spans="13:19" ht="13.95" customHeight="1">
      <c r="M8540"/>
      <c r="N8540"/>
      <c r="O8540"/>
      <c r="P8540"/>
      <c r="Q8540"/>
      <c r="R8540"/>
      <c r="S8540"/>
    </row>
    <row r="8541" spans="13:19" ht="13.95" customHeight="1">
      <c r="M8541"/>
      <c r="N8541"/>
      <c r="O8541"/>
      <c r="P8541"/>
      <c r="Q8541"/>
      <c r="R8541"/>
      <c r="S8541"/>
    </row>
    <row r="8542" spans="13:19" ht="13.95" customHeight="1">
      <c r="M8542"/>
      <c r="N8542"/>
      <c r="O8542"/>
      <c r="P8542"/>
      <c r="Q8542"/>
      <c r="R8542"/>
      <c r="S8542"/>
    </row>
    <row r="8543" spans="13:19" ht="13.95" customHeight="1">
      <c r="M8543"/>
      <c r="N8543"/>
      <c r="O8543"/>
      <c r="P8543"/>
      <c r="Q8543"/>
      <c r="R8543"/>
      <c r="S8543"/>
    </row>
    <row r="8544" spans="13:19" ht="13.95" customHeight="1">
      <c r="M8544"/>
      <c r="N8544"/>
      <c r="O8544"/>
      <c r="P8544"/>
      <c r="Q8544"/>
      <c r="R8544"/>
      <c r="S8544"/>
    </row>
    <row r="8545" spans="13:19" ht="13.95" customHeight="1">
      <c r="M8545"/>
      <c r="N8545"/>
      <c r="O8545"/>
      <c r="P8545"/>
      <c r="Q8545"/>
      <c r="R8545"/>
      <c r="S8545"/>
    </row>
    <row r="8546" spans="13:19" ht="13.95" customHeight="1">
      <c r="M8546"/>
      <c r="N8546"/>
      <c r="O8546"/>
      <c r="P8546"/>
      <c r="Q8546"/>
      <c r="R8546"/>
      <c r="S8546"/>
    </row>
    <row r="8547" spans="13:19" ht="13.95" customHeight="1">
      <c r="M8547"/>
      <c r="N8547"/>
      <c r="O8547"/>
      <c r="P8547"/>
      <c r="Q8547"/>
      <c r="R8547"/>
      <c r="S8547"/>
    </row>
    <row r="8548" spans="13:19" ht="13.95" customHeight="1">
      <c r="M8548"/>
      <c r="N8548"/>
      <c r="O8548"/>
      <c r="P8548"/>
      <c r="Q8548"/>
      <c r="R8548"/>
      <c r="S8548"/>
    </row>
    <row r="8549" spans="13:19" ht="13.95" customHeight="1">
      <c r="M8549"/>
      <c r="N8549"/>
      <c r="O8549"/>
      <c r="P8549"/>
      <c r="Q8549"/>
      <c r="R8549"/>
      <c r="S8549"/>
    </row>
    <row r="8550" spans="13:19" ht="13.95" customHeight="1">
      <c r="M8550"/>
      <c r="N8550"/>
      <c r="O8550"/>
      <c r="P8550"/>
      <c r="Q8550"/>
      <c r="R8550"/>
      <c r="S8550"/>
    </row>
    <row r="8551" spans="13:19" ht="13.95" customHeight="1">
      <c r="M8551"/>
      <c r="N8551"/>
      <c r="O8551"/>
      <c r="P8551"/>
      <c r="Q8551"/>
      <c r="R8551"/>
      <c r="S8551"/>
    </row>
    <row r="8552" spans="13:19" ht="13.95" customHeight="1">
      <c r="M8552"/>
      <c r="N8552"/>
      <c r="O8552"/>
      <c r="P8552"/>
      <c r="Q8552"/>
      <c r="R8552"/>
      <c r="S8552"/>
    </row>
    <row r="8553" spans="13:19" ht="13.95" customHeight="1">
      <c r="M8553"/>
      <c r="N8553"/>
      <c r="O8553"/>
      <c r="P8553"/>
      <c r="Q8553"/>
      <c r="R8553"/>
      <c r="S8553"/>
    </row>
    <row r="8554" spans="13:19" ht="13.95" customHeight="1">
      <c r="M8554"/>
      <c r="N8554"/>
      <c r="O8554"/>
      <c r="P8554"/>
      <c r="Q8554"/>
      <c r="R8554"/>
      <c r="S8554"/>
    </row>
    <row r="8555" spans="13:19" ht="13.95" customHeight="1">
      <c r="M8555"/>
      <c r="N8555"/>
      <c r="O8555"/>
      <c r="P8555"/>
      <c r="Q8555"/>
      <c r="R8555"/>
      <c r="S8555"/>
    </row>
    <row r="8556" spans="13:19" ht="13.95" customHeight="1">
      <c r="M8556"/>
      <c r="N8556"/>
      <c r="O8556"/>
      <c r="P8556"/>
      <c r="Q8556"/>
      <c r="R8556"/>
      <c r="S8556"/>
    </row>
    <row r="8557" spans="13:19" ht="13.95" customHeight="1">
      <c r="M8557"/>
      <c r="N8557"/>
      <c r="O8557"/>
      <c r="P8557"/>
      <c r="Q8557"/>
      <c r="R8557"/>
      <c r="S8557"/>
    </row>
    <row r="8558" spans="13:19" ht="13.95" customHeight="1">
      <c r="M8558"/>
      <c r="N8558"/>
      <c r="O8558"/>
      <c r="P8558"/>
      <c r="Q8558"/>
      <c r="R8558"/>
      <c r="S8558"/>
    </row>
    <row r="8559" spans="13:19" ht="13.95" customHeight="1">
      <c r="M8559"/>
      <c r="N8559"/>
      <c r="O8559"/>
      <c r="P8559"/>
      <c r="Q8559"/>
      <c r="R8559"/>
      <c r="S8559"/>
    </row>
    <row r="8560" spans="13:19" ht="13.95" customHeight="1">
      <c r="M8560"/>
      <c r="N8560"/>
      <c r="O8560"/>
      <c r="P8560"/>
      <c r="Q8560"/>
      <c r="R8560"/>
      <c r="S8560"/>
    </row>
    <row r="8561" spans="13:19" ht="13.95" customHeight="1">
      <c r="M8561"/>
      <c r="N8561"/>
      <c r="O8561"/>
      <c r="P8561"/>
      <c r="Q8561"/>
      <c r="R8561"/>
      <c r="S8561"/>
    </row>
    <row r="8562" spans="13:19" ht="13.95" customHeight="1">
      <c r="M8562"/>
      <c r="N8562"/>
      <c r="O8562"/>
      <c r="P8562"/>
      <c r="Q8562"/>
      <c r="R8562"/>
      <c r="S8562"/>
    </row>
    <row r="8563" spans="13:19" ht="13.95" customHeight="1">
      <c r="M8563"/>
      <c r="N8563"/>
      <c r="O8563"/>
      <c r="P8563"/>
      <c r="Q8563"/>
      <c r="R8563"/>
      <c r="S8563"/>
    </row>
    <row r="8564" spans="13:19" ht="13.95" customHeight="1">
      <c r="M8564"/>
      <c r="N8564"/>
      <c r="O8564"/>
      <c r="P8564"/>
      <c r="Q8564"/>
      <c r="R8564"/>
      <c r="S8564"/>
    </row>
    <row r="8565" spans="13:19" ht="13.95" customHeight="1">
      <c r="M8565"/>
      <c r="N8565"/>
      <c r="O8565"/>
      <c r="P8565"/>
      <c r="Q8565"/>
      <c r="R8565"/>
      <c r="S8565"/>
    </row>
    <row r="8566" spans="13:19" ht="13.95" customHeight="1">
      <c r="M8566"/>
      <c r="N8566"/>
      <c r="O8566"/>
      <c r="P8566"/>
      <c r="Q8566"/>
      <c r="R8566"/>
      <c r="S8566"/>
    </row>
    <row r="8567" spans="13:19" ht="13.95" customHeight="1">
      <c r="M8567"/>
      <c r="N8567"/>
      <c r="O8567"/>
      <c r="P8567"/>
      <c r="Q8567"/>
      <c r="R8567"/>
      <c r="S8567"/>
    </row>
    <row r="8568" spans="13:19" ht="13.95" customHeight="1">
      <c r="M8568"/>
      <c r="N8568"/>
      <c r="O8568"/>
      <c r="P8568"/>
      <c r="Q8568"/>
      <c r="R8568"/>
      <c r="S8568"/>
    </row>
    <row r="8569" spans="13:19" ht="13.95" customHeight="1">
      <c r="M8569"/>
      <c r="N8569"/>
      <c r="O8569"/>
      <c r="P8569"/>
      <c r="Q8569"/>
      <c r="R8569"/>
      <c r="S8569"/>
    </row>
    <row r="8570" spans="13:19" ht="13.95" customHeight="1">
      <c r="M8570"/>
      <c r="N8570"/>
      <c r="O8570"/>
      <c r="P8570"/>
      <c r="Q8570"/>
      <c r="R8570"/>
      <c r="S8570"/>
    </row>
    <row r="8571" spans="13:19" ht="13.95" customHeight="1">
      <c r="M8571"/>
      <c r="N8571"/>
      <c r="O8571"/>
      <c r="P8571"/>
      <c r="Q8571"/>
      <c r="R8571"/>
      <c r="S8571"/>
    </row>
    <row r="8572" spans="13:19" ht="13.95" customHeight="1">
      <c r="M8572"/>
      <c r="N8572"/>
      <c r="O8572"/>
      <c r="P8572"/>
      <c r="Q8572"/>
      <c r="R8572"/>
      <c r="S8572"/>
    </row>
    <row r="8573" spans="13:19" ht="13.95" customHeight="1">
      <c r="M8573"/>
      <c r="N8573"/>
      <c r="O8573"/>
      <c r="P8573"/>
      <c r="Q8573"/>
      <c r="R8573"/>
      <c r="S8573"/>
    </row>
    <row r="8574" spans="13:19" ht="13.95" customHeight="1">
      <c r="M8574"/>
      <c r="N8574"/>
      <c r="O8574"/>
      <c r="P8574"/>
      <c r="Q8574"/>
      <c r="R8574"/>
      <c r="S8574"/>
    </row>
    <row r="8575" spans="13:19" ht="13.95" customHeight="1">
      <c r="M8575"/>
      <c r="N8575"/>
      <c r="O8575"/>
      <c r="P8575"/>
      <c r="Q8575"/>
      <c r="R8575"/>
      <c r="S8575"/>
    </row>
    <row r="8576" spans="13:19" ht="13.95" customHeight="1">
      <c r="M8576"/>
      <c r="N8576"/>
      <c r="O8576"/>
      <c r="P8576"/>
      <c r="Q8576"/>
      <c r="R8576"/>
      <c r="S8576"/>
    </row>
    <row r="8577" spans="13:19" ht="13.95" customHeight="1">
      <c r="M8577"/>
      <c r="N8577"/>
      <c r="O8577"/>
      <c r="P8577"/>
      <c r="Q8577"/>
      <c r="R8577"/>
      <c r="S8577"/>
    </row>
    <row r="8578" spans="13:19" ht="13.95" customHeight="1">
      <c r="M8578"/>
      <c r="N8578"/>
      <c r="O8578"/>
      <c r="P8578"/>
      <c r="Q8578"/>
      <c r="R8578"/>
      <c r="S8578"/>
    </row>
    <row r="8579" spans="13:19" ht="13.95" customHeight="1">
      <c r="M8579"/>
      <c r="N8579"/>
      <c r="O8579"/>
      <c r="P8579"/>
      <c r="Q8579"/>
      <c r="R8579"/>
      <c r="S8579"/>
    </row>
    <row r="8580" spans="13:19" ht="13.95" customHeight="1">
      <c r="M8580"/>
      <c r="N8580"/>
      <c r="O8580"/>
      <c r="P8580"/>
      <c r="Q8580"/>
      <c r="R8580"/>
      <c r="S8580"/>
    </row>
    <row r="8581" spans="13:19" ht="13.95" customHeight="1">
      <c r="M8581"/>
      <c r="N8581"/>
      <c r="O8581"/>
      <c r="P8581"/>
      <c r="Q8581"/>
      <c r="R8581"/>
      <c r="S8581"/>
    </row>
    <row r="8582" spans="13:19" ht="13.95" customHeight="1">
      <c r="M8582"/>
      <c r="N8582"/>
      <c r="O8582"/>
      <c r="P8582"/>
      <c r="Q8582"/>
      <c r="R8582"/>
      <c r="S8582"/>
    </row>
    <row r="8583" spans="13:19" ht="13.95" customHeight="1">
      <c r="M8583"/>
      <c r="N8583"/>
      <c r="O8583"/>
      <c r="P8583"/>
      <c r="Q8583"/>
      <c r="R8583"/>
      <c r="S8583"/>
    </row>
    <row r="8584" spans="13:19" ht="13.95" customHeight="1">
      <c r="M8584"/>
      <c r="N8584"/>
      <c r="O8584"/>
      <c r="P8584"/>
      <c r="Q8584"/>
      <c r="R8584"/>
      <c r="S8584"/>
    </row>
    <row r="8585" spans="13:19" ht="13.95" customHeight="1">
      <c r="M8585"/>
      <c r="N8585"/>
      <c r="O8585"/>
      <c r="P8585"/>
      <c r="Q8585"/>
      <c r="R8585"/>
      <c r="S8585"/>
    </row>
    <row r="8586" spans="13:19" ht="13.95" customHeight="1">
      <c r="M8586"/>
      <c r="N8586"/>
      <c r="O8586"/>
      <c r="P8586"/>
      <c r="Q8586"/>
      <c r="R8586"/>
      <c r="S8586"/>
    </row>
    <row r="8587" spans="13:19" ht="13.95" customHeight="1">
      <c r="M8587"/>
      <c r="N8587"/>
      <c r="O8587"/>
      <c r="P8587"/>
      <c r="Q8587"/>
      <c r="R8587"/>
      <c r="S8587"/>
    </row>
    <row r="8588" spans="13:19" ht="13.95" customHeight="1">
      <c r="M8588"/>
      <c r="N8588"/>
      <c r="O8588"/>
      <c r="P8588"/>
      <c r="Q8588"/>
      <c r="R8588"/>
      <c r="S8588"/>
    </row>
    <row r="8589" spans="13:19" ht="13.95" customHeight="1">
      <c r="M8589"/>
      <c r="N8589"/>
      <c r="O8589"/>
      <c r="P8589"/>
      <c r="Q8589"/>
      <c r="R8589"/>
      <c r="S8589"/>
    </row>
    <row r="8590" spans="13:19" ht="13.95" customHeight="1">
      <c r="M8590"/>
      <c r="N8590"/>
      <c r="O8590"/>
      <c r="P8590"/>
      <c r="Q8590"/>
      <c r="R8590"/>
      <c r="S8590"/>
    </row>
    <row r="8591" spans="13:19" ht="13.95" customHeight="1">
      <c r="M8591"/>
      <c r="N8591"/>
      <c r="O8591"/>
      <c r="P8591"/>
      <c r="Q8591"/>
      <c r="R8591"/>
      <c r="S8591"/>
    </row>
    <row r="8592" spans="13:19" ht="13.95" customHeight="1">
      <c r="M8592"/>
      <c r="N8592"/>
      <c r="O8592"/>
      <c r="P8592"/>
      <c r="Q8592"/>
      <c r="R8592"/>
      <c r="S8592"/>
    </row>
    <row r="8593" spans="13:19" ht="13.95" customHeight="1">
      <c r="M8593"/>
      <c r="N8593"/>
      <c r="O8593"/>
      <c r="P8593"/>
      <c r="Q8593"/>
      <c r="R8593"/>
      <c r="S8593"/>
    </row>
    <row r="8594" spans="13:19" ht="13.95" customHeight="1">
      <c r="M8594"/>
      <c r="N8594"/>
      <c r="O8594"/>
      <c r="P8594"/>
      <c r="Q8594"/>
      <c r="R8594"/>
      <c r="S8594"/>
    </row>
    <row r="8595" spans="13:19" ht="13.95" customHeight="1">
      <c r="M8595"/>
      <c r="N8595"/>
      <c r="O8595"/>
      <c r="P8595"/>
      <c r="Q8595"/>
      <c r="R8595"/>
      <c r="S8595"/>
    </row>
    <row r="8596" spans="13:19" ht="13.95" customHeight="1">
      <c r="M8596"/>
      <c r="N8596"/>
      <c r="O8596"/>
      <c r="P8596"/>
      <c r="Q8596"/>
      <c r="R8596"/>
      <c r="S8596"/>
    </row>
    <row r="8597" spans="13:19" ht="13.95" customHeight="1">
      <c r="M8597"/>
      <c r="N8597"/>
      <c r="O8597"/>
      <c r="P8597"/>
      <c r="Q8597"/>
      <c r="R8597"/>
      <c r="S8597"/>
    </row>
    <row r="8598" spans="13:19" ht="13.95" customHeight="1">
      <c r="M8598"/>
      <c r="N8598"/>
      <c r="O8598"/>
      <c r="P8598"/>
      <c r="Q8598"/>
      <c r="R8598"/>
      <c r="S8598"/>
    </row>
    <row r="8599" spans="13:19" ht="13.95" customHeight="1">
      <c r="M8599"/>
      <c r="N8599"/>
      <c r="O8599"/>
      <c r="P8599"/>
      <c r="Q8599"/>
      <c r="R8599"/>
      <c r="S8599"/>
    </row>
    <row r="8600" spans="13:19" ht="13.95" customHeight="1">
      <c r="M8600"/>
      <c r="N8600"/>
      <c r="O8600"/>
      <c r="P8600"/>
      <c r="Q8600"/>
      <c r="R8600"/>
      <c r="S8600"/>
    </row>
    <row r="8601" spans="13:19" ht="13.95" customHeight="1">
      <c r="M8601"/>
      <c r="N8601"/>
      <c r="O8601"/>
      <c r="P8601"/>
      <c r="Q8601"/>
      <c r="R8601"/>
      <c r="S8601"/>
    </row>
    <row r="8602" spans="13:19" ht="13.95" customHeight="1">
      <c r="M8602"/>
      <c r="N8602"/>
      <c r="O8602"/>
      <c r="P8602"/>
      <c r="Q8602"/>
      <c r="R8602"/>
      <c r="S8602"/>
    </row>
    <row r="8603" spans="13:19" ht="13.95" customHeight="1">
      <c r="M8603"/>
      <c r="N8603"/>
      <c r="O8603"/>
      <c r="P8603"/>
      <c r="Q8603"/>
      <c r="R8603"/>
      <c r="S8603"/>
    </row>
    <row r="8604" spans="13:19" ht="13.95" customHeight="1">
      <c r="M8604"/>
      <c r="N8604"/>
      <c r="O8604"/>
      <c r="P8604"/>
      <c r="Q8604"/>
      <c r="R8604"/>
      <c r="S8604"/>
    </row>
    <row r="8605" spans="13:19" ht="13.95" customHeight="1">
      <c r="M8605"/>
      <c r="N8605"/>
      <c r="O8605"/>
      <c r="P8605"/>
      <c r="Q8605"/>
      <c r="R8605"/>
      <c r="S8605"/>
    </row>
    <row r="8606" spans="13:19" ht="13.95" customHeight="1">
      <c r="M8606"/>
      <c r="N8606"/>
      <c r="O8606"/>
      <c r="P8606"/>
      <c r="Q8606"/>
      <c r="R8606"/>
      <c r="S8606"/>
    </row>
    <row r="8607" spans="13:19" ht="13.95" customHeight="1">
      <c r="M8607"/>
      <c r="N8607"/>
      <c r="O8607"/>
      <c r="P8607"/>
      <c r="Q8607"/>
      <c r="R8607"/>
      <c r="S8607"/>
    </row>
    <row r="8608" spans="13:19" ht="13.95" customHeight="1">
      <c r="M8608"/>
      <c r="N8608"/>
      <c r="O8608"/>
      <c r="P8608"/>
      <c r="Q8608"/>
      <c r="R8608"/>
      <c r="S8608"/>
    </row>
    <row r="8609" spans="13:19" ht="13.95" customHeight="1">
      <c r="M8609"/>
      <c r="N8609"/>
      <c r="O8609"/>
      <c r="P8609"/>
      <c r="Q8609"/>
      <c r="R8609"/>
      <c r="S8609"/>
    </row>
    <row r="8610" spans="13:19" ht="13.95" customHeight="1">
      <c r="M8610"/>
      <c r="N8610"/>
      <c r="O8610"/>
      <c r="P8610"/>
      <c r="Q8610"/>
      <c r="R8610"/>
      <c r="S8610"/>
    </row>
    <row r="8611" spans="13:19" ht="13.95" customHeight="1">
      <c r="M8611"/>
      <c r="N8611"/>
      <c r="O8611"/>
      <c r="P8611"/>
      <c r="Q8611"/>
      <c r="R8611"/>
      <c r="S8611"/>
    </row>
    <row r="8612" spans="13:19" ht="13.95" customHeight="1">
      <c r="M8612"/>
      <c r="N8612"/>
      <c r="O8612"/>
      <c r="P8612"/>
      <c r="Q8612"/>
      <c r="R8612"/>
      <c r="S8612"/>
    </row>
    <row r="8613" spans="13:19" ht="13.95" customHeight="1">
      <c r="M8613"/>
      <c r="N8613"/>
      <c r="O8613"/>
      <c r="P8613"/>
      <c r="Q8613"/>
      <c r="R8613"/>
      <c r="S8613"/>
    </row>
    <row r="8614" spans="13:19" ht="13.95" customHeight="1">
      <c r="M8614"/>
      <c r="N8614"/>
      <c r="O8614"/>
      <c r="P8614"/>
      <c r="Q8614"/>
      <c r="R8614"/>
      <c r="S8614"/>
    </row>
    <row r="8615" spans="13:19" ht="13.95" customHeight="1">
      <c r="M8615"/>
      <c r="N8615"/>
      <c r="O8615"/>
      <c r="P8615"/>
      <c r="Q8615"/>
      <c r="R8615"/>
      <c r="S8615"/>
    </row>
    <row r="8616" spans="13:19" ht="13.95" customHeight="1">
      <c r="M8616"/>
      <c r="N8616"/>
      <c r="O8616"/>
      <c r="P8616"/>
      <c r="Q8616"/>
      <c r="R8616"/>
      <c r="S8616"/>
    </row>
    <row r="8617" spans="13:19" ht="13.95" customHeight="1">
      <c r="M8617"/>
      <c r="N8617"/>
      <c r="O8617"/>
      <c r="P8617"/>
      <c r="Q8617"/>
      <c r="R8617"/>
      <c r="S8617"/>
    </row>
    <row r="8618" spans="13:19" ht="13.95" customHeight="1">
      <c r="M8618"/>
      <c r="N8618"/>
      <c r="O8618"/>
      <c r="P8618"/>
      <c r="Q8618"/>
      <c r="R8618"/>
      <c r="S8618"/>
    </row>
    <row r="8619" spans="13:19" ht="13.95" customHeight="1">
      <c r="M8619"/>
      <c r="N8619"/>
      <c r="O8619"/>
      <c r="P8619"/>
      <c r="Q8619"/>
      <c r="R8619"/>
      <c r="S8619"/>
    </row>
    <row r="8620" spans="13:19" ht="13.95" customHeight="1">
      <c r="M8620"/>
      <c r="N8620"/>
      <c r="O8620"/>
      <c r="P8620"/>
      <c r="Q8620"/>
      <c r="R8620"/>
      <c r="S8620"/>
    </row>
    <row r="8621" spans="13:19" ht="13.95" customHeight="1">
      <c r="M8621"/>
      <c r="N8621"/>
      <c r="O8621"/>
      <c r="P8621"/>
      <c r="Q8621"/>
      <c r="R8621"/>
      <c r="S8621"/>
    </row>
    <row r="8622" spans="13:19" ht="13.95" customHeight="1">
      <c r="M8622"/>
      <c r="N8622"/>
      <c r="O8622"/>
      <c r="P8622"/>
      <c r="Q8622"/>
      <c r="R8622"/>
      <c r="S8622"/>
    </row>
    <row r="8623" spans="13:19" ht="13.95" customHeight="1">
      <c r="M8623"/>
      <c r="N8623"/>
      <c r="O8623"/>
      <c r="P8623"/>
      <c r="Q8623"/>
      <c r="R8623"/>
      <c r="S8623"/>
    </row>
    <row r="8624" spans="13:19" ht="13.95" customHeight="1">
      <c r="M8624"/>
      <c r="N8624"/>
      <c r="O8624"/>
      <c r="P8624"/>
      <c r="Q8624"/>
      <c r="R8624"/>
      <c r="S8624"/>
    </row>
    <row r="8625" spans="13:19" ht="13.95" customHeight="1">
      <c r="M8625"/>
      <c r="N8625"/>
      <c r="O8625"/>
      <c r="P8625"/>
      <c r="Q8625"/>
      <c r="R8625"/>
      <c r="S8625"/>
    </row>
    <row r="8626" spans="13:19" ht="13.95" customHeight="1">
      <c r="M8626"/>
      <c r="N8626"/>
      <c r="O8626"/>
      <c r="P8626"/>
      <c r="Q8626"/>
      <c r="R8626"/>
      <c r="S8626"/>
    </row>
    <row r="8627" spans="13:19" ht="13.95" customHeight="1">
      <c r="M8627"/>
      <c r="N8627"/>
      <c r="O8627"/>
      <c r="P8627"/>
      <c r="Q8627"/>
      <c r="R8627"/>
      <c r="S8627"/>
    </row>
    <row r="8628" spans="13:19" ht="13.95" customHeight="1">
      <c r="M8628"/>
      <c r="N8628"/>
      <c r="O8628"/>
      <c r="P8628"/>
      <c r="Q8628"/>
      <c r="R8628"/>
      <c r="S8628"/>
    </row>
    <row r="8629" spans="13:19" ht="13.95" customHeight="1">
      <c r="M8629"/>
      <c r="N8629"/>
      <c r="O8629"/>
      <c r="P8629"/>
      <c r="Q8629"/>
      <c r="R8629"/>
      <c r="S8629"/>
    </row>
    <row r="8630" spans="13:19" ht="13.95" customHeight="1">
      <c r="M8630"/>
      <c r="N8630"/>
      <c r="O8630"/>
      <c r="P8630"/>
      <c r="Q8630"/>
      <c r="R8630"/>
      <c r="S8630"/>
    </row>
    <row r="8631" spans="13:19" ht="13.95" customHeight="1">
      <c r="M8631"/>
      <c r="N8631"/>
      <c r="O8631"/>
      <c r="P8631"/>
      <c r="Q8631"/>
      <c r="R8631"/>
      <c r="S8631"/>
    </row>
    <row r="8632" spans="13:19" ht="13.95" customHeight="1">
      <c r="M8632"/>
      <c r="N8632"/>
      <c r="O8632"/>
      <c r="P8632"/>
      <c r="Q8632"/>
      <c r="R8632"/>
      <c r="S8632"/>
    </row>
    <row r="8633" spans="13:19" ht="13.95" customHeight="1">
      <c r="M8633"/>
      <c r="N8633"/>
      <c r="O8633"/>
      <c r="P8633"/>
      <c r="Q8633"/>
      <c r="R8633"/>
      <c r="S8633"/>
    </row>
    <row r="8634" spans="13:19" ht="13.95" customHeight="1">
      <c r="M8634"/>
      <c r="N8634"/>
      <c r="O8634"/>
      <c r="P8634"/>
      <c r="Q8634"/>
      <c r="R8634"/>
      <c r="S8634"/>
    </row>
    <row r="8635" spans="13:19" ht="13.95" customHeight="1">
      <c r="M8635"/>
      <c r="N8635"/>
      <c r="O8635"/>
      <c r="P8635"/>
      <c r="Q8635"/>
      <c r="R8635"/>
      <c r="S8635"/>
    </row>
    <row r="8636" spans="13:19" ht="13.95" customHeight="1">
      <c r="M8636"/>
      <c r="N8636"/>
      <c r="O8636"/>
      <c r="P8636"/>
      <c r="Q8636"/>
      <c r="R8636"/>
      <c r="S8636"/>
    </row>
    <row r="8637" spans="13:19" ht="13.95" customHeight="1">
      <c r="M8637"/>
      <c r="N8637"/>
      <c r="O8637"/>
      <c r="P8637"/>
      <c r="Q8637"/>
      <c r="R8637"/>
      <c r="S8637"/>
    </row>
    <row r="8638" spans="13:19" ht="13.95" customHeight="1">
      <c r="M8638"/>
      <c r="N8638"/>
      <c r="O8638"/>
      <c r="P8638"/>
      <c r="Q8638"/>
      <c r="R8638"/>
      <c r="S8638"/>
    </row>
    <row r="8639" spans="13:19" ht="13.95" customHeight="1">
      <c r="M8639"/>
      <c r="N8639"/>
      <c r="O8639"/>
      <c r="P8639"/>
      <c r="Q8639"/>
      <c r="R8639"/>
      <c r="S8639"/>
    </row>
    <row r="8640" spans="13:19" ht="13.95" customHeight="1">
      <c r="M8640"/>
      <c r="N8640"/>
      <c r="O8640"/>
      <c r="P8640"/>
      <c r="Q8640"/>
      <c r="R8640"/>
      <c r="S8640"/>
    </row>
    <row r="8641" spans="13:19" ht="13.95" customHeight="1">
      <c r="M8641"/>
      <c r="N8641"/>
      <c r="O8641"/>
      <c r="P8641"/>
      <c r="Q8641"/>
      <c r="R8641"/>
      <c r="S8641"/>
    </row>
    <row r="8642" spans="13:19" ht="13.95" customHeight="1">
      <c r="M8642"/>
      <c r="N8642"/>
      <c r="O8642"/>
      <c r="P8642"/>
      <c r="Q8642"/>
      <c r="R8642"/>
      <c r="S8642"/>
    </row>
    <row r="8643" spans="13:19" ht="13.95" customHeight="1">
      <c r="M8643"/>
      <c r="N8643"/>
      <c r="O8643"/>
      <c r="P8643"/>
      <c r="Q8643"/>
      <c r="R8643"/>
      <c r="S8643"/>
    </row>
    <row r="8644" spans="13:19" ht="13.95" customHeight="1">
      <c r="M8644"/>
      <c r="N8644"/>
      <c r="O8644"/>
      <c r="P8644"/>
      <c r="Q8644"/>
      <c r="R8644"/>
      <c r="S8644"/>
    </row>
    <row r="8645" spans="13:19" ht="13.95" customHeight="1">
      <c r="M8645"/>
      <c r="N8645"/>
      <c r="O8645"/>
      <c r="P8645"/>
      <c r="Q8645"/>
      <c r="R8645"/>
      <c r="S8645"/>
    </row>
    <row r="8646" spans="13:19" ht="13.95" customHeight="1">
      <c r="M8646"/>
      <c r="N8646"/>
      <c r="O8646"/>
      <c r="P8646"/>
      <c r="Q8646"/>
      <c r="R8646"/>
      <c r="S8646"/>
    </row>
    <row r="8647" spans="13:19" ht="13.95" customHeight="1">
      <c r="M8647"/>
      <c r="N8647"/>
      <c r="O8647"/>
      <c r="P8647"/>
      <c r="Q8647"/>
      <c r="R8647"/>
      <c r="S8647"/>
    </row>
    <row r="8648" spans="13:19" ht="13.95" customHeight="1">
      <c r="M8648"/>
      <c r="N8648"/>
      <c r="O8648"/>
      <c r="P8648"/>
      <c r="Q8648"/>
      <c r="R8648"/>
      <c r="S8648"/>
    </row>
    <row r="8649" spans="13:19" ht="13.95" customHeight="1">
      <c r="M8649"/>
      <c r="N8649"/>
      <c r="O8649"/>
      <c r="P8649"/>
      <c r="Q8649"/>
      <c r="R8649"/>
      <c r="S8649"/>
    </row>
    <row r="8650" spans="13:19" ht="13.95" customHeight="1">
      <c r="M8650"/>
      <c r="N8650"/>
      <c r="O8650"/>
      <c r="P8650"/>
      <c r="Q8650"/>
      <c r="R8650"/>
      <c r="S8650"/>
    </row>
    <row r="8651" spans="13:19" ht="13.95" customHeight="1">
      <c r="M8651"/>
      <c r="N8651"/>
      <c r="O8651"/>
      <c r="P8651"/>
      <c r="Q8651"/>
      <c r="R8651"/>
      <c r="S8651"/>
    </row>
    <row r="8652" spans="13:19" ht="13.95" customHeight="1">
      <c r="M8652"/>
      <c r="N8652"/>
      <c r="O8652"/>
      <c r="P8652"/>
      <c r="Q8652"/>
      <c r="R8652"/>
      <c r="S8652"/>
    </row>
    <row r="8653" spans="13:19" ht="13.95" customHeight="1">
      <c r="M8653"/>
      <c r="N8653"/>
      <c r="O8653"/>
      <c r="P8653"/>
      <c r="Q8653"/>
      <c r="R8653"/>
      <c r="S8653"/>
    </row>
    <row r="8654" spans="13:19" ht="13.95" customHeight="1">
      <c r="M8654"/>
      <c r="N8654"/>
      <c r="O8654"/>
      <c r="P8654"/>
      <c r="Q8654"/>
      <c r="R8654"/>
      <c r="S8654"/>
    </row>
    <row r="8655" spans="13:19" ht="13.95" customHeight="1">
      <c r="M8655"/>
      <c r="N8655"/>
      <c r="O8655"/>
      <c r="P8655"/>
      <c r="Q8655"/>
      <c r="R8655"/>
      <c r="S8655"/>
    </row>
    <row r="8656" spans="13:19" ht="13.95" customHeight="1">
      <c r="M8656"/>
      <c r="N8656"/>
      <c r="O8656"/>
      <c r="P8656"/>
      <c r="Q8656"/>
      <c r="R8656"/>
      <c r="S8656"/>
    </row>
    <row r="8657" spans="13:19" ht="13.95" customHeight="1">
      <c r="M8657"/>
      <c r="N8657"/>
      <c r="O8657"/>
      <c r="P8657"/>
      <c r="Q8657"/>
      <c r="R8657"/>
      <c r="S8657"/>
    </row>
    <row r="8658" spans="13:19" ht="13.95" customHeight="1">
      <c r="M8658"/>
      <c r="N8658"/>
      <c r="O8658"/>
      <c r="P8658"/>
      <c r="Q8658"/>
      <c r="R8658"/>
      <c r="S8658"/>
    </row>
    <row r="8659" spans="13:19" ht="13.95" customHeight="1">
      <c r="M8659"/>
      <c r="N8659"/>
      <c r="O8659"/>
      <c r="P8659"/>
      <c r="Q8659"/>
      <c r="R8659"/>
      <c r="S8659"/>
    </row>
    <row r="8660" spans="13:19" ht="13.95" customHeight="1">
      <c r="M8660"/>
      <c r="N8660"/>
      <c r="O8660"/>
      <c r="P8660"/>
      <c r="Q8660"/>
      <c r="R8660"/>
      <c r="S8660"/>
    </row>
    <row r="8661" spans="13:19" ht="13.95" customHeight="1">
      <c r="M8661"/>
      <c r="N8661"/>
      <c r="O8661"/>
      <c r="P8661"/>
      <c r="Q8661"/>
      <c r="R8661"/>
      <c r="S8661"/>
    </row>
    <row r="8662" spans="13:19" ht="13.95" customHeight="1">
      <c r="M8662"/>
      <c r="N8662"/>
      <c r="O8662"/>
      <c r="P8662"/>
      <c r="Q8662"/>
      <c r="R8662"/>
      <c r="S8662"/>
    </row>
    <row r="8663" spans="13:19" ht="13.95" customHeight="1">
      <c r="M8663"/>
      <c r="N8663"/>
      <c r="O8663"/>
      <c r="P8663"/>
      <c r="Q8663"/>
      <c r="R8663"/>
      <c r="S8663"/>
    </row>
    <row r="8664" spans="13:19" ht="13.95" customHeight="1">
      <c r="M8664"/>
      <c r="N8664"/>
      <c r="O8664"/>
      <c r="P8664"/>
      <c r="Q8664"/>
      <c r="R8664"/>
      <c r="S8664"/>
    </row>
    <row r="8665" spans="13:19" ht="13.95" customHeight="1">
      <c r="M8665"/>
      <c r="N8665"/>
      <c r="O8665"/>
      <c r="P8665"/>
      <c r="Q8665"/>
      <c r="R8665"/>
      <c r="S8665"/>
    </row>
    <row r="8666" spans="13:19" ht="13.95" customHeight="1">
      <c r="M8666"/>
      <c r="N8666"/>
      <c r="O8666"/>
      <c r="P8666"/>
      <c r="Q8666"/>
      <c r="R8666"/>
      <c r="S8666"/>
    </row>
    <row r="8667" spans="13:19" ht="13.95" customHeight="1">
      <c r="M8667"/>
      <c r="N8667"/>
      <c r="O8667"/>
      <c r="P8667"/>
      <c r="Q8667"/>
      <c r="R8667"/>
      <c r="S8667"/>
    </row>
    <row r="8668" spans="13:19" ht="13.95" customHeight="1">
      <c r="M8668"/>
      <c r="N8668"/>
      <c r="O8668"/>
      <c r="P8668"/>
      <c r="Q8668"/>
      <c r="R8668"/>
      <c r="S8668"/>
    </row>
    <row r="8669" spans="13:19" ht="13.95" customHeight="1">
      <c r="M8669"/>
      <c r="N8669"/>
      <c r="O8669"/>
      <c r="P8669"/>
      <c r="Q8669"/>
      <c r="R8669"/>
      <c r="S8669"/>
    </row>
    <row r="8670" spans="13:19" ht="13.95" customHeight="1">
      <c r="M8670"/>
      <c r="N8670"/>
      <c r="O8670"/>
      <c r="P8670"/>
      <c r="Q8670"/>
      <c r="R8670"/>
      <c r="S8670"/>
    </row>
    <row r="8671" spans="13:19" ht="13.95" customHeight="1">
      <c r="M8671"/>
      <c r="N8671"/>
      <c r="O8671"/>
      <c r="P8671"/>
      <c r="Q8671"/>
      <c r="R8671"/>
      <c r="S8671"/>
    </row>
    <row r="8672" spans="13:19" ht="13.95" customHeight="1">
      <c r="M8672"/>
      <c r="N8672"/>
      <c r="O8672"/>
      <c r="P8672"/>
      <c r="Q8672"/>
      <c r="R8672"/>
      <c r="S8672"/>
    </row>
    <row r="8673" spans="13:19" ht="13.95" customHeight="1">
      <c r="M8673"/>
      <c r="N8673"/>
      <c r="O8673"/>
      <c r="P8673"/>
      <c r="Q8673"/>
      <c r="R8673"/>
      <c r="S8673"/>
    </row>
    <row r="8674" spans="13:19" ht="13.95" customHeight="1">
      <c r="M8674"/>
      <c r="N8674"/>
      <c r="O8674"/>
      <c r="P8674"/>
      <c r="Q8674"/>
      <c r="R8674"/>
      <c r="S8674"/>
    </row>
    <row r="8675" spans="13:19" ht="13.95" customHeight="1">
      <c r="M8675"/>
      <c r="N8675"/>
      <c r="O8675"/>
      <c r="P8675"/>
      <c r="Q8675"/>
      <c r="R8675"/>
      <c r="S8675"/>
    </row>
    <row r="8676" spans="13:19" ht="13.95" customHeight="1">
      <c r="M8676"/>
      <c r="N8676"/>
      <c r="O8676"/>
      <c r="P8676"/>
      <c r="Q8676"/>
      <c r="R8676"/>
      <c r="S8676"/>
    </row>
    <row r="8677" spans="13:19" ht="13.95" customHeight="1">
      <c r="M8677"/>
      <c r="N8677"/>
      <c r="O8677"/>
      <c r="P8677"/>
      <c r="Q8677"/>
      <c r="R8677"/>
      <c r="S8677"/>
    </row>
    <row r="8678" spans="13:19" ht="13.95" customHeight="1">
      <c r="M8678"/>
      <c r="N8678"/>
      <c r="O8678"/>
      <c r="P8678"/>
      <c r="Q8678"/>
      <c r="R8678"/>
      <c r="S8678"/>
    </row>
    <row r="8679" spans="13:19" ht="13.95" customHeight="1">
      <c r="M8679"/>
      <c r="N8679"/>
      <c r="O8679"/>
      <c r="P8679"/>
      <c r="Q8679"/>
      <c r="R8679"/>
      <c r="S8679"/>
    </row>
    <row r="8680" spans="13:19" ht="13.95" customHeight="1">
      <c r="M8680"/>
      <c r="N8680"/>
      <c r="O8680"/>
      <c r="P8680"/>
      <c r="Q8680"/>
      <c r="R8680"/>
      <c r="S8680"/>
    </row>
    <row r="8681" spans="13:19" ht="13.95" customHeight="1">
      <c r="M8681"/>
      <c r="N8681"/>
      <c r="O8681"/>
      <c r="P8681"/>
      <c r="Q8681"/>
      <c r="R8681"/>
      <c r="S8681"/>
    </row>
    <row r="8682" spans="13:19" ht="13.95" customHeight="1">
      <c r="M8682"/>
      <c r="N8682"/>
      <c r="O8682"/>
      <c r="P8682"/>
      <c r="Q8682"/>
      <c r="R8682"/>
      <c r="S8682"/>
    </row>
    <row r="8683" spans="13:19" ht="13.95" customHeight="1">
      <c r="M8683"/>
      <c r="N8683"/>
      <c r="O8683"/>
      <c r="P8683"/>
      <c r="Q8683"/>
      <c r="R8683"/>
      <c r="S8683"/>
    </row>
    <row r="8684" spans="13:19" ht="13.95" customHeight="1">
      <c r="M8684"/>
      <c r="N8684"/>
      <c r="O8684"/>
      <c r="P8684"/>
      <c r="Q8684"/>
      <c r="R8684"/>
      <c r="S8684"/>
    </row>
    <row r="8685" spans="13:19" ht="13.95" customHeight="1">
      <c r="M8685"/>
      <c r="N8685"/>
      <c r="O8685"/>
      <c r="P8685"/>
      <c r="Q8685"/>
      <c r="R8685"/>
      <c r="S8685"/>
    </row>
    <row r="8686" spans="13:19" ht="13.95" customHeight="1">
      <c r="M8686"/>
      <c r="N8686"/>
      <c r="O8686"/>
      <c r="P8686"/>
      <c r="Q8686"/>
      <c r="R8686"/>
      <c r="S8686"/>
    </row>
    <row r="8687" spans="13:19" ht="13.95" customHeight="1">
      <c r="M8687"/>
      <c r="N8687"/>
      <c r="O8687"/>
      <c r="P8687"/>
      <c r="Q8687"/>
      <c r="R8687"/>
      <c r="S8687"/>
    </row>
    <row r="8688" spans="13:19" ht="13.95" customHeight="1">
      <c r="M8688"/>
      <c r="N8688"/>
      <c r="O8688"/>
      <c r="P8688"/>
      <c r="Q8688"/>
      <c r="R8688"/>
      <c r="S8688"/>
    </row>
    <row r="8689" spans="13:19" ht="13.95" customHeight="1">
      <c r="M8689"/>
      <c r="N8689"/>
      <c r="O8689"/>
      <c r="P8689"/>
      <c r="Q8689"/>
      <c r="R8689"/>
      <c r="S8689"/>
    </row>
    <row r="8690" spans="13:19" ht="13.95" customHeight="1">
      <c r="M8690"/>
      <c r="N8690"/>
      <c r="O8690"/>
      <c r="P8690"/>
      <c r="Q8690"/>
      <c r="R8690"/>
      <c r="S8690"/>
    </row>
    <row r="8691" spans="13:19" ht="13.95" customHeight="1">
      <c r="M8691"/>
      <c r="N8691"/>
      <c r="O8691"/>
      <c r="P8691"/>
      <c r="Q8691"/>
      <c r="R8691"/>
      <c r="S8691"/>
    </row>
    <row r="8692" spans="13:19" ht="13.95" customHeight="1">
      <c r="M8692"/>
      <c r="N8692"/>
      <c r="O8692"/>
      <c r="P8692"/>
      <c r="Q8692"/>
      <c r="R8692"/>
      <c r="S8692"/>
    </row>
    <row r="8693" spans="13:19" ht="13.95" customHeight="1">
      <c r="M8693"/>
      <c r="N8693"/>
      <c r="O8693"/>
      <c r="P8693"/>
      <c r="Q8693"/>
      <c r="R8693"/>
      <c r="S8693"/>
    </row>
    <row r="8694" spans="13:19" ht="13.95" customHeight="1">
      <c r="M8694"/>
      <c r="N8694"/>
      <c r="O8694"/>
      <c r="P8694"/>
      <c r="Q8694"/>
      <c r="R8694"/>
      <c r="S8694"/>
    </row>
    <row r="8695" spans="13:19" ht="13.95" customHeight="1">
      <c r="M8695"/>
      <c r="N8695"/>
      <c r="O8695"/>
      <c r="P8695"/>
      <c r="Q8695"/>
      <c r="R8695"/>
      <c r="S8695"/>
    </row>
    <row r="8696" spans="13:19" ht="13.95" customHeight="1">
      <c r="M8696"/>
      <c r="N8696"/>
      <c r="O8696"/>
      <c r="P8696"/>
      <c r="Q8696"/>
      <c r="R8696"/>
      <c r="S8696"/>
    </row>
    <row r="8697" spans="13:19" ht="13.95" customHeight="1">
      <c r="M8697"/>
      <c r="N8697"/>
      <c r="O8697"/>
      <c r="P8697"/>
      <c r="Q8697"/>
      <c r="R8697"/>
      <c r="S8697"/>
    </row>
    <row r="8698" spans="13:19" ht="13.95" customHeight="1">
      <c r="M8698"/>
      <c r="N8698"/>
      <c r="O8698"/>
      <c r="P8698"/>
      <c r="Q8698"/>
      <c r="R8698"/>
      <c r="S8698"/>
    </row>
    <row r="8699" spans="13:19" ht="13.95" customHeight="1">
      <c r="M8699"/>
      <c r="N8699"/>
      <c r="O8699"/>
      <c r="P8699"/>
      <c r="Q8699"/>
      <c r="R8699"/>
      <c r="S8699"/>
    </row>
    <row r="8700" spans="13:19" ht="13.95" customHeight="1">
      <c r="M8700"/>
      <c r="N8700"/>
      <c r="O8700"/>
      <c r="P8700"/>
      <c r="Q8700"/>
      <c r="R8700"/>
      <c r="S8700"/>
    </row>
    <row r="8701" spans="13:19" ht="13.95" customHeight="1">
      <c r="M8701"/>
      <c r="N8701"/>
      <c r="O8701"/>
      <c r="P8701"/>
      <c r="Q8701"/>
      <c r="R8701"/>
      <c r="S8701"/>
    </row>
    <row r="8702" spans="13:19" ht="13.95" customHeight="1">
      <c r="M8702"/>
      <c r="N8702"/>
      <c r="O8702"/>
      <c r="P8702"/>
      <c r="Q8702"/>
      <c r="R8702"/>
      <c r="S8702"/>
    </row>
    <row r="8703" spans="13:19" ht="13.95" customHeight="1">
      <c r="M8703"/>
      <c r="N8703"/>
      <c r="O8703"/>
      <c r="P8703"/>
      <c r="Q8703"/>
      <c r="R8703"/>
      <c r="S8703"/>
    </row>
    <row r="8704" spans="13:19" ht="13.95" customHeight="1">
      <c r="M8704"/>
      <c r="N8704"/>
      <c r="O8704"/>
      <c r="P8704"/>
      <c r="Q8704"/>
      <c r="R8704"/>
      <c r="S8704"/>
    </row>
    <row r="8705" spans="13:19" ht="13.95" customHeight="1">
      <c r="M8705"/>
      <c r="N8705"/>
      <c r="O8705"/>
      <c r="P8705"/>
      <c r="Q8705"/>
      <c r="R8705"/>
      <c r="S8705"/>
    </row>
    <row r="8706" spans="13:19" ht="13.95" customHeight="1">
      <c r="M8706"/>
      <c r="N8706"/>
      <c r="O8706"/>
      <c r="P8706"/>
      <c r="Q8706"/>
      <c r="R8706"/>
      <c r="S8706"/>
    </row>
    <row r="8707" spans="13:19" ht="13.95" customHeight="1">
      <c r="M8707"/>
      <c r="N8707"/>
      <c r="O8707"/>
      <c r="P8707"/>
      <c r="Q8707"/>
      <c r="R8707"/>
      <c r="S8707"/>
    </row>
    <row r="8708" spans="13:19" ht="13.95" customHeight="1">
      <c r="M8708"/>
      <c r="N8708"/>
      <c r="O8708"/>
      <c r="P8708"/>
      <c r="Q8708"/>
      <c r="R8708"/>
      <c r="S8708"/>
    </row>
    <row r="8709" spans="13:19" ht="13.95" customHeight="1">
      <c r="M8709"/>
      <c r="N8709"/>
      <c r="O8709"/>
      <c r="P8709"/>
      <c r="Q8709"/>
      <c r="R8709"/>
      <c r="S8709"/>
    </row>
    <row r="8710" spans="13:19" ht="13.95" customHeight="1">
      <c r="M8710"/>
      <c r="N8710"/>
      <c r="O8710"/>
      <c r="P8710"/>
      <c r="Q8710"/>
      <c r="R8710"/>
      <c r="S8710"/>
    </row>
    <row r="8711" spans="13:19" ht="13.95" customHeight="1">
      <c r="M8711"/>
      <c r="N8711"/>
      <c r="O8711"/>
      <c r="P8711"/>
      <c r="Q8711"/>
      <c r="R8711"/>
      <c r="S8711"/>
    </row>
    <row r="8712" spans="13:19" ht="13.95" customHeight="1">
      <c r="M8712"/>
      <c r="N8712"/>
      <c r="O8712"/>
      <c r="P8712"/>
      <c r="Q8712"/>
      <c r="R8712"/>
      <c r="S8712"/>
    </row>
    <row r="8713" spans="13:19" ht="13.95" customHeight="1">
      <c r="M8713"/>
      <c r="N8713"/>
      <c r="O8713"/>
      <c r="P8713"/>
      <c r="Q8713"/>
      <c r="R8713"/>
      <c r="S8713"/>
    </row>
    <row r="8714" spans="13:19" ht="13.95" customHeight="1">
      <c r="M8714"/>
      <c r="N8714"/>
      <c r="O8714"/>
      <c r="P8714"/>
      <c r="Q8714"/>
      <c r="R8714"/>
      <c r="S8714"/>
    </row>
    <row r="8715" spans="13:19" ht="13.95" customHeight="1">
      <c r="M8715"/>
      <c r="N8715"/>
      <c r="O8715"/>
      <c r="P8715"/>
      <c r="Q8715"/>
      <c r="R8715"/>
      <c r="S8715"/>
    </row>
    <row r="8716" spans="13:19" ht="13.95" customHeight="1">
      <c r="M8716"/>
      <c r="N8716"/>
      <c r="O8716"/>
      <c r="P8716"/>
      <c r="Q8716"/>
      <c r="R8716"/>
      <c r="S8716"/>
    </row>
    <row r="8717" spans="13:19" ht="13.95" customHeight="1">
      <c r="M8717"/>
      <c r="N8717"/>
      <c r="O8717"/>
      <c r="P8717"/>
      <c r="Q8717"/>
      <c r="R8717"/>
      <c r="S8717"/>
    </row>
    <row r="8718" spans="13:19" ht="13.95" customHeight="1">
      <c r="M8718"/>
      <c r="N8718"/>
      <c r="O8718"/>
      <c r="P8718"/>
      <c r="Q8718"/>
      <c r="R8718"/>
      <c r="S8718"/>
    </row>
    <row r="8719" spans="13:19" ht="13.95" customHeight="1">
      <c r="M8719"/>
      <c r="N8719"/>
      <c r="O8719"/>
      <c r="P8719"/>
      <c r="Q8719"/>
      <c r="R8719"/>
      <c r="S8719"/>
    </row>
    <row r="8720" spans="13:19" ht="13.95" customHeight="1">
      <c r="M8720"/>
      <c r="N8720"/>
      <c r="O8720"/>
      <c r="P8720"/>
      <c r="Q8720"/>
      <c r="R8720"/>
      <c r="S8720"/>
    </row>
    <row r="8721" spans="13:19" ht="13.95" customHeight="1">
      <c r="M8721"/>
      <c r="N8721"/>
      <c r="O8721"/>
      <c r="P8721"/>
      <c r="Q8721"/>
      <c r="R8721"/>
      <c r="S8721"/>
    </row>
    <row r="8722" spans="13:19" ht="13.95" customHeight="1">
      <c r="M8722"/>
      <c r="N8722"/>
      <c r="O8722"/>
      <c r="P8722"/>
      <c r="Q8722"/>
      <c r="R8722"/>
      <c r="S8722"/>
    </row>
    <row r="8723" spans="13:19" ht="13.95" customHeight="1">
      <c r="M8723"/>
      <c r="N8723"/>
      <c r="O8723"/>
      <c r="P8723"/>
      <c r="Q8723"/>
      <c r="R8723"/>
      <c r="S8723"/>
    </row>
    <row r="8724" spans="13:19" ht="13.95" customHeight="1">
      <c r="M8724"/>
      <c r="N8724"/>
      <c r="O8724"/>
      <c r="P8724"/>
      <c r="Q8724"/>
      <c r="R8724"/>
      <c r="S8724"/>
    </row>
    <row r="8725" spans="13:19" ht="13.95" customHeight="1">
      <c r="M8725"/>
      <c r="N8725"/>
      <c r="O8725"/>
      <c r="P8725"/>
      <c r="Q8725"/>
      <c r="R8725"/>
      <c r="S8725"/>
    </row>
    <row r="8726" spans="13:19" ht="13.95" customHeight="1">
      <c r="M8726"/>
      <c r="N8726"/>
      <c r="O8726"/>
      <c r="P8726"/>
      <c r="Q8726"/>
      <c r="R8726"/>
      <c r="S8726"/>
    </row>
    <row r="8727" spans="13:19" ht="13.95" customHeight="1">
      <c r="M8727"/>
      <c r="N8727"/>
      <c r="O8727"/>
      <c r="P8727"/>
      <c r="Q8727"/>
      <c r="R8727"/>
      <c r="S8727"/>
    </row>
    <row r="8728" spans="13:19" ht="13.95" customHeight="1">
      <c r="M8728"/>
      <c r="N8728"/>
      <c r="O8728"/>
      <c r="P8728"/>
      <c r="Q8728"/>
      <c r="R8728"/>
      <c r="S8728"/>
    </row>
    <row r="8729" spans="13:19" ht="13.95" customHeight="1">
      <c r="M8729"/>
      <c r="N8729"/>
      <c r="O8729"/>
      <c r="P8729"/>
      <c r="Q8729"/>
      <c r="R8729"/>
      <c r="S8729"/>
    </row>
    <row r="8730" spans="13:19" ht="13.95" customHeight="1">
      <c r="M8730"/>
      <c r="N8730"/>
      <c r="O8730"/>
      <c r="P8730"/>
      <c r="Q8730"/>
      <c r="R8730"/>
      <c r="S8730"/>
    </row>
    <row r="8731" spans="13:19" ht="13.95" customHeight="1">
      <c r="M8731"/>
      <c r="N8731"/>
      <c r="O8731"/>
      <c r="P8731"/>
      <c r="Q8731"/>
      <c r="R8731"/>
      <c r="S8731"/>
    </row>
    <row r="8732" spans="13:19" ht="13.95" customHeight="1">
      <c r="M8732"/>
      <c r="N8732"/>
      <c r="O8732"/>
      <c r="P8732"/>
      <c r="Q8732"/>
      <c r="R8732"/>
      <c r="S8732"/>
    </row>
    <row r="8733" spans="13:19" ht="13.95" customHeight="1">
      <c r="M8733"/>
      <c r="N8733"/>
      <c r="O8733"/>
      <c r="P8733"/>
      <c r="Q8733"/>
      <c r="R8733"/>
      <c r="S8733"/>
    </row>
    <row r="8734" spans="13:19" ht="13.95" customHeight="1">
      <c r="M8734"/>
      <c r="N8734"/>
      <c r="O8734"/>
      <c r="P8734"/>
      <c r="Q8734"/>
      <c r="R8734"/>
      <c r="S8734"/>
    </row>
    <row r="8735" spans="13:19" ht="13.95" customHeight="1">
      <c r="M8735"/>
      <c r="N8735"/>
      <c r="O8735"/>
      <c r="P8735"/>
      <c r="Q8735"/>
      <c r="R8735"/>
      <c r="S8735"/>
    </row>
    <row r="8736" spans="13:19" ht="13.95" customHeight="1">
      <c r="M8736"/>
      <c r="N8736"/>
      <c r="O8736"/>
      <c r="P8736"/>
      <c r="Q8736"/>
      <c r="R8736"/>
      <c r="S8736"/>
    </row>
    <row r="8737" spans="13:19" ht="13.95" customHeight="1">
      <c r="M8737"/>
      <c r="N8737"/>
      <c r="O8737"/>
      <c r="P8737"/>
      <c r="Q8737"/>
      <c r="R8737"/>
      <c r="S8737"/>
    </row>
    <row r="8738" spans="13:19" ht="13.95" customHeight="1">
      <c r="M8738"/>
      <c r="N8738"/>
      <c r="O8738"/>
      <c r="P8738"/>
      <c r="Q8738"/>
      <c r="R8738"/>
      <c r="S8738"/>
    </row>
    <row r="8739" spans="13:19" ht="13.95" customHeight="1">
      <c r="M8739"/>
      <c r="N8739"/>
      <c r="O8739"/>
      <c r="P8739"/>
      <c r="Q8739"/>
      <c r="R8739"/>
      <c r="S8739"/>
    </row>
    <row r="8740" spans="13:19" ht="13.95" customHeight="1">
      <c r="M8740"/>
      <c r="N8740"/>
      <c r="O8740"/>
      <c r="P8740"/>
      <c r="Q8740"/>
      <c r="R8740"/>
      <c r="S8740"/>
    </row>
    <row r="8741" spans="13:19" ht="13.95" customHeight="1">
      <c r="M8741"/>
      <c r="N8741"/>
      <c r="O8741"/>
      <c r="P8741"/>
      <c r="Q8741"/>
      <c r="R8741"/>
      <c r="S8741"/>
    </row>
    <row r="8742" spans="13:19" ht="13.95" customHeight="1">
      <c r="M8742"/>
      <c r="N8742"/>
      <c r="O8742"/>
      <c r="P8742"/>
      <c r="Q8742"/>
      <c r="R8742"/>
      <c r="S8742"/>
    </row>
    <row r="8743" spans="13:19" ht="13.95" customHeight="1">
      <c r="M8743"/>
      <c r="N8743"/>
      <c r="O8743"/>
      <c r="P8743"/>
      <c r="Q8743"/>
      <c r="R8743"/>
      <c r="S8743"/>
    </row>
    <row r="8744" spans="13:19" ht="13.95" customHeight="1">
      <c r="M8744"/>
      <c r="N8744"/>
      <c r="O8744"/>
      <c r="P8744"/>
      <c r="Q8744"/>
      <c r="R8744"/>
      <c r="S8744"/>
    </row>
    <row r="8745" spans="13:19" ht="13.95" customHeight="1">
      <c r="M8745"/>
      <c r="N8745"/>
      <c r="O8745"/>
      <c r="P8745"/>
      <c r="Q8745"/>
      <c r="R8745"/>
      <c r="S8745"/>
    </row>
    <row r="8746" spans="13:19" ht="13.95" customHeight="1">
      <c r="M8746"/>
      <c r="N8746"/>
      <c r="O8746"/>
      <c r="P8746"/>
      <c r="Q8746"/>
      <c r="R8746"/>
      <c r="S8746"/>
    </row>
    <row r="8747" spans="13:19" ht="13.95" customHeight="1">
      <c r="M8747"/>
      <c r="N8747"/>
      <c r="O8747"/>
      <c r="P8747"/>
      <c r="Q8747"/>
      <c r="R8747"/>
      <c r="S8747"/>
    </row>
    <row r="8748" spans="13:19" ht="13.95" customHeight="1">
      <c r="M8748"/>
      <c r="N8748"/>
      <c r="O8748"/>
      <c r="P8748"/>
      <c r="Q8748"/>
      <c r="R8748"/>
      <c r="S8748"/>
    </row>
    <row r="8749" spans="13:19" ht="13.95" customHeight="1">
      <c r="M8749"/>
      <c r="N8749"/>
      <c r="O8749"/>
      <c r="P8749"/>
      <c r="Q8749"/>
      <c r="R8749"/>
      <c r="S8749"/>
    </row>
    <row r="8750" spans="13:19" ht="13.95" customHeight="1">
      <c r="M8750"/>
      <c r="N8750"/>
      <c r="O8750"/>
      <c r="P8750"/>
      <c r="Q8750"/>
      <c r="R8750"/>
      <c r="S8750"/>
    </row>
    <row r="8751" spans="13:19" ht="13.95" customHeight="1">
      <c r="M8751"/>
      <c r="N8751"/>
      <c r="O8751"/>
      <c r="P8751"/>
      <c r="Q8751"/>
      <c r="R8751"/>
      <c r="S8751"/>
    </row>
    <row r="8752" spans="13:19" ht="13.95" customHeight="1">
      <c r="M8752"/>
      <c r="N8752"/>
      <c r="O8752"/>
      <c r="P8752"/>
      <c r="Q8752"/>
      <c r="R8752"/>
      <c r="S8752"/>
    </row>
    <row r="8753" spans="13:19" ht="13.95" customHeight="1">
      <c r="M8753"/>
      <c r="N8753"/>
      <c r="O8753"/>
      <c r="P8753"/>
      <c r="Q8753"/>
      <c r="R8753"/>
      <c r="S8753"/>
    </row>
    <row r="8754" spans="13:19" ht="13.95" customHeight="1">
      <c r="M8754"/>
      <c r="N8754"/>
      <c r="O8754"/>
      <c r="P8754"/>
      <c r="Q8754"/>
      <c r="R8754"/>
      <c r="S8754"/>
    </row>
    <row r="8755" spans="13:19" ht="13.95" customHeight="1">
      <c r="M8755"/>
      <c r="N8755"/>
      <c r="O8755"/>
      <c r="P8755"/>
      <c r="Q8755"/>
      <c r="R8755"/>
      <c r="S8755"/>
    </row>
    <row r="8756" spans="13:19" ht="13.95" customHeight="1">
      <c r="M8756"/>
      <c r="N8756"/>
      <c r="O8756"/>
      <c r="P8756"/>
      <c r="Q8756"/>
      <c r="R8756"/>
      <c r="S8756"/>
    </row>
    <row r="8757" spans="13:19" ht="13.95" customHeight="1">
      <c r="M8757"/>
      <c r="N8757"/>
      <c r="O8757"/>
      <c r="P8757"/>
      <c r="Q8757"/>
      <c r="R8757"/>
      <c r="S8757"/>
    </row>
    <row r="8758" spans="13:19" ht="13.95" customHeight="1">
      <c r="M8758"/>
      <c r="N8758"/>
      <c r="O8758"/>
      <c r="P8758"/>
      <c r="Q8758"/>
      <c r="R8758"/>
      <c r="S8758"/>
    </row>
    <row r="8759" spans="13:19" ht="13.95" customHeight="1">
      <c r="M8759"/>
      <c r="N8759"/>
      <c r="O8759"/>
      <c r="P8759"/>
      <c r="Q8759"/>
      <c r="R8759"/>
      <c r="S8759"/>
    </row>
    <row r="8760" spans="13:19" ht="13.95" customHeight="1">
      <c r="M8760"/>
      <c r="N8760"/>
      <c r="O8760"/>
      <c r="P8760"/>
      <c r="Q8760"/>
      <c r="R8760"/>
      <c r="S8760"/>
    </row>
    <row r="8761" spans="13:19" ht="13.95" customHeight="1">
      <c r="M8761"/>
      <c r="N8761"/>
      <c r="O8761"/>
      <c r="P8761"/>
      <c r="Q8761"/>
      <c r="R8761"/>
      <c r="S8761"/>
    </row>
    <row r="8762" spans="13:19" ht="13.95" customHeight="1">
      <c r="M8762"/>
      <c r="N8762"/>
      <c r="O8762"/>
      <c r="P8762"/>
      <c r="Q8762"/>
      <c r="R8762"/>
      <c r="S8762"/>
    </row>
    <row r="8763" spans="13:19" ht="13.95" customHeight="1">
      <c r="M8763"/>
      <c r="N8763"/>
      <c r="O8763"/>
      <c r="P8763"/>
      <c r="Q8763"/>
      <c r="R8763"/>
      <c r="S8763"/>
    </row>
    <row r="8764" spans="13:19" ht="13.95" customHeight="1">
      <c r="M8764"/>
      <c r="N8764"/>
      <c r="O8764"/>
      <c r="P8764"/>
      <c r="Q8764"/>
      <c r="R8764"/>
      <c r="S8764"/>
    </row>
    <row r="8765" spans="13:19" ht="13.95" customHeight="1">
      <c r="M8765"/>
      <c r="N8765"/>
      <c r="O8765"/>
      <c r="P8765"/>
      <c r="Q8765"/>
      <c r="R8765"/>
      <c r="S8765"/>
    </row>
    <row r="8766" spans="13:19" ht="13.95" customHeight="1">
      <c r="M8766"/>
      <c r="N8766"/>
      <c r="O8766"/>
      <c r="P8766"/>
      <c r="Q8766"/>
      <c r="R8766"/>
      <c r="S8766"/>
    </row>
    <row r="8767" spans="13:19" ht="13.95" customHeight="1">
      <c r="M8767"/>
      <c r="N8767"/>
      <c r="O8767"/>
      <c r="P8767"/>
      <c r="Q8767"/>
      <c r="R8767"/>
      <c r="S8767"/>
    </row>
    <row r="8768" spans="13:19" ht="13.95" customHeight="1">
      <c r="M8768"/>
      <c r="N8768"/>
      <c r="O8768"/>
      <c r="P8768"/>
      <c r="Q8768"/>
      <c r="R8768"/>
      <c r="S8768"/>
    </row>
    <row r="8769" spans="13:19" ht="13.95" customHeight="1">
      <c r="M8769"/>
      <c r="N8769"/>
      <c r="O8769"/>
      <c r="P8769"/>
      <c r="Q8769"/>
      <c r="R8769"/>
      <c r="S8769"/>
    </row>
    <row r="8770" spans="13:19" ht="13.95" customHeight="1">
      <c r="M8770"/>
      <c r="N8770"/>
      <c r="O8770"/>
      <c r="P8770"/>
      <c r="Q8770"/>
      <c r="R8770"/>
      <c r="S8770"/>
    </row>
    <row r="8771" spans="13:19" ht="13.95" customHeight="1">
      <c r="M8771"/>
      <c r="N8771"/>
      <c r="O8771"/>
      <c r="P8771"/>
      <c r="Q8771"/>
      <c r="R8771"/>
      <c r="S8771"/>
    </row>
    <row r="8772" spans="13:19" ht="13.95" customHeight="1">
      <c r="M8772"/>
      <c r="N8772"/>
      <c r="O8772"/>
      <c r="P8772"/>
      <c r="Q8772"/>
      <c r="R8772"/>
      <c r="S8772"/>
    </row>
    <row r="8773" spans="13:19" ht="13.95" customHeight="1">
      <c r="M8773"/>
      <c r="N8773"/>
      <c r="O8773"/>
      <c r="P8773"/>
      <c r="Q8773"/>
      <c r="R8773"/>
      <c r="S8773"/>
    </row>
    <row r="8774" spans="13:19" ht="13.95" customHeight="1">
      <c r="M8774"/>
      <c r="N8774"/>
      <c r="O8774"/>
      <c r="P8774"/>
      <c r="Q8774"/>
      <c r="R8774"/>
      <c r="S8774"/>
    </row>
    <row r="8775" spans="13:19" ht="13.95" customHeight="1">
      <c r="M8775"/>
      <c r="N8775"/>
      <c r="O8775"/>
      <c r="P8775"/>
      <c r="Q8775"/>
      <c r="R8775"/>
      <c r="S8775"/>
    </row>
    <row r="8776" spans="13:19" ht="13.95" customHeight="1">
      <c r="M8776"/>
      <c r="N8776"/>
      <c r="O8776"/>
      <c r="P8776"/>
      <c r="Q8776"/>
      <c r="R8776"/>
      <c r="S8776"/>
    </row>
    <row r="8777" spans="13:19" ht="13.95" customHeight="1">
      <c r="M8777"/>
      <c r="N8777"/>
      <c r="O8777"/>
      <c r="P8777"/>
      <c r="Q8777"/>
      <c r="R8777"/>
      <c r="S8777"/>
    </row>
    <row r="8778" spans="13:19" ht="13.95" customHeight="1">
      <c r="M8778"/>
      <c r="N8778"/>
      <c r="O8778"/>
      <c r="P8778"/>
      <c r="Q8778"/>
      <c r="R8778"/>
      <c r="S8778"/>
    </row>
    <row r="8779" spans="13:19" ht="13.95" customHeight="1">
      <c r="M8779"/>
      <c r="N8779"/>
      <c r="O8779"/>
      <c r="P8779"/>
      <c r="Q8779"/>
      <c r="R8779"/>
      <c r="S8779"/>
    </row>
    <row r="8780" spans="13:19" ht="13.95" customHeight="1">
      <c r="M8780"/>
      <c r="N8780"/>
      <c r="O8780"/>
      <c r="P8780"/>
      <c r="Q8780"/>
      <c r="R8780"/>
      <c r="S8780"/>
    </row>
    <row r="8781" spans="13:19" ht="13.95" customHeight="1">
      <c r="M8781"/>
      <c r="N8781"/>
      <c r="O8781"/>
      <c r="P8781"/>
      <c r="Q8781"/>
      <c r="R8781"/>
      <c r="S8781"/>
    </row>
    <row r="8782" spans="13:19" ht="13.95" customHeight="1">
      <c r="M8782"/>
      <c r="N8782"/>
      <c r="O8782"/>
      <c r="P8782"/>
      <c r="Q8782"/>
      <c r="R8782"/>
      <c r="S8782"/>
    </row>
    <row r="8783" spans="13:19" ht="13.95" customHeight="1">
      <c r="M8783"/>
      <c r="N8783"/>
      <c r="O8783"/>
      <c r="P8783"/>
      <c r="Q8783"/>
      <c r="R8783"/>
      <c r="S8783"/>
    </row>
    <row r="8784" spans="13:19" ht="13.95" customHeight="1">
      <c r="M8784"/>
      <c r="N8784"/>
      <c r="O8784"/>
      <c r="P8784"/>
      <c r="Q8784"/>
      <c r="R8784"/>
      <c r="S8784"/>
    </row>
    <row r="8785" spans="13:19" ht="13.95" customHeight="1">
      <c r="M8785"/>
      <c r="N8785"/>
      <c r="O8785"/>
      <c r="P8785"/>
      <c r="Q8785"/>
      <c r="R8785"/>
      <c r="S8785"/>
    </row>
    <row r="8786" spans="13:19" ht="13.95" customHeight="1">
      <c r="M8786"/>
      <c r="N8786"/>
      <c r="O8786"/>
      <c r="P8786"/>
      <c r="Q8786"/>
      <c r="R8786"/>
      <c r="S8786"/>
    </row>
    <row r="8787" spans="13:19" ht="13.95" customHeight="1">
      <c r="M8787"/>
      <c r="N8787"/>
      <c r="O8787"/>
      <c r="P8787"/>
      <c r="Q8787"/>
      <c r="R8787"/>
      <c r="S8787"/>
    </row>
    <row r="8788" spans="13:19" ht="13.95" customHeight="1">
      <c r="M8788"/>
      <c r="N8788"/>
      <c r="O8788"/>
      <c r="P8788"/>
      <c r="Q8788"/>
      <c r="R8788"/>
      <c r="S8788"/>
    </row>
    <row r="8789" spans="13:19" ht="13.95" customHeight="1">
      <c r="M8789"/>
      <c r="N8789"/>
      <c r="O8789"/>
      <c r="P8789"/>
      <c r="Q8789"/>
      <c r="R8789"/>
      <c r="S8789"/>
    </row>
    <row r="8790" spans="13:19" ht="13.95" customHeight="1">
      <c r="M8790"/>
      <c r="N8790"/>
      <c r="O8790"/>
      <c r="P8790"/>
      <c r="Q8790"/>
      <c r="R8790"/>
      <c r="S8790"/>
    </row>
    <row r="8791" spans="13:19" ht="13.95" customHeight="1">
      <c r="M8791"/>
      <c r="N8791"/>
      <c r="O8791"/>
      <c r="P8791"/>
      <c r="Q8791"/>
      <c r="R8791"/>
      <c r="S8791"/>
    </row>
    <row r="8792" spans="13:19" ht="13.95" customHeight="1">
      <c r="M8792"/>
      <c r="N8792"/>
      <c r="O8792"/>
      <c r="P8792"/>
      <c r="Q8792"/>
      <c r="R8792"/>
      <c r="S8792"/>
    </row>
    <row r="8793" spans="13:19" ht="13.95" customHeight="1">
      <c r="M8793"/>
      <c r="N8793"/>
      <c r="O8793"/>
      <c r="P8793"/>
      <c r="Q8793"/>
      <c r="R8793"/>
      <c r="S8793"/>
    </row>
    <row r="8794" spans="13:19" ht="13.95" customHeight="1">
      <c r="M8794"/>
      <c r="N8794"/>
      <c r="O8794"/>
      <c r="P8794"/>
      <c r="Q8794"/>
      <c r="R8794"/>
      <c r="S8794"/>
    </row>
    <row r="8795" spans="13:19" ht="13.95" customHeight="1">
      <c r="M8795"/>
      <c r="N8795"/>
      <c r="O8795"/>
      <c r="P8795"/>
      <c r="Q8795"/>
      <c r="R8795"/>
      <c r="S8795"/>
    </row>
    <row r="8796" spans="13:19" ht="13.95" customHeight="1">
      <c r="M8796"/>
      <c r="N8796"/>
      <c r="O8796"/>
      <c r="P8796"/>
      <c r="Q8796"/>
      <c r="R8796"/>
      <c r="S8796"/>
    </row>
    <row r="8797" spans="13:19" ht="13.95" customHeight="1">
      <c r="M8797"/>
      <c r="N8797"/>
      <c r="O8797"/>
      <c r="P8797"/>
      <c r="Q8797"/>
      <c r="R8797"/>
      <c r="S8797"/>
    </row>
    <row r="8798" spans="13:19" ht="13.95" customHeight="1">
      <c r="M8798"/>
      <c r="N8798"/>
      <c r="O8798"/>
      <c r="P8798"/>
      <c r="Q8798"/>
      <c r="R8798"/>
      <c r="S8798"/>
    </row>
    <row r="8799" spans="13:19" ht="13.95" customHeight="1">
      <c r="M8799"/>
      <c r="N8799"/>
      <c r="O8799"/>
      <c r="P8799"/>
      <c r="Q8799"/>
      <c r="R8799"/>
      <c r="S8799"/>
    </row>
    <row r="8800" spans="13:19" ht="13.95" customHeight="1">
      <c r="M8800"/>
      <c r="N8800"/>
      <c r="O8800"/>
      <c r="P8800"/>
      <c r="Q8800"/>
      <c r="R8800"/>
      <c r="S8800"/>
    </row>
    <row r="8801" spans="13:19" ht="13.95" customHeight="1">
      <c r="M8801"/>
      <c r="N8801"/>
      <c r="O8801"/>
      <c r="P8801"/>
      <c r="Q8801"/>
      <c r="R8801"/>
      <c r="S8801"/>
    </row>
    <row r="8802" spans="13:19" ht="13.95" customHeight="1">
      <c r="M8802"/>
      <c r="N8802"/>
      <c r="O8802"/>
      <c r="P8802"/>
      <c r="Q8802"/>
      <c r="R8802"/>
      <c r="S8802"/>
    </row>
    <row r="8803" spans="13:19" ht="13.95" customHeight="1">
      <c r="M8803"/>
      <c r="N8803"/>
      <c r="O8803"/>
      <c r="P8803"/>
      <c r="Q8803"/>
      <c r="R8803"/>
      <c r="S8803"/>
    </row>
    <row r="8804" spans="13:19" ht="13.95" customHeight="1">
      <c r="M8804"/>
      <c r="N8804"/>
      <c r="O8804"/>
      <c r="P8804"/>
      <c r="Q8804"/>
      <c r="R8804"/>
      <c r="S8804"/>
    </row>
    <row r="8805" spans="13:19" ht="13.95" customHeight="1">
      <c r="M8805"/>
      <c r="N8805"/>
      <c r="O8805"/>
      <c r="P8805"/>
      <c r="Q8805"/>
      <c r="R8805"/>
      <c r="S8805"/>
    </row>
    <row r="8806" spans="13:19" ht="13.95" customHeight="1">
      <c r="M8806"/>
      <c r="N8806"/>
      <c r="O8806"/>
      <c r="P8806"/>
      <c r="Q8806"/>
      <c r="R8806"/>
      <c r="S8806"/>
    </row>
    <row r="8807" spans="13:19" ht="13.95" customHeight="1">
      <c r="M8807"/>
      <c r="N8807"/>
      <c r="O8807"/>
      <c r="P8807"/>
      <c r="Q8807"/>
      <c r="R8807"/>
      <c r="S8807"/>
    </row>
    <row r="8808" spans="13:19" ht="13.95" customHeight="1">
      <c r="M8808"/>
      <c r="N8808"/>
      <c r="O8808"/>
      <c r="P8808"/>
      <c r="Q8808"/>
      <c r="R8808"/>
      <c r="S8808"/>
    </row>
    <row r="8809" spans="13:19" ht="13.95" customHeight="1">
      <c r="M8809"/>
      <c r="N8809"/>
      <c r="O8809"/>
      <c r="P8809"/>
      <c r="Q8809"/>
      <c r="R8809"/>
      <c r="S8809"/>
    </row>
    <row r="8810" spans="13:19" ht="13.95" customHeight="1">
      <c r="M8810"/>
      <c r="N8810"/>
      <c r="O8810"/>
      <c r="P8810"/>
      <c r="Q8810"/>
      <c r="R8810"/>
      <c r="S8810"/>
    </row>
    <row r="8811" spans="13:19" ht="13.95" customHeight="1">
      <c r="M8811"/>
      <c r="N8811"/>
      <c r="O8811"/>
      <c r="P8811"/>
      <c r="Q8811"/>
      <c r="R8811"/>
      <c r="S8811"/>
    </row>
    <row r="8812" spans="13:19" ht="13.95" customHeight="1">
      <c r="M8812"/>
      <c r="N8812"/>
      <c r="O8812"/>
      <c r="P8812"/>
      <c r="Q8812"/>
      <c r="R8812"/>
      <c r="S8812"/>
    </row>
    <row r="8813" spans="13:19" ht="13.95" customHeight="1">
      <c r="M8813"/>
      <c r="N8813"/>
      <c r="O8813"/>
      <c r="P8813"/>
      <c r="Q8813"/>
      <c r="R8813"/>
      <c r="S8813"/>
    </row>
    <row r="8814" spans="13:19" ht="13.95" customHeight="1">
      <c r="M8814"/>
      <c r="N8814"/>
      <c r="O8814"/>
      <c r="P8814"/>
      <c r="Q8814"/>
      <c r="R8814"/>
      <c r="S8814"/>
    </row>
    <row r="8815" spans="13:19" ht="13.95" customHeight="1">
      <c r="M8815"/>
      <c r="N8815"/>
      <c r="O8815"/>
      <c r="P8815"/>
      <c r="Q8815"/>
      <c r="R8815"/>
      <c r="S8815"/>
    </row>
    <row r="8816" spans="13:19" ht="13.95" customHeight="1">
      <c r="M8816"/>
      <c r="N8816"/>
      <c r="O8816"/>
      <c r="P8816"/>
      <c r="Q8816"/>
      <c r="R8816"/>
      <c r="S8816"/>
    </row>
    <row r="8817" spans="13:19" ht="13.95" customHeight="1">
      <c r="M8817"/>
      <c r="N8817"/>
      <c r="O8817"/>
      <c r="P8817"/>
      <c r="Q8817"/>
      <c r="R8817"/>
      <c r="S8817"/>
    </row>
    <row r="8818" spans="13:19" ht="13.95" customHeight="1">
      <c r="M8818"/>
      <c r="N8818"/>
      <c r="O8818"/>
      <c r="P8818"/>
      <c r="Q8818"/>
      <c r="R8818"/>
      <c r="S8818"/>
    </row>
    <row r="8819" spans="13:19" ht="13.95" customHeight="1">
      <c r="M8819"/>
      <c r="N8819"/>
      <c r="O8819"/>
      <c r="P8819"/>
      <c r="Q8819"/>
      <c r="R8819"/>
      <c r="S8819"/>
    </row>
    <row r="8820" spans="13:19" ht="13.95" customHeight="1">
      <c r="M8820"/>
      <c r="N8820"/>
      <c r="O8820"/>
      <c r="P8820"/>
      <c r="Q8820"/>
      <c r="R8820"/>
      <c r="S8820"/>
    </row>
    <row r="8821" spans="13:19" ht="13.95" customHeight="1">
      <c r="M8821"/>
      <c r="N8821"/>
      <c r="O8821"/>
      <c r="P8821"/>
      <c r="Q8821"/>
      <c r="R8821"/>
      <c r="S8821"/>
    </row>
    <row r="8822" spans="13:19" ht="13.95" customHeight="1">
      <c r="M8822"/>
      <c r="N8822"/>
      <c r="O8822"/>
      <c r="P8822"/>
      <c r="Q8822"/>
      <c r="R8822"/>
      <c r="S8822"/>
    </row>
    <row r="8823" spans="13:19" ht="13.95" customHeight="1">
      <c r="M8823"/>
      <c r="N8823"/>
      <c r="O8823"/>
      <c r="P8823"/>
      <c r="Q8823"/>
      <c r="R8823"/>
      <c r="S8823"/>
    </row>
    <row r="8824" spans="13:19" ht="13.95" customHeight="1">
      <c r="M8824"/>
      <c r="N8824"/>
      <c r="O8824"/>
      <c r="P8824"/>
      <c r="Q8824"/>
      <c r="R8824"/>
      <c r="S8824"/>
    </row>
    <row r="8825" spans="13:19" ht="13.95" customHeight="1">
      <c r="M8825"/>
      <c r="N8825"/>
      <c r="O8825"/>
      <c r="P8825"/>
      <c r="Q8825"/>
      <c r="R8825"/>
      <c r="S8825"/>
    </row>
    <row r="8826" spans="13:19" ht="13.95" customHeight="1">
      <c r="M8826"/>
      <c r="N8826"/>
      <c r="O8826"/>
      <c r="P8826"/>
      <c r="Q8826"/>
      <c r="R8826"/>
      <c r="S8826"/>
    </row>
    <row r="8827" spans="13:19" ht="13.95" customHeight="1">
      <c r="M8827"/>
      <c r="N8827"/>
      <c r="O8827"/>
      <c r="P8827"/>
      <c r="Q8827"/>
      <c r="R8827"/>
      <c r="S8827"/>
    </row>
    <row r="8828" spans="13:19" ht="13.95" customHeight="1">
      <c r="M8828"/>
      <c r="N8828"/>
      <c r="O8828"/>
      <c r="P8828"/>
      <c r="Q8828"/>
      <c r="R8828"/>
      <c r="S8828"/>
    </row>
    <row r="8829" spans="13:19" ht="13.95" customHeight="1">
      <c r="M8829"/>
      <c r="N8829"/>
      <c r="O8829"/>
      <c r="P8829"/>
      <c r="Q8829"/>
      <c r="R8829"/>
      <c r="S8829"/>
    </row>
    <row r="8830" spans="13:19" ht="13.95" customHeight="1">
      <c r="M8830"/>
      <c r="N8830"/>
      <c r="O8830"/>
      <c r="P8830"/>
      <c r="Q8830"/>
      <c r="R8830"/>
      <c r="S8830"/>
    </row>
    <row r="8831" spans="13:19" ht="13.95" customHeight="1">
      <c r="M8831"/>
      <c r="N8831"/>
      <c r="O8831"/>
      <c r="P8831"/>
      <c r="Q8831"/>
      <c r="R8831"/>
      <c r="S8831"/>
    </row>
    <row r="8832" spans="13:19" ht="13.95" customHeight="1">
      <c r="M8832"/>
      <c r="N8832"/>
      <c r="O8832"/>
      <c r="P8832"/>
      <c r="Q8832"/>
      <c r="R8832"/>
      <c r="S8832"/>
    </row>
    <row r="8833" spans="13:19" ht="13.95" customHeight="1">
      <c r="M8833"/>
      <c r="N8833"/>
      <c r="O8833"/>
      <c r="P8833"/>
      <c r="Q8833"/>
      <c r="R8833"/>
      <c r="S8833"/>
    </row>
    <row r="8834" spans="13:19" ht="13.95" customHeight="1">
      <c r="M8834"/>
      <c r="N8834"/>
      <c r="O8834"/>
      <c r="P8834"/>
      <c r="Q8834"/>
      <c r="R8834"/>
      <c r="S8834"/>
    </row>
    <row r="8835" spans="13:19" ht="13.95" customHeight="1">
      <c r="M8835"/>
      <c r="N8835"/>
      <c r="O8835"/>
      <c r="P8835"/>
      <c r="Q8835"/>
      <c r="R8835"/>
      <c r="S8835"/>
    </row>
    <row r="8836" spans="13:19" ht="13.95" customHeight="1">
      <c r="M8836"/>
      <c r="N8836"/>
      <c r="O8836"/>
      <c r="P8836"/>
      <c r="Q8836"/>
      <c r="R8836"/>
      <c r="S8836"/>
    </row>
    <row r="8837" spans="13:19" ht="13.95" customHeight="1">
      <c r="M8837"/>
      <c r="N8837"/>
      <c r="O8837"/>
      <c r="P8837"/>
      <c r="Q8837"/>
      <c r="R8837"/>
      <c r="S8837"/>
    </row>
    <row r="8838" spans="13:19" ht="13.95" customHeight="1">
      <c r="M8838"/>
      <c r="N8838"/>
      <c r="O8838"/>
      <c r="P8838"/>
      <c r="Q8838"/>
      <c r="R8838"/>
      <c r="S8838"/>
    </row>
    <row r="8839" spans="13:19" ht="13.95" customHeight="1">
      <c r="M8839"/>
      <c r="N8839"/>
      <c r="O8839"/>
      <c r="P8839"/>
      <c r="Q8839"/>
      <c r="R8839"/>
      <c r="S8839"/>
    </row>
    <row r="8840" spans="13:19" ht="13.95" customHeight="1">
      <c r="M8840"/>
      <c r="N8840"/>
      <c r="O8840"/>
      <c r="P8840"/>
      <c r="Q8840"/>
      <c r="R8840"/>
      <c r="S8840"/>
    </row>
    <row r="8841" spans="13:19" ht="13.95" customHeight="1">
      <c r="M8841"/>
      <c r="N8841"/>
      <c r="O8841"/>
      <c r="P8841"/>
      <c r="Q8841"/>
      <c r="R8841"/>
      <c r="S8841"/>
    </row>
    <row r="8842" spans="13:19" ht="13.95" customHeight="1">
      <c r="M8842"/>
      <c r="N8842"/>
      <c r="O8842"/>
      <c r="P8842"/>
      <c r="Q8842"/>
      <c r="R8842"/>
      <c r="S8842"/>
    </row>
    <row r="8843" spans="13:19" ht="13.95" customHeight="1">
      <c r="M8843"/>
      <c r="N8843"/>
      <c r="O8843"/>
      <c r="P8843"/>
      <c r="Q8843"/>
      <c r="R8843"/>
      <c r="S8843"/>
    </row>
    <row r="8844" spans="13:19" ht="13.95" customHeight="1">
      <c r="M8844"/>
      <c r="N8844"/>
      <c r="O8844"/>
      <c r="P8844"/>
      <c r="Q8844"/>
      <c r="R8844"/>
      <c r="S8844"/>
    </row>
    <row r="8845" spans="13:19" ht="13.95" customHeight="1">
      <c r="M8845"/>
      <c r="N8845"/>
      <c r="O8845"/>
      <c r="P8845"/>
      <c r="Q8845"/>
      <c r="R8845"/>
      <c r="S8845"/>
    </row>
    <row r="8846" spans="13:19" ht="13.95" customHeight="1">
      <c r="M8846"/>
      <c r="N8846"/>
      <c r="O8846"/>
      <c r="P8846"/>
      <c r="Q8846"/>
      <c r="R8846"/>
      <c r="S8846"/>
    </row>
    <row r="8847" spans="13:19" ht="13.95" customHeight="1">
      <c r="M8847"/>
      <c r="N8847"/>
      <c r="O8847"/>
      <c r="P8847"/>
      <c r="Q8847"/>
      <c r="R8847"/>
      <c r="S8847"/>
    </row>
    <row r="8848" spans="13:19" ht="13.95" customHeight="1">
      <c r="M8848"/>
      <c r="N8848"/>
      <c r="O8848"/>
      <c r="P8848"/>
      <c r="Q8848"/>
      <c r="R8848"/>
      <c r="S8848"/>
    </row>
    <row r="8849" spans="13:19" ht="13.95" customHeight="1">
      <c r="M8849"/>
      <c r="N8849"/>
      <c r="O8849"/>
      <c r="P8849"/>
      <c r="Q8849"/>
      <c r="R8849"/>
      <c r="S8849"/>
    </row>
    <row r="8850" spans="13:19" ht="13.95" customHeight="1">
      <c r="M8850"/>
      <c r="N8850"/>
      <c r="O8850"/>
      <c r="P8850"/>
      <c r="Q8850"/>
      <c r="R8850"/>
      <c r="S8850"/>
    </row>
    <row r="8851" spans="13:19" ht="13.95" customHeight="1">
      <c r="M8851"/>
      <c r="N8851"/>
      <c r="O8851"/>
      <c r="P8851"/>
      <c r="Q8851"/>
      <c r="R8851"/>
      <c r="S8851"/>
    </row>
    <row r="8852" spans="13:19" ht="13.95" customHeight="1">
      <c r="M8852"/>
      <c r="N8852"/>
      <c r="O8852"/>
      <c r="P8852"/>
      <c r="Q8852"/>
      <c r="R8852"/>
      <c r="S8852"/>
    </row>
    <row r="8853" spans="13:19" ht="13.95" customHeight="1">
      <c r="M8853"/>
      <c r="N8853"/>
      <c r="O8853"/>
      <c r="P8853"/>
      <c r="Q8853"/>
      <c r="R8853"/>
      <c r="S8853"/>
    </row>
    <row r="8854" spans="13:19" ht="13.95" customHeight="1">
      <c r="M8854"/>
      <c r="N8854"/>
      <c r="O8854"/>
      <c r="P8854"/>
      <c r="Q8854"/>
      <c r="R8854"/>
      <c r="S8854"/>
    </row>
    <row r="8855" spans="13:19" ht="13.95" customHeight="1">
      <c r="M8855"/>
      <c r="N8855"/>
      <c r="O8855"/>
      <c r="P8855"/>
      <c r="Q8855"/>
      <c r="R8855"/>
      <c r="S8855"/>
    </row>
    <row r="8856" spans="13:19" ht="13.95" customHeight="1">
      <c r="M8856"/>
      <c r="N8856"/>
      <c r="O8856"/>
      <c r="P8856"/>
      <c r="Q8856"/>
      <c r="R8856"/>
      <c r="S8856"/>
    </row>
    <row r="8857" spans="13:19" ht="13.95" customHeight="1">
      <c r="M8857"/>
      <c r="N8857"/>
      <c r="O8857"/>
      <c r="P8857"/>
      <c r="Q8857"/>
      <c r="R8857"/>
      <c r="S8857"/>
    </row>
    <row r="8858" spans="13:19" ht="13.95" customHeight="1">
      <c r="M8858"/>
      <c r="N8858"/>
      <c r="O8858"/>
      <c r="P8858"/>
      <c r="Q8858"/>
      <c r="R8858"/>
      <c r="S8858"/>
    </row>
    <row r="8859" spans="13:19" ht="13.95" customHeight="1">
      <c r="M8859"/>
      <c r="N8859"/>
      <c r="O8859"/>
      <c r="P8859"/>
      <c r="Q8859"/>
      <c r="R8859"/>
      <c r="S8859"/>
    </row>
    <row r="8860" spans="13:19" ht="13.95" customHeight="1">
      <c r="M8860"/>
      <c r="N8860"/>
      <c r="O8860"/>
      <c r="P8860"/>
      <c r="Q8860"/>
      <c r="R8860"/>
      <c r="S8860"/>
    </row>
    <row r="8861" spans="13:19" ht="13.95" customHeight="1">
      <c r="M8861"/>
      <c r="N8861"/>
      <c r="O8861"/>
      <c r="P8861"/>
      <c r="Q8861"/>
      <c r="R8861"/>
      <c r="S8861"/>
    </row>
    <row r="8862" spans="13:19" ht="13.95" customHeight="1">
      <c r="M8862"/>
      <c r="N8862"/>
      <c r="O8862"/>
      <c r="P8862"/>
      <c r="Q8862"/>
      <c r="R8862"/>
      <c r="S8862"/>
    </row>
    <row r="8863" spans="13:19" ht="13.95" customHeight="1">
      <c r="M8863"/>
      <c r="N8863"/>
      <c r="O8863"/>
      <c r="P8863"/>
      <c r="Q8863"/>
      <c r="R8863"/>
      <c r="S8863"/>
    </row>
    <row r="8864" spans="13:19" ht="13.95" customHeight="1">
      <c r="M8864"/>
      <c r="N8864"/>
      <c r="O8864"/>
      <c r="P8864"/>
      <c r="Q8864"/>
      <c r="R8864"/>
      <c r="S8864"/>
    </row>
    <row r="8865" spans="13:19" ht="13.95" customHeight="1">
      <c r="M8865"/>
      <c r="N8865"/>
      <c r="O8865"/>
      <c r="P8865"/>
      <c r="Q8865"/>
      <c r="R8865"/>
      <c r="S8865"/>
    </row>
    <row r="8866" spans="13:19" ht="13.95" customHeight="1">
      <c r="M8866"/>
      <c r="N8866"/>
      <c r="O8866"/>
      <c r="P8866"/>
      <c r="Q8866"/>
      <c r="R8866"/>
      <c r="S8866"/>
    </row>
    <row r="8867" spans="13:19" ht="13.95" customHeight="1">
      <c r="M8867"/>
      <c r="N8867"/>
      <c r="O8867"/>
      <c r="P8867"/>
      <c r="Q8867"/>
      <c r="R8867"/>
      <c r="S8867"/>
    </row>
    <row r="8868" spans="13:19" ht="13.95" customHeight="1">
      <c r="M8868"/>
      <c r="N8868"/>
      <c r="O8868"/>
      <c r="P8868"/>
      <c r="Q8868"/>
      <c r="R8868"/>
      <c r="S8868"/>
    </row>
    <row r="8869" spans="13:19" ht="13.95" customHeight="1">
      <c r="M8869"/>
      <c r="N8869"/>
      <c r="O8869"/>
      <c r="P8869"/>
      <c r="Q8869"/>
      <c r="R8869"/>
      <c r="S8869"/>
    </row>
    <row r="8870" spans="13:19" ht="13.95" customHeight="1">
      <c r="M8870"/>
      <c r="N8870"/>
      <c r="O8870"/>
      <c r="P8870"/>
      <c r="Q8870"/>
      <c r="R8870"/>
      <c r="S8870"/>
    </row>
    <row r="8871" spans="13:19" ht="13.95" customHeight="1">
      <c r="M8871"/>
      <c r="N8871"/>
      <c r="O8871"/>
      <c r="P8871"/>
      <c r="Q8871"/>
      <c r="R8871"/>
      <c r="S8871"/>
    </row>
    <row r="8872" spans="13:19" ht="13.95" customHeight="1">
      <c r="M8872"/>
      <c r="N8872"/>
      <c r="O8872"/>
      <c r="P8872"/>
      <c r="Q8872"/>
      <c r="R8872"/>
      <c r="S8872"/>
    </row>
    <row r="8873" spans="13:19" ht="13.95" customHeight="1">
      <c r="M8873"/>
      <c r="N8873"/>
      <c r="O8873"/>
      <c r="P8873"/>
      <c r="Q8873"/>
      <c r="R8873"/>
      <c r="S8873"/>
    </row>
    <row r="8874" spans="13:19" ht="13.95" customHeight="1">
      <c r="M8874"/>
      <c r="N8874"/>
      <c r="O8874"/>
      <c r="P8874"/>
      <c r="Q8874"/>
      <c r="R8874"/>
      <c r="S8874"/>
    </row>
    <row r="8875" spans="13:19" ht="13.95" customHeight="1">
      <c r="M8875"/>
      <c r="N8875"/>
      <c r="O8875"/>
      <c r="P8875"/>
      <c r="Q8875"/>
      <c r="R8875"/>
      <c r="S8875"/>
    </row>
    <row r="8876" spans="13:19" ht="13.95" customHeight="1">
      <c r="M8876"/>
      <c r="N8876"/>
      <c r="O8876"/>
      <c r="P8876"/>
      <c r="Q8876"/>
      <c r="R8876"/>
      <c r="S8876"/>
    </row>
    <row r="8877" spans="13:19" ht="13.95" customHeight="1">
      <c r="M8877"/>
      <c r="N8877"/>
      <c r="O8877"/>
      <c r="P8877"/>
      <c r="Q8877"/>
      <c r="R8877"/>
      <c r="S8877"/>
    </row>
    <row r="8878" spans="13:19" ht="13.95" customHeight="1">
      <c r="M8878"/>
      <c r="N8878"/>
      <c r="O8878"/>
      <c r="P8878"/>
      <c r="Q8878"/>
      <c r="R8878"/>
      <c r="S8878"/>
    </row>
    <row r="8879" spans="13:19" ht="13.95" customHeight="1">
      <c r="M8879"/>
      <c r="N8879"/>
      <c r="O8879"/>
      <c r="P8879"/>
      <c r="Q8879"/>
      <c r="R8879"/>
      <c r="S8879"/>
    </row>
    <row r="8880" spans="13:19" ht="13.95" customHeight="1">
      <c r="M8880"/>
      <c r="N8880"/>
      <c r="O8880"/>
      <c r="P8880"/>
      <c r="Q8880"/>
      <c r="R8880"/>
      <c r="S8880"/>
    </row>
    <row r="8881" spans="13:19" ht="13.95" customHeight="1">
      <c r="M8881"/>
      <c r="N8881"/>
      <c r="O8881"/>
      <c r="P8881"/>
      <c r="Q8881"/>
      <c r="R8881"/>
      <c r="S8881"/>
    </row>
    <row r="8882" spans="13:19" ht="13.95" customHeight="1">
      <c r="M8882"/>
      <c r="N8882"/>
      <c r="O8882"/>
      <c r="P8882"/>
      <c r="Q8882"/>
      <c r="R8882"/>
      <c r="S8882"/>
    </row>
    <row r="8883" spans="13:19" ht="13.95" customHeight="1">
      <c r="M8883"/>
      <c r="N8883"/>
      <c r="O8883"/>
      <c r="P8883"/>
      <c r="Q8883"/>
      <c r="R8883"/>
      <c r="S8883"/>
    </row>
    <row r="8884" spans="13:19" ht="13.95" customHeight="1">
      <c r="M8884"/>
      <c r="N8884"/>
      <c r="O8884"/>
      <c r="P8884"/>
      <c r="Q8884"/>
      <c r="R8884"/>
      <c r="S8884"/>
    </row>
    <row r="8885" spans="13:19" ht="13.95" customHeight="1">
      <c r="M8885"/>
      <c r="N8885"/>
      <c r="O8885"/>
      <c r="P8885"/>
      <c r="Q8885"/>
      <c r="R8885"/>
      <c r="S8885"/>
    </row>
    <row r="8886" spans="13:19" ht="13.95" customHeight="1">
      <c r="M8886"/>
      <c r="N8886"/>
      <c r="O8886"/>
      <c r="P8886"/>
      <c r="Q8886"/>
      <c r="R8886"/>
      <c r="S8886"/>
    </row>
    <row r="8887" spans="13:19" ht="13.95" customHeight="1">
      <c r="M8887"/>
      <c r="N8887"/>
      <c r="O8887"/>
      <c r="P8887"/>
      <c r="Q8887"/>
      <c r="R8887"/>
      <c r="S8887"/>
    </row>
    <row r="8888" spans="13:19" ht="13.95" customHeight="1">
      <c r="M8888"/>
      <c r="N8888"/>
      <c r="O8888"/>
      <c r="P8888"/>
      <c r="Q8888"/>
      <c r="R8888"/>
      <c r="S8888"/>
    </row>
    <row r="8889" spans="13:19" ht="13.95" customHeight="1">
      <c r="M8889"/>
      <c r="N8889"/>
      <c r="O8889"/>
      <c r="P8889"/>
      <c r="Q8889"/>
      <c r="R8889"/>
      <c r="S8889"/>
    </row>
    <row r="8890" spans="13:19" ht="13.95" customHeight="1">
      <c r="M8890"/>
      <c r="N8890"/>
      <c r="O8890"/>
      <c r="P8890"/>
      <c r="Q8890"/>
      <c r="R8890"/>
      <c r="S8890"/>
    </row>
    <row r="8891" spans="13:19" ht="13.95" customHeight="1">
      <c r="M8891"/>
      <c r="N8891"/>
      <c r="O8891"/>
      <c r="P8891"/>
      <c r="Q8891"/>
      <c r="R8891"/>
      <c r="S8891"/>
    </row>
    <row r="8892" spans="13:19" ht="13.95" customHeight="1">
      <c r="M8892"/>
      <c r="N8892"/>
      <c r="O8892"/>
      <c r="P8892"/>
      <c r="Q8892"/>
      <c r="R8892"/>
      <c r="S8892"/>
    </row>
    <row r="8893" spans="13:19" ht="13.95" customHeight="1">
      <c r="M8893"/>
      <c r="N8893"/>
      <c r="O8893"/>
      <c r="P8893"/>
      <c r="Q8893"/>
      <c r="R8893"/>
      <c r="S8893"/>
    </row>
    <row r="8894" spans="13:19" ht="13.95" customHeight="1">
      <c r="M8894"/>
      <c r="N8894"/>
      <c r="O8894"/>
      <c r="P8894"/>
      <c r="Q8894"/>
      <c r="R8894"/>
      <c r="S8894"/>
    </row>
    <row r="8895" spans="13:19" ht="13.95" customHeight="1">
      <c r="M8895"/>
      <c r="N8895"/>
      <c r="O8895"/>
      <c r="P8895"/>
      <c r="Q8895"/>
      <c r="R8895"/>
      <c r="S8895"/>
    </row>
    <row r="8896" spans="13:19" ht="13.95" customHeight="1">
      <c r="M8896"/>
      <c r="N8896"/>
      <c r="O8896"/>
      <c r="P8896"/>
      <c r="Q8896"/>
      <c r="R8896"/>
      <c r="S8896"/>
    </row>
    <row r="8897" spans="13:19" ht="13.95" customHeight="1">
      <c r="M8897"/>
      <c r="N8897"/>
      <c r="O8897"/>
      <c r="P8897"/>
      <c r="Q8897"/>
      <c r="R8897"/>
      <c r="S8897"/>
    </row>
    <row r="8898" spans="13:19" ht="13.95" customHeight="1">
      <c r="M8898"/>
      <c r="N8898"/>
      <c r="O8898"/>
      <c r="P8898"/>
      <c r="Q8898"/>
      <c r="R8898"/>
      <c r="S8898"/>
    </row>
    <row r="8899" spans="13:19" ht="13.95" customHeight="1">
      <c r="M8899"/>
      <c r="N8899"/>
      <c r="O8899"/>
      <c r="P8899"/>
      <c r="Q8899"/>
      <c r="R8899"/>
      <c r="S8899"/>
    </row>
    <row r="8900" spans="13:19" ht="13.95" customHeight="1">
      <c r="M8900"/>
      <c r="N8900"/>
      <c r="O8900"/>
      <c r="P8900"/>
      <c r="Q8900"/>
      <c r="R8900"/>
      <c r="S8900"/>
    </row>
    <row r="8901" spans="13:19" ht="13.95" customHeight="1">
      <c r="M8901"/>
      <c r="N8901"/>
      <c r="O8901"/>
      <c r="P8901"/>
      <c r="Q8901"/>
      <c r="R8901"/>
      <c r="S8901"/>
    </row>
    <row r="8902" spans="13:19" ht="13.95" customHeight="1">
      <c r="M8902"/>
      <c r="N8902"/>
      <c r="O8902"/>
      <c r="P8902"/>
      <c r="Q8902"/>
      <c r="R8902"/>
      <c r="S8902"/>
    </row>
    <row r="8903" spans="13:19" ht="13.95" customHeight="1">
      <c r="M8903"/>
      <c r="N8903"/>
      <c r="O8903"/>
      <c r="P8903"/>
      <c r="Q8903"/>
      <c r="R8903"/>
      <c r="S8903"/>
    </row>
    <row r="8904" spans="13:19" ht="13.95" customHeight="1">
      <c r="M8904"/>
      <c r="N8904"/>
      <c r="O8904"/>
      <c r="P8904"/>
      <c r="Q8904"/>
      <c r="R8904"/>
      <c r="S8904"/>
    </row>
    <row r="8905" spans="13:19" ht="13.95" customHeight="1">
      <c r="M8905"/>
      <c r="N8905"/>
      <c r="O8905"/>
      <c r="P8905"/>
      <c r="Q8905"/>
      <c r="R8905"/>
      <c r="S8905"/>
    </row>
    <row r="8906" spans="13:19" ht="13.95" customHeight="1">
      <c r="M8906"/>
      <c r="N8906"/>
      <c r="O8906"/>
      <c r="P8906"/>
      <c r="Q8906"/>
      <c r="R8906"/>
      <c r="S8906"/>
    </row>
    <row r="8907" spans="13:19" ht="13.95" customHeight="1">
      <c r="M8907"/>
      <c r="N8907"/>
      <c r="O8907"/>
      <c r="P8907"/>
      <c r="Q8907"/>
      <c r="R8907"/>
      <c r="S8907"/>
    </row>
    <row r="8908" spans="13:19" ht="13.95" customHeight="1">
      <c r="M8908"/>
      <c r="N8908"/>
      <c r="O8908"/>
      <c r="P8908"/>
      <c r="Q8908"/>
      <c r="R8908"/>
      <c r="S8908"/>
    </row>
    <row r="8909" spans="13:19" ht="13.95" customHeight="1">
      <c r="M8909"/>
      <c r="N8909"/>
      <c r="O8909"/>
      <c r="P8909"/>
      <c r="Q8909"/>
      <c r="R8909"/>
      <c r="S8909"/>
    </row>
    <row r="8910" spans="13:19" ht="13.95" customHeight="1">
      <c r="M8910"/>
      <c r="N8910"/>
      <c r="O8910"/>
      <c r="P8910"/>
      <c r="Q8910"/>
      <c r="R8910"/>
      <c r="S8910"/>
    </row>
    <row r="8911" spans="13:19" ht="13.95" customHeight="1">
      <c r="M8911"/>
      <c r="N8911"/>
      <c r="O8911"/>
      <c r="P8911"/>
      <c r="Q8911"/>
      <c r="R8911"/>
      <c r="S8911"/>
    </row>
    <row r="8912" spans="13:19" ht="13.95" customHeight="1">
      <c r="M8912"/>
      <c r="N8912"/>
      <c r="O8912"/>
      <c r="P8912"/>
      <c r="Q8912"/>
      <c r="R8912"/>
      <c r="S8912"/>
    </row>
    <row r="8913" spans="13:19" ht="13.95" customHeight="1">
      <c r="M8913"/>
      <c r="N8913"/>
      <c r="O8913"/>
      <c r="P8913"/>
      <c r="Q8913"/>
      <c r="R8913"/>
      <c r="S8913"/>
    </row>
    <row r="8914" spans="13:19" ht="13.95" customHeight="1">
      <c r="M8914"/>
      <c r="N8914"/>
      <c r="O8914"/>
      <c r="P8914"/>
      <c r="Q8914"/>
      <c r="R8914"/>
      <c r="S8914"/>
    </row>
    <row r="8915" spans="13:19" ht="13.95" customHeight="1">
      <c r="M8915"/>
      <c r="N8915"/>
      <c r="O8915"/>
      <c r="P8915"/>
      <c r="Q8915"/>
      <c r="R8915"/>
      <c r="S8915"/>
    </row>
    <row r="8916" spans="13:19" ht="13.95" customHeight="1">
      <c r="M8916"/>
      <c r="N8916"/>
      <c r="O8916"/>
      <c r="P8916"/>
      <c r="Q8916"/>
      <c r="R8916"/>
      <c r="S8916"/>
    </row>
    <row r="8917" spans="13:19" ht="13.95" customHeight="1">
      <c r="M8917"/>
      <c r="N8917"/>
      <c r="O8917"/>
      <c r="P8917"/>
      <c r="Q8917"/>
      <c r="R8917"/>
      <c r="S8917"/>
    </row>
    <row r="8918" spans="13:19" ht="13.95" customHeight="1">
      <c r="M8918"/>
      <c r="N8918"/>
      <c r="O8918"/>
      <c r="P8918"/>
      <c r="Q8918"/>
      <c r="R8918"/>
      <c r="S8918"/>
    </row>
    <row r="8919" spans="13:19" ht="13.95" customHeight="1">
      <c r="M8919"/>
      <c r="N8919"/>
      <c r="O8919"/>
      <c r="P8919"/>
      <c r="Q8919"/>
      <c r="R8919"/>
      <c r="S8919"/>
    </row>
    <row r="8920" spans="13:19" ht="13.95" customHeight="1">
      <c r="M8920"/>
      <c r="N8920"/>
      <c r="O8920"/>
      <c r="P8920"/>
      <c r="Q8920"/>
      <c r="R8920"/>
      <c r="S8920"/>
    </row>
    <row r="8921" spans="13:19" ht="13.95" customHeight="1">
      <c r="M8921"/>
      <c r="N8921"/>
      <c r="O8921"/>
      <c r="P8921"/>
      <c r="Q8921"/>
      <c r="R8921"/>
      <c r="S8921"/>
    </row>
    <row r="8922" spans="13:19" ht="13.95" customHeight="1">
      <c r="M8922"/>
      <c r="N8922"/>
      <c r="O8922"/>
      <c r="P8922"/>
      <c r="Q8922"/>
      <c r="R8922"/>
      <c r="S8922"/>
    </row>
    <row r="8923" spans="13:19" ht="13.95" customHeight="1">
      <c r="M8923"/>
      <c r="N8923"/>
      <c r="O8923"/>
      <c r="P8923"/>
      <c r="Q8923"/>
      <c r="R8923"/>
      <c r="S8923"/>
    </row>
    <row r="8924" spans="13:19" ht="13.95" customHeight="1">
      <c r="M8924"/>
      <c r="N8924"/>
      <c r="O8924"/>
      <c r="P8924"/>
      <c r="Q8924"/>
      <c r="R8924"/>
      <c r="S8924"/>
    </row>
    <row r="8925" spans="13:19" ht="13.95" customHeight="1">
      <c r="M8925"/>
      <c r="N8925"/>
      <c r="O8925"/>
      <c r="P8925"/>
      <c r="Q8925"/>
      <c r="R8925"/>
      <c r="S8925"/>
    </row>
    <row r="8926" spans="13:19" ht="13.95" customHeight="1">
      <c r="M8926"/>
      <c r="N8926"/>
      <c r="O8926"/>
      <c r="P8926"/>
      <c r="Q8926"/>
      <c r="R8926"/>
      <c r="S8926"/>
    </row>
    <row r="8927" spans="13:19" ht="13.95" customHeight="1">
      <c r="M8927"/>
      <c r="N8927"/>
      <c r="O8927"/>
      <c r="P8927"/>
      <c r="Q8927"/>
      <c r="R8927"/>
      <c r="S8927"/>
    </row>
    <row r="8928" spans="13:19" ht="13.95" customHeight="1">
      <c r="M8928"/>
      <c r="N8928"/>
      <c r="O8928"/>
      <c r="P8928"/>
      <c r="Q8928"/>
      <c r="R8928"/>
      <c r="S8928"/>
    </row>
    <row r="8929" spans="13:19" ht="13.95" customHeight="1">
      <c r="M8929"/>
      <c r="N8929"/>
      <c r="O8929"/>
      <c r="P8929"/>
      <c r="Q8929"/>
      <c r="R8929"/>
      <c r="S8929"/>
    </row>
    <row r="8930" spans="13:19" ht="13.95" customHeight="1">
      <c r="M8930"/>
      <c r="N8930"/>
      <c r="O8930"/>
      <c r="P8930"/>
      <c r="Q8930"/>
      <c r="R8930"/>
      <c r="S8930"/>
    </row>
    <row r="8931" spans="13:19" ht="13.95" customHeight="1">
      <c r="M8931"/>
      <c r="N8931"/>
      <c r="O8931"/>
      <c r="P8931"/>
      <c r="Q8931"/>
      <c r="R8931"/>
      <c r="S8931"/>
    </row>
    <row r="8932" spans="13:19" ht="13.95" customHeight="1">
      <c r="M8932"/>
      <c r="N8932"/>
      <c r="O8932"/>
      <c r="P8932"/>
      <c r="Q8932"/>
      <c r="R8932"/>
      <c r="S8932"/>
    </row>
    <row r="8933" spans="13:19" ht="13.95" customHeight="1">
      <c r="M8933"/>
      <c r="N8933"/>
      <c r="O8933"/>
      <c r="P8933"/>
      <c r="Q8933"/>
      <c r="R8933"/>
      <c r="S8933"/>
    </row>
    <row r="8934" spans="13:19" ht="13.95" customHeight="1">
      <c r="M8934"/>
      <c r="N8934"/>
      <c r="O8934"/>
      <c r="P8934"/>
      <c r="Q8934"/>
      <c r="R8934"/>
      <c r="S8934"/>
    </row>
    <row r="8935" spans="13:19" ht="13.95" customHeight="1">
      <c r="M8935"/>
      <c r="N8935"/>
      <c r="O8935"/>
      <c r="P8935"/>
      <c r="Q8935"/>
      <c r="R8935"/>
      <c r="S8935"/>
    </row>
    <row r="8936" spans="13:19" ht="13.95" customHeight="1">
      <c r="M8936"/>
      <c r="N8936"/>
      <c r="O8936"/>
      <c r="P8936"/>
      <c r="Q8936"/>
      <c r="R8936"/>
      <c r="S8936"/>
    </row>
    <row r="8937" spans="13:19" ht="13.95" customHeight="1">
      <c r="M8937"/>
      <c r="N8937"/>
      <c r="O8937"/>
      <c r="P8937"/>
      <c r="Q8937"/>
      <c r="R8937"/>
      <c r="S8937"/>
    </row>
    <row r="8938" spans="13:19" ht="13.95" customHeight="1">
      <c r="M8938"/>
      <c r="N8938"/>
      <c r="O8938"/>
      <c r="P8938"/>
      <c r="Q8938"/>
      <c r="R8938"/>
      <c r="S8938"/>
    </row>
    <row r="8939" spans="13:19" ht="13.95" customHeight="1">
      <c r="M8939"/>
      <c r="N8939"/>
      <c r="O8939"/>
      <c r="P8939"/>
      <c r="Q8939"/>
      <c r="R8939"/>
      <c r="S8939"/>
    </row>
    <row r="8940" spans="13:19" ht="13.95" customHeight="1">
      <c r="M8940"/>
      <c r="N8940"/>
      <c r="O8940"/>
      <c r="P8940"/>
      <c r="Q8940"/>
      <c r="R8940"/>
      <c r="S8940"/>
    </row>
    <row r="8941" spans="13:19" ht="13.95" customHeight="1">
      <c r="M8941"/>
      <c r="N8941"/>
      <c r="O8941"/>
      <c r="P8941"/>
      <c r="Q8941"/>
      <c r="R8941"/>
      <c r="S8941"/>
    </row>
    <row r="8942" spans="13:19" ht="13.95" customHeight="1">
      <c r="M8942"/>
      <c r="N8942"/>
      <c r="O8942"/>
      <c r="P8942"/>
      <c r="Q8942"/>
      <c r="R8942"/>
      <c r="S8942"/>
    </row>
    <row r="8943" spans="13:19" ht="13.95" customHeight="1">
      <c r="M8943"/>
      <c r="N8943"/>
      <c r="O8943"/>
      <c r="P8943"/>
      <c r="Q8943"/>
      <c r="R8943"/>
      <c r="S8943"/>
    </row>
    <row r="8944" spans="13:19" ht="13.95" customHeight="1">
      <c r="M8944"/>
      <c r="N8944"/>
      <c r="O8944"/>
      <c r="P8944"/>
      <c r="Q8944"/>
      <c r="R8944"/>
      <c r="S8944"/>
    </row>
    <row r="8945" spans="13:19" ht="13.95" customHeight="1">
      <c r="M8945"/>
      <c r="N8945"/>
      <c r="O8945"/>
      <c r="P8945"/>
      <c r="Q8945"/>
      <c r="R8945"/>
      <c r="S8945"/>
    </row>
    <row r="8946" spans="13:19" ht="13.95" customHeight="1">
      <c r="M8946"/>
      <c r="N8946"/>
      <c r="O8946"/>
      <c r="P8946"/>
      <c r="Q8946"/>
      <c r="R8946"/>
      <c r="S8946"/>
    </row>
    <row r="8947" spans="13:19" ht="13.95" customHeight="1">
      <c r="M8947"/>
      <c r="N8947"/>
      <c r="O8947"/>
      <c r="P8947"/>
      <c r="Q8947"/>
      <c r="R8947"/>
      <c r="S8947"/>
    </row>
    <row r="8948" spans="13:19" ht="13.95" customHeight="1">
      <c r="M8948"/>
      <c r="N8948"/>
      <c r="O8948"/>
      <c r="P8948"/>
      <c r="Q8948"/>
      <c r="R8948"/>
      <c r="S8948"/>
    </row>
    <row r="8949" spans="13:19" ht="13.95" customHeight="1">
      <c r="M8949"/>
      <c r="N8949"/>
      <c r="O8949"/>
      <c r="P8949"/>
      <c r="Q8949"/>
      <c r="R8949"/>
      <c r="S8949"/>
    </row>
    <row r="8950" spans="13:19" ht="13.95" customHeight="1">
      <c r="M8950"/>
      <c r="N8950"/>
      <c r="O8950"/>
      <c r="P8950"/>
      <c r="Q8950"/>
      <c r="R8950"/>
      <c r="S8950"/>
    </row>
    <row r="8951" spans="13:19" ht="13.95" customHeight="1">
      <c r="M8951"/>
      <c r="N8951"/>
      <c r="O8951"/>
      <c r="P8951"/>
      <c r="Q8951"/>
      <c r="R8951"/>
      <c r="S8951"/>
    </row>
    <row r="8952" spans="13:19" ht="13.95" customHeight="1">
      <c r="M8952"/>
      <c r="N8952"/>
      <c r="O8952"/>
      <c r="P8952"/>
      <c r="Q8952"/>
      <c r="R8952"/>
      <c r="S8952"/>
    </row>
    <row r="8953" spans="13:19" ht="13.95" customHeight="1">
      <c r="M8953"/>
      <c r="N8953"/>
      <c r="O8953"/>
      <c r="P8953"/>
      <c r="Q8953"/>
      <c r="R8953"/>
      <c r="S8953"/>
    </row>
    <row r="8954" spans="13:19" ht="13.95" customHeight="1">
      <c r="M8954"/>
      <c r="N8954"/>
      <c r="O8954"/>
      <c r="P8954"/>
      <c r="Q8954"/>
      <c r="R8954"/>
      <c r="S8954"/>
    </row>
    <row r="8955" spans="13:19" ht="13.95" customHeight="1">
      <c r="M8955"/>
      <c r="N8955"/>
      <c r="O8955"/>
      <c r="P8955"/>
      <c r="Q8955"/>
      <c r="R8955"/>
      <c r="S8955"/>
    </row>
    <row r="8956" spans="13:19" ht="13.95" customHeight="1">
      <c r="M8956"/>
      <c r="N8956"/>
      <c r="O8956"/>
      <c r="P8956"/>
      <c r="Q8956"/>
      <c r="R8956"/>
      <c r="S8956"/>
    </row>
    <row r="8957" spans="13:19" ht="13.95" customHeight="1">
      <c r="M8957"/>
      <c r="N8957"/>
      <c r="O8957"/>
      <c r="P8957"/>
      <c r="Q8957"/>
      <c r="R8957"/>
      <c r="S8957"/>
    </row>
    <row r="8958" spans="13:19" ht="13.95" customHeight="1">
      <c r="M8958"/>
      <c r="N8958"/>
      <c r="O8958"/>
      <c r="P8958"/>
      <c r="Q8958"/>
      <c r="R8958"/>
      <c r="S8958"/>
    </row>
    <row r="8959" spans="13:19" ht="13.95" customHeight="1">
      <c r="M8959"/>
      <c r="N8959"/>
      <c r="O8959"/>
      <c r="P8959"/>
      <c r="Q8959"/>
      <c r="R8959"/>
      <c r="S8959"/>
    </row>
    <row r="8960" spans="13:19" ht="13.95" customHeight="1">
      <c r="M8960"/>
      <c r="N8960"/>
      <c r="O8960"/>
      <c r="P8960"/>
      <c r="Q8960"/>
      <c r="R8960"/>
      <c r="S8960"/>
    </row>
    <row r="8961" spans="13:19" ht="13.95" customHeight="1">
      <c r="M8961"/>
      <c r="N8961"/>
      <c r="O8961"/>
      <c r="P8961"/>
      <c r="Q8961"/>
      <c r="R8961"/>
      <c r="S8961"/>
    </row>
    <row r="8962" spans="13:19" ht="13.95" customHeight="1">
      <c r="M8962"/>
      <c r="N8962"/>
      <c r="O8962"/>
      <c r="P8962"/>
      <c r="Q8962"/>
      <c r="R8962"/>
      <c r="S8962"/>
    </row>
    <row r="8963" spans="13:19" ht="13.95" customHeight="1">
      <c r="M8963"/>
      <c r="N8963"/>
      <c r="O8963"/>
      <c r="P8963"/>
      <c r="Q8963"/>
      <c r="R8963"/>
      <c r="S8963"/>
    </row>
    <row r="8964" spans="13:19" ht="13.95" customHeight="1">
      <c r="M8964"/>
      <c r="N8964"/>
      <c r="O8964"/>
      <c r="P8964"/>
      <c r="Q8964"/>
      <c r="R8964"/>
      <c r="S8964"/>
    </row>
    <row r="8965" spans="13:19" ht="13.95" customHeight="1">
      <c r="M8965"/>
      <c r="N8965"/>
      <c r="O8965"/>
      <c r="P8965"/>
      <c r="Q8965"/>
      <c r="R8965"/>
      <c r="S8965"/>
    </row>
    <row r="8966" spans="13:19" ht="13.95" customHeight="1">
      <c r="M8966"/>
      <c r="N8966"/>
      <c r="O8966"/>
      <c r="P8966"/>
      <c r="Q8966"/>
      <c r="R8966"/>
      <c r="S8966"/>
    </row>
    <row r="8967" spans="13:19" ht="13.95" customHeight="1">
      <c r="M8967"/>
      <c r="N8967"/>
      <c r="O8967"/>
      <c r="P8967"/>
      <c r="Q8967"/>
      <c r="R8967"/>
      <c r="S8967"/>
    </row>
    <row r="8968" spans="13:19" ht="13.95" customHeight="1">
      <c r="M8968"/>
      <c r="N8968"/>
      <c r="O8968"/>
      <c r="P8968"/>
      <c r="Q8968"/>
      <c r="R8968"/>
      <c r="S8968"/>
    </row>
    <row r="8969" spans="13:19" ht="13.95" customHeight="1">
      <c r="M8969"/>
      <c r="N8969"/>
      <c r="O8969"/>
      <c r="P8969"/>
      <c r="Q8969"/>
      <c r="R8969"/>
      <c r="S8969"/>
    </row>
    <row r="8970" spans="13:19" ht="13.95" customHeight="1">
      <c r="M8970"/>
      <c r="N8970"/>
      <c r="O8970"/>
      <c r="P8970"/>
      <c r="Q8970"/>
      <c r="R8970"/>
      <c r="S8970"/>
    </row>
    <row r="8971" spans="13:19" ht="13.95" customHeight="1">
      <c r="M8971"/>
      <c r="N8971"/>
      <c r="O8971"/>
      <c r="P8971"/>
      <c r="Q8971"/>
      <c r="R8971"/>
      <c r="S8971"/>
    </row>
    <row r="8972" spans="13:19" ht="13.95" customHeight="1">
      <c r="M8972"/>
      <c r="N8972"/>
      <c r="O8972"/>
      <c r="P8972"/>
      <c r="Q8972"/>
      <c r="R8972"/>
      <c r="S8972"/>
    </row>
    <row r="8973" spans="13:19" ht="13.95" customHeight="1">
      <c r="M8973"/>
      <c r="N8973"/>
      <c r="O8973"/>
      <c r="P8973"/>
      <c r="Q8973"/>
      <c r="R8973"/>
      <c r="S8973"/>
    </row>
    <row r="8974" spans="13:19" ht="13.95" customHeight="1">
      <c r="M8974"/>
      <c r="N8974"/>
      <c r="O8974"/>
      <c r="P8974"/>
      <c r="Q8974"/>
      <c r="R8974"/>
      <c r="S8974"/>
    </row>
    <row r="8975" spans="13:19" ht="13.95" customHeight="1">
      <c r="M8975"/>
      <c r="N8975"/>
      <c r="O8975"/>
      <c r="P8975"/>
      <c r="Q8975"/>
      <c r="R8975"/>
      <c r="S8975"/>
    </row>
    <row r="8976" spans="13:19" ht="13.95" customHeight="1">
      <c r="M8976"/>
      <c r="N8976"/>
      <c r="O8976"/>
      <c r="P8976"/>
      <c r="Q8976"/>
      <c r="R8976"/>
      <c r="S8976"/>
    </row>
    <row r="8977" spans="13:19" ht="13.95" customHeight="1">
      <c r="M8977"/>
      <c r="N8977"/>
      <c r="O8977"/>
      <c r="P8977"/>
      <c r="Q8977"/>
      <c r="R8977"/>
      <c r="S8977"/>
    </row>
    <row r="8978" spans="13:19" ht="13.95" customHeight="1">
      <c r="M8978"/>
      <c r="N8978"/>
      <c r="O8978"/>
      <c r="P8978"/>
      <c r="Q8978"/>
      <c r="R8978"/>
      <c r="S8978"/>
    </row>
    <row r="8979" spans="13:19" ht="13.95" customHeight="1">
      <c r="M8979"/>
      <c r="N8979"/>
      <c r="O8979"/>
      <c r="P8979"/>
      <c r="Q8979"/>
      <c r="R8979"/>
      <c r="S8979"/>
    </row>
    <row r="8980" spans="13:19" ht="13.95" customHeight="1">
      <c r="M8980"/>
      <c r="N8980"/>
      <c r="O8980"/>
      <c r="P8980"/>
      <c r="Q8980"/>
      <c r="R8980"/>
      <c r="S8980"/>
    </row>
    <row r="8981" spans="13:19" ht="13.95" customHeight="1">
      <c r="M8981"/>
      <c r="N8981"/>
      <c r="O8981"/>
      <c r="P8981"/>
      <c r="Q8981"/>
      <c r="R8981"/>
      <c r="S8981"/>
    </row>
    <row r="8982" spans="13:19" ht="13.95" customHeight="1">
      <c r="M8982"/>
      <c r="N8982"/>
      <c r="O8982"/>
      <c r="P8982"/>
      <c r="Q8982"/>
      <c r="R8982"/>
      <c r="S8982"/>
    </row>
    <row r="8983" spans="13:19" ht="13.95" customHeight="1">
      <c r="M8983"/>
      <c r="N8983"/>
      <c r="O8983"/>
      <c r="P8983"/>
      <c r="Q8983"/>
      <c r="R8983"/>
      <c r="S8983"/>
    </row>
    <row r="8984" spans="13:19" ht="13.95" customHeight="1">
      <c r="M8984"/>
      <c r="N8984"/>
      <c r="O8984"/>
      <c r="P8984"/>
      <c r="Q8984"/>
      <c r="R8984"/>
      <c r="S8984"/>
    </row>
    <row r="8985" spans="13:19" ht="13.95" customHeight="1">
      <c r="M8985"/>
      <c r="N8985"/>
      <c r="O8985"/>
      <c r="P8985"/>
      <c r="Q8985"/>
      <c r="R8985"/>
      <c r="S8985"/>
    </row>
    <row r="8986" spans="13:19" ht="13.95" customHeight="1">
      <c r="M8986"/>
      <c r="N8986"/>
      <c r="O8986"/>
      <c r="P8986"/>
      <c r="Q8986"/>
      <c r="R8986"/>
      <c r="S8986"/>
    </row>
    <row r="8987" spans="13:19" ht="13.95" customHeight="1">
      <c r="M8987"/>
      <c r="N8987"/>
      <c r="O8987"/>
      <c r="P8987"/>
      <c r="Q8987"/>
      <c r="R8987"/>
      <c r="S8987"/>
    </row>
    <row r="8988" spans="13:19" ht="13.95" customHeight="1">
      <c r="M8988"/>
      <c r="N8988"/>
      <c r="O8988"/>
      <c r="P8988"/>
      <c r="Q8988"/>
      <c r="R8988"/>
      <c r="S8988"/>
    </row>
    <row r="8989" spans="13:19" ht="13.95" customHeight="1">
      <c r="M8989"/>
      <c r="N8989"/>
      <c r="O8989"/>
      <c r="P8989"/>
      <c r="Q8989"/>
      <c r="R8989"/>
      <c r="S8989"/>
    </row>
    <row r="8990" spans="13:19" ht="13.95" customHeight="1">
      <c r="M8990"/>
      <c r="N8990"/>
      <c r="O8990"/>
      <c r="P8990"/>
      <c r="Q8990"/>
      <c r="R8990"/>
      <c r="S8990"/>
    </row>
    <row r="8991" spans="13:19" ht="13.95" customHeight="1">
      <c r="M8991"/>
      <c r="N8991"/>
      <c r="O8991"/>
      <c r="P8991"/>
      <c r="Q8991"/>
      <c r="R8991"/>
      <c r="S8991"/>
    </row>
    <row r="8992" spans="13:19" ht="13.95" customHeight="1">
      <c r="M8992"/>
      <c r="N8992"/>
      <c r="O8992"/>
      <c r="P8992"/>
      <c r="Q8992"/>
      <c r="R8992"/>
      <c r="S8992"/>
    </row>
    <row r="8993" spans="13:19" ht="13.95" customHeight="1">
      <c r="M8993"/>
      <c r="N8993"/>
      <c r="O8993"/>
      <c r="P8993"/>
      <c r="Q8993"/>
      <c r="R8993"/>
      <c r="S8993"/>
    </row>
    <row r="8994" spans="13:19" ht="13.95" customHeight="1">
      <c r="M8994"/>
      <c r="N8994"/>
      <c r="O8994"/>
      <c r="P8994"/>
      <c r="Q8994"/>
      <c r="R8994"/>
      <c r="S8994"/>
    </row>
    <row r="8995" spans="13:19" ht="13.95" customHeight="1">
      <c r="M8995"/>
      <c r="N8995"/>
      <c r="O8995"/>
      <c r="P8995"/>
      <c r="Q8995"/>
      <c r="R8995"/>
      <c r="S8995"/>
    </row>
    <row r="8996" spans="13:19" ht="13.95" customHeight="1">
      <c r="M8996"/>
      <c r="N8996"/>
      <c r="O8996"/>
      <c r="P8996"/>
      <c r="Q8996"/>
      <c r="R8996"/>
      <c r="S8996"/>
    </row>
    <row r="8997" spans="13:19" ht="13.95" customHeight="1">
      <c r="M8997"/>
      <c r="N8997"/>
      <c r="O8997"/>
      <c r="P8997"/>
      <c r="Q8997"/>
      <c r="R8997"/>
      <c r="S8997"/>
    </row>
    <row r="8998" spans="13:19" ht="13.95" customHeight="1">
      <c r="M8998"/>
      <c r="N8998"/>
      <c r="O8998"/>
      <c r="P8998"/>
      <c r="Q8998"/>
      <c r="R8998"/>
      <c r="S8998"/>
    </row>
    <row r="8999" spans="13:19" ht="13.95" customHeight="1">
      <c r="M8999"/>
      <c r="N8999"/>
      <c r="O8999"/>
      <c r="P8999"/>
      <c r="Q8999"/>
      <c r="R8999"/>
      <c r="S8999"/>
    </row>
    <row r="9000" spans="13:19" ht="13.95" customHeight="1">
      <c r="M9000"/>
      <c r="N9000"/>
      <c r="O9000"/>
      <c r="P9000"/>
      <c r="Q9000"/>
      <c r="R9000"/>
      <c r="S9000"/>
    </row>
    <row r="9001" spans="13:19" ht="13.95" customHeight="1">
      <c r="M9001"/>
      <c r="N9001"/>
      <c r="O9001"/>
      <c r="P9001"/>
      <c r="Q9001"/>
      <c r="R9001"/>
      <c r="S9001"/>
    </row>
    <row r="9002" spans="13:19" ht="13.95" customHeight="1">
      <c r="M9002"/>
      <c r="N9002"/>
      <c r="O9002"/>
      <c r="P9002"/>
      <c r="Q9002"/>
      <c r="R9002"/>
      <c r="S9002"/>
    </row>
    <row r="9003" spans="13:19" ht="13.95" customHeight="1">
      <c r="M9003"/>
      <c r="N9003"/>
      <c r="O9003"/>
      <c r="P9003"/>
      <c r="Q9003"/>
      <c r="R9003"/>
      <c r="S9003"/>
    </row>
    <row r="9004" spans="13:19" ht="13.95" customHeight="1">
      <c r="M9004"/>
      <c r="N9004"/>
      <c r="O9004"/>
      <c r="P9004"/>
      <c r="Q9004"/>
      <c r="R9004"/>
      <c r="S9004"/>
    </row>
    <row r="9005" spans="13:19" ht="13.95" customHeight="1">
      <c r="M9005"/>
      <c r="N9005"/>
      <c r="O9005"/>
      <c r="P9005"/>
      <c r="Q9005"/>
      <c r="R9005"/>
      <c r="S9005"/>
    </row>
    <row r="9006" spans="13:19" ht="13.95" customHeight="1">
      <c r="M9006"/>
      <c r="N9006"/>
      <c r="O9006"/>
      <c r="P9006"/>
      <c r="Q9006"/>
      <c r="R9006"/>
      <c r="S9006"/>
    </row>
    <row r="9007" spans="13:19" ht="13.95" customHeight="1">
      <c r="M9007"/>
      <c r="N9007"/>
      <c r="O9007"/>
      <c r="P9007"/>
      <c r="Q9007"/>
      <c r="R9007"/>
      <c r="S9007"/>
    </row>
    <row r="9008" spans="13:19" ht="13.95" customHeight="1">
      <c r="M9008"/>
      <c r="N9008"/>
      <c r="O9008"/>
      <c r="P9008"/>
      <c r="Q9008"/>
      <c r="R9008"/>
      <c r="S9008"/>
    </row>
    <row r="9009" spans="13:19" ht="13.95" customHeight="1">
      <c r="M9009"/>
      <c r="N9009"/>
      <c r="O9009"/>
      <c r="P9009"/>
      <c r="Q9009"/>
      <c r="R9009"/>
      <c r="S9009"/>
    </row>
    <row r="9010" spans="13:19" ht="13.95" customHeight="1">
      <c r="M9010"/>
      <c r="N9010"/>
      <c r="O9010"/>
      <c r="P9010"/>
      <c r="Q9010"/>
      <c r="R9010"/>
      <c r="S9010"/>
    </row>
    <row r="9011" spans="13:19" ht="13.95" customHeight="1">
      <c r="M9011"/>
      <c r="N9011"/>
      <c r="O9011"/>
      <c r="P9011"/>
      <c r="Q9011"/>
      <c r="R9011"/>
      <c r="S9011"/>
    </row>
    <row r="9012" spans="13:19" ht="13.95" customHeight="1">
      <c r="M9012"/>
      <c r="N9012"/>
      <c r="O9012"/>
      <c r="P9012"/>
      <c r="Q9012"/>
      <c r="R9012"/>
      <c r="S9012"/>
    </row>
    <row r="9013" spans="13:19" ht="13.95" customHeight="1">
      <c r="M9013"/>
      <c r="N9013"/>
      <c r="O9013"/>
      <c r="P9013"/>
      <c r="Q9013"/>
      <c r="R9013"/>
      <c r="S9013"/>
    </row>
    <row r="9014" spans="13:19" ht="13.95" customHeight="1">
      <c r="M9014"/>
      <c r="N9014"/>
      <c r="O9014"/>
      <c r="P9014"/>
      <c r="Q9014"/>
      <c r="R9014"/>
      <c r="S9014"/>
    </row>
    <row r="9015" spans="13:19" ht="13.95" customHeight="1">
      <c r="M9015"/>
      <c r="N9015"/>
      <c r="O9015"/>
      <c r="P9015"/>
      <c r="Q9015"/>
      <c r="R9015"/>
      <c r="S9015"/>
    </row>
    <row r="9016" spans="13:19" ht="13.95" customHeight="1">
      <c r="M9016"/>
      <c r="N9016"/>
      <c r="O9016"/>
      <c r="P9016"/>
      <c r="Q9016"/>
      <c r="R9016"/>
      <c r="S9016"/>
    </row>
    <row r="9017" spans="13:19" ht="13.95" customHeight="1">
      <c r="M9017"/>
      <c r="N9017"/>
      <c r="O9017"/>
      <c r="P9017"/>
      <c r="Q9017"/>
      <c r="R9017"/>
      <c r="S9017"/>
    </row>
    <row r="9018" spans="13:19" ht="13.95" customHeight="1">
      <c r="M9018"/>
      <c r="N9018"/>
      <c r="O9018"/>
      <c r="P9018"/>
      <c r="Q9018"/>
      <c r="R9018"/>
      <c r="S9018"/>
    </row>
    <row r="9019" spans="13:19" ht="13.95" customHeight="1">
      <c r="M9019"/>
      <c r="N9019"/>
      <c r="O9019"/>
      <c r="P9019"/>
      <c r="Q9019"/>
      <c r="R9019"/>
      <c r="S9019"/>
    </row>
    <row r="9020" spans="13:19" ht="13.95" customHeight="1">
      <c r="M9020"/>
      <c r="N9020"/>
      <c r="O9020"/>
      <c r="P9020"/>
      <c r="Q9020"/>
      <c r="R9020"/>
      <c r="S9020"/>
    </row>
    <row r="9021" spans="13:19" ht="13.95" customHeight="1">
      <c r="M9021"/>
      <c r="N9021"/>
      <c r="O9021"/>
      <c r="P9021"/>
      <c r="Q9021"/>
      <c r="R9021"/>
      <c r="S9021"/>
    </row>
    <row r="9022" spans="13:19" ht="13.95" customHeight="1">
      <c r="M9022"/>
      <c r="N9022"/>
      <c r="O9022"/>
      <c r="P9022"/>
      <c r="Q9022"/>
      <c r="R9022"/>
      <c r="S9022"/>
    </row>
    <row r="9023" spans="13:19" ht="13.95" customHeight="1">
      <c r="M9023"/>
      <c r="N9023"/>
      <c r="O9023"/>
      <c r="P9023"/>
      <c r="Q9023"/>
      <c r="R9023"/>
      <c r="S9023"/>
    </row>
    <row r="9024" spans="13:19" ht="13.95" customHeight="1">
      <c r="M9024"/>
      <c r="N9024"/>
      <c r="O9024"/>
      <c r="P9024"/>
      <c r="Q9024"/>
      <c r="R9024"/>
      <c r="S9024"/>
    </row>
    <row r="9025" spans="13:19" ht="13.95" customHeight="1">
      <c r="M9025"/>
      <c r="N9025"/>
      <c r="O9025"/>
      <c r="P9025"/>
      <c r="Q9025"/>
      <c r="R9025"/>
      <c r="S9025"/>
    </row>
    <row r="9026" spans="13:19" ht="13.95" customHeight="1">
      <c r="M9026"/>
      <c r="N9026"/>
      <c r="O9026"/>
      <c r="P9026"/>
      <c r="Q9026"/>
      <c r="R9026"/>
      <c r="S9026"/>
    </row>
    <row r="9027" spans="13:19" ht="13.95" customHeight="1">
      <c r="M9027"/>
      <c r="N9027"/>
      <c r="O9027"/>
      <c r="P9027"/>
      <c r="Q9027"/>
      <c r="R9027"/>
      <c r="S9027"/>
    </row>
    <row r="9028" spans="13:19" ht="13.95" customHeight="1">
      <c r="M9028"/>
      <c r="N9028"/>
      <c r="O9028"/>
      <c r="P9028"/>
      <c r="Q9028"/>
      <c r="R9028"/>
      <c r="S9028"/>
    </row>
    <row r="9029" spans="13:19" ht="13.95" customHeight="1">
      <c r="M9029"/>
      <c r="N9029"/>
      <c r="O9029"/>
      <c r="P9029"/>
      <c r="Q9029"/>
      <c r="R9029"/>
      <c r="S9029"/>
    </row>
    <row r="9030" spans="13:19" ht="13.95" customHeight="1">
      <c r="M9030"/>
      <c r="N9030"/>
      <c r="O9030"/>
      <c r="P9030"/>
      <c r="Q9030"/>
      <c r="R9030"/>
      <c r="S9030"/>
    </row>
    <row r="9031" spans="13:19" ht="13.95" customHeight="1">
      <c r="M9031"/>
      <c r="N9031"/>
      <c r="O9031"/>
      <c r="P9031"/>
      <c r="Q9031"/>
      <c r="R9031"/>
      <c r="S9031"/>
    </row>
    <row r="9032" spans="13:19" ht="13.95" customHeight="1">
      <c r="M9032"/>
      <c r="N9032"/>
      <c r="O9032"/>
      <c r="P9032"/>
      <c r="Q9032"/>
      <c r="R9032"/>
      <c r="S9032"/>
    </row>
    <row r="9033" spans="13:19" ht="13.95" customHeight="1">
      <c r="M9033"/>
      <c r="N9033"/>
      <c r="O9033"/>
      <c r="P9033"/>
      <c r="Q9033"/>
      <c r="R9033"/>
      <c r="S9033"/>
    </row>
    <row r="9034" spans="13:19" ht="13.95" customHeight="1">
      <c r="M9034"/>
      <c r="N9034"/>
      <c r="O9034"/>
      <c r="P9034"/>
      <c r="Q9034"/>
      <c r="R9034"/>
      <c r="S9034"/>
    </row>
    <row r="9035" spans="13:19" ht="13.95" customHeight="1">
      <c r="M9035"/>
      <c r="N9035"/>
      <c r="O9035"/>
      <c r="P9035"/>
      <c r="Q9035"/>
      <c r="R9035"/>
      <c r="S9035"/>
    </row>
    <row r="9036" spans="13:19" ht="13.95" customHeight="1">
      <c r="M9036"/>
      <c r="N9036"/>
      <c r="O9036"/>
      <c r="P9036"/>
      <c r="Q9036"/>
      <c r="R9036"/>
      <c r="S9036"/>
    </row>
    <row r="9037" spans="13:19" ht="13.95" customHeight="1">
      <c r="M9037"/>
      <c r="N9037"/>
      <c r="O9037"/>
      <c r="P9037"/>
      <c r="Q9037"/>
      <c r="R9037"/>
      <c r="S9037"/>
    </row>
    <row r="9038" spans="13:19" ht="13.95" customHeight="1">
      <c r="M9038"/>
      <c r="N9038"/>
      <c r="O9038"/>
      <c r="P9038"/>
      <c r="Q9038"/>
      <c r="R9038"/>
      <c r="S9038"/>
    </row>
    <row r="9039" spans="13:19" ht="13.95" customHeight="1">
      <c r="M9039"/>
      <c r="N9039"/>
      <c r="O9039"/>
      <c r="P9039"/>
      <c r="Q9039"/>
      <c r="R9039"/>
      <c r="S9039"/>
    </row>
    <row r="9040" spans="13:19" ht="13.95" customHeight="1">
      <c r="M9040"/>
      <c r="N9040"/>
      <c r="O9040"/>
      <c r="P9040"/>
      <c r="Q9040"/>
      <c r="R9040"/>
      <c r="S9040"/>
    </row>
    <row r="9041" spans="13:19" ht="13.95" customHeight="1">
      <c r="M9041"/>
      <c r="N9041"/>
      <c r="O9041"/>
      <c r="P9041"/>
      <c r="Q9041"/>
      <c r="R9041"/>
      <c r="S9041"/>
    </row>
    <row r="9042" spans="13:19" ht="13.95" customHeight="1">
      <c r="M9042"/>
      <c r="N9042"/>
      <c r="O9042"/>
      <c r="P9042"/>
      <c r="Q9042"/>
      <c r="R9042"/>
      <c r="S9042"/>
    </row>
    <row r="9043" spans="13:19" ht="13.95" customHeight="1">
      <c r="M9043"/>
      <c r="N9043"/>
      <c r="O9043"/>
      <c r="P9043"/>
      <c r="Q9043"/>
      <c r="R9043"/>
      <c r="S9043"/>
    </row>
    <row r="9044" spans="13:19" ht="13.95" customHeight="1">
      <c r="M9044"/>
      <c r="N9044"/>
      <c r="O9044"/>
      <c r="P9044"/>
      <c r="Q9044"/>
      <c r="R9044"/>
      <c r="S9044"/>
    </row>
    <row r="9045" spans="13:19" ht="13.95" customHeight="1">
      <c r="M9045"/>
      <c r="N9045"/>
      <c r="O9045"/>
      <c r="P9045"/>
      <c r="Q9045"/>
      <c r="R9045"/>
      <c r="S9045"/>
    </row>
    <row r="9046" spans="13:19" ht="13.95" customHeight="1">
      <c r="M9046"/>
      <c r="N9046"/>
      <c r="O9046"/>
      <c r="P9046"/>
      <c r="Q9046"/>
      <c r="R9046"/>
      <c r="S9046"/>
    </row>
    <row r="9047" spans="13:19" ht="13.95" customHeight="1">
      <c r="M9047"/>
      <c r="N9047"/>
      <c r="O9047"/>
      <c r="P9047"/>
      <c r="Q9047"/>
      <c r="R9047"/>
      <c r="S9047"/>
    </row>
    <row r="9048" spans="13:19" ht="13.95" customHeight="1">
      <c r="M9048"/>
      <c r="N9048"/>
      <c r="O9048"/>
      <c r="P9048"/>
      <c r="Q9048"/>
      <c r="R9048"/>
      <c r="S9048"/>
    </row>
    <row r="9049" spans="13:19" ht="13.95" customHeight="1">
      <c r="M9049"/>
      <c r="N9049"/>
      <c r="O9049"/>
      <c r="P9049"/>
      <c r="Q9049"/>
      <c r="R9049"/>
      <c r="S9049"/>
    </row>
    <row r="9050" spans="13:19" ht="13.95" customHeight="1">
      <c r="M9050"/>
      <c r="N9050"/>
      <c r="O9050"/>
      <c r="P9050"/>
      <c r="Q9050"/>
      <c r="R9050"/>
      <c r="S9050"/>
    </row>
    <row r="9051" spans="13:19" ht="13.95" customHeight="1">
      <c r="M9051"/>
      <c r="N9051"/>
      <c r="O9051"/>
      <c r="P9051"/>
      <c r="Q9051"/>
      <c r="R9051"/>
      <c r="S9051"/>
    </row>
    <row r="9052" spans="13:19" ht="13.95" customHeight="1">
      <c r="M9052"/>
      <c r="N9052"/>
      <c r="O9052"/>
      <c r="P9052"/>
      <c r="Q9052"/>
      <c r="R9052"/>
      <c r="S9052"/>
    </row>
    <row r="9053" spans="13:19" ht="13.95" customHeight="1">
      <c r="M9053"/>
      <c r="N9053"/>
      <c r="O9053"/>
      <c r="P9053"/>
      <c r="Q9053"/>
      <c r="R9053"/>
      <c r="S9053"/>
    </row>
    <row r="9054" spans="13:19" ht="13.95" customHeight="1">
      <c r="M9054"/>
      <c r="N9054"/>
      <c r="O9054"/>
      <c r="P9054"/>
      <c r="Q9054"/>
      <c r="R9054"/>
      <c r="S9054"/>
    </row>
    <row r="9055" spans="13:19" ht="13.95" customHeight="1">
      <c r="M9055"/>
      <c r="N9055"/>
      <c r="O9055"/>
      <c r="P9055"/>
      <c r="Q9055"/>
      <c r="R9055"/>
      <c r="S9055"/>
    </row>
    <row r="9056" spans="13:19" ht="13.95" customHeight="1">
      <c r="M9056"/>
      <c r="N9056"/>
      <c r="O9056"/>
      <c r="P9056"/>
      <c r="Q9056"/>
      <c r="R9056"/>
      <c r="S9056"/>
    </row>
    <row r="9057" spans="13:19" ht="13.95" customHeight="1">
      <c r="M9057"/>
      <c r="N9057"/>
      <c r="O9057"/>
      <c r="P9057"/>
      <c r="Q9057"/>
      <c r="R9057"/>
      <c r="S9057"/>
    </row>
    <row r="9058" spans="13:19" ht="13.95" customHeight="1">
      <c r="M9058"/>
      <c r="N9058"/>
      <c r="O9058"/>
      <c r="P9058"/>
      <c r="Q9058"/>
      <c r="R9058"/>
      <c r="S9058"/>
    </row>
    <row r="9059" spans="13:19" ht="13.95" customHeight="1">
      <c r="M9059"/>
      <c r="N9059"/>
      <c r="O9059"/>
      <c r="P9059"/>
      <c r="Q9059"/>
      <c r="R9059"/>
      <c r="S9059"/>
    </row>
    <row r="9060" spans="13:19" ht="13.95" customHeight="1">
      <c r="M9060"/>
      <c r="N9060"/>
      <c r="O9060"/>
      <c r="P9060"/>
      <c r="Q9060"/>
      <c r="R9060"/>
      <c r="S9060"/>
    </row>
    <row r="9061" spans="13:19" ht="13.95" customHeight="1">
      <c r="M9061"/>
      <c r="N9061"/>
      <c r="O9061"/>
      <c r="P9061"/>
      <c r="Q9061"/>
      <c r="R9061"/>
      <c r="S9061"/>
    </row>
    <row r="9062" spans="13:19" ht="13.95" customHeight="1">
      <c r="M9062"/>
      <c r="N9062"/>
      <c r="O9062"/>
      <c r="P9062"/>
      <c r="Q9062"/>
      <c r="R9062"/>
      <c r="S9062"/>
    </row>
    <row r="9063" spans="13:19" ht="13.95" customHeight="1">
      <c r="M9063"/>
      <c r="N9063"/>
      <c r="O9063"/>
      <c r="P9063"/>
      <c r="Q9063"/>
      <c r="R9063"/>
      <c r="S9063"/>
    </row>
    <row r="9064" spans="13:19" ht="13.95" customHeight="1">
      <c r="M9064"/>
      <c r="N9064"/>
      <c r="O9064"/>
      <c r="P9064"/>
      <c r="Q9064"/>
      <c r="R9064"/>
      <c r="S9064"/>
    </row>
    <row r="9065" spans="13:19" ht="13.95" customHeight="1">
      <c r="M9065"/>
      <c r="N9065"/>
      <c r="O9065"/>
      <c r="P9065"/>
      <c r="Q9065"/>
      <c r="R9065"/>
      <c r="S9065"/>
    </row>
    <row r="9066" spans="13:19" ht="13.95" customHeight="1">
      <c r="M9066"/>
      <c r="N9066"/>
      <c r="O9066"/>
      <c r="P9066"/>
      <c r="Q9066"/>
      <c r="R9066"/>
      <c r="S9066"/>
    </row>
    <row r="9067" spans="13:19" ht="13.95" customHeight="1">
      <c r="M9067"/>
      <c r="N9067"/>
      <c r="O9067"/>
      <c r="P9067"/>
      <c r="Q9067"/>
      <c r="R9067"/>
      <c r="S9067"/>
    </row>
    <row r="9068" spans="13:19" ht="13.95" customHeight="1">
      <c r="M9068"/>
      <c r="N9068"/>
      <c r="O9068"/>
      <c r="P9068"/>
      <c r="Q9068"/>
      <c r="R9068"/>
      <c r="S9068"/>
    </row>
    <row r="9069" spans="13:19" ht="13.95" customHeight="1">
      <c r="M9069"/>
      <c r="N9069"/>
      <c r="O9069"/>
      <c r="P9069"/>
      <c r="Q9069"/>
      <c r="R9069"/>
      <c r="S9069"/>
    </row>
    <row r="9070" spans="13:19" ht="13.95" customHeight="1">
      <c r="M9070"/>
      <c r="N9070"/>
      <c r="O9070"/>
      <c r="P9070"/>
      <c r="Q9070"/>
      <c r="R9070"/>
      <c r="S9070"/>
    </row>
    <row r="9071" spans="13:19" ht="13.95" customHeight="1">
      <c r="M9071"/>
      <c r="N9071"/>
      <c r="O9071"/>
      <c r="P9071"/>
      <c r="Q9071"/>
      <c r="R9071"/>
      <c r="S9071"/>
    </row>
    <row r="9072" spans="13:19" ht="13.95" customHeight="1">
      <c r="M9072"/>
      <c r="N9072"/>
      <c r="O9072"/>
      <c r="P9072"/>
      <c r="Q9072"/>
      <c r="R9072"/>
      <c r="S9072"/>
    </row>
    <row r="9073" spans="13:19" ht="13.95" customHeight="1">
      <c r="M9073"/>
      <c r="N9073"/>
      <c r="O9073"/>
      <c r="P9073"/>
      <c r="Q9073"/>
      <c r="R9073"/>
      <c r="S9073"/>
    </row>
    <row r="9074" spans="13:19" ht="13.95" customHeight="1">
      <c r="M9074"/>
      <c r="N9074"/>
      <c r="O9074"/>
      <c r="P9074"/>
      <c r="Q9074"/>
      <c r="R9074"/>
      <c r="S9074"/>
    </row>
    <row r="9075" spans="13:19" ht="13.95" customHeight="1">
      <c r="M9075"/>
      <c r="N9075"/>
      <c r="O9075"/>
      <c r="P9075"/>
      <c r="Q9075"/>
      <c r="R9075"/>
      <c r="S9075"/>
    </row>
    <row r="9076" spans="13:19" ht="13.95" customHeight="1">
      <c r="M9076"/>
      <c r="N9076"/>
      <c r="O9076"/>
      <c r="P9076"/>
      <c r="Q9076"/>
      <c r="R9076"/>
      <c r="S9076"/>
    </row>
    <row r="9077" spans="13:19" ht="13.95" customHeight="1">
      <c r="M9077"/>
      <c r="N9077"/>
      <c r="O9077"/>
      <c r="P9077"/>
      <c r="Q9077"/>
      <c r="R9077"/>
      <c r="S9077"/>
    </row>
    <row r="9078" spans="13:19" ht="13.95" customHeight="1">
      <c r="M9078"/>
      <c r="N9078"/>
      <c r="O9078"/>
      <c r="P9078"/>
      <c r="Q9078"/>
      <c r="R9078"/>
      <c r="S9078"/>
    </row>
    <row r="9079" spans="13:19" ht="13.95" customHeight="1">
      <c r="M9079"/>
      <c r="N9079"/>
      <c r="O9079"/>
      <c r="P9079"/>
      <c r="Q9079"/>
      <c r="R9079"/>
      <c r="S9079"/>
    </row>
    <row r="9080" spans="13:19" ht="13.95" customHeight="1">
      <c r="M9080"/>
      <c r="N9080"/>
      <c r="O9080"/>
      <c r="P9080"/>
      <c r="Q9080"/>
      <c r="R9080"/>
      <c r="S9080"/>
    </row>
    <row r="9081" spans="13:19" ht="13.95" customHeight="1">
      <c r="M9081"/>
      <c r="N9081"/>
      <c r="O9081"/>
      <c r="P9081"/>
      <c r="Q9081"/>
      <c r="R9081"/>
      <c r="S9081"/>
    </row>
    <row r="9082" spans="13:19" ht="13.95" customHeight="1">
      <c r="M9082"/>
      <c r="N9082"/>
      <c r="O9082"/>
      <c r="P9082"/>
      <c r="Q9082"/>
      <c r="R9082"/>
      <c r="S9082"/>
    </row>
    <row r="9083" spans="13:19" ht="13.95" customHeight="1">
      <c r="M9083"/>
      <c r="N9083"/>
      <c r="O9083"/>
      <c r="P9083"/>
      <c r="Q9083"/>
      <c r="R9083"/>
      <c r="S9083"/>
    </row>
    <row r="9084" spans="13:19" ht="13.95" customHeight="1">
      <c r="M9084"/>
      <c r="N9084"/>
      <c r="O9084"/>
      <c r="P9084"/>
      <c r="Q9084"/>
      <c r="R9084"/>
      <c r="S9084"/>
    </row>
    <row r="9085" spans="13:19" ht="13.95" customHeight="1">
      <c r="M9085"/>
      <c r="N9085"/>
      <c r="O9085"/>
      <c r="P9085"/>
      <c r="Q9085"/>
      <c r="R9085"/>
      <c r="S9085"/>
    </row>
    <row r="9086" spans="13:19" ht="13.95" customHeight="1">
      <c r="M9086"/>
      <c r="N9086"/>
      <c r="O9086"/>
      <c r="P9086"/>
      <c r="Q9086"/>
      <c r="R9086"/>
      <c r="S9086"/>
    </row>
    <row r="9087" spans="13:19" ht="13.95" customHeight="1">
      <c r="M9087"/>
      <c r="N9087"/>
      <c r="O9087"/>
      <c r="P9087"/>
      <c r="Q9087"/>
      <c r="R9087"/>
      <c r="S9087"/>
    </row>
    <row r="9088" spans="13:19" ht="13.95" customHeight="1">
      <c r="M9088"/>
      <c r="N9088"/>
      <c r="O9088"/>
      <c r="P9088"/>
      <c r="Q9088"/>
      <c r="R9088"/>
      <c r="S9088"/>
    </row>
    <row r="9089" spans="13:19" ht="13.95" customHeight="1">
      <c r="M9089"/>
      <c r="N9089"/>
      <c r="O9089"/>
      <c r="P9089"/>
      <c r="Q9089"/>
      <c r="R9089"/>
      <c r="S9089"/>
    </row>
    <row r="9090" spans="13:19" ht="13.95" customHeight="1">
      <c r="M9090"/>
      <c r="N9090"/>
      <c r="O9090"/>
      <c r="P9090"/>
      <c r="Q9090"/>
      <c r="R9090"/>
      <c r="S9090"/>
    </row>
    <row r="9091" spans="13:19" ht="13.95" customHeight="1">
      <c r="M9091"/>
      <c r="N9091"/>
      <c r="O9091"/>
      <c r="P9091"/>
      <c r="Q9091"/>
      <c r="R9091"/>
      <c r="S9091"/>
    </row>
    <row r="9092" spans="13:19" ht="13.95" customHeight="1">
      <c r="M9092"/>
      <c r="N9092"/>
      <c r="O9092"/>
      <c r="P9092"/>
      <c r="Q9092"/>
      <c r="R9092"/>
      <c r="S9092"/>
    </row>
    <row r="9093" spans="13:19" ht="13.95" customHeight="1">
      <c r="M9093"/>
      <c r="N9093"/>
      <c r="O9093"/>
      <c r="P9093"/>
      <c r="Q9093"/>
      <c r="R9093"/>
      <c r="S9093"/>
    </row>
    <row r="9094" spans="13:19" ht="13.95" customHeight="1">
      <c r="M9094"/>
      <c r="N9094"/>
      <c r="O9094"/>
      <c r="P9094"/>
      <c r="Q9094"/>
      <c r="R9094"/>
      <c r="S9094"/>
    </row>
    <row r="9095" spans="13:19" ht="13.95" customHeight="1">
      <c r="M9095"/>
      <c r="N9095"/>
      <c r="O9095"/>
      <c r="P9095"/>
      <c r="Q9095"/>
      <c r="R9095"/>
      <c r="S9095"/>
    </row>
    <row r="9096" spans="13:19" ht="13.95" customHeight="1">
      <c r="M9096"/>
      <c r="N9096"/>
      <c r="O9096"/>
      <c r="P9096"/>
      <c r="Q9096"/>
      <c r="R9096"/>
      <c r="S9096"/>
    </row>
    <row r="9097" spans="13:19" ht="13.95" customHeight="1">
      <c r="M9097"/>
      <c r="N9097"/>
      <c r="O9097"/>
      <c r="P9097"/>
      <c r="Q9097"/>
      <c r="R9097"/>
      <c r="S9097"/>
    </row>
    <row r="9098" spans="13:19" ht="13.95" customHeight="1">
      <c r="M9098"/>
      <c r="N9098"/>
      <c r="O9098"/>
      <c r="P9098"/>
      <c r="Q9098"/>
      <c r="R9098"/>
      <c r="S9098"/>
    </row>
    <row r="9099" spans="13:19" ht="13.95" customHeight="1">
      <c r="M9099"/>
      <c r="N9099"/>
      <c r="O9099"/>
      <c r="P9099"/>
      <c r="Q9099"/>
      <c r="R9099"/>
      <c r="S9099"/>
    </row>
    <row r="9100" spans="13:19" ht="13.95" customHeight="1">
      <c r="M9100"/>
      <c r="N9100"/>
      <c r="O9100"/>
      <c r="P9100"/>
      <c r="Q9100"/>
      <c r="R9100"/>
      <c r="S9100"/>
    </row>
    <row r="9101" spans="13:19" ht="13.95" customHeight="1">
      <c r="M9101"/>
      <c r="N9101"/>
      <c r="O9101"/>
      <c r="P9101"/>
      <c r="Q9101"/>
      <c r="R9101"/>
      <c r="S9101"/>
    </row>
    <row r="9102" spans="13:19" ht="13.95" customHeight="1">
      <c r="M9102"/>
      <c r="N9102"/>
      <c r="O9102"/>
      <c r="P9102"/>
      <c r="Q9102"/>
      <c r="R9102"/>
      <c r="S9102"/>
    </row>
    <row r="9103" spans="13:19" ht="13.95" customHeight="1">
      <c r="M9103"/>
      <c r="N9103"/>
      <c r="O9103"/>
      <c r="P9103"/>
      <c r="Q9103"/>
      <c r="R9103"/>
      <c r="S9103"/>
    </row>
    <row r="9104" spans="13:19" ht="13.95" customHeight="1">
      <c r="M9104"/>
      <c r="N9104"/>
      <c r="O9104"/>
      <c r="P9104"/>
      <c r="Q9104"/>
      <c r="R9104"/>
      <c r="S9104"/>
    </row>
    <row r="9105" spans="13:19" ht="13.95" customHeight="1">
      <c r="M9105"/>
      <c r="N9105"/>
      <c r="O9105"/>
      <c r="P9105"/>
      <c r="Q9105"/>
      <c r="R9105"/>
      <c r="S9105"/>
    </row>
    <row r="9106" spans="13:19" ht="13.95" customHeight="1">
      <c r="M9106"/>
      <c r="N9106"/>
      <c r="O9106"/>
      <c r="P9106"/>
      <c r="Q9106"/>
      <c r="R9106"/>
      <c r="S9106"/>
    </row>
    <row r="9107" spans="13:19" ht="13.95" customHeight="1">
      <c r="M9107"/>
      <c r="N9107"/>
      <c r="O9107"/>
      <c r="P9107"/>
      <c r="Q9107"/>
      <c r="R9107"/>
      <c r="S9107"/>
    </row>
    <row r="9108" spans="13:19" ht="13.95" customHeight="1">
      <c r="M9108"/>
      <c r="N9108"/>
      <c r="O9108"/>
      <c r="P9108"/>
      <c r="Q9108"/>
      <c r="R9108"/>
      <c r="S9108"/>
    </row>
    <row r="9109" spans="13:19" ht="13.95" customHeight="1">
      <c r="M9109"/>
      <c r="N9109"/>
      <c r="O9109"/>
      <c r="P9109"/>
      <c r="Q9109"/>
      <c r="R9109"/>
      <c r="S9109"/>
    </row>
    <row r="9110" spans="13:19" ht="13.95" customHeight="1">
      <c r="M9110"/>
      <c r="N9110"/>
      <c r="O9110"/>
      <c r="P9110"/>
      <c r="Q9110"/>
      <c r="R9110"/>
      <c r="S9110"/>
    </row>
    <row r="9111" spans="13:19" ht="13.95" customHeight="1">
      <c r="M9111"/>
      <c r="N9111"/>
      <c r="O9111"/>
      <c r="P9111"/>
      <c r="Q9111"/>
      <c r="R9111"/>
      <c r="S9111"/>
    </row>
    <row r="9112" spans="13:19" ht="13.95" customHeight="1">
      <c r="M9112"/>
      <c r="N9112"/>
      <c r="O9112"/>
      <c r="P9112"/>
      <c r="Q9112"/>
      <c r="R9112"/>
      <c r="S9112"/>
    </row>
    <row r="9113" spans="13:19" ht="13.95" customHeight="1">
      <c r="M9113"/>
      <c r="N9113"/>
      <c r="O9113"/>
      <c r="P9113"/>
      <c r="Q9113"/>
      <c r="R9113"/>
      <c r="S9113"/>
    </row>
    <row r="9114" spans="13:19" ht="13.95" customHeight="1">
      <c r="M9114"/>
      <c r="N9114"/>
      <c r="O9114"/>
      <c r="P9114"/>
      <c r="Q9114"/>
      <c r="R9114"/>
      <c r="S9114"/>
    </row>
    <row r="9115" spans="13:19" ht="13.95" customHeight="1">
      <c r="M9115"/>
      <c r="N9115"/>
      <c r="O9115"/>
      <c r="P9115"/>
      <c r="Q9115"/>
      <c r="R9115"/>
      <c r="S9115"/>
    </row>
    <row r="9116" spans="13:19" ht="13.95" customHeight="1">
      <c r="M9116"/>
      <c r="N9116"/>
      <c r="O9116"/>
      <c r="P9116"/>
      <c r="Q9116"/>
      <c r="R9116"/>
      <c r="S9116"/>
    </row>
    <row r="9117" spans="13:19" ht="13.95" customHeight="1">
      <c r="M9117"/>
      <c r="N9117"/>
      <c r="O9117"/>
      <c r="P9117"/>
      <c r="Q9117"/>
      <c r="R9117"/>
      <c r="S9117"/>
    </row>
    <row r="9118" spans="13:19" ht="13.95" customHeight="1">
      <c r="M9118"/>
      <c r="N9118"/>
      <c r="O9118"/>
      <c r="P9118"/>
      <c r="Q9118"/>
      <c r="R9118"/>
      <c r="S9118"/>
    </row>
    <row r="9119" spans="13:19" ht="13.95" customHeight="1">
      <c r="M9119"/>
      <c r="N9119"/>
      <c r="O9119"/>
      <c r="P9119"/>
      <c r="Q9119"/>
      <c r="R9119"/>
      <c r="S9119"/>
    </row>
    <row r="9120" spans="13:19" ht="13.95" customHeight="1">
      <c r="M9120"/>
      <c r="N9120"/>
      <c r="O9120"/>
      <c r="P9120"/>
      <c r="Q9120"/>
      <c r="R9120"/>
      <c r="S9120"/>
    </row>
    <row r="9121" spans="13:19" ht="13.95" customHeight="1">
      <c r="M9121"/>
      <c r="N9121"/>
      <c r="O9121"/>
      <c r="P9121"/>
      <c r="Q9121"/>
      <c r="R9121"/>
      <c r="S9121"/>
    </row>
    <row r="9122" spans="13:19" ht="13.95" customHeight="1">
      <c r="M9122"/>
      <c r="N9122"/>
      <c r="O9122"/>
      <c r="P9122"/>
      <c r="Q9122"/>
      <c r="R9122"/>
      <c r="S9122"/>
    </row>
    <row r="9123" spans="13:19" ht="13.95" customHeight="1">
      <c r="M9123"/>
      <c r="N9123"/>
      <c r="O9123"/>
      <c r="P9123"/>
      <c r="Q9123"/>
      <c r="R9123"/>
      <c r="S9123"/>
    </row>
    <row r="9124" spans="13:19" ht="13.95" customHeight="1">
      <c r="M9124"/>
      <c r="N9124"/>
      <c r="O9124"/>
      <c r="P9124"/>
      <c r="Q9124"/>
      <c r="R9124"/>
      <c r="S9124"/>
    </row>
    <row r="9125" spans="13:19" ht="13.95" customHeight="1">
      <c r="M9125"/>
      <c r="N9125"/>
      <c r="O9125"/>
      <c r="P9125"/>
      <c r="Q9125"/>
      <c r="R9125"/>
      <c r="S9125"/>
    </row>
    <row r="9126" spans="13:19" ht="13.95" customHeight="1">
      <c r="M9126"/>
      <c r="N9126"/>
      <c r="O9126"/>
      <c r="P9126"/>
      <c r="Q9126"/>
      <c r="R9126"/>
      <c r="S9126"/>
    </row>
    <row r="9127" spans="13:19" ht="13.95" customHeight="1">
      <c r="M9127"/>
      <c r="N9127"/>
      <c r="O9127"/>
      <c r="P9127"/>
      <c r="Q9127"/>
      <c r="R9127"/>
      <c r="S9127"/>
    </row>
    <row r="9128" spans="13:19" ht="13.95" customHeight="1">
      <c r="M9128"/>
      <c r="N9128"/>
      <c r="O9128"/>
      <c r="P9128"/>
      <c r="Q9128"/>
      <c r="R9128"/>
      <c r="S9128"/>
    </row>
    <row r="9129" spans="13:19" ht="13.95" customHeight="1">
      <c r="M9129"/>
      <c r="N9129"/>
      <c r="O9129"/>
      <c r="P9129"/>
      <c r="Q9129"/>
      <c r="R9129"/>
      <c r="S9129"/>
    </row>
    <row r="9130" spans="13:19" ht="13.95" customHeight="1">
      <c r="M9130"/>
      <c r="N9130"/>
      <c r="O9130"/>
      <c r="P9130"/>
      <c r="Q9130"/>
      <c r="R9130"/>
      <c r="S9130"/>
    </row>
    <row r="9131" spans="13:19" ht="13.95" customHeight="1">
      <c r="M9131"/>
      <c r="N9131"/>
      <c r="O9131"/>
      <c r="P9131"/>
      <c r="Q9131"/>
      <c r="R9131"/>
      <c r="S9131"/>
    </row>
    <row r="9132" spans="13:19" ht="13.95" customHeight="1">
      <c r="M9132"/>
      <c r="N9132"/>
      <c r="O9132"/>
      <c r="P9132"/>
      <c r="Q9132"/>
      <c r="R9132"/>
      <c r="S9132"/>
    </row>
    <row r="9133" spans="13:19" ht="13.95" customHeight="1">
      <c r="M9133"/>
      <c r="N9133"/>
      <c r="O9133"/>
      <c r="P9133"/>
      <c r="Q9133"/>
      <c r="R9133"/>
      <c r="S9133"/>
    </row>
    <row r="9134" spans="13:19" ht="13.95" customHeight="1">
      <c r="M9134"/>
      <c r="N9134"/>
      <c r="O9134"/>
      <c r="P9134"/>
      <c r="Q9134"/>
      <c r="R9134"/>
      <c r="S9134"/>
    </row>
    <row r="9135" spans="13:19" ht="13.95" customHeight="1">
      <c r="M9135"/>
      <c r="N9135"/>
      <c r="O9135"/>
      <c r="P9135"/>
      <c r="Q9135"/>
      <c r="R9135"/>
      <c r="S9135"/>
    </row>
    <row r="9136" spans="13:19" ht="13.95" customHeight="1">
      <c r="M9136"/>
      <c r="N9136"/>
      <c r="O9136"/>
      <c r="P9136"/>
      <c r="Q9136"/>
      <c r="R9136"/>
      <c r="S9136"/>
    </row>
    <row r="9137" spans="13:19" ht="13.95" customHeight="1">
      <c r="M9137"/>
      <c r="N9137"/>
      <c r="O9137"/>
      <c r="P9137"/>
      <c r="Q9137"/>
      <c r="R9137"/>
      <c r="S9137"/>
    </row>
    <row r="9138" spans="13:19" ht="13.95" customHeight="1">
      <c r="M9138"/>
      <c r="N9138"/>
      <c r="O9138"/>
      <c r="P9138"/>
      <c r="Q9138"/>
      <c r="R9138"/>
      <c r="S9138"/>
    </row>
    <row r="9139" spans="13:19" ht="13.95" customHeight="1">
      <c r="M9139"/>
      <c r="N9139"/>
      <c r="O9139"/>
      <c r="P9139"/>
      <c r="Q9139"/>
      <c r="R9139"/>
      <c r="S9139"/>
    </row>
    <row r="9140" spans="13:19" ht="13.95" customHeight="1">
      <c r="M9140"/>
      <c r="N9140"/>
      <c r="O9140"/>
      <c r="P9140"/>
      <c r="Q9140"/>
      <c r="R9140"/>
      <c r="S9140"/>
    </row>
    <row r="9141" spans="13:19" ht="13.95" customHeight="1">
      <c r="M9141"/>
      <c r="N9141"/>
      <c r="O9141"/>
      <c r="P9141"/>
      <c r="Q9141"/>
      <c r="R9141"/>
      <c r="S9141"/>
    </row>
    <row r="9142" spans="13:19" ht="13.95" customHeight="1">
      <c r="M9142"/>
      <c r="N9142"/>
      <c r="O9142"/>
      <c r="P9142"/>
      <c r="Q9142"/>
      <c r="R9142"/>
      <c r="S9142"/>
    </row>
    <row r="9143" spans="13:19" ht="13.95" customHeight="1">
      <c r="M9143"/>
      <c r="N9143"/>
      <c r="O9143"/>
      <c r="P9143"/>
      <c r="Q9143"/>
      <c r="R9143"/>
      <c r="S9143"/>
    </row>
    <row r="9144" spans="13:19" ht="13.95" customHeight="1">
      <c r="M9144"/>
      <c r="N9144"/>
      <c r="O9144"/>
      <c r="P9144"/>
      <c r="Q9144"/>
      <c r="R9144"/>
      <c r="S9144"/>
    </row>
    <row r="9145" spans="13:19" ht="13.95" customHeight="1">
      <c r="M9145"/>
      <c r="N9145"/>
      <c r="O9145"/>
      <c r="P9145"/>
      <c r="Q9145"/>
      <c r="R9145"/>
      <c r="S9145"/>
    </row>
    <row r="9146" spans="13:19" ht="13.95" customHeight="1">
      <c r="M9146"/>
      <c r="N9146"/>
      <c r="O9146"/>
      <c r="P9146"/>
      <c r="Q9146"/>
      <c r="R9146"/>
      <c r="S9146"/>
    </row>
    <row r="9147" spans="13:19" ht="13.95" customHeight="1">
      <c r="M9147"/>
      <c r="N9147"/>
      <c r="O9147"/>
      <c r="P9147"/>
      <c r="Q9147"/>
      <c r="R9147"/>
      <c r="S9147"/>
    </row>
    <row r="9148" spans="13:19" ht="13.95" customHeight="1">
      <c r="M9148"/>
      <c r="N9148"/>
      <c r="O9148"/>
      <c r="P9148"/>
      <c r="Q9148"/>
      <c r="R9148"/>
      <c r="S9148"/>
    </row>
    <row r="9149" spans="13:19" ht="13.95" customHeight="1">
      <c r="M9149"/>
      <c r="N9149"/>
      <c r="O9149"/>
      <c r="P9149"/>
      <c r="Q9149"/>
      <c r="R9149"/>
      <c r="S9149"/>
    </row>
    <row r="9150" spans="13:19" ht="13.95" customHeight="1">
      <c r="M9150"/>
      <c r="N9150"/>
      <c r="O9150"/>
      <c r="P9150"/>
      <c r="Q9150"/>
      <c r="R9150"/>
      <c r="S9150"/>
    </row>
    <row r="9151" spans="13:19" ht="13.95" customHeight="1">
      <c r="M9151"/>
      <c r="N9151"/>
      <c r="O9151"/>
      <c r="P9151"/>
      <c r="Q9151"/>
      <c r="R9151"/>
      <c r="S9151"/>
    </row>
    <row r="9152" spans="13:19" ht="13.95" customHeight="1">
      <c r="M9152"/>
      <c r="N9152"/>
      <c r="O9152"/>
      <c r="P9152"/>
      <c r="Q9152"/>
      <c r="R9152"/>
      <c r="S9152"/>
    </row>
    <row r="9153" spans="13:19" ht="13.95" customHeight="1">
      <c r="M9153"/>
      <c r="N9153"/>
      <c r="O9153"/>
      <c r="P9153"/>
      <c r="Q9153"/>
      <c r="R9153"/>
      <c r="S9153"/>
    </row>
    <row r="9154" spans="13:19" ht="13.95" customHeight="1">
      <c r="M9154"/>
      <c r="N9154"/>
      <c r="O9154"/>
      <c r="P9154"/>
      <c r="Q9154"/>
      <c r="R9154"/>
      <c r="S9154"/>
    </row>
    <row r="9155" spans="13:19" ht="13.95" customHeight="1">
      <c r="M9155"/>
      <c r="N9155"/>
      <c r="O9155"/>
      <c r="P9155"/>
      <c r="Q9155"/>
      <c r="R9155"/>
      <c r="S9155"/>
    </row>
    <row r="9156" spans="13:19" ht="13.95" customHeight="1">
      <c r="M9156"/>
      <c r="N9156"/>
      <c r="O9156"/>
      <c r="P9156"/>
      <c r="Q9156"/>
      <c r="R9156"/>
      <c r="S9156"/>
    </row>
    <row r="9157" spans="13:19" ht="13.95" customHeight="1">
      <c r="M9157"/>
      <c r="N9157"/>
      <c r="O9157"/>
      <c r="P9157"/>
      <c r="Q9157"/>
      <c r="R9157"/>
      <c r="S9157"/>
    </row>
    <row r="9158" spans="13:19" ht="13.95" customHeight="1">
      <c r="M9158"/>
      <c r="N9158"/>
      <c r="O9158"/>
      <c r="P9158"/>
      <c r="Q9158"/>
      <c r="R9158"/>
      <c r="S9158"/>
    </row>
    <row r="9159" spans="13:19" ht="13.95" customHeight="1">
      <c r="M9159"/>
      <c r="N9159"/>
      <c r="O9159"/>
      <c r="P9159"/>
      <c r="Q9159"/>
      <c r="R9159"/>
      <c r="S9159"/>
    </row>
    <row r="9160" spans="13:19" ht="13.95" customHeight="1">
      <c r="M9160"/>
      <c r="N9160"/>
      <c r="O9160"/>
      <c r="P9160"/>
      <c r="Q9160"/>
      <c r="R9160"/>
      <c r="S9160"/>
    </row>
    <row r="9161" spans="13:19" ht="13.95" customHeight="1">
      <c r="M9161"/>
      <c r="N9161"/>
      <c r="O9161"/>
      <c r="P9161"/>
      <c r="Q9161"/>
      <c r="R9161"/>
      <c r="S9161"/>
    </row>
    <row r="9162" spans="13:19" ht="13.95" customHeight="1">
      <c r="M9162"/>
      <c r="N9162"/>
      <c r="O9162"/>
      <c r="P9162"/>
      <c r="Q9162"/>
      <c r="R9162"/>
      <c r="S9162"/>
    </row>
    <row r="9163" spans="13:19" ht="13.95" customHeight="1">
      <c r="M9163"/>
      <c r="N9163"/>
      <c r="O9163"/>
      <c r="P9163"/>
      <c r="Q9163"/>
      <c r="R9163"/>
      <c r="S9163"/>
    </row>
    <row r="9164" spans="13:19" ht="13.95" customHeight="1">
      <c r="M9164"/>
      <c r="N9164"/>
      <c r="O9164"/>
      <c r="P9164"/>
      <c r="Q9164"/>
      <c r="R9164"/>
      <c r="S9164"/>
    </row>
    <row r="9165" spans="13:19" ht="13.95" customHeight="1">
      <c r="M9165"/>
      <c r="N9165"/>
      <c r="O9165"/>
      <c r="P9165"/>
      <c r="Q9165"/>
      <c r="R9165"/>
      <c r="S9165"/>
    </row>
    <row r="9166" spans="13:19" ht="13.95" customHeight="1">
      <c r="M9166"/>
      <c r="N9166"/>
      <c r="O9166"/>
      <c r="P9166"/>
      <c r="Q9166"/>
      <c r="R9166"/>
      <c r="S9166"/>
    </row>
    <row r="9167" spans="13:19" ht="13.95" customHeight="1">
      <c r="M9167"/>
      <c r="N9167"/>
      <c r="O9167"/>
      <c r="P9167"/>
      <c r="Q9167"/>
      <c r="R9167"/>
      <c r="S9167"/>
    </row>
    <row r="9168" spans="13:19" ht="13.95" customHeight="1">
      <c r="M9168"/>
      <c r="N9168"/>
      <c r="O9168"/>
      <c r="P9168"/>
      <c r="Q9168"/>
      <c r="R9168"/>
      <c r="S9168"/>
    </row>
    <row r="9169" spans="13:19" ht="13.95" customHeight="1">
      <c r="M9169"/>
      <c r="N9169"/>
      <c r="O9169"/>
      <c r="P9169"/>
      <c r="Q9169"/>
      <c r="R9169"/>
      <c r="S9169"/>
    </row>
    <row r="9170" spans="13:19" ht="13.95" customHeight="1">
      <c r="M9170"/>
      <c r="N9170"/>
      <c r="O9170"/>
      <c r="P9170"/>
      <c r="Q9170"/>
      <c r="R9170"/>
      <c r="S9170"/>
    </row>
    <row r="9171" spans="13:19" ht="13.95" customHeight="1">
      <c r="M9171"/>
      <c r="N9171"/>
      <c r="O9171"/>
      <c r="P9171"/>
      <c r="Q9171"/>
      <c r="R9171"/>
      <c r="S9171"/>
    </row>
    <row r="9172" spans="13:19" ht="13.95" customHeight="1">
      <c r="M9172"/>
      <c r="N9172"/>
      <c r="O9172"/>
      <c r="P9172"/>
      <c r="Q9172"/>
      <c r="R9172"/>
      <c r="S9172"/>
    </row>
    <row r="9173" spans="13:19" ht="13.95" customHeight="1">
      <c r="M9173"/>
      <c r="N9173"/>
      <c r="O9173"/>
      <c r="P9173"/>
      <c r="Q9173"/>
      <c r="R9173"/>
      <c r="S9173"/>
    </row>
    <row r="9174" spans="13:19" ht="13.95" customHeight="1">
      <c r="M9174"/>
      <c r="N9174"/>
      <c r="O9174"/>
      <c r="P9174"/>
      <c r="Q9174"/>
      <c r="R9174"/>
      <c r="S9174"/>
    </row>
    <row r="9175" spans="13:19" ht="13.95" customHeight="1">
      <c r="M9175"/>
      <c r="N9175"/>
      <c r="O9175"/>
      <c r="P9175"/>
      <c r="Q9175"/>
      <c r="R9175"/>
      <c r="S9175"/>
    </row>
    <row r="9176" spans="13:19" ht="13.95" customHeight="1">
      <c r="M9176"/>
      <c r="N9176"/>
      <c r="O9176"/>
      <c r="P9176"/>
      <c r="Q9176"/>
      <c r="R9176"/>
      <c r="S9176"/>
    </row>
    <row r="9177" spans="13:19" ht="13.95" customHeight="1">
      <c r="M9177"/>
      <c r="N9177"/>
      <c r="O9177"/>
      <c r="P9177"/>
      <c r="Q9177"/>
      <c r="R9177"/>
      <c r="S9177"/>
    </row>
    <row r="9178" spans="13:19" ht="13.95" customHeight="1">
      <c r="M9178"/>
      <c r="N9178"/>
      <c r="O9178"/>
      <c r="P9178"/>
      <c r="Q9178"/>
      <c r="R9178"/>
      <c r="S9178"/>
    </row>
    <row r="9179" spans="13:19" ht="13.95" customHeight="1">
      <c r="M9179"/>
      <c r="N9179"/>
      <c r="O9179"/>
      <c r="P9179"/>
      <c r="Q9179"/>
      <c r="R9179"/>
      <c r="S9179"/>
    </row>
    <row r="9180" spans="13:19" ht="13.95" customHeight="1">
      <c r="M9180"/>
      <c r="N9180"/>
      <c r="O9180"/>
      <c r="P9180"/>
      <c r="Q9180"/>
      <c r="R9180"/>
      <c r="S9180"/>
    </row>
    <row r="9181" spans="13:19" ht="13.95" customHeight="1">
      <c r="M9181"/>
      <c r="N9181"/>
      <c r="O9181"/>
      <c r="P9181"/>
      <c r="Q9181"/>
      <c r="R9181"/>
      <c r="S9181"/>
    </row>
    <row r="9182" spans="13:19" ht="13.95" customHeight="1">
      <c r="M9182"/>
      <c r="N9182"/>
      <c r="O9182"/>
      <c r="P9182"/>
      <c r="Q9182"/>
      <c r="R9182"/>
      <c r="S9182"/>
    </row>
    <row r="9183" spans="13:19" ht="13.95" customHeight="1">
      <c r="M9183"/>
      <c r="N9183"/>
      <c r="O9183"/>
      <c r="P9183"/>
      <c r="Q9183"/>
      <c r="R9183"/>
      <c r="S9183"/>
    </row>
    <row r="9184" spans="13:19" ht="13.95" customHeight="1">
      <c r="M9184"/>
      <c r="N9184"/>
      <c r="O9184"/>
      <c r="P9184"/>
      <c r="Q9184"/>
      <c r="R9184"/>
      <c r="S9184"/>
    </row>
    <row r="9185" spans="13:19" ht="13.95" customHeight="1">
      <c r="M9185"/>
      <c r="N9185"/>
      <c r="O9185"/>
      <c r="P9185"/>
      <c r="Q9185"/>
      <c r="R9185"/>
      <c r="S9185"/>
    </row>
    <row r="9186" spans="13:19" ht="13.95" customHeight="1">
      <c r="M9186"/>
      <c r="N9186"/>
      <c r="O9186"/>
      <c r="P9186"/>
      <c r="Q9186"/>
      <c r="R9186"/>
      <c r="S9186"/>
    </row>
    <row r="9187" spans="13:19" ht="13.95" customHeight="1">
      <c r="M9187"/>
      <c r="N9187"/>
      <c r="O9187"/>
      <c r="P9187"/>
      <c r="Q9187"/>
      <c r="R9187"/>
      <c r="S9187"/>
    </row>
    <row r="9188" spans="13:19" ht="13.95" customHeight="1">
      <c r="M9188"/>
      <c r="N9188"/>
      <c r="O9188"/>
      <c r="P9188"/>
      <c r="Q9188"/>
      <c r="R9188"/>
      <c r="S9188"/>
    </row>
    <row r="9189" spans="13:19" ht="13.95" customHeight="1">
      <c r="M9189"/>
      <c r="N9189"/>
      <c r="O9189"/>
      <c r="P9189"/>
      <c r="Q9189"/>
      <c r="R9189"/>
      <c r="S9189"/>
    </row>
    <row r="9190" spans="13:19" ht="13.95" customHeight="1">
      <c r="M9190"/>
      <c r="N9190"/>
      <c r="O9190"/>
      <c r="P9190"/>
      <c r="Q9190"/>
      <c r="R9190"/>
      <c r="S9190"/>
    </row>
    <row r="9191" spans="13:19" ht="13.95" customHeight="1">
      <c r="M9191"/>
      <c r="N9191"/>
      <c r="O9191"/>
      <c r="P9191"/>
      <c r="Q9191"/>
      <c r="R9191"/>
      <c r="S9191"/>
    </row>
    <row r="9192" spans="13:19" ht="13.95" customHeight="1">
      <c r="M9192"/>
      <c r="N9192"/>
      <c r="O9192"/>
      <c r="P9192"/>
      <c r="Q9192"/>
      <c r="R9192"/>
      <c r="S9192"/>
    </row>
    <row r="9193" spans="13:19" ht="13.95" customHeight="1">
      <c r="M9193"/>
      <c r="N9193"/>
      <c r="O9193"/>
      <c r="P9193"/>
      <c r="Q9193"/>
      <c r="R9193"/>
      <c r="S9193"/>
    </row>
    <row r="9194" spans="13:19" ht="13.95" customHeight="1">
      <c r="M9194"/>
      <c r="N9194"/>
      <c r="O9194"/>
      <c r="P9194"/>
      <c r="Q9194"/>
      <c r="R9194"/>
      <c r="S9194"/>
    </row>
    <row r="9195" spans="13:19" ht="13.95" customHeight="1">
      <c r="M9195"/>
      <c r="N9195"/>
      <c r="O9195"/>
      <c r="P9195"/>
      <c r="Q9195"/>
      <c r="R9195"/>
      <c r="S9195"/>
    </row>
    <row r="9196" spans="13:19" ht="13.95" customHeight="1">
      <c r="M9196"/>
      <c r="N9196"/>
      <c r="O9196"/>
      <c r="P9196"/>
      <c r="Q9196"/>
      <c r="R9196"/>
      <c r="S9196"/>
    </row>
    <row r="9197" spans="13:19" ht="13.95" customHeight="1">
      <c r="M9197"/>
      <c r="N9197"/>
      <c r="O9197"/>
      <c r="P9197"/>
      <c r="Q9197"/>
      <c r="R9197"/>
      <c r="S9197"/>
    </row>
    <row r="9198" spans="13:19" ht="13.95" customHeight="1">
      <c r="M9198"/>
      <c r="N9198"/>
      <c r="O9198"/>
      <c r="P9198"/>
      <c r="Q9198"/>
      <c r="R9198"/>
      <c r="S9198"/>
    </row>
    <row r="9199" spans="13:19" ht="13.95" customHeight="1">
      <c r="M9199"/>
      <c r="N9199"/>
      <c r="O9199"/>
      <c r="P9199"/>
      <c r="Q9199"/>
      <c r="R9199"/>
      <c r="S9199"/>
    </row>
    <row r="9200" spans="13:19" ht="13.95" customHeight="1">
      <c r="M9200"/>
      <c r="N9200"/>
      <c r="O9200"/>
      <c r="P9200"/>
      <c r="Q9200"/>
      <c r="R9200"/>
      <c r="S9200"/>
    </row>
    <row r="9201" spans="13:19" ht="13.95" customHeight="1">
      <c r="M9201"/>
      <c r="N9201"/>
      <c r="O9201"/>
      <c r="P9201"/>
      <c r="Q9201"/>
      <c r="R9201"/>
      <c r="S9201"/>
    </row>
    <row r="9202" spans="13:19" ht="13.95" customHeight="1">
      <c r="M9202"/>
      <c r="N9202"/>
      <c r="O9202"/>
      <c r="P9202"/>
      <c r="Q9202"/>
      <c r="R9202"/>
      <c r="S9202"/>
    </row>
    <row r="9203" spans="13:19" ht="13.95" customHeight="1">
      <c r="M9203"/>
      <c r="N9203"/>
      <c r="O9203"/>
      <c r="P9203"/>
      <c r="Q9203"/>
      <c r="R9203"/>
      <c r="S9203"/>
    </row>
    <row r="9204" spans="13:19" ht="13.95" customHeight="1">
      <c r="M9204"/>
      <c r="N9204"/>
      <c r="O9204"/>
      <c r="P9204"/>
      <c r="Q9204"/>
      <c r="R9204"/>
      <c r="S9204"/>
    </row>
    <row r="9205" spans="13:19" ht="13.95" customHeight="1">
      <c r="M9205"/>
      <c r="N9205"/>
      <c r="O9205"/>
      <c r="P9205"/>
      <c r="Q9205"/>
      <c r="R9205"/>
      <c r="S9205"/>
    </row>
    <row r="9206" spans="13:19" ht="13.95" customHeight="1">
      <c r="M9206"/>
      <c r="N9206"/>
      <c r="O9206"/>
      <c r="P9206"/>
      <c r="Q9206"/>
      <c r="R9206"/>
      <c r="S9206"/>
    </row>
    <row r="9207" spans="13:19" ht="13.95" customHeight="1">
      <c r="M9207"/>
      <c r="N9207"/>
      <c r="O9207"/>
      <c r="P9207"/>
      <c r="Q9207"/>
      <c r="R9207"/>
      <c r="S9207"/>
    </row>
    <row r="9208" spans="13:19" ht="13.95" customHeight="1">
      <c r="M9208"/>
      <c r="N9208"/>
      <c r="O9208"/>
      <c r="P9208"/>
      <c r="Q9208"/>
      <c r="R9208"/>
      <c r="S9208"/>
    </row>
    <row r="9209" spans="13:19" ht="13.95" customHeight="1">
      <c r="M9209"/>
      <c r="N9209"/>
      <c r="O9209"/>
      <c r="P9209"/>
      <c r="Q9209"/>
      <c r="R9209"/>
      <c r="S9209"/>
    </row>
    <row r="9210" spans="13:19" ht="13.95" customHeight="1">
      <c r="M9210"/>
      <c r="N9210"/>
      <c r="O9210"/>
      <c r="P9210"/>
      <c r="Q9210"/>
      <c r="R9210"/>
      <c r="S9210"/>
    </row>
    <row r="9211" spans="13:19" ht="13.95" customHeight="1">
      <c r="M9211"/>
      <c r="N9211"/>
      <c r="O9211"/>
      <c r="P9211"/>
      <c r="Q9211"/>
      <c r="R9211"/>
      <c r="S9211"/>
    </row>
    <row r="9212" spans="13:19" ht="13.95" customHeight="1">
      <c r="M9212"/>
      <c r="N9212"/>
      <c r="O9212"/>
      <c r="P9212"/>
      <c r="Q9212"/>
      <c r="R9212"/>
      <c r="S9212"/>
    </row>
    <row r="9213" spans="13:19" ht="13.95" customHeight="1">
      <c r="M9213"/>
      <c r="N9213"/>
      <c r="O9213"/>
      <c r="P9213"/>
      <c r="Q9213"/>
      <c r="R9213"/>
      <c r="S9213"/>
    </row>
    <row r="9214" spans="13:19" ht="13.95" customHeight="1">
      <c r="M9214"/>
      <c r="N9214"/>
      <c r="O9214"/>
      <c r="P9214"/>
      <c r="Q9214"/>
      <c r="R9214"/>
      <c r="S9214"/>
    </row>
    <row r="9215" spans="13:19" ht="13.95" customHeight="1">
      <c r="M9215"/>
      <c r="N9215"/>
      <c r="O9215"/>
      <c r="P9215"/>
      <c r="Q9215"/>
      <c r="R9215"/>
      <c r="S9215"/>
    </row>
    <row r="9216" spans="13:19" ht="13.95" customHeight="1">
      <c r="M9216"/>
      <c r="N9216"/>
      <c r="O9216"/>
      <c r="P9216"/>
      <c r="Q9216"/>
      <c r="R9216"/>
      <c r="S9216"/>
    </row>
    <row r="9217" spans="13:19" ht="13.95" customHeight="1">
      <c r="M9217"/>
      <c r="N9217"/>
      <c r="O9217"/>
      <c r="P9217"/>
      <c r="Q9217"/>
      <c r="R9217"/>
      <c r="S9217"/>
    </row>
    <row r="9218" spans="13:19" ht="13.95" customHeight="1">
      <c r="M9218"/>
      <c r="N9218"/>
      <c r="O9218"/>
      <c r="P9218"/>
      <c r="Q9218"/>
      <c r="R9218"/>
      <c r="S9218"/>
    </row>
    <row r="9219" spans="13:19" ht="13.95" customHeight="1">
      <c r="M9219"/>
      <c r="N9219"/>
      <c r="O9219"/>
      <c r="P9219"/>
      <c r="Q9219"/>
      <c r="R9219"/>
      <c r="S9219"/>
    </row>
    <row r="9220" spans="13:19" ht="13.95" customHeight="1">
      <c r="M9220"/>
      <c r="N9220"/>
      <c r="O9220"/>
      <c r="P9220"/>
      <c r="Q9220"/>
      <c r="R9220"/>
      <c r="S9220"/>
    </row>
    <row r="9221" spans="13:19" ht="13.95" customHeight="1">
      <c r="M9221"/>
      <c r="N9221"/>
      <c r="O9221"/>
      <c r="P9221"/>
      <c r="Q9221"/>
      <c r="R9221"/>
      <c r="S9221"/>
    </row>
    <row r="9222" spans="13:19" ht="13.95" customHeight="1">
      <c r="M9222"/>
      <c r="N9222"/>
      <c r="O9222"/>
      <c r="P9222"/>
      <c r="Q9222"/>
      <c r="R9222"/>
      <c r="S9222"/>
    </row>
    <row r="9223" spans="13:19" ht="13.95" customHeight="1">
      <c r="M9223"/>
      <c r="N9223"/>
      <c r="O9223"/>
      <c r="P9223"/>
      <c r="Q9223"/>
      <c r="R9223"/>
      <c r="S9223"/>
    </row>
    <row r="9224" spans="13:19" ht="13.95" customHeight="1">
      <c r="M9224"/>
      <c r="N9224"/>
      <c r="O9224"/>
      <c r="P9224"/>
      <c r="Q9224"/>
      <c r="R9224"/>
      <c r="S9224"/>
    </row>
    <row r="9225" spans="13:19" ht="13.95" customHeight="1">
      <c r="M9225"/>
      <c r="N9225"/>
      <c r="O9225"/>
      <c r="P9225"/>
      <c r="Q9225"/>
      <c r="R9225"/>
      <c r="S9225"/>
    </row>
    <row r="9226" spans="13:19" ht="13.95" customHeight="1">
      <c r="M9226"/>
      <c r="N9226"/>
      <c r="O9226"/>
      <c r="P9226"/>
      <c r="Q9226"/>
      <c r="R9226"/>
      <c r="S9226"/>
    </row>
    <row r="9227" spans="13:19" ht="13.95" customHeight="1">
      <c r="M9227"/>
      <c r="N9227"/>
      <c r="O9227"/>
      <c r="P9227"/>
      <c r="Q9227"/>
      <c r="R9227"/>
      <c r="S9227"/>
    </row>
    <row r="9228" spans="13:19" ht="13.95" customHeight="1">
      <c r="M9228"/>
      <c r="N9228"/>
      <c r="O9228"/>
      <c r="P9228"/>
      <c r="Q9228"/>
      <c r="R9228"/>
      <c r="S9228"/>
    </row>
    <row r="9229" spans="13:19" ht="13.95" customHeight="1">
      <c r="M9229"/>
      <c r="N9229"/>
      <c r="O9229"/>
      <c r="P9229"/>
      <c r="Q9229"/>
      <c r="R9229"/>
      <c r="S9229"/>
    </row>
    <row r="9230" spans="13:19" ht="13.95" customHeight="1">
      <c r="M9230"/>
      <c r="N9230"/>
      <c r="O9230"/>
      <c r="P9230"/>
      <c r="Q9230"/>
      <c r="R9230"/>
      <c r="S9230"/>
    </row>
    <row r="9231" spans="13:19" ht="13.95" customHeight="1">
      <c r="M9231"/>
      <c r="N9231"/>
      <c r="O9231"/>
      <c r="P9231"/>
      <c r="Q9231"/>
      <c r="R9231"/>
      <c r="S9231"/>
    </row>
    <row r="9232" spans="13:19" ht="13.95" customHeight="1">
      <c r="M9232"/>
      <c r="N9232"/>
      <c r="O9232"/>
      <c r="P9232"/>
      <c r="Q9232"/>
      <c r="R9232"/>
      <c r="S9232"/>
    </row>
    <row r="9233" spans="13:19" ht="13.95" customHeight="1">
      <c r="M9233"/>
      <c r="N9233"/>
      <c r="O9233"/>
      <c r="P9233"/>
      <c r="Q9233"/>
      <c r="R9233"/>
      <c r="S9233"/>
    </row>
    <row r="9234" spans="13:19" ht="13.95" customHeight="1">
      <c r="M9234"/>
      <c r="N9234"/>
      <c r="O9234"/>
      <c r="P9234"/>
      <c r="Q9234"/>
      <c r="R9234"/>
      <c r="S9234"/>
    </row>
    <row r="9235" spans="13:19" ht="13.95" customHeight="1">
      <c r="M9235"/>
      <c r="N9235"/>
      <c r="O9235"/>
      <c r="P9235"/>
      <c r="Q9235"/>
      <c r="R9235"/>
      <c r="S9235"/>
    </row>
    <row r="9236" spans="13:19" ht="13.95" customHeight="1">
      <c r="M9236"/>
      <c r="N9236"/>
      <c r="O9236"/>
      <c r="P9236"/>
      <c r="Q9236"/>
      <c r="R9236"/>
      <c r="S9236"/>
    </row>
    <row r="9237" spans="13:19" ht="13.95" customHeight="1">
      <c r="M9237"/>
      <c r="N9237"/>
      <c r="O9237"/>
      <c r="P9237"/>
      <c r="Q9237"/>
      <c r="R9237"/>
      <c r="S9237"/>
    </row>
    <row r="9238" spans="13:19" ht="13.95" customHeight="1">
      <c r="M9238"/>
      <c r="N9238"/>
      <c r="O9238"/>
      <c r="P9238"/>
      <c r="Q9238"/>
      <c r="R9238"/>
      <c r="S9238"/>
    </row>
    <row r="9239" spans="13:19" ht="13.95" customHeight="1">
      <c r="M9239"/>
      <c r="N9239"/>
      <c r="O9239"/>
      <c r="P9239"/>
      <c r="Q9239"/>
      <c r="R9239"/>
      <c r="S9239"/>
    </row>
    <row r="9240" spans="13:19" ht="13.95" customHeight="1">
      <c r="M9240"/>
      <c r="N9240"/>
      <c r="O9240"/>
      <c r="P9240"/>
      <c r="Q9240"/>
      <c r="R9240"/>
      <c r="S9240"/>
    </row>
    <row r="9241" spans="13:19" ht="13.95" customHeight="1">
      <c r="M9241"/>
      <c r="N9241"/>
      <c r="O9241"/>
      <c r="P9241"/>
      <c r="Q9241"/>
      <c r="R9241"/>
      <c r="S9241"/>
    </row>
    <row r="9242" spans="13:19" ht="13.95" customHeight="1">
      <c r="M9242"/>
      <c r="N9242"/>
      <c r="O9242"/>
      <c r="P9242"/>
      <c r="Q9242"/>
      <c r="R9242"/>
      <c r="S9242"/>
    </row>
    <row r="9243" spans="13:19" ht="13.95" customHeight="1">
      <c r="M9243"/>
      <c r="N9243"/>
      <c r="O9243"/>
      <c r="P9243"/>
      <c r="Q9243"/>
      <c r="R9243"/>
      <c r="S9243"/>
    </row>
    <row r="9244" spans="13:19" ht="13.95" customHeight="1">
      <c r="M9244"/>
      <c r="N9244"/>
      <c r="O9244"/>
      <c r="P9244"/>
      <c r="Q9244"/>
      <c r="R9244"/>
      <c r="S9244"/>
    </row>
    <row r="9245" spans="13:19" ht="13.95" customHeight="1">
      <c r="M9245"/>
      <c r="N9245"/>
      <c r="O9245"/>
      <c r="P9245"/>
      <c r="Q9245"/>
      <c r="R9245"/>
      <c r="S9245"/>
    </row>
    <row r="9246" spans="13:19" ht="13.95" customHeight="1">
      <c r="M9246"/>
      <c r="N9246"/>
      <c r="O9246"/>
      <c r="P9246"/>
      <c r="Q9246"/>
      <c r="R9246"/>
      <c r="S9246"/>
    </row>
    <row r="9247" spans="13:19" ht="13.95" customHeight="1">
      <c r="M9247"/>
      <c r="N9247"/>
      <c r="O9247"/>
      <c r="P9247"/>
      <c r="Q9247"/>
      <c r="R9247"/>
      <c r="S9247"/>
    </row>
    <row r="9248" spans="13:19" ht="13.95" customHeight="1">
      <c r="M9248"/>
      <c r="N9248"/>
      <c r="O9248"/>
      <c r="P9248"/>
      <c r="Q9248"/>
      <c r="R9248"/>
      <c r="S9248"/>
    </row>
    <row r="9249" spans="13:19" ht="13.95" customHeight="1">
      <c r="M9249"/>
      <c r="N9249"/>
      <c r="O9249"/>
      <c r="P9249"/>
      <c r="Q9249"/>
      <c r="R9249"/>
      <c r="S9249"/>
    </row>
    <row r="9250" spans="13:19" ht="13.95" customHeight="1">
      <c r="M9250"/>
      <c r="N9250"/>
      <c r="O9250"/>
      <c r="P9250"/>
      <c r="Q9250"/>
      <c r="R9250"/>
      <c r="S9250"/>
    </row>
    <row r="9251" spans="13:19" ht="13.95" customHeight="1">
      <c r="M9251"/>
      <c r="N9251"/>
      <c r="O9251"/>
      <c r="P9251"/>
      <c r="Q9251"/>
      <c r="R9251"/>
      <c r="S9251"/>
    </row>
    <row r="9252" spans="13:19" ht="13.95" customHeight="1">
      <c r="M9252"/>
      <c r="N9252"/>
      <c r="O9252"/>
      <c r="P9252"/>
      <c r="Q9252"/>
      <c r="R9252"/>
      <c r="S9252"/>
    </row>
    <row r="9253" spans="13:19" ht="13.95" customHeight="1">
      <c r="M9253"/>
      <c r="N9253"/>
      <c r="O9253"/>
      <c r="P9253"/>
      <c r="Q9253"/>
      <c r="R9253"/>
      <c r="S9253"/>
    </row>
    <row r="9254" spans="13:19" ht="13.95" customHeight="1">
      <c r="M9254"/>
      <c r="N9254"/>
      <c r="O9254"/>
      <c r="P9254"/>
      <c r="Q9254"/>
      <c r="R9254"/>
      <c r="S9254"/>
    </row>
    <row r="9255" spans="13:19" ht="13.95" customHeight="1">
      <c r="M9255"/>
      <c r="N9255"/>
      <c r="O9255"/>
      <c r="P9255"/>
      <c r="Q9255"/>
      <c r="R9255"/>
      <c r="S9255"/>
    </row>
    <row r="9256" spans="13:19" ht="13.95" customHeight="1">
      <c r="M9256"/>
      <c r="N9256"/>
      <c r="O9256"/>
      <c r="P9256"/>
      <c r="Q9256"/>
      <c r="R9256"/>
      <c r="S9256"/>
    </row>
    <row r="9257" spans="13:19" ht="13.95" customHeight="1">
      <c r="M9257"/>
      <c r="N9257"/>
      <c r="O9257"/>
      <c r="P9257"/>
      <c r="Q9257"/>
      <c r="R9257"/>
      <c r="S9257"/>
    </row>
    <row r="9258" spans="13:19" ht="13.95" customHeight="1">
      <c r="M9258"/>
      <c r="N9258"/>
      <c r="O9258"/>
      <c r="P9258"/>
      <c r="Q9258"/>
      <c r="R9258"/>
      <c r="S9258"/>
    </row>
    <row r="9259" spans="13:19" ht="13.95" customHeight="1">
      <c r="M9259"/>
      <c r="N9259"/>
      <c r="O9259"/>
      <c r="P9259"/>
      <c r="Q9259"/>
      <c r="R9259"/>
      <c r="S9259"/>
    </row>
    <row r="9260" spans="13:19" ht="13.95" customHeight="1">
      <c r="M9260"/>
      <c r="N9260"/>
      <c r="O9260"/>
      <c r="P9260"/>
      <c r="Q9260"/>
      <c r="R9260"/>
      <c r="S9260"/>
    </row>
    <row r="9261" spans="13:19" ht="13.95" customHeight="1">
      <c r="M9261"/>
      <c r="N9261"/>
      <c r="O9261"/>
      <c r="P9261"/>
      <c r="Q9261"/>
      <c r="R9261"/>
      <c r="S9261"/>
    </row>
    <row r="9262" spans="13:19" ht="13.95" customHeight="1">
      <c r="M9262"/>
      <c r="N9262"/>
      <c r="O9262"/>
      <c r="P9262"/>
      <c r="Q9262"/>
      <c r="R9262"/>
      <c r="S9262"/>
    </row>
    <row r="9263" spans="13:19" ht="13.95" customHeight="1">
      <c r="M9263"/>
      <c r="N9263"/>
      <c r="O9263"/>
      <c r="P9263"/>
      <c r="Q9263"/>
      <c r="R9263"/>
      <c r="S9263"/>
    </row>
    <row r="9264" spans="13:19" ht="13.95" customHeight="1">
      <c r="M9264"/>
      <c r="N9264"/>
      <c r="O9264"/>
      <c r="P9264"/>
      <c r="Q9264"/>
      <c r="R9264"/>
      <c r="S9264"/>
    </row>
    <row r="9265" spans="13:19" ht="13.95" customHeight="1">
      <c r="M9265"/>
      <c r="N9265"/>
      <c r="O9265"/>
      <c r="P9265"/>
      <c r="Q9265"/>
      <c r="R9265"/>
      <c r="S9265"/>
    </row>
    <row r="9266" spans="13:19" ht="13.95" customHeight="1">
      <c r="M9266"/>
      <c r="N9266"/>
      <c r="O9266"/>
      <c r="P9266"/>
      <c r="Q9266"/>
      <c r="R9266"/>
      <c r="S9266"/>
    </row>
    <row r="9267" spans="13:19" ht="13.95" customHeight="1">
      <c r="M9267"/>
      <c r="N9267"/>
      <c r="O9267"/>
      <c r="P9267"/>
      <c r="Q9267"/>
      <c r="R9267"/>
      <c r="S9267"/>
    </row>
    <row r="9268" spans="13:19" ht="13.95" customHeight="1">
      <c r="M9268"/>
      <c r="N9268"/>
      <c r="O9268"/>
      <c r="P9268"/>
      <c r="Q9268"/>
      <c r="R9268"/>
      <c r="S9268"/>
    </row>
    <row r="9269" spans="13:19" ht="13.95" customHeight="1">
      <c r="M9269"/>
      <c r="N9269"/>
      <c r="O9269"/>
      <c r="P9269"/>
      <c r="Q9269"/>
      <c r="R9269"/>
      <c r="S9269"/>
    </row>
    <row r="9270" spans="13:19" ht="13.95" customHeight="1">
      <c r="M9270"/>
      <c r="N9270"/>
      <c r="O9270"/>
      <c r="P9270"/>
      <c r="Q9270"/>
      <c r="R9270"/>
      <c r="S9270"/>
    </row>
    <row r="9271" spans="13:19" ht="13.95" customHeight="1">
      <c r="M9271"/>
      <c r="N9271"/>
      <c r="O9271"/>
      <c r="P9271"/>
      <c r="Q9271"/>
      <c r="R9271"/>
      <c r="S9271"/>
    </row>
    <row r="9272" spans="13:19" ht="13.95" customHeight="1">
      <c r="M9272"/>
      <c r="N9272"/>
      <c r="O9272"/>
      <c r="P9272"/>
      <c r="Q9272"/>
      <c r="R9272"/>
      <c r="S9272"/>
    </row>
    <row r="9273" spans="13:19" ht="13.95" customHeight="1">
      <c r="M9273"/>
      <c r="N9273"/>
      <c r="O9273"/>
      <c r="P9273"/>
      <c r="Q9273"/>
      <c r="R9273"/>
      <c r="S9273"/>
    </row>
    <row r="9274" spans="13:19" ht="13.95" customHeight="1">
      <c r="M9274"/>
      <c r="N9274"/>
      <c r="O9274"/>
      <c r="P9274"/>
      <c r="Q9274"/>
      <c r="R9274"/>
      <c r="S9274"/>
    </row>
    <row r="9275" spans="13:19" ht="13.95" customHeight="1">
      <c r="M9275"/>
      <c r="N9275"/>
      <c r="O9275"/>
      <c r="P9275"/>
      <c r="Q9275"/>
      <c r="R9275"/>
      <c r="S9275"/>
    </row>
    <row r="9276" spans="13:19" ht="13.95" customHeight="1">
      <c r="M9276"/>
      <c r="N9276"/>
      <c r="O9276"/>
      <c r="P9276"/>
      <c r="Q9276"/>
      <c r="R9276"/>
      <c r="S9276"/>
    </row>
    <row r="9277" spans="13:19" ht="13.95" customHeight="1">
      <c r="M9277"/>
      <c r="N9277"/>
      <c r="O9277"/>
      <c r="P9277"/>
      <c r="Q9277"/>
      <c r="R9277"/>
      <c r="S9277"/>
    </row>
    <row r="9278" spans="13:19" ht="13.95" customHeight="1">
      <c r="M9278"/>
      <c r="N9278"/>
      <c r="O9278"/>
      <c r="P9278"/>
      <c r="Q9278"/>
      <c r="R9278"/>
      <c r="S9278"/>
    </row>
    <row r="9279" spans="13:19" ht="13.95" customHeight="1">
      <c r="M9279"/>
      <c r="N9279"/>
      <c r="O9279"/>
      <c r="P9279"/>
      <c r="Q9279"/>
      <c r="R9279"/>
      <c r="S9279"/>
    </row>
    <row r="9280" spans="13:19" ht="13.95" customHeight="1">
      <c r="M9280"/>
      <c r="N9280"/>
      <c r="O9280"/>
      <c r="P9280"/>
      <c r="Q9280"/>
      <c r="R9280"/>
      <c r="S9280"/>
    </row>
    <row r="9281" spans="13:19" ht="13.95" customHeight="1">
      <c r="M9281"/>
      <c r="N9281"/>
      <c r="O9281"/>
      <c r="P9281"/>
      <c r="Q9281"/>
      <c r="R9281"/>
      <c r="S9281"/>
    </row>
    <row r="9282" spans="13:19" ht="13.95" customHeight="1">
      <c r="M9282"/>
      <c r="N9282"/>
      <c r="O9282"/>
      <c r="P9282"/>
      <c r="Q9282"/>
      <c r="R9282"/>
      <c r="S9282"/>
    </row>
    <row r="9283" spans="13:19" ht="13.95" customHeight="1">
      <c r="M9283"/>
      <c r="N9283"/>
      <c r="O9283"/>
      <c r="P9283"/>
      <c r="Q9283"/>
      <c r="R9283"/>
      <c r="S9283"/>
    </row>
    <row r="9284" spans="13:19" ht="13.95" customHeight="1">
      <c r="M9284"/>
      <c r="N9284"/>
      <c r="O9284"/>
      <c r="P9284"/>
      <c r="Q9284"/>
      <c r="R9284"/>
      <c r="S9284"/>
    </row>
    <row r="9285" spans="13:19" ht="13.95" customHeight="1">
      <c r="M9285"/>
      <c r="N9285"/>
      <c r="O9285"/>
      <c r="P9285"/>
      <c r="Q9285"/>
      <c r="R9285"/>
      <c r="S9285"/>
    </row>
    <row r="9286" spans="13:19" ht="13.95" customHeight="1">
      <c r="M9286"/>
      <c r="N9286"/>
      <c r="O9286"/>
      <c r="P9286"/>
      <c r="Q9286"/>
      <c r="R9286"/>
      <c r="S9286"/>
    </row>
    <row r="9287" spans="13:19" ht="13.95" customHeight="1">
      <c r="M9287"/>
      <c r="N9287"/>
      <c r="O9287"/>
      <c r="P9287"/>
      <c r="Q9287"/>
      <c r="R9287"/>
      <c r="S9287"/>
    </row>
    <row r="9288" spans="13:19" ht="13.95" customHeight="1">
      <c r="M9288"/>
      <c r="N9288"/>
      <c r="O9288"/>
      <c r="P9288"/>
      <c r="Q9288"/>
      <c r="R9288"/>
      <c r="S9288"/>
    </row>
    <row r="9289" spans="13:19" ht="13.95" customHeight="1">
      <c r="M9289"/>
      <c r="N9289"/>
      <c r="O9289"/>
      <c r="P9289"/>
      <c r="Q9289"/>
      <c r="R9289"/>
      <c r="S9289"/>
    </row>
    <row r="9290" spans="13:19" ht="13.95" customHeight="1">
      <c r="M9290"/>
      <c r="N9290"/>
      <c r="O9290"/>
      <c r="P9290"/>
      <c r="Q9290"/>
      <c r="R9290"/>
      <c r="S9290"/>
    </row>
    <row r="9291" spans="13:19" ht="13.95" customHeight="1">
      <c r="M9291"/>
      <c r="N9291"/>
      <c r="O9291"/>
      <c r="P9291"/>
      <c r="Q9291"/>
      <c r="R9291"/>
      <c r="S9291"/>
    </row>
    <row r="9292" spans="13:19" ht="13.95" customHeight="1">
      <c r="M9292"/>
      <c r="N9292"/>
      <c r="O9292"/>
      <c r="P9292"/>
      <c r="Q9292"/>
      <c r="R9292"/>
      <c r="S9292"/>
    </row>
    <row r="9293" spans="13:19" ht="13.95" customHeight="1">
      <c r="M9293"/>
      <c r="N9293"/>
      <c r="O9293"/>
      <c r="P9293"/>
      <c r="Q9293"/>
      <c r="R9293"/>
      <c r="S9293"/>
    </row>
    <row r="9294" spans="13:19" ht="13.95" customHeight="1">
      <c r="M9294"/>
      <c r="N9294"/>
      <c r="O9294"/>
      <c r="P9294"/>
      <c r="Q9294"/>
      <c r="R9294"/>
      <c r="S9294"/>
    </row>
    <row r="9295" spans="13:19" ht="13.95" customHeight="1">
      <c r="M9295"/>
      <c r="N9295"/>
      <c r="O9295"/>
      <c r="P9295"/>
      <c r="Q9295"/>
      <c r="R9295"/>
      <c r="S9295"/>
    </row>
    <row r="9296" spans="13:19" ht="13.95" customHeight="1">
      <c r="M9296"/>
      <c r="N9296"/>
      <c r="O9296"/>
      <c r="P9296"/>
      <c r="Q9296"/>
      <c r="R9296"/>
      <c r="S9296"/>
    </row>
    <row r="9297" spans="13:19" ht="13.95" customHeight="1">
      <c r="M9297"/>
      <c r="N9297"/>
      <c r="O9297"/>
      <c r="P9297"/>
      <c r="Q9297"/>
      <c r="R9297"/>
      <c r="S9297"/>
    </row>
    <row r="9298" spans="13:19" ht="13.95" customHeight="1">
      <c r="M9298"/>
      <c r="N9298"/>
      <c r="O9298"/>
      <c r="P9298"/>
      <c r="Q9298"/>
      <c r="R9298"/>
      <c r="S9298"/>
    </row>
    <row r="9299" spans="13:19" ht="13.95" customHeight="1">
      <c r="M9299"/>
      <c r="N9299"/>
      <c r="O9299"/>
      <c r="P9299"/>
      <c r="Q9299"/>
      <c r="R9299"/>
      <c r="S9299"/>
    </row>
    <row r="9300" spans="13:19" ht="13.95" customHeight="1">
      <c r="M9300"/>
      <c r="N9300"/>
      <c r="O9300"/>
      <c r="P9300"/>
      <c r="Q9300"/>
      <c r="R9300"/>
      <c r="S9300"/>
    </row>
    <row r="9301" spans="13:19" ht="13.95" customHeight="1">
      <c r="M9301"/>
      <c r="N9301"/>
      <c r="O9301"/>
      <c r="P9301"/>
      <c r="Q9301"/>
      <c r="R9301"/>
      <c r="S9301"/>
    </row>
    <row r="9302" spans="13:19" ht="13.95" customHeight="1">
      <c r="M9302"/>
      <c r="N9302"/>
      <c r="O9302"/>
      <c r="P9302"/>
      <c r="Q9302"/>
      <c r="R9302"/>
      <c r="S9302"/>
    </row>
    <row r="9303" spans="13:19" ht="13.95" customHeight="1">
      <c r="M9303"/>
      <c r="N9303"/>
      <c r="O9303"/>
      <c r="P9303"/>
      <c r="Q9303"/>
      <c r="R9303"/>
      <c r="S9303"/>
    </row>
    <row r="9304" spans="13:19" ht="13.95" customHeight="1">
      <c r="M9304"/>
      <c r="N9304"/>
      <c r="O9304"/>
      <c r="P9304"/>
      <c r="Q9304"/>
      <c r="R9304"/>
      <c r="S9304"/>
    </row>
    <row r="9305" spans="13:19" ht="13.95" customHeight="1">
      <c r="M9305"/>
      <c r="N9305"/>
      <c r="O9305"/>
      <c r="P9305"/>
      <c r="Q9305"/>
      <c r="R9305"/>
      <c r="S9305"/>
    </row>
    <row r="9306" spans="13:19" ht="13.95" customHeight="1">
      <c r="M9306"/>
      <c r="N9306"/>
      <c r="O9306"/>
      <c r="P9306"/>
      <c r="Q9306"/>
      <c r="R9306"/>
      <c r="S9306"/>
    </row>
    <row r="9307" spans="13:19" ht="13.95" customHeight="1">
      <c r="M9307"/>
      <c r="N9307"/>
      <c r="O9307"/>
      <c r="P9307"/>
      <c r="Q9307"/>
      <c r="R9307"/>
      <c r="S9307"/>
    </row>
    <row r="9308" spans="13:19" ht="13.95" customHeight="1">
      <c r="M9308"/>
      <c r="N9308"/>
      <c r="O9308"/>
      <c r="P9308"/>
      <c r="Q9308"/>
      <c r="R9308"/>
      <c r="S9308"/>
    </row>
    <row r="9309" spans="13:19" ht="13.95" customHeight="1">
      <c r="M9309"/>
      <c r="N9309"/>
      <c r="O9309"/>
      <c r="P9309"/>
      <c r="Q9309"/>
      <c r="R9309"/>
      <c r="S9309"/>
    </row>
    <row r="9310" spans="13:19" ht="13.95" customHeight="1">
      <c r="M9310"/>
      <c r="N9310"/>
      <c r="O9310"/>
      <c r="P9310"/>
      <c r="Q9310"/>
      <c r="R9310"/>
      <c r="S9310"/>
    </row>
    <row r="9311" spans="13:19" ht="13.95" customHeight="1">
      <c r="M9311"/>
      <c r="N9311"/>
      <c r="O9311"/>
      <c r="P9311"/>
      <c r="Q9311"/>
      <c r="R9311"/>
      <c r="S9311"/>
    </row>
    <row r="9312" spans="13:19" ht="13.95" customHeight="1">
      <c r="M9312"/>
      <c r="N9312"/>
      <c r="O9312"/>
      <c r="P9312"/>
      <c r="Q9312"/>
      <c r="R9312"/>
      <c r="S9312"/>
    </row>
    <row r="9313" spans="13:19" ht="13.95" customHeight="1">
      <c r="M9313"/>
      <c r="N9313"/>
      <c r="O9313"/>
      <c r="P9313"/>
      <c r="Q9313"/>
      <c r="R9313"/>
      <c r="S9313"/>
    </row>
    <row r="9314" spans="13:19" ht="13.95" customHeight="1">
      <c r="M9314"/>
      <c r="N9314"/>
      <c r="O9314"/>
      <c r="P9314"/>
      <c r="Q9314"/>
      <c r="R9314"/>
      <c r="S9314"/>
    </row>
    <row r="9315" spans="13:19" ht="13.95" customHeight="1">
      <c r="M9315"/>
      <c r="N9315"/>
      <c r="O9315"/>
      <c r="P9315"/>
      <c r="Q9315"/>
      <c r="R9315"/>
      <c r="S9315"/>
    </row>
    <row r="9316" spans="13:19" ht="13.95" customHeight="1">
      <c r="M9316"/>
      <c r="N9316"/>
      <c r="O9316"/>
      <c r="P9316"/>
      <c r="Q9316"/>
      <c r="R9316"/>
      <c r="S9316"/>
    </row>
    <row r="9317" spans="13:19" ht="13.95" customHeight="1">
      <c r="M9317"/>
      <c r="N9317"/>
      <c r="O9317"/>
      <c r="P9317"/>
      <c r="Q9317"/>
      <c r="R9317"/>
      <c r="S9317"/>
    </row>
    <row r="9318" spans="13:19" ht="13.95" customHeight="1">
      <c r="M9318"/>
      <c r="N9318"/>
      <c r="O9318"/>
      <c r="P9318"/>
      <c r="Q9318"/>
      <c r="R9318"/>
      <c r="S9318"/>
    </row>
    <row r="9319" spans="13:19" ht="13.95" customHeight="1">
      <c r="M9319"/>
      <c r="N9319"/>
      <c r="O9319"/>
      <c r="P9319"/>
      <c r="Q9319"/>
      <c r="R9319"/>
      <c r="S9319"/>
    </row>
    <row r="9320" spans="13:19" ht="13.95" customHeight="1">
      <c r="M9320"/>
      <c r="N9320"/>
      <c r="O9320"/>
      <c r="P9320"/>
      <c r="Q9320"/>
      <c r="R9320"/>
      <c r="S9320"/>
    </row>
    <row r="9321" spans="13:19" ht="13.95" customHeight="1">
      <c r="M9321"/>
      <c r="N9321"/>
      <c r="O9321"/>
      <c r="P9321"/>
      <c r="Q9321"/>
      <c r="R9321"/>
      <c r="S9321"/>
    </row>
    <row r="9322" spans="13:19" ht="13.95" customHeight="1">
      <c r="M9322"/>
      <c r="N9322"/>
      <c r="O9322"/>
      <c r="P9322"/>
      <c r="Q9322"/>
      <c r="R9322"/>
      <c r="S9322"/>
    </row>
    <row r="9323" spans="13:19" ht="13.95" customHeight="1">
      <c r="M9323"/>
      <c r="N9323"/>
      <c r="O9323"/>
      <c r="P9323"/>
      <c r="Q9323"/>
      <c r="R9323"/>
      <c r="S9323"/>
    </row>
    <row r="9324" spans="13:19" ht="13.95" customHeight="1">
      <c r="M9324"/>
      <c r="N9324"/>
      <c r="O9324"/>
      <c r="P9324"/>
      <c r="Q9324"/>
      <c r="R9324"/>
      <c r="S9324"/>
    </row>
    <row r="9325" spans="13:19" ht="13.95" customHeight="1">
      <c r="M9325"/>
      <c r="N9325"/>
      <c r="O9325"/>
      <c r="P9325"/>
      <c r="Q9325"/>
      <c r="R9325"/>
      <c r="S9325"/>
    </row>
    <row r="9326" spans="13:19" ht="13.95" customHeight="1">
      <c r="M9326"/>
      <c r="N9326"/>
      <c r="O9326"/>
      <c r="P9326"/>
      <c r="Q9326"/>
      <c r="R9326"/>
      <c r="S9326"/>
    </row>
    <row r="9327" spans="13:19" ht="13.95" customHeight="1">
      <c r="M9327"/>
      <c r="N9327"/>
      <c r="O9327"/>
      <c r="P9327"/>
      <c r="Q9327"/>
      <c r="R9327"/>
      <c r="S9327"/>
    </row>
    <row r="9328" spans="13:19" ht="13.95" customHeight="1">
      <c r="M9328"/>
      <c r="N9328"/>
      <c r="O9328"/>
      <c r="P9328"/>
      <c r="Q9328"/>
      <c r="R9328"/>
      <c r="S9328"/>
    </row>
    <row r="9329" spans="13:19" ht="13.95" customHeight="1">
      <c r="M9329"/>
      <c r="N9329"/>
      <c r="O9329"/>
      <c r="P9329"/>
      <c r="Q9329"/>
      <c r="R9329"/>
      <c r="S9329"/>
    </row>
    <row r="9330" spans="13:19" ht="13.95" customHeight="1">
      <c r="M9330"/>
      <c r="N9330"/>
      <c r="O9330"/>
      <c r="P9330"/>
      <c r="Q9330"/>
      <c r="R9330"/>
      <c r="S9330"/>
    </row>
    <row r="9331" spans="13:19" ht="13.95" customHeight="1">
      <c r="M9331"/>
      <c r="N9331"/>
      <c r="O9331"/>
      <c r="P9331"/>
      <c r="Q9331"/>
      <c r="R9331"/>
      <c r="S9331"/>
    </row>
    <row r="9332" spans="13:19" ht="13.95" customHeight="1">
      <c r="M9332"/>
      <c r="N9332"/>
      <c r="O9332"/>
      <c r="P9332"/>
      <c r="Q9332"/>
      <c r="R9332"/>
      <c r="S9332"/>
    </row>
    <row r="9333" spans="13:19" ht="13.95" customHeight="1">
      <c r="M9333"/>
      <c r="N9333"/>
      <c r="O9333"/>
      <c r="P9333"/>
      <c r="Q9333"/>
      <c r="R9333"/>
      <c r="S9333"/>
    </row>
    <row r="9334" spans="13:19" ht="13.95" customHeight="1">
      <c r="M9334"/>
      <c r="N9334"/>
      <c r="O9334"/>
      <c r="P9334"/>
      <c r="Q9334"/>
      <c r="R9334"/>
      <c r="S9334"/>
    </row>
    <row r="9335" spans="13:19" ht="13.95" customHeight="1">
      <c r="M9335"/>
      <c r="N9335"/>
      <c r="O9335"/>
      <c r="P9335"/>
      <c r="Q9335"/>
      <c r="R9335"/>
      <c r="S9335"/>
    </row>
    <row r="9336" spans="13:19" ht="13.95" customHeight="1">
      <c r="M9336"/>
      <c r="N9336"/>
      <c r="O9336"/>
      <c r="P9336"/>
      <c r="Q9336"/>
      <c r="R9336"/>
      <c r="S9336"/>
    </row>
    <row r="9337" spans="13:19" ht="13.95" customHeight="1">
      <c r="M9337"/>
      <c r="N9337"/>
      <c r="O9337"/>
      <c r="P9337"/>
      <c r="Q9337"/>
      <c r="R9337"/>
      <c r="S9337"/>
    </row>
    <row r="9338" spans="13:19" ht="13.95" customHeight="1">
      <c r="M9338"/>
      <c r="N9338"/>
      <c r="O9338"/>
      <c r="P9338"/>
      <c r="Q9338"/>
      <c r="R9338"/>
      <c r="S9338"/>
    </row>
    <row r="9339" spans="13:19" ht="13.95" customHeight="1">
      <c r="M9339"/>
      <c r="N9339"/>
      <c r="O9339"/>
      <c r="P9339"/>
      <c r="Q9339"/>
      <c r="R9339"/>
      <c r="S9339"/>
    </row>
    <row r="9340" spans="13:19" ht="13.95" customHeight="1">
      <c r="M9340"/>
      <c r="N9340"/>
      <c r="O9340"/>
      <c r="P9340"/>
      <c r="Q9340"/>
      <c r="R9340"/>
      <c r="S9340"/>
    </row>
    <row r="9341" spans="13:19" ht="13.95" customHeight="1">
      <c r="M9341"/>
      <c r="N9341"/>
      <c r="O9341"/>
      <c r="P9341"/>
      <c r="Q9341"/>
      <c r="R9341"/>
      <c r="S9341"/>
    </row>
    <row r="9342" spans="13:19" ht="13.95" customHeight="1">
      <c r="M9342"/>
      <c r="N9342"/>
      <c r="O9342"/>
      <c r="P9342"/>
      <c r="Q9342"/>
      <c r="R9342"/>
      <c r="S9342"/>
    </row>
    <row r="9343" spans="13:19" ht="13.95" customHeight="1">
      <c r="M9343"/>
      <c r="N9343"/>
      <c r="O9343"/>
      <c r="P9343"/>
      <c r="Q9343"/>
      <c r="R9343"/>
      <c r="S9343"/>
    </row>
    <row r="9344" spans="13:19" ht="13.95" customHeight="1">
      <c r="M9344"/>
      <c r="N9344"/>
      <c r="O9344"/>
      <c r="P9344"/>
      <c r="Q9344"/>
      <c r="R9344"/>
      <c r="S9344"/>
    </row>
    <row r="9345" spans="13:19" ht="13.95" customHeight="1">
      <c r="M9345"/>
      <c r="N9345"/>
      <c r="O9345"/>
      <c r="P9345"/>
      <c r="Q9345"/>
      <c r="R9345"/>
      <c r="S9345"/>
    </row>
    <row r="9346" spans="13:19" ht="13.95" customHeight="1">
      <c r="M9346"/>
      <c r="N9346"/>
      <c r="O9346"/>
      <c r="P9346"/>
      <c r="Q9346"/>
      <c r="R9346"/>
      <c r="S9346"/>
    </row>
    <row r="9347" spans="13:19" ht="13.95" customHeight="1">
      <c r="M9347"/>
      <c r="N9347"/>
      <c r="O9347"/>
      <c r="P9347"/>
      <c r="Q9347"/>
      <c r="R9347"/>
      <c r="S9347"/>
    </row>
    <row r="9348" spans="13:19" ht="13.95" customHeight="1">
      <c r="M9348"/>
      <c r="N9348"/>
      <c r="O9348"/>
      <c r="P9348"/>
      <c r="Q9348"/>
      <c r="R9348"/>
      <c r="S9348"/>
    </row>
    <row r="9349" spans="13:19" ht="13.95" customHeight="1">
      <c r="M9349"/>
      <c r="N9349"/>
      <c r="O9349"/>
      <c r="P9349"/>
      <c r="Q9349"/>
      <c r="R9349"/>
      <c r="S9349"/>
    </row>
    <row r="9350" spans="13:19" ht="13.95" customHeight="1">
      <c r="M9350"/>
      <c r="N9350"/>
      <c r="O9350"/>
      <c r="P9350"/>
      <c r="Q9350"/>
      <c r="R9350"/>
      <c r="S9350"/>
    </row>
    <row r="9351" spans="13:19" ht="13.95" customHeight="1">
      <c r="M9351"/>
      <c r="N9351"/>
      <c r="O9351"/>
      <c r="P9351"/>
      <c r="Q9351"/>
      <c r="R9351"/>
      <c r="S9351"/>
    </row>
    <row r="9352" spans="13:19" ht="13.95" customHeight="1">
      <c r="M9352"/>
      <c r="N9352"/>
      <c r="O9352"/>
      <c r="P9352"/>
      <c r="Q9352"/>
      <c r="R9352"/>
      <c r="S9352"/>
    </row>
    <row r="9353" spans="13:19" ht="13.95" customHeight="1">
      <c r="M9353"/>
      <c r="N9353"/>
      <c r="O9353"/>
      <c r="P9353"/>
      <c r="Q9353"/>
      <c r="R9353"/>
      <c r="S9353"/>
    </row>
    <row r="9354" spans="13:19" ht="13.95" customHeight="1">
      <c r="M9354"/>
      <c r="N9354"/>
      <c r="O9354"/>
      <c r="P9354"/>
      <c r="Q9354"/>
      <c r="R9354"/>
      <c r="S9354"/>
    </row>
    <row r="9355" spans="13:19" ht="13.95" customHeight="1">
      <c r="M9355"/>
      <c r="N9355"/>
      <c r="O9355"/>
      <c r="P9355"/>
      <c r="Q9355"/>
      <c r="R9355"/>
      <c r="S9355"/>
    </row>
    <row r="9356" spans="13:19" ht="13.95" customHeight="1">
      <c r="M9356"/>
      <c r="N9356"/>
      <c r="O9356"/>
      <c r="P9356"/>
      <c r="Q9356"/>
      <c r="R9356"/>
      <c r="S9356"/>
    </row>
    <row r="9357" spans="13:19" ht="13.95" customHeight="1">
      <c r="M9357"/>
      <c r="N9357"/>
      <c r="O9357"/>
      <c r="P9357"/>
      <c r="Q9357"/>
      <c r="R9357"/>
      <c r="S9357"/>
    </row>
    <row r="9358" spans="13:19" ht="13.95" customHeight="1">
      <c r="M9358"/>
      <c r="N9358"/>
      <c r="O9358"/>
      <c r="P9358"/>
      <c r="Q9358"/>
      <c r="R9358"/>
      <c r="S9358"/>
    </row>
    <row r="9359" spans="13:19" ht="13.95" customHeight="1">
      <c r="M9359"/>
      <c r="N9359"/>
      <c r="O9359"/>
      <c r="P9359"/>
      <c r="Q9359"/>
      <c r="R9359"/>
      <c r="S9359"/>
    </row>
    <row r="9360" spans="13:19" ht="13.95" customHeight="1">
      <c r="M9360"/>
      <c r="N9360"/>
      <c r="O9360"/>
      <c r="P9360"/>
      <c r="Q9360"/>
      <c r="R9360"/>
      <c r="S9360"/>
    </row>
    <row r="9361" spans="13:19" ht="13.95" customHeight="1">
      <c r="M9361"/>
      <c r="N9361"/>
      <c r="O9361"/>
      <c r="P9361"/>
      <c r="Q9361"/>
      <c r="R9361"/>
      <c r="S9361"/>
    </row>
    <row r="9362" spans="13:19" ht="13.95" customHeight="1">
      <c r="M9362"/>
      <c r="N9362"/>
      <c r="O9362"/>
      <c r="P9362"/>
      <c r="Q9362"/>
      <c r="R9362"/>
      <c r="S9362"/>
    </row>
    <row r="9363" spans="13:19" ht="13.95" customHeight="1">
      <c r="M9363"/>
      <c r="N9363"/>
      <c r="O9363"/>
      <c r="P9363"/>
      <c r="Q9363"/>
      <c r="R9363"/>
      <c r="S9363"/>
    </row>
    <row r="9364" spans="13:19" ht="13.95" customHeight="1">
      <c r="M9364"/>
      <c r="N9364"/>
      <c r="O9364"/>
      <c r="P9364"/>
      <c r="Q9364"/>
      <c r="R9364"/>
      <c r="S9364"/>
    </row>
    <row r="9365" spans="13:19" ht="13.95" customHeight="1">
      <c r="M9365"/>
      <c r="N9365"/>
      <c r="O9365"/>
      <c r="P9365"/>
      <c r="Q9365"/>
      <c r="R9365"/>
      <c r="S9365"/>
    </row>
    <row r="9366" spans="13:19" ht="13.95" customHeight="1">
      <c r="M9366"/>
      <c r="N9366"/>
      <c r="O9366"/>
      <c r="P9366"/>
      <c r="Q9366"/>
      <c r="R9366"/>
      <c r="S9366"/>
    </row>
    <row r="9367" spans="13:19" ht="13.95" customHeight="1">
      <c r="M9367"/>
      <c r="N9367"/>
      <c r="O9367"/>
      <c r="P9367"/>
      <c r="Q9367"/>
      <c r="R9367"/>
      <c r="S9367"/>
    </row>
    <row r="9368" spans="13:19" ht="13.95" customHeight="1">
      <c r="M9368"/>
      <c r="N9368"/>
      <c r="O9368"/>
      <c r="P9368"/>
      <c r="Q9368"/>
      <c r="R9368"/>
      <c r="S9368"/>
    </row>
    <row r="9369" spans="13:19" ht="13.95" customHeight="1">
      <c r="M9369"/>
      <c r="N9369"/>
      <c r="O9369"/>
      <c r="P9369"/>
      <c r="Q9369"/>
      <c r="R9369"/>
      <c r="S9369"/>
    </row>
    <row r="9370" spans="13:19" ht="13.95" customHeight="1">
      <c r="M9370"/>
      <c r="N9370"/>
      <c r="O9370"/>
      <c r="P9370"/>
      <c r="Q9370"/>
      <c r="R9370"/>
      <c r="S9370"/>
    </row>
    <row r="9371" spans="13:19" ht="13.95" customHeight="1">
      <c r="M9371"/>
      <c r="N9371"/>
      <c r="O9371"/>
      <c r="P9371"/>
      <c r="Q9371"/>
      <c r="R9371"/>
      <c r="S9371"/>
    </row>
    <row r="9372" spans="13:19" ht="13.95" customHeight="1">
      <c r="M9372"/>
      <c r="N9372"/>
      <c r="O9372"/>
      <c r="P9372"/>
      <c r="Q9372"/>
      <c r="R9372"/>
      <c r="S9372"/>
    </row>
    <row r="9373" spans="13:19" ht="13.95" customHeight="1">
      <c r="M9373"/>
      <c r="N9373"/>
      <c r="O9373"/>
      <c r="P9373"/>
      <c r="Q9373"/>
      <c r="R9373"/>
      <c r="S9373"/>
    </row>
    <row r="9374" spans="13:19" ht="13.95" customHeight="1">
      <c r="M9374"/>
      <c r="N9374"/>
      <c r="O9374"/>
      <c r="P9374"/>
      <c r="Q9374"/>
      <c r="R9374"/>
      <c r="S9374"/>
    </row>
    <row r="9375" spans="13:19" ht="13.95" customHeight="1">
      <c r="M9375"/>
      <c r="N9375"/>
      <c r="O9375"/>
      <c r="P9375"/>
      <c r="Q9375"/>
      <c r="R9375"/>
      <c r="S9375"/>
    </row>
    <row r="9376" spans="13:19" ht="13.95" customHeight="1">
      <c r="M9376"/>
      <c r="N9376"/>
      <c r="O9376"/>
      <c r="P9376"/>
      <c r="Q9376"/>
      <c r="R9376"/>
      <c r="S9376"/>
    </row>
    <row r="9377" spans="13:19" ht="13.95" customHeight="1">
      <c r="M9377"/>
      <c r="N9377"/>
      <c r="O9377"/>
      <c r="P9377"/>
      <c r="Q9377"/>
      <c r="R9377"/>
      <c r="S9377"/>
    </row>
    <row r="9378" spans="13:19" ht="13.95" customHeight="1">
      <c r="M9378"/>
      <c r="N9378"/>
      <c r="O9378"/>
      <c r="P9378"/>
      <c r="Q9378"/>
      <c r="R9378"/>
      <c r="S9378"/>
    </row>
    <row r="9379" spans="13:19" ht="13.95" customHeight="1">
      <c r="M9379"/>
      <c r="N9379"/>
      <c r="O9379"/>
      <c r="P9379"/>
      <c r="Q9379"/>
      <c r="R9379"/>
      <c r="S9379"/>
    </row>
    <row r="9380" spans="13:19" ht="13.95" customHeight="1">
      <c r="M9380"/>
      <c r="N9380"/>
      <c r="O9380"/>
      <c r="P9380"/>
      <c r="Q9380"/>
      <c r="R9380"/>
      <c r="S9380"/>
    </row>
    <row r="9381" spans="13:19" ht="13.95" customHeight="1">
      <c r="M9381"/>
      <c r="N9381"/>
      <c r="O9381"/>
      <c r="P9381"/>
      <c r="Q9381"/>
      <c r="R9381"/>
      <c r="S9381"/>
    </row>
    <row r="9382" spans="13:19" ht="13.95" customHeight="1">
      <c r="M9382"/>
      <c r="N9382"/>
      <c r="O9382"/>
      <c r="P9382"/>
      <c r="Q9382"/>
      <c r="R9382"/>
      <c r="S9382"/>
    </row>
    <row r="9383" spans="13:19" ht="13.95" customHeight="1">
      <c r="M9383"/>
      <c r="N9383"/>
      <c r="O9383"/>
      <c r="P9383"/>
      <c r="Q9383"/>
      <c r="R9383"/>
      <c r="S9383"/>
    </row>
    <row r="9384" spans="13:19" ht="13.95" customHeight="1">
      <c r="M9384"/>
      <c r="N9384"/>
      <c r="O9384"/>
      <c r="P9384"/>
      <c r="Q9384"/>
      <c r="R9384"/>
      <c r="S9384"/>
    </row>
    <row r="9385" spans="13:19" ht="13.95" customHeight="1">
      <c r="M9385"/>
      <c r="N9385"/>
      <c r="O9385"/>
      <c r="P9385"/>
      <c r="Q9385"/>
      <c r="R9385"/>
      <c r="S9385"/>
    </row>
    <row r="9386" spans="13:19" ht="13.95" customHeight="1">
      <c r="M9386"/>
      <c r="N9386"/>
      <c r="O9386"/>
      <c r="P9386"/>
      <c r="Q9386"/>
      <c r="R9386"/>
      <c r="S9386"/>
    </row>
    <row r="9387" spans="13:19" ht="13.95" customHeight="1">
      <c r="M9387"/>
      <c r="N9387"/>
      <c r="O9387"/>
      <c r="P9387"/>
      <c r="Q9387"/>
      <c r="R9387"/>
      <c r="S9387"/>
    </row>
    <row r="9388" spans="13:19" ht="13.95" customHeight="1">
      <c r="M9388"/>
      <c r="N9388"/>
      <c r="O9388"/>
      <c r="P9388"/>
      <c r="Q9388"/>
      <c r="R9388"/>
      <c r="S9388"/>
    </row>
    <row r="9389" spans="13:19" ht="13.95" customHeight="1">
      <c r="M9389"/>
      <c r="N9389"/>
      <c r="O9389"/>
      <c r="P9389"/>
      <c r="Q9389"/>
      <c r="R9389"/>
      <c r="S9389"/>
    </row>
    <row r="9390" spans="13:19" ht="13.95" customHeight="1">
      <c r="M9390"/>
      <c r="N9390"/>
      <c r="O9390"/>
      <c r="P9390"/>
      <c r="Q9390"/>
      <c r="R9390"/>
      <c r="S9390"/>
    </row>
    <row r="9391" spans="13:19" ht="13.95" customHeight="1">
      <c r="M9391"/>
      <c r="N9391"/>
      <c r="O9391"/>
      <c r="P9391"/>
      <c r="Q9391"/>
      <c r="R9391"/>
      <c r="S9391"/>
    </row>
    <row r="9392" spans="13:19" ht="13.95" customHeight="1">
      <c r="M9392"/>
      <c r="N9392"/>
      <c r="O9392"/>
      <c r="P9392"/>
      <c r="Q9392"/>
      <c r="R9392"/>
      <c r="S9392"/>
    </row>
    <row r="9393" spans="13:19" ht="13.95" customHeight="1">
      <c r="M9393"/>
      <c r="N9393"/>
      <c r="O9393"/>
      <c r="P9393"/>
      <c r="Q9393"/>
      <c r="R9393"/>
      <c r="S9393"/>
    </row>
    <row r="9394" spans="13:19" ht="13.95" customHeight="1">
      <c r="M9394"/>
      <c r="N9394"/>
      <c r="O9394"/>
      <c r="P9394"/>
      <c r="Q9394"/>
      <c r="R9394"/>
      <c r="S9394"/>
    </row>
    <row r="9395" spans="13:19" ht="13.95" customHeight="1">
      <c r="M9395"/>
      <c r="N9395"/>
      <c r="O9395"/>
      <c r="P9395"/>
      <c r="Q9395"/>
      <c r="R9395"/>
      <c r="S9395"/>
    </row>
    <row r="9396" spans="13:19" ht="13.95" customHeight="1">
      <c r="M9396"/>
      <c r="N9396"/>
      <c r="O9396"/>
      <c r="P9396"/>
      <c r="Q9396"/>
      <c r="R9396"/>
      <c r="S9396"/>
    </row>
    <row r="9397" spans="13:19" ht="13.95" customHeight="1">
      <c r="M9397"/>
      <c r="N9397"/>
      <c r="O9397"/>
      <c r="P9397"/>
      <c r="Q9397"/>
      <c r="R9397"/>
      <c r="S9397"/>
    </row>
    <row r="9398" spans="13:19" ht="13.95" customHeight="1">
      <c r="M9398"/>
      <c r="N9398"/>
      <c r="O9398"/>
      <c r="P9398"/>
      <c r="Q9398"/>
      <c r="R9398"/>
      <c r="S9398"/>
    </row>
    <row r="9399" spans="13:19" ht="13.95" customHeight="1">
      <c r="M9399"/>
      <c r="N9399"/>
      <c r="O9399"/>
      <c r="P9399"/>
      <c r="Q9399"/>
      <c r="R9399"/>
      <c r="S9399"/>
    </row>
    <row r="9400" spans="13:19" ht="13.95" customHeight="1">
      <c r="M9400"/>
      <c r="N9400"/>
      <c r="O9400"/>
      <c r="P9400"/>
      <c r="Q9400"/>
      <c r="R9400"/>
      <c r="S9400"/>
    </row>
    <row r="9401" spans="13:19" ht="13.95" customHeight="1">
      <c r="M9401"/>
      <c r="N9401"/>
      <c r="O9401"/>
      <c r="P9401"/>
      <c r="Q9401"/>
      <c r="R9401"/>
      <c r="S9401"/>
    </row>
    <row r="9402" spans="13:19" ht="13.95" customHeight="1">
      <c r="M9402"/>
      <c r="N9402"/>
      <c r="O9402"/>
      <c r="P9402"/>
      <c r="Q9402"/>
      <c r="R9402"/>
      <c r="S9402"/>
    </row>
    <row r="9403" spans="13:19" ht="13.95" customHeight="1">
      <c r="M9403"/>
      <c r="N9403"/>
      <c r="O9403"/>
      <c r="P9403"/>
      <c r="Q9403"/>
      <c r="R9403"/>
      <c r="S9403"/>
    </row>
    <row r="9404" spans="13:19" ht="13.95" customHeight="1">
      <c r="M9404"/>
      <c r="N9404"/>
      <c r="O9404"/>
      <c r="P9404"/>
      <c r="Q9404"/>
      <c r="R9404"/>
      <c r="S9404"/>
    </row>
    <row r="9405" spans="13:19" ht="13.95" customHeight="1">
      <c r="M9405"/>
      <c r="N9405"/>
      <c r="O9405"/>
      <c r="P9405"/>
      <c r="Q9405"/>
      <c r="R9405"/>
      <c r="S9405"/>
    </row>
    <row r="9406" spans="13:19" ht="13.95" customHeight="1">
      <c r="M9406"/>
      <c r="N9406"/>
      <c r="O9406"/>
      <c r="P9406"/>
      <c r="Q9406"/>
      <c r="R9406"/>
      <c r="S9406"/>
    </row>
    <row r="9407" spans="13:19" ht="13.95" customHeight="1">
      <c r="M9407"/>
      <c r="N9407"/>
      <c r="O9407"/>
      <c r="P9407"/>
      <c r="Q9407"/>
      <c r="R9407"/>
      <c r="S9407"/>
    </row>
    <row r="9408" spans="13:19" ht="13.95" customHeight="1">
      <c r="M9408"/>
      <c r="N9408"/>
      <c r="O9408"/>
      <c r="P9408"/>
      <c r="Q9408"/>
      <c r="R9408"/>
      <c r="S9408"/>
    </row>
    <row r="9409" spans="13:19" ht="13.95" customHeight="1">
      <c r="M9409"/>
      <c r="N9409"/>
      <c r="O9409"/>
      <c r="P9409"/>
      <c r="Q9409"/>
      <c r="R9409"/>
      <c r="S9409"/>
    </row>
    <row r="9410" spans="13:19" ht="13.95" customHeight="1">
      <c r="M9410"/>
      <c r="N9410"/>
      <c r="O9410"/>
      <c r="P9410"/>
      <c r="Q9410"/>
      <c r="R9410"/>
      <c r="S9410"/>
    </row>
    <row r="9411" spans="13:19" ht="13.95" customHeight="1">
      <c r="M9411"/>
      <c r="N9411"/>
      <c r="O9411"/>
      <c r="P9411"/>
      <c r="Q9411"/>
      <c r="R9411"/>
      <c r="S9411"/>
    </row>
    <row r="9412" spans="13:19" ht="13.95" customHeight="1">
      <c r="M9412"/>
      <c r="N9412"/>
      <c r="O9412"/>
      <c r="P9412"/>
      <c r="Q9412"/>
      <c r="R9412"/>
      <c r="S9412"/>
    </row>
    <row r="9413" spans="13:19" ht="13.95" customHeight="1">
      <c r="M9413"/>
      <c r="N9413"/>
      <c r="O9413"/>
      <c r="P9413"/>
      <c r="Q9413"/>
      <c r="R9413"/>
      <c r="S9413"/>
    </row>
    <row r="9414" spans="13:19" ht="13.95" customHeight="1">
      <c r="M9414"/>
      <c r="N9414"/>
      <c r="O9414"/>
      <c r="P9414"/>
      <c r="Q9414"/>
      <c r="R9414"/>
      <c r="S9414"/>
    </row>
    <row r="9415" spans="13:19" ht="13.95" customHeight="1">
      <c r="M9415"/>
      <c r="N9415"/>
      <c r="O9415"/>
      <c r="P9415"/>
      <c r="Q9415"/>
      <c r="R9415"/>
      <c r="S9415"/>
    </row>
    <row r="9416" spans="13:19" ht="13.95" customHeight="1">
      <c r="M9416"/>
      <c r="N9416"/>
      <c r="O9416"/>
      <c r="P9416"/>
      <c r="Q9416"/>
      <c r="R9416"/>
      <c r="S9416"/>
    </row>
    <row r="9417" spans="13:19" ht="13.95" customHeight="1">
      <c r="M9417"/>
      <c r="N9417"/>
      <c r="O9417"/>
      <c r="P9417"/>
      <c r="Q9417"/>
      <c r="R9417"/>
      <c r="S9417"/>
    </row>
    <row r="9418" spans="13:19" ht="13.95" customHeight="1">
      <c r="M9418"/>
      <c r="N9418"/>
      <c r="O9418"/>
      <c r="P9418"/>
      <c r="Q9418"/>
      <c r="R9418"/>
      <c r="S9418"/>
    </row>
    <row r="9419" spans="13:19" ht="13.95" customHeight="1">
      <c r="M9419"/>
      <c r="N9419"/>
      <c r="O9419"/>
      <c r="P9419"/>
      <c r="Q9419"/>
      <c r="R9419"/>
      <c r="S9419"/>
    </row>
    <row r="9420" spans="13:19" ht="13.95" customHeight="1">
      <c r="M9420"/>
      <c r="N9420"/>
      <c r="O9420"/>
      <c r="P9420"/>
      <c r="Q9420"/>
      <c r="R9420"/>
      <c r="S9420"/>
    </row>
    <row r="9421" spans="13:19" ht="13.95" customHeight="1">
      <c r="M9421"/>
      <c r="N9421"/>
      <c r="O9421"/>
      <c r="P9421"/>
      <c r="Q9421"/>
      <c r="R9421"/>
      <c r="S9421"/>
    </row>
    <row r="9422" spans="13:19" ht="13.95" customHeight="1">
      <c r="M9422"/>
      <c r="N9422"/>
      <c r="O9422"/>
      <c r="P9422"/>
      <c r="Q9422"/>
      <c r="R9422"/>
      <c r="S9422"/>
    </row>
    <row r="9423" spans="13:19" ht="13.95" customHeight="1">
      <c r="M9423"/>
      <c r="N9423"/>
      <c r="O9423"/>
      <c r="P9423"/>
      <c r="Q9423"/>
      <c r="R9423"/>
      <c r="S9423"/>
    </row>
    <row r="9424" spans="13:19" ht="13.95" customHeight="1">
      <c r="M9424"/>
      <c r="N9424"/>
      <c r="O9424"/>
      <c r="P9424"/>
      <c r="Q9424"/>
      <c r="R9424"/>
      <c r="S9424"/>
    </row>
    <row r="9425" spans="13:19" ht="13.95" customHeight="1">
      <c r="M9425"/>
      <c r="N9425"/>
      <c r="O9425"/>
      <c r="P9425"/>
      <c r="Q9425"/>
      <c r="R9425"/>
      <c r="S9425"/>
    </row>
    <row r="9426" spans="13:19" ht="13.95" customHeight="1">
      <c r="M9426"/>
      <c r="N9426"/>
      <c r="O9426"/>
      <c r="P9426"/>
      <c r="Q9426"/>
      <c r="R9426"/>
      <c r="S9426"/>
    </row>
    <row r="9427" spans="13:19" ht="13.95" customHeight="1">
      <c r="M9427"/>
      <c r="N9427"/>
      <c r="O9427"/>
      <c r="P9427"/>
      <c r="Q9427"/>
      <c r="R9427"/>
      <c r="S9427"/>
    </row>
    <row r="9428" spans="13:19" ht="13.95" customHeight="1">
      <c r="M9428"/>
      <c r="N9428"/>
      <c r="O9428"/>
      <c r="P9428"/>
      <c r="Q9428"/>
      <c r="R9428"/>
      <c r="S9428"/>
    </row>
    <row r="9429" spans="13:19" ht="13.95" customHeight="1">
      <c r="M9429"/>
      <c r="N9429"/>
      <c r="O9429"/>
      <c r="P9429"/>
      <c r="Q9429"/>
      <c r="R9429"/>
      <c r="S9429"/>
    </row>
    <row r="9430" spans="13:19" ht="13.95" customHeight="1">
      <c r="M9430"/>
      <c r="N9430"/>
      <c r="O9430"/>
      <c r="P9430"/>
      <c r="Q9430"/>
      <c r="R9430"/>
      <c r="S9430"/>
    </row>
    <row r="9431" spans="13:19" ht="13.95" customHeight="1">
      <c r="M9431"/>
      <c r="N9431"/>
      <c r="O9431"/>
      <c r="P9431"/>
      <c r="Q9431"/>
      <c r="R9431"/>
      <c r="S9431"/>
    </row>
    <row r="9432" spans="13:19" ht="13.95" customHeight="1">
      <c r="M9432"/>
      <c r="N9432"/>
      <c r="O9432"/>
      <c r="P9432"/>
      <c r="Q9432"/>
      <c r="R9432"/>
      <c r="S9432"/>
    </row>
    <row r="9433" spans="13:19" ht="13.95" customHeight="1">
      <c r="M9433"/>
      <c r="N9433"/>
      <c r="O9433"/>
      <c r="P9433"/>
      <c r="Q9433"/>
      <c r="R9433"/>
      <c r="S9433"/>
    </row>
    <row r="9434" spans="13:19" ht="13.95" customHeight="1">
      <c r="M9434"/>
      <c r="N9434"/>
      <c r="O9434"/>
      <c r="P9434"/>
      <c r="Q9434"/>
      <c r="R9434"/>
      <c r="S9434"/>
    </row>
    <row r="9435" spans="13:19" ht="13.95" customHeight="1">
      <c r="M9435"/>
      <c r="N9435"/>
      <c r="O9435"/>
      <c r="P9435"/>
      <c r="Q9435"/>
      <c r="R9435"/>
      <c r="S9435"/>
    </row>
    <row r="9436" spans="13:19" ht="13.95" customHeight="1">
      <c r="M9436"/>
      <c r="N9436"/>
      <c r="O9436"/>
      <c r="P9436"/>
      <c r="Q9436"/>
      <c r="R9436"/>
      <c r="S9436"/>
    </row>
    <row r="9437" spans="13:19" ht="13.95" customHeight="1">
      <c r="M9437"/>
      <c r="N9437"/>
      <c r="O9437"/>
      <c r="P9437"/>
      <c r="Q9437"/>
      <c r="R9437"/>
      <c r="S9437"/>
    </row>
    <row r="9438" spans="13:19" ht="13.95" customHeight="1">
      <c r="M9438"/>
      <c r="N9438"/>
      <c r="O9438"/>
      <c r="P9438"/>
      <c r="Q9438"/>
      <c r="R9438"/>
      <c r="S9438"/>
    </row>
    <row r="9439" spans="13:19" ht="13.95" customHeight="1">
      <c r="M9439"/>
      <c r="N9439"/>
      <c r="O9439"/>
      <c r="P9439"/>
      <c r="Q9439"/>
      <c r="R9439"/>
      <c r="S9439"/>
    </row>
    <row r="9440" spans="13:19" ht="13.95" customHeight="1">
      <c r="M9440"/>
      <c r="N9440"/>
      <c r="O9440"/>
      <c r="P9440"/>
      <c r="Q9440"/>
      <c r="R9440"/>
      <c r="S9440"/>
    </row>
    <row r="9441" spans="13:19" ht="13.95" customHeight="1">
      <c r="M9441"/>
      <c r="N9441"/>
      <c r="O9441"/>
      <c r="P9441"/>
      <c r="Q9441"/>
      <c r="R9441"/>
      <c r="S9441"/>
    </row>
    <row r="9442" spans="13:19" ht="13.95" customHeight="1">
      <c r="M9442"/>
      <c r="N9442"/>
      <c r="O9442"/>
      <c r="P9442"/>
      <c r="Q9442"/>
      <c r="R9442"/>
      <c r="S9442"/>
    </row>
    <row r="9443" spans="13:19" ht="13.95" customHeight="1">
      <c r="M9443"/>
      <c r="N9443"/>
      <c r="O9443"/>
      <c r="P9443"/>
      <c r="Q9443"/>
      <c r="R9443"/>
      <c r="S9443"/>
    </row>
    <row r="9444" spans="13:19" ht="13.95" customHeight="1">
      <c r="M9444"/>
      <c r="N9444"/>
      <c r="O9444"/>
      <c r="P9444"/>
      <c r="Q9444"/>
      <c r="R9444"/>
      <c r="S9444"/>
    </row>
    <row r="9445" spans="13:19" ht="13.95" customHeight="1">
      <c r="M9445"/>
      <c r="N9445"/>
      <c r="O9445"/>
      <c r="P9445"/>
      <c r="Q9445"/>
      <c r="R9445"/>
      <c r="S9445"/>
    </row>
    <row r="9446" spans="13:19" ht="13.95" customHeight="1">
      <c r="M9446"/>
      <c r="N9446"/>
      <c r="O9446"/>
      <c r="P9446"/>
      <c r="Q9446"/>
      <c r="R9446"/>
      <c r="S9446"/>
    </row>
    <row r="9447" spans="13:19" ht="13.95" customHeight="1">
      <c r="M9447"/>
      <c r="N9447"/>
      <c r="O9447"/>
      <c r="P9447"/>
      <c r="Q9447"/>
      <c r="R9447"/>
      <c r="S9447"/>
    </row>
    <row r="9448" spans="13:19" ht="13.95" customHeight="1">
      <c r="M9448"/>
      <c r="N9448"/>
      <c r="O9448"/>
      <c r="P9448"/>
      <c r="Q9448"/>
      <c r="R9448"/>
      <c r="S9448"/>
    </row>
    <row r="9449" spans="13:19" ht="13.95" customHeight="1">
      <c r="M9449"/>
      <c r="N9449"/>
      <c r="O9449"/>
      <c r="P9449"/>
      <c r="Q9449"/>
      <c r="R9449"/>
      <c r="S9449"/>
    </row>
    <row r="9450" spans="13:19" ht="13.95" customHeight="1">
      <c r="M9450"/>
      <c r="N9450"/>
      <c r="O9450"/>
      <c r="P9450"/>
      <c r="Q9450"/>
      <c r="R9450"/>
      <c r="S9450"/>
    </row>
    <row r="9451" spans="13:19" ht="13.95" customHeight="1">
      <c r="M9451"/>
      <c r="N9451"/>
      <c r="O9451"/>
      <c r="P9451"/>
      <c r="Q9451"/>
      <c r="R9451"/>
      <c r="S9451"/>
    </row>
    <row r="9452" spans="13:19" ht="13.95" customHeight="1">
      <c r="M9452"/>
      <c r="N9452"/>
      <c r="O9452"/>
      <c r="P9452"/>
      <c r="Q9452"/>
      <c r="R9452"/>
      <c r="S9452"/>
    </row>
    <row r="9453" spans="13:19" ht="13.95" customHeight="1">
      <c r="M9453"/>
      <c r="N9453"/>
      <c r="O9453"/>
      <c r="P9453"/>
      <c r="Q9453"/>
      <c r="R9453"/>
      <c r="S9453"/>
    </row>
    <row r="9454" spans="13:19" ht="13.95" customHeight="1">
      <c r="M9454"/>
      <c r="N9454"/>
      <c r="O9454"/>
      <c r="P9454"/>
      <c r="Q9454"/>
      <c r="R9454"/>
      <c r="S9454"/>
    </row>
    <row r="9455" spans="13:19" ht="13.95" customHeight="1">
      <c r="M9455"/>
      <c r="N9455"/>
      <c r="O9455"/>
      <c r="P9455"/>
      <c r="Q9455"/>
      <c r="R9455"/>
      <c r="S9455"/>
    </row>
    <row r="9456" spans="13:19" ht="13.95" customHeight="1">
      <c r="M9456"/>
      <c r="N9456"/>
      <c r="O9456"/>
      <c r="P9456"/>
      <c r="Q9456"/>
      <c r="R9456"/>
      <c r="S9456"/>
    </row>
    <row r="9457" spans="13:19" ht="13.95" customHeight="1">
      <c r="M9457"/>
      <c r="N9457"/>
      <c r="O9457"/>
      <c r="P9457"/>
      <c r="Q9457"/>
      <c r="R9457"/>
      <c r="S9457"/>
    </row>
    <row r="9458" spans="13:19" ht="13.95" customHeight="1">
      <c r="M9458"/>
      <c r="N9458"/>
      <c r="O9458"/>
      <c r="P9458"/>
      <c r="Q9458"/>
      <c r="R9458"/>
      <c r="S9458"/>
    </row>
    <row r="9459" spans="13:19" ht="13.95" customHeight="1">
      <c r="M9459"/>
      <c r="N9459"/>
      <c r="O9459"/>
      <c r="P9459"/>
      <c r="Q9459"/>
      <c r="R9459"/>
      <c r="S9459"/>
    </row>
    <row r="9460" spans="13:19" ht="13.95" customHeight="1">
      <c r="M9460"/>
      <c r="N9460"/>
      <c r="O9460"/>
      <c r="P9460"/>
      <c r="Q9460"/>
      <c r="R9460"/>
      <c r="S9460"/>
    </row>
    <row r="9461" spans="13:19" ht="13.95" customHeight="1">
      <c r="M9461"/>
      <c r="N9461"/>
      <c r="O9461"/>
      <c r="P9461"/>
      <c r="Q9461"/>
      <c r="R9461"/>
      <c r="S9461"/>
    </row>
    <row r="9462" spans="13:19" ht="13.95" customHeight="1">
      <c r="M9462"/>
      <c r="N9462"/>
      <c r="O9462"/>
      <c r="P9462"/>
      <c r="Q9462"/>
      <c r="R9462"/>
      <c r="S9462"/>
    </row>
    <row r="9463" spans="13:19" ht="13.95" customHeight="1">
      <c r="M9463"/>
      <c r="N9463"/>
      <c r="O9463"/>
      <c r="P9463"/>
      <c r="Q9463"/>
      <c r="R9463"/>
      <c r="S9463"/>
    </row>
    <row r="9464" spans="13:19" ht="13.95" customHeight="1">
      <c r="M9464"/>
      <c r="N9464"/>
      <c r="O9464"/>
      <c r="P9464"/>
      <c r="Q9464"/>
      <c r="R9464"/>
      <c r="S9464"/>
    </row>
    <row r="9465" spans="13:19" ht="13.95" customHeight="1">
      <c r="M9465"/>
      <c r="N9465"/>
      <c r="O9465"/>
      <c r="P9465"/>
      <c r="Q9465"/>
      <c r="R9465"/>
      <c r="S9465"/>
    </row>
    <row r="9466" spans="13:19" ht="13.95" customHeight="1">
      <c r="M9466"/>
      <c r="N9466"/>
      <c r="O9466"/>
      <c r="P9466"/>
      <c r="Q9466"/>
      <c r="R9466"/>
      <c r="S9466"/>
    </row>
    <row r="9467" spans="13:19" ht="13.95" customHeight="1">
      <c r="M9467"/>
      <c r="N9467"/>
      <c r="O9467"/>
      <c r="P9467"/>
      <c r="Q9467"/>
      <c r="R9467"/>
      <c r="S9467"/>
    </row>
    <row r="9468" spans="13:19" ht="13.95" customHeight="1">
      <c r="M9468"/>
      <c r="N9468"/>
      <c r="O9468"/>
      <c r="P9468"/>
      <c r="Q9468"/>
      <c r="R9468"/>
      <c r="S9468"/>
    </row>
    <row r="9469" spans="13:19" ht="13.95" customHeight="1">
      <c r="M9469"/>
      <c r="N9469"/>
      <c r="O9469"/>
      <c r="P9469"/>
      <c r="Q9469"/>
      <c r="R9469"/>
      <c r="S9469"/>
    </row>
    <row r="9470" spans="13:19" ht="13.95" customHeight="1">
      <c r="M9470"/>
      <c r="N9470"/>
      <c r="O9470"/>
      <c r="P9470"/>
      <c r="Q9470"/>
      <c r="R9470"/>
      <c r="S9470"/>
    </row>
    <row r="9471" spans="13:19" ht="13.95" customHeight="1">
      <c r="M9471"/>
      <c r="N9471"/>
      <c r="O9471"/>
      <c r="P9471"/>
      <c r="Q9471"/>
      <c r="R9471"/>
      <c r="S9471"/>
    </row>
    <row r="9472" spans="13:19" ht="13.95" customHeight="1">
      <c r="M9472"/>
      <c r="N9472"/>
      <c r="O9472"/>
      <c r="P9472"/>
      <c r="Q9472"/>
      <c r="R9472"/>
      <c r="S9472"/>
    </row>
    <row r="9473" spans="13:19" ht="13.95" customHeight="1">
      <c r="M9473"/>
      <c r="N9473"/>
      <c r="O9473"/>
      <c r="P9473"/>
      <c r="Q9473"/>
      <c r="R9473"/>
      <c r="S9473"/>
    </row>
    <row r="9474" spans="13:19" ht="13.95" customHeight="1">
      <c r="M9474"/>
      <c r="N9474"/>
      <c r="O9474"/>
      <c r="P9474"/>
      <c r="Q9474"/>
      <c r="R9474"/>
      <c r="S9474"/>
    </row>
    <row r="9475" spans="13:19" ht="13.95" customHeight="1">
      <c r="M9475"/>
      <c r="N9475"/>
      <c r="O9475"/>
      <c r="P9475"/>
      <c r="Q9475"/>
      <c r="R9475"/>
      <c r="S9475"/>
    </row>
    <row r="9476" spans="13:19" ht="13.95" customHeight="1">
      <c r="M9476"/>
      <c r="N9476"/>
      <c r="O9476"/>
      <c r="P9476"/>
      <c r="Q9476"/>
      <c r="R9476"/>
      <c r="S9476"/>
    </row>
    <row r="9477" spans="13:19" ht="13.95" customHeight="1">
      <c r="M9477"/>
      <c r="N9477"/>
      <c r="O9477"/>
      <c r="P9477"/>
      <c r="Q9477"/>
      <c r="R9477"/>
      <c r="S9477"/>
    </row>
    <row r="9478" spans="13:19" ht="13.95" customHeight="1">
      <c r="M9478"/>
      <c r="N9478"/>
      <c r="O9478"/>
      <c r="P9478"/>
      <c r="Q9478"/>
      <c r="R9478"/>
      <c r="S9478"/>
    </row>
    <row r="9479" spans="13:19" ht="13.95" customHeight="1">
      <c r="M9479"/>
      <c r="N9479"/>
      <c r="O9479"/>
      <c r="P9479"/>
      <c r="Q9479"/>
      <c r="R9479"/>
      <c r="S9479"/>
    </row>
    <row r="9480" spans="13:19" ht="13.95" customHeight="1">
      <c r="M9480"/>
      <c r="N9480"/>
      <c r="O9480"/>
      <c r="P9480"/>
      <c r="Q9480"/>
      <c r="R9480"/>
      <c r="S9480"/>
    </row>
    <row r="9481" spans="13:19" ht="13.95" customHeight="1">
      <c r="M9481"/>
      <c r="N9481"/>
      <c r="O9481"/>
      <c r="P9481"/>
      <c r="Q9481"/>
      <c r="R9481"/>
      <c r="S9481"/>
    </row>
    <row r="9482" spans="13:19" ht="13.95" customHeight="1">
      <c r="M9482"/>
      <c r="N9482"/>
      <c r="O9482"/>
      <c r="P9482"/>
      <c r="Q9482"/>
      <c r="R9482"/>
      <c r="S9482"/>
    </row>
    <row r="9483" spans="13:19" ht="13.95" customHeight="1">
      <c r="M9483"/>
      <c r="N9483"/>
      <c r="O9483"/>
      <c r="P9483"/>
      <c r="Q9483"/>
      <c r="R9483"/>
      <c r="S9483"/>
    </row>
    <row r="9484" spans="13:19" ht="13.95" customHeight="1">
      <c r="M9484"/>
      <c r="N9484"/>
      <c r="O9484"/>
      <c r="P9484"/>
      <c r="Q9484"/>
      <c r="R9484"/>
      <c r="S9484"/>
    </row>
    <row r="9485" spans="13:19" ht="13.95" customHeight="1">
      <c r="M9485"/>
      <c r="N9485"/>
      <c r="O9485"/>
      <c r="P9485"/>
      <c r="Q9485"/>
      <c r="R9485"/>
      <c r="S9485"/>
    </row>
    <row r="9486" spans="13:19" ht="13.95" customHeight="1">
      <c r="M9486"/>
      <c r="N9486"/>
      <c r="O9486"/>
      <c r="P9486"/>
      <c r="Q9486"/>
      <c r="R9486"/>
      <c r="S9486"/>
    </row>
    <row r="9487" spans="13:19" ht="13.95" customHeight="1">
      <c r="M9487"/>
      <c r="N9487"/>
      <c r="O9487"/>
      <c r="P9487"/>
      <c r="Q9487"/>
      <c r="R9487"/>
      <c r="S9487"/>
    </row>
    <row r="9488" spans="13:19" ht="13.95" customHeight="1">
      <c r="M9488"/>
      <c r="N9488"/>
      <c r="O9488"/>
      <c r="P9488"/>
      <c r="Q9488"/>
      <c r="R9488"/>
      <c r="S9488"/>
    </row>
    <row r="9489" spans="13:19" ht="13.95" customHeight="1">
      <c r="M9489"/>
      <c r="N9489"/>
      <c r="O9489"/>
      <c r="P9489"/>
      <c r="Q9489"/>
      <c r="R9489"/>
      <c r="S9489"/>
    </row>
    <row r="9490" spans="13:19" ht="13.95" customHeight="1">
      <c r="M9490"/>
      <c r="N9490"/>
      <c r="O9490"/>
      <c r="P9490"/>
      <c r="Q9490"/>
      <c r="R9490"/>
      <c r="S9490"/>
    </row>
    <row r="9491" spans="13:19" ht="13.95" customHeight="1">
      <c r="M9491"/>
      <c r="N9491"/>
      <c r="O9491"/>
      <c r="P9491"/>
      <c r="Q9491"/>
      <c r="R9491"/>
      <c r="S9491"/>
    </row>
    <row r="9492" spans="13:19" ht="13.95" customHeight="1">
      <c r="M9492"/>
      <c r="N9492"/>
      <c r="O9492"/>
      <c r="P9492"/>
      <c r="Q9492"/>
      <c r="R9492"/>
      <c r="S9492"/>
    </row>
    <row r="9493" spans="13:19" ht="13.95" customHeight="1">
      <c r="M9493"/>
      <c r="N9493"/>
      <c r="O9493"/>
      <c r="P9493"/>
      <c r="Q9493"/>
      <c r="R9493"/>
      <c r="S9493"/>
    </row>
    <row r="9494" spans="13:19" ht="13.95" customHeight="1">
      <c r="M9494"/>
      <c r="N9494"/>
      <c r="O9494"/>
      <c r="P9494"/>
      <c r="Q9494"/>
      <c r="R9494"/>
      <c r="S9494"/>
    </row>
    <row r="9495" spans="13:19" ht="13.95" customHeight="1">
      <c r="M9495"/>
      <c r="N9495"/>
      <c r="O9495"/>
      <c r="P9495"/>
      <c r="Q9495"/>
      <c r="R9495"/>
      <c r="S9495"/>
    </row>
    <row r="9496" spans="13:19" ht="13.95" customHeight="1">
      <c r="M9496"/>
      <c r="N9496"/>
      <c r="O9496"/>
      <c r="P9496"/>
      <c r="Q9496"/>
      <c r="R9496"/>
      <c r="S9496"/>
    </row>
    <row r="9497" spans="13:19" ht="13.95" customHeight="1">
      <c r="M9497"/>
      <c r="N9497"/>
      <c r="O9497"/>
      <c r="P9497"/>
      <c r="Q9497"/>
      <c r="R9497"/>
      <c r="S9497"/>
    </row>
    <row r="9498" spans="13:19" ht="13.95" customHeight="1">
      <c r="M9498"/>
      <c r="N9498"/>
      <c r="O9498"/>
      <c r="P9498"/>
      <c r="Q9498"/>
      <c r="R9498"/>
      <c r="S9498"/>
    </row>
    <row r="9499" spans="13:19" ht="13.95" customHeight="1">
      <c r="M9499"/>
      <c r="N9499"/>
      <c r="O9499"/>
      <c r="P9499"/>
      <c r="Q9499"/>
      <c r="R9499"/>
      <c r="S9499"/>
    </row>
    <row r="9500" spans="13:19" ht="13.95" customHeight="1">
      <c r="M9500"/>
      <c r="N9500"/>
      <c r="O9500"/>
      <c r="P9500"/>
      <c r="Q9500"/>
      <c r="R9500"/>
      <c r="S9500"/>
    </row>
    <row r="9501" spans="13:19" ht="13.95" customHeight="1">
      <c r="M9501"/>
      <c r="N9501"/>
      <c r="O9501"/>
      <c r="P9501"/>
      <c r="Q9501"/>
      <c r="R9501"/>
      <c r="S9501"/>
    </row>
    <row r="9502" spans="13:19" ht="13.95" customHeight="1">
      <c r="M9502"/>
      <c r="N9502"/>
      <c r="O9502"/>
      <c r="P9502"/>
      <c r="Q9502"/>
      <c r="R9502"/>
      <c r="S9502"/>
    </row>
    <row r="9503" spans="13:19" ht="13.95" customHeight="1">
      <c r="M9503"/>
      <c r="N9503"/>
      <c r="O9503"/>
      <c r="P9503"/>
      <c r="Q9503"/>
      <c r="R9503"/>
      <c r="S9503"/>
    </row>
    <row r="9504" spans="13:19" ht="13.95" customHeight="1">
      <c r="M9504"/>
      <c r="N9504"/>
      <c r="O9504"/>
      <c r="P9504"/>
      <c r="Q9504"/>
      <c r="R9504"/>
      <c r="S9504"/>
    </row>
    <row r="9505" spans="13:19" ht="13.95" customHeight="1">
      <c r="M9505"/>
      <c r="N9505"/>
      <c r="O9505"/>
      <c r="P9505"/>
      <c r="Q9505"/>
      <c r="R9505"/>
      <c r="S9505"/>
    </row>
    <row r="9506" spans="13:19" ht="13.95" customHeight="1">
      <c r="M9506"/>
      <c r="N9506"/>
      <c r="O9506"/>
      <c r="P9506"/>
      <c r="Q9506"/>
      <c r="R9506"/>
      <c r="S9506"/>
    </row>
    <row r="9507" spans="13:19" ht="13.95" customHeight="1">
      <c r="M9507"/>
      <c r="N9507"/>
      <c r="O9507"/>
      <c r="P9507"/>
      <c r="Q9507"/>
      <c r="R9507"/>
      <c r="S9507"/>
    </row>
    <row r="9508" spans="13:19" ht="13.95" customHeight="1">
      <c r="M9508"/>
      <c r="N9508"/>
      <c r="O9508"/>
      <c r="P9508"/>
      <c r="Q9508"/>
      <c r="R9508"/>
      <c r="S9508"/>
    </row>
    <row r="9509" spans="13:19" ht="13.95" customHeight="1">
      <c r="M9509"/>
      <c r="N9509"/>
      <c r="O9509"/>
      <c r="P9509"/>
      <c r="Q9509"/>
      <c r="R9509"/>
      <c r="S9509"/>
    </row>
    <row r="9510" spans="13:19" ht="13.95" customHeight="1">
      <c r="M9510"/>
      <c r="N9510"/>
      <c r="O9510"/>
      <c r="P9510"/>
      <c r="Q9510"/>
      <c r="R9510"/>
      <c r="S9510"/>
    </row>
    <row r="9511" spans="13:19" ht="13.95" customHeight="1">
      <c r="M9511"/>
      <c r="N9511"/>
      <c r="O9511"/>
      <c r="P9511"/>
      <c r="Q9511"/>
      <c r="R9511"/>
      <c r="S9511"/>
    </row>
    <row r="9512" spans="13:19" ht="13.95" customHeight="1">
      <c r="M9512"/>
      <c r="N9512"/>
      <c r="O9512"/>
      <c r="P9512"/>
      <c r="Q9512"/>
      <c r="R9512"/>
      <c r="S9512"/>
    </row>
    <row r="9513" spans="13:19" ht="13.95" customHeight="1">
      <c r="M9513"/>
      <c r="N9513"/>
      <c r="O9513"/>
      <c r="P9513"/>
      <c r="Q9513"/>
      <c r="R9513"/>
      <c r="S9513"/>
    </row>
    <row r="9514" spans="13:19" ht="13.95" customHeight="1">
      <c r="M9514"/>
      <c r="N9514"/>
      <c r="O9514"/>
      <c r="P9514"/>
      <c r="Q9514"/>
      <c r="R9514"/>
      <c r="S9514"/>
    </row>
    <row r="9515" spans="13:19" ht="13.95" customHeight="1">
      <c r="M9515"/>
      <c r="N9515"/>
      <c r="O9515"/>
      <c r="P9515"/>
      <c r="Q9515"/>
      <c r="R9515"/>
      <c r="S9515"/>
    </row>
    <row r="9516" spans="13:19" ht="13.95" customHeight="1">
      <c r="M9516"/>
      <c r="N9516"/>
      <c r="O9516"/>
      <c r="P9516"/>
      <c r="Q9516"/>
      <c r="R9516"/>
      <c r="S9516"/>
    </row>
    <row r="9517" spans="13:19" ht="13.95" customHeight="1">
      <c r="M9517"/>
      <c r="N9517"/>
      <c r="O9517"/>
      <c r="P9517"/>
      <c r="Q9517"/>
      <c r="R9517"/>
      <c r="S9517"/>
    </row>
    <row r="9518" spans="13:19" ht="13.95" customHeight="1">
      <c r="M9518"/>
      <c r="N9518"/>
      <c r="O9518"/>
      <c r="P9518"/>
      <c r="Q9518"/>
      <c r="R9518"/>
      <c r="S9518"/>
    </row>
    <row r="9519" spans="13:19" ht="13.95" customHeight="1">
      <c r="M9519"/>
      <c r="N9519"/>
      <c r="O9519"/>
      <c r="P9519"/>
      <c r="Q9519"/>
      <c r="R9519"/>
      <c r="S9519"/>
    </row>
    <row r="9520" spans="13:19" ht="13.95" customHeight="1">
      <c r="M9520"/>
      <c r="N9520"/>
      <c r="O9520"/>
      <c r="P9520"/>
      <c r="Q9520"/>
      <c r="R9520"/>
      <c r="S9520"/>
    </row>
    <row r="9521" spans="13:19" ht="13.95" customHeight="1">
      <c r="M9521"/>
      <c r="N9521"/>
      <c r="O9521"/>
      <c r="P9521"/>
      <c r="Q9521"/>
      <c r="R9521"/>
      <c r="S9521"/>
    </row>
    <row r="9522" spans="13:19" ht="13.95" customHeight="1">
      <c r="M9522"/>
      <c r="N9522"/>
      <c r="O9522"/>
      <c r="P9522"/>
      <c r="Q9522"/>
      <c r="R9522"/>
      <c r="S9522"/>
    </row>
    <row r="9523" spans="13:19" ht="13.95" customHeight="1">
      <c r="M9523"/>
      <c r="N9523"/>
      <c r="O9523"/>
      <c r="P9523"/>
      <c r="Q9523"/>
      <c r="R9523"/>
      <c r="S9523"/>
    </row>
    <row r="9524" spans="13:19" ht="13.95" customHeight="1">
      <c r="M9524"/>
      <c r="N9524"/>
      <c r="O9524"/>
      <c r="P9524"/>
      <c r="Q9524"/>
      <c r="R9524"/>
      <c r="S9524"/>
    </row>
    <row r="9525" spans="13:19" ht="13.95" customHeight="1">
      <c r="M9525"/>
      <c r="N9525"/>
      <c r="O9525"/>
      <c r="P9525"/>
      <c r="Q9525"/>
      <c r="R9525"/>
      <c r="S9525"/>
    </row>
    <row r="9526" spans="13:19" ht="13.95" customHeight="1">
      <c r="M9526"/>
      <c r="N9526"/>
      <c r="O9526"/>
      <c r="P9526"/>
      <c r="Q9526"/>
      <c r="R9526"/>
      <c r="S9526"/>
    </row>
    <row r="9527" spans="13:19" ht="13.95" customHeight="1">
      <c r="M9527"/>
      <c r="N9527"/>
      <c r="O9527"/>
      <c r="P9527"/>
      <c r="Q9527"/>
      <c r="R9527"/>
      <c r="S9527"/>
    </row>
    <row r="9528" spans="13:19" ht="13.95" customHeight="1">
      <c r="M9528"/>
      <c r="N9528"/>
      <c r="O9528"/>
      <c r="P9528"/>
      <c r="Q9528"/>
      <c r="R9528"/>
      <c r="S9528"/>
    </row>
    <row r="9529" spans="13:19" ht="13.95" customHeight="1">
      <c r="M9529"/>
      <c r="N9529"/>
      <c r="O9529"/>
      <c r="P9529"/>
      <c r="Q9529"/>
      <c r="R9529"/>
      <c r="S9529"/>
    </row>
    <row r="9530" spans="13:19" ht="13.95" customHeight="1">
      <c r="M9530"/>
      <c r="N9530"/>
      <c r="O9530"/>
      <c r="P9530"/>
      <c r="Q9530"/>
      <c r="R9530"/>
      <c r="S9530"/>
    </row>
    <row r="9531" spans="13:19" ht="13.95" customHeight="1">
      <c r="M9531"/>
      <c r="N9531"/>
      <c r="O9531"/>
      <c r="P9531"/>
      <c r="Q9531"/>
      <c r="R9531"/>
      <c r="S9531"/>
    </row>
    <row r="9532" spans="13:19" ht="13.95" customHeight="1">
      <c r="M9532"/>
      <c r="N9532"/>
      <c r="O9532"/>
      <c r="P9532"/>
      <c r="Q9532"/>
      <c r="R9532"/>
      <c r="S9532"/>
    </row>
    <row r="9533" spans="13:19" ht="13.95" customHeight="1">
      <c r="M9533"/>
      <c r="N9533"/>
      <c r="O9533"/>
      <c r="P9533"/>
      <c r="Q9533"/>
      <c r="R9533"/>
      <c r="S9533"/>
    </row>
    <row r="9534" spans="13:19" ht="13.95" customHeight="1">
      <c r="M9534"/>
      <c r="N9534"/>
      <c r="O9534"/>
      <c r="P9534"/>
      <c r="Q9534"/>
      <c r="R9534"/>
      <c r="S9534"/>
    </row>
    <row r="9535" spans="13:19" ht="13.95" customHeight="1">
      <c r="M9535"/>
      <c r="N9535"/>
      <c r="O9535"/>
      <c r="P9535"/>
      <c r="Q9535"/>
      <c r="R9535"/>
      <c r="S9535"/>
    </row>
    <row r="9536" spans="13:19" ht="13.95" customHeight="1">
      <c r="M9536"/>
      <c r="N9536"/>
      <c r="O9536"/>
      <c r="P9536"/>
      <c r="Q9536"/>
      <c r="R9536"/>
      <c r="S9536"/>
    </row>
    <row r="9537" spans="13:19" ht="13.95" customHeight="1">
      <c r="M9537"/>
      <c r="N9537"/>
      <c r="O9537"/>
      <c r="P9537"/>
      <c r="Q9537"/>
      <c r="R9537"/>
      <c r="S9537"/>
    </row>
    <row r="9538" spans="13:19" ht="13.95" customHeight="1">
      <c r="M9538"/>
      <c r="N9538"/>
      <c r="O9538"/>
      <c r="P9538"/>
      <c r="Q9538"/>
      <c r="R9538"/>
      <c r="S9538"/>
    </row>
    <row r="9539" spans="13:19" ht="13.95" customHeight="1">
      <c r="M9539"/>
      <c r="N9539"/>
      <c r="O9539"/>
      <c r="P9539"/>
      <c r="Q9539"/>
      <c r="R9539"/>
      <c r="S9539"/>
    </row>
    <row r="9540" spans="13:19" ht="13.95" customHeight="1">
      <c r="M9540"/>
      <c r="N9540"/>
      <c r="O9540"/>
      <c r="P9540"/>
      <c r="Q9540"/>
      <c r="R9540"/>
      <c r="S9540"/>
    </row>
    <row r="9541" spans="13:19" ht="13.95" customHeight="1">
      <c r="M9541"/>
      <c r="N9541"/>
      <c r="O9541"/>
      <c r="P9541"/>
      <c r="Q9541"/>
      <c r="R9541"/>
      <c r="S9541"/>
    </row>
    <row r="9542" spans="13:19" ht="13.95" customHeight="1">
      <c r="M9542"/>
      <c r="N9542"/>
      <c r="O9542"/>
      <c r="P9542"/>
      <c r="Q9542"/>
      <c r="R9542"/>
      <c r="S9542"/>
    </row>
    <row r="9543" spans="13:19" ht="13.95" customHeight="1">
      <c r="M9543"/>
      <c r="N9543"/>
      <c r="O9543"/>
      <c r="P9543"/>
      <c r="Q9543"/>
      <c r="R9543"/>
      <c r="S9543"/>
    </row>
    <row r="9544" spans="13:19" ht="13.95" customHeight="1">
      <c r="M9544"/>
      <c r="N9544"/>
      <c r="O9544"/>
      <c r="P9544"/>
      <c r="Q9544"/>
      <c r="R9544"/>
      <c r="S9544"/>
    </row>
    <row r="9545" spans="13:19" ht="13.95" customHeight="1">
      <c r="M9545"/>
      <c r="N9545"/>
      <c r="O9545"/>
      <c r="P9545"/>
      <c r="Q9545"/>
      <c r="R9545"/>
      <c r="S9545"/>
    </row>
    <row r="9546" spans="13:19" ht="13.95" customHeight="1">
      <c r="M9546"/>
      <c r="N9546"/>
      <c r="O9546"/>
      <c r="P9546"/>
      <c r="Q9546"/>
      <c r="R9546"/>
      <c r="S9546"/>
    </row>
    <row r="9547" spans="13:19" ht="13.95" customHeight="1">
      <c r="M9547"/>
      <c r="N9547"/>
      <c r="O9547"/>
      <c r="P9547"/>
      <c r="Q9547"/>
      <c r="R9547"/>
      <c r="S9547"/>
    </row>
    <row r="9548" spans="13:19" ht="13.95" customHeight="1">
      <c r="M9548"/>
      <c r="N9548"/>
      <c r="O9548"/>
      <c r="P9548"/>
      <c r="Q9548"/>
      <c r="R9548"/>
      <c r="S9548"/>
    </row>
    <row r="9549" spans="13:19" ht="13.95" customHeight="1">
      <c r="M9549"/>
      <c r="N9549"/>
      <c r="O9549"/>
      <c r="P9549"/>
      <c r="Q9549"/>
      <c r="R9549"/>
      <c r="S9549"/>
    </row>
    <row r="9550" spans="13:19" ht="13.95" customHeight="1">
      <c r="M9550"/>
      <c r="N9550"/>
      <c r="O9550"/>
      <c r="P9550"/>
      <c r="Q9550"/>
      <c r="R9550"/>
      <c r="S9550"/>
    </row>
    <row r="9551" spans="13:19" ht="13.95" customHeight="1">
      <c r="M9551"/>
      <c r="N9551"/>
      <c r="O9551"/>
      <c r="P9551"/>
      <c r="Q9551"/>
      <c r="R9551"/>
      <c r="S9551"/>
    </row>
    <row r="9552" spans="13:19" ht="13.95" customHeight="1">
      <c r="M9552"/>
      <c r="N9552"/>
      <c r="O9552"/>
      <c r="P9552"/>
      <c r="Q9552"/>
      <c r="R9552"/>
      <c r="S9552"/>
    </row>
    <row r="9553" spans="13:19" ht="13.95" customHeight="1">
      <c r="M9553"/>
      <c r="N9553"/>
      <c r="O9553"/>
      <c r="P9553"/>
      <c r="Q9553"/>
      <c r="R9553"/>
      <c r="S9553"/>
    </row>
    <row r="9554" spans="13:19" ht="13.95" customHeight="1">
      <c r="M9554"/>
      <c r="N9554"/>
      <c r="O9554"/>
      <c r="P9554"/>
      <c r="Q9554"/>
      <c r="R9554"/>
      <c r="S9554"/>
    </row>
    <row r="9555" spans="13:19" ht="13.95" customHeight="1">
      <c r="M9555"/>
      <c r="N9555"/>
      <c r="O9555"/>
      <c r="P9555"/>
      <c r="Q9555"/>
      <c r="R9555"/>
      <c r="S9555"/>
    </row>
    <row r="9556" spans="13:19" ht="13.95" customHeight="1">
      <c r="M9556"/>
      <c r="N9556"/>
      <c r="O9556"/>
      <c r="P9556"/>
      <c r="Q9556"/>
      <c r="R9556"/>
      <c r="S9556"/>
    </row>
    <row r="9557" spans="13:19" ht="13.95" customHeight="1">
      <c r="M9557"/>
      <c r="N9557"/>
      <c r="O9557"/>
      <c r="P9557"/>
      <c r="Q9557"/>
      <c r="R9557"/>
      <c r="S9557"/>
    </row>
    <row r="9558" spans="13:19" ht="13.95" customHeight="1">
      <c r="M9558"/>
      <c r="N9558"/>
      <c r="O9558"/>
      <c r="P9558"/>
      <c r="Q9558"/>
      <c r="R9558"/>
      <c r="S9558"/>
    </row>
    <row r="9559" spans="13:19" ht="13.95" customHeight="1">
      <c r="M9559"/>
      <c r="N9559"/>
      <c r="O9559"/>
      <c r="P9559"/>
      <c r="Q9559"/>
      <c r="R9559"/>
      <c r="S9559"/>
    </row>
    <row r="9560" spans="13:19" ht="13.95" customHeight="1">
      <c r="M9560"/>
      <c r="N9560"/>
      <c r="O9560"/>
      <c r="P9560"/>
      <c r="Q9560"/>
      <c r="R9560"/>
      <c r="S9560"/>
    </row>
    <row r="9561" spans="13:19" ht="13.95" customHeight="1">
      <c r="M9561"/>
      <c r="N9561"/>
      <c r="O9561"/>
      <c r="P9561"/>
      <c r="Q9561"/>
      <c r="R9561"/>
      <c r="S9561"/>
    </row>
    <row r="9562" spans="13:19" ht="13.95" customHeight="1">
      <c r="M9562"/>
      <c r="N9562"/>
      <c r="O9562"/>
      <c r="P9562"/>
      <c r="Q9562"/>
      <c r="R9562"/>
      <c r="S9562"/>
    </row>
    <row r="9563" spans="13:19" ht="13.95" customHeight="1">
      <c r="M9563"/>
      <c r="N9563"/>
      <c r="O9563"/>
      <c r="P9563"/>
      <c r="Q9563"/>
      <c r="R9563"/>
      <c r="S9563"/>
    </row>
    <row r="9564" spans="13:19" ht="13.95" customHeight="1">
      <c r="M9564"/>
      <c r="N9564"/>
      <c r="O9564"/>
      <c r="P9564"/>
      <c r="Q9564"/>
      <c r="R9564"/>
      <c r="S9564"/>
    </row>
    <row r="9565" spans="13:19" ht="13.95" customHeight="1">
      <c r="M9565"/>
      <c r="N9565"/>
      <c r="O9565"/>
      <c r="P9565"/>
      <c r="Q9565"/>
      <c r="R9565"/>
      <c r="S9565"/>
    </row>
    <row r="9566" spans="13:19" ht="13.95" customHeight="1">
      <c r="M9566"/>
      <c r="N9566"/>
      <c r="O9566"/>
      <c r="P9566"/>
      <c r="Q9566"/>
      <c r="R9566"/>
      <c r="S9566"/>
    </row>
    <row r="9567" spans="13:19" ht="13.95" customHeight="1">
      <c r="M9567"/>
      <c r="N9567"/>
      <c r="O9567"/>
      <c r="P9567"/>
      <c r="Q9567"/>
      <c r="R9567"/>
      <c r="S9567"/>
    </row>
    <row r="9568" spans="13:19" ht="13.95" customHeight="1">
      <c r="M9568"/>
      <c r="N9568"/>
      <c r="O9568"/>
      <c r="P9568"/>
      <c r="Q9568"/>
      <c r="R9568"/>
      <c r="S9568"/>
    </row>
    <row r="9569" spans="13:19" ht="13.95" customHeight="1">
      <c r="M9569"/>
      <c r="N9569"/>
      <c r="O9569"/>
      <c r="P9569"/>
      <c r="Q9569"/>
      <c r="R9569"/>
      <c r="S9569"/>
    </row>
    <row r="9570" spans="13:19" ht="13.95" customHeight="1">
      <c r="M9570"/>
      <c r="N9570"/>
      <c r="O9570"/>
      <c r="P9570"/>
      <c r="Q9570"/>
      <c r="R9570"/>
      <c r="S9570"/>
    </row>
    <row r="9571" spans="13:19" ht="13.95" customHeight="1">
      <c r="M9571"/>
      <c r="N9571"/>
      <c r="O9571"/>
      <c r="P9571"/>
      <c r="Q9571"/>
      <c r="R9571"/>
      <c r="S9571"/>
    </row>
    <row r="9572" spans="13:19" ht="13.95" customHeight="1">
      <c r="M9572"/>
      <c r="N9572"/>
      <c r="O9572"/>
      <c r="P9572"/>
      <c r="Q9572"/>
      <c r="R9572"/>
      <c r="S9572"/>
    </row>
    <row r="9573" spans="13:19" ht="13.95" customHeight="1">
      <c r="M9573"/>
      <c r="N9573"/>
      <c r="O9573"/>
      <c r="P9573"/>
      <c r="Q9573"/>
      <c r="R9573"/>
      <c r="S9573"/>
    </row>
    <row r="9574" spans="13:19" ht="13.95" customHeight="1">
      <c r="M9574"/>
      <c r="N9574"/>
      <c r="O9574"/>
      <c r="P9574"/>
      <c r="Q9574"/>
      <c r="R9574"/>
      <c r="S9574"/>
    </row>
    <row r="9575" spans="13:19" ht="13.95" customHeight="1">
      <c r="M9575"/>
      <c r="N9575"/>
      <c r="O9575"/>
      <c r="P9575"/>
      <c r="Q9575"/>
      <c r="R9575"/>
      <c r="S9575"/>
    </row>
    <row r="9576" spans="13:19" ht="13.95" customHeight="1">
      <c r="M9576"/>
      <c r="N9576"/>
      <c r="O9576"/>
      <c r="P9576"/>
      <c r="Q9576"/>
      <c r="R9576"/>
      <c r="S9576"/>
    </row>
    <row r="9577" spans="13:19" ht="13.95" customHeight="1">
      <c r="M9577"/>
      <c r="N9577"/>
      <c r="O9577"/>
      <c r="P9577"/>
      <c r="Q9577"/>
      <c r="R9577"/>
      <c r="S9577"/>
    </row>
    <row r="9578" spans="13:19" ht="13.95" customHeight="1">
      <c r="M9578"/>
      <c r="N9578"/>
      <c r="O9578"/>
      <c r="P9578"/>
      <c r="Q9578"/>
      <c r="R9578"/>
      <c r="S9578"/>
    </row>
    <row r="9579" spans="13:19" ht="13.95" customHeight="1">
      <c r="M9579"/>
      <c r="N9579"/>
      <c r="O9579"/>
      <c r="P9579"/>
      <c r="Q9579"/>
      <c r="R9579"/>
      <c r="S9579"/>
    </row>
    <row r="9580" spans="13:19" ht="13.95" customHeight="1">
      <c r="M9580"/>
      <c r="N9580"/>
      <c r="O9580"/>
      <c r="P9580"/>
      <c r="Q9580"/>
      <c r="R9580"/>
      <c r="S9580"/>
    </row>
    <row r="9581" spans="13:19" ht="13.95" customHeight="1">
      <c r="M9581"/>
      <c r="N9581"/>
      <c r="O9581"/>
      <c r="P9581"/>
      <c r="Q9581"/>
      <c r="R9581"/>
      <c r="S9581"/>
    </row>
    <row r="9582" spans="13:19" ht="13.95" customHeight="1">
      <c r="M9582"/>
      <c r="N9582"/>
      <c r="O9582"/>
      <c r="P9582"/>
      <c r="Q9582"/>
      <c r="R9582"/>
      <c r="S9582"/>
    </row>
    <row r="9583" spans="13:19" ht="13.95" customHeight="1">
      <c r="M9583"/>
      <c r="N9583"/>
      <c r="O9583"/>
      <c r="P9583"/>
      <c r="Q9583"/>
      <c r="R9583"/>
      <c r="S9583"/>
    </row>
    <row r="9584" spans="13:19" ht="13.95" customHeight="1">
      <c r="M9584"/>
      <c r="N9584"/>
      <c r="O9584"/>
      <c r="P9584"/>
      <c r="Q9584"/>
      <c r="R9584"/>
      <c r="S9584"/>
    </row>
    <row r="9585" spans="13:19" ht="13.95" customHeight="1">
      <c r="M9585"/>
      <c r="N9585"/>
      <c r="O9585"/>
      <c r="P9585"/>
      <c r="Q9585"/>
      <c r="R9585"/>
      <c r="S9585"/>
    </row>
    <row r="9586" spans="13:19" ht="13.95" customHeight="1">
      <c r="M9586"/>
      <c r="N9586"/>
      <c r="O9586"/>
      <c r="P9586"/>
      <c r="Q9586"/>
      <c r="R9586"/>
      <c r="S9586"/>
    </row>
    <row r="9587" spans="13:19" ht="13.95" customHeight="1">
      <c r="M9587"/>
      <c r="N9587"/>
      <c r="O9587"/>
      <c r="P9587"/>
      <c r="Q9587"/>
      <c r="R9587"/>
      <c r="S9587"/>
    </row>
    <row r="9588" spans="13:19" ht="13.95" customHeight="1">
      <c r="M9588"/>
      <c r="N9588"/>
      <c r="O9588"/>
      <c r="P9588"/>
      <c r="Q9588"/>
      <c r="R9588"/>
      <c r="S9588"/>
    </row>
    <row r="9589" spans="13:19" ht="13.95" customHeight="1">
      <c r="M9589"/>
      <c r="N9589"/>
      <c r="O9589"/>
      <c r="P9589"/>
      <c r="Q9589"/>
      <c r="R9589"/>
      <c r="S9589"/>
    </row>
    <row r="9590" spans="13:19" ht="13.95" customHeight="1">
      <c r="M9590"/>
      <c r="N9590"/>
      <c r="O9590"/>
      <c r="P9590"/>
      <c r="Q9590"/>
      <c r="R9590"/>
      <c r="S9590"/>
    </row>
    <row r="9591" spans="13:19" ht="13.95" customHeight="1">
      <c r="M9591"/>
      <c r="N9591"/>
      <c r="O9591"/>
      <c r="P9591"/>
      <c r="Q9591"/>
      <c r="R9591"/>
      <c r="S9591"/>
    </row>
    <row r="9592" spans="13:19" ht="13.95" customHeight="1">
      <c r="M9592"/>
      <c r="N9592"/>
      <c r="O9592"/>
      <c r="P9592"/>
      <c r="Q9592"/>
      <c r="R9592"/>
      <c r="S9592"/>
    </row>
    <row r="9593" spans="13:19" ht="13.95" customHeight="1">
      <c r="M9593"/>
      <c r="N9593"/>
      <c r="O9593"/>
      <c r="P9593"/>
      <c r="Q9593"/>
      <c r="R9593"/>
      <c r="S9593"/>
    </row>
    <row r="9594" spans="13:19" ht="13.95" customHeight="1">
      <c r="M9594"/>
      <c r="N9594"/>
      <c r="O9594"/>
      <c r="P9594"/>
      <c r="Q9594"/>
      <c r="R9594"/>
      <c r="S9594"/>
    </row>
    <row r="9595" spans="13:19" ht="13.95" customHeight="1">
      <c r="M9595"/>
      <c r="N9595"/>
      <c r="O9595"/>
      <c r="P9595"/>
      <c r="Q9595"/>
      <c r="R9595"/>
      <c r="S9595"/>
    </row>
    <row r="9596" spans="13:19" ht="13.95" customHeight="1">
      <c r="M9596"/>
      <c r="N9596"/>
      <c r="O9596"/>
      <c r="P9596"/>
      <c r="Q9596"/>
      <c r="R9596"/>
      <c r="S9596"/>
    </row>
    <row r="9597" spans="13:19" ht="13.95" customHeight="1">
      <c r="M9597"/>
      <c r="N9597"/>
      <c r="O9597"/>
      <c r="P9597"/>
      <c r="Q9597"/>
      <c r="R9597"/>
      <c r="S9597"/>
    </row>
    <row r="9598" spans="13:19" ht="13.95" customHeight="1">
      <c r="M9598"/>
      <c r="N9598"/>
      <c r="O9598"/>
      <c r="P9598"/>
      <c r="Q9598"/>
      <c r="R9598"/>
      <c r="S9598"/>
    </row>
    <row r="9599" spans="13:19" ht="13.95" customHeight="1">
      <c r="M9599"/>
      <c r="N9599"/>
      <c r="O9599"/>
      <c r="P9599"/>
      <c r="Q9599"/>
      <c r="R9599"/>
      <c r="S9599"/>
    </row>
    <row r="9600" spans="13:19" ht="13.95" customHeight="1">
      <c r="M9600"/>
      <c r="N9600"/>
      <c r="O9600"/>
      <c r="P9600"/>
      <c r="Q9600"/>
      <c r="R9600"/>
      <c r="S9600"/>
    </row>
    <row r="9601" spans="13:19" ht="13.95" customHeight="1">
      <c r="M9601"/>
      <c r="N9601"/>
      <c r="O9601"/>
      <c r="P9601"/>
      <c r="Q9601"/>
      <c r="R9601"/>
      <c r="S9601"/>
    </row>
    <row r="9602" spans="13:19" ht="13.95" customHeight="1">
      <c r="M9602"/>
      <c r="N9602"/>
      <c r="O9602"/>
      <c r="P9602"/>
      <c r="Q9602"/>
      <c r="R9602"/>
      <c r="S9602"/>
    </row>
    <row r="9603" spans="13:19" ht="13.95" customHeight="1">
      <c r="M9603"/>
      <c r="N9603"/>
      <c r="O9603"/>
      <c r="P9603"/>
      <c r="Q9603"/>
      <c r="R9603"/>
      <c r="S9603"/>
    </row>
    <row r="9604" spans="13:19" ht="13.95" customHeight="1">
      <c r="M9604"/>
      <c r="N9604"/>
      <c r="O9604"/>
      <c r="P9604"/>
      <c r="Q9604"/>
      <c r="R9604"/>
      <c r="S9604"/>
    </row>
    <row r="9605" spans="13:19" ht="13.95" customHeight="1">
      <c r="M9605"/>
      <c r="N9605"/>
      <c r="O9605"/>
      <c r="P9605"/>
      <c r="Q9605"/>
      <c r="R9605"/>
      <c r="S9605"/>
    </row>
    <row r="9606" spans="13:19" ht="13.95" customHeight="1">
      <c r="M9606"/>
      <c r="N9606"/>
      <c r="O9606"/>
      <c r="P9606"/>
      <c r="Q9606"/>
      <c r="R9606"/>
      <c r="S9606"/>
    </row>
    <row r="9607" spans="13:19" ht="13.95" customHeight="1">
      <c r="M9607"/>
      <c r="N9607"/>
      <c r="O9607"/>
      <c r="P9607"/>
      <c r="Q9607"/>
      <c r="R9607"/>
      <c r="S9607"/>
    </row>
    <row r="9608" spans="13:19" ht="13.95" customHeight="1">
      <c r="M9608"/>
      <c r="N9608"/>
      <c r="O9608"/>
      <c r="P9608"/>
      <c r="Q9608"/>
      <c r="R9608"/>
      <c r="S9608"/>
    </row>
    <row r="9609" spans="13:19" ht="13.95" customHeight="1">
      <c r="M9609"/>
      <c r="N9609"/>
      <c r="O9609"/>
      <c r="P9609"/>
      <c r="Q9609"/>
      <c r="R9609"/>
      <c r="S9609"/>
    </row>
    <row r="9610" spans="13:19" ht="13.95" customHeight="1">
      <c r="M9610"/>
      <c r="N9610"/>
      <c r="O9610"/>
      <c r="P9610"/>
      <c r="Q9610"/>
      <c r="R9610"/>
      <c r="S9610"/>
    </row>
    <row r="9611" spans="13:19" ht="13.95" customHeight="1">
      <c r="M9611"/>
      <c r="N9611"/>
      <c r="O9611"/>
      <c r="P9611"/>
      <c r="Q9611"/>
      <c r="R9611"/>
      <c r="S9611"/>
    </row>
    <row r="9612" spans="13:19" ht="13.95" customHeight="1">
      <c r="M9612"/>
      <c r="N9612"/>
      <c r="O9612"/>
      <c r="P9612"/>
      <c r="Q9612"/>
      <c r="R9612"/>
      <c r="S9612"/>
    </row>
    <row r="9613" spans="13:19" ht="13.95" customHeight="1">
      <c r="M9613"/>
      <c r="N9613"/>
      <c r="O9613"/>
      <c r="P9613"/>
      <c r="Q9613"/>
      <c r="R9613"/>
      <c r="S9613"/>
    </row>
    <row r="9614" spans="13:19" ht="13.95" customHeight="1">
      <c r="M9614"/>
      <c r="N9614"/>
      <c r="O9614"/>
      <c r="P9614"/>
      <c r="Q9614"/>
      <c r="R9614"/>
      <c r="S9614"/>
    </row>
    <row r="9615" spans="13:19" ht="13.95" customHeight="1">
      <c r="M9615"/>
      <c r="N9615"/>
      <c r="O9615"/>
      <c r="P9615"/>
      <c r="Q9615"/>
      <c r="R9615"/>
      <c r="S9615"/>
    </row>
    <row r="9616" spans="13:19" ht="13.95" customHeight="1">
      <c r="M9616"/>
      <c r="N9616"/>
      <c r="O9616"/>
      <c r="P9616"/>
      <c r="Q9616"/>
      <c r="R9616"/>
      <c r="S9616"/>
    </row>
    <row r="9617" spans="13:19" ht="13.95" customHeight="1">
      <c r="M9617"/>
      <c r="N9617"/>
      <c r="O9617"/>
      <c r="P9617"/>
      <c r="Q9617"/>
      <c r="R9617"/>
      <c r="S9617"/>
    </row>
    <row r="9618" spans="13:19" ht="13.95" customHeight="1">
      <c r="M9618"/>
      <c r="N9618"/>
      <c r="O9618"/>
      <c r="P9618"/>
      <c r="Q9618"/>
      <c r="R9618"/>
      <c r="S9618"/>
    </row>
    <row r="9619" spans="13:19" ht="13.95" customHeight="1">
      <c r="M9619"/>
      <c r="N9619"/>
      <c r="O9619"/>
      <c r="P9619"/>
      <c r="Q9619"/>
      <c r="R9619"/>
      <c r="S9619"/>
    </row>
    <row r="9620" spans="13:19" ht="13.95" customHeight="1">
      <c r="M9620"/>
      <c r="N9620"/>
      <c r="O9620"/>
      <c r="P9620"/>
      <c r="Q9620"/>
      <c r="R9620"/>
      <c r="S9620"/>
    </row>
    <row r="9621" spans="13:19" ht="13.95" customHeight="1">
      <c r="M9621"/>
      <c r="N9621"/>
      <c r="O9621"/>
      <c r="P9621"/>
      <c r="Q9621"/>
      <c r="R9621"/>
      <c r="S9621"/>
    </row>
    <row r="9622" spans="13:19" ht="13.95" customHeight="1">
      <c r="M9622"/>
      <c r="N9622"/>
      <c r="O9622"/>
      <c r="P9622"/>
      <c r="Q9622"/>
      <c r="R9622"/>
      <c r="S9622"/>
    </row>
    <row r="9623" spans="13:19" ht="13.95" customHeight="1">
      <c r="M9623"/>
      <c r="N9623"/>
      <c r="O9623"/>
      <c r="P9623"/>
      <c r="Q9623"/>
      <c r="R9623"/>
      <c r="S9623"/>
    </row>
    <row r="9624" spans="13:19" ht="13.95" customHeight="1">
      <c r="M9624"/>
      <c r="N9624"/>
      <c r="O9624"/>
      <c r="P9624"/>
      <c r="Q9624"/>
      <c r="R9624"/>
      <c r="S9624"/>
    </row>
    <row r="9625" spans="13:19" ht="13.95" customHeight="1">
      <c r="M9625"/>
      <c r="N9625"/>
      <c r="O9625"/>
      <c r="P9625"/>
      <c r="Q9625"/>
      <c r="R9625"/>
      <c r="S9625"/>
    </row>
    <row r="9626" spans="13:19" ht="13.95" customHeight="1">
      <c r="M9626"/>
      <c r="N9626"/>
      <c r="O9626"/>
      <c r="P9626"/>
      <c r="Q9626"/>
      <c r="R9626"/>
      <c r="S9626"/>
    </row>
    <row r="9627" spans="13:19" ht="13.95" customHeight="1">
      <c r="M9627"/>
      <c r="N9627"/>
      <c r="O9627"/>
      <c r="P9627"/>
      <c r="Q9627"/>
      <c r="R9627"/>
      <c r="S9627"/>
    </row>
    <row r="9628" spans="13:19" ht="13.95" customHeight="1">
      <c r="M9628"/>
      <c r="N9628"/>
      <c r="O9628"/>
      <c r="P9628"/>
      <c r="Q9628"/>
      <c r="R9628"/>
      <c r="S9628"/>
    </row>
    <row r="9629" spans="13:19" ht="13.95" customHeight="1">
      <c r="M9629"/>
      <c r="N9629"/>
      <c r="O9629"/>
      <c r="P9629"/>
      <c r="Q9629"/>
      <c r="R9629"/>
      <c r="S9629"/>
    </row>
    <row r="9630" spans="13:19" ht="13.95" customHeight="1">
      <c r="M9630"/>
      <c r="N9630"/>
      <c r="O9630"/>
      <c r="P9630"/>
      <c r="Q9630"/>
      <c r="R9630"/>
      <c r="S9630"/>
    </row>
    <row r="9631" spans="13:19" ht="13.95" customHeight="1">
      <c r="M9631"/>
      <c r="N9631"/>
      <c r="O9631"/>
      <c r="P9631"/>
      <c r="Q9631"/>
      <c r="R9631"/>
      <c r="S9631"/>
    </row>
    <row r="9632" spans="13:19" ht="13.95" customHeight="1">
      <c r="M9632"/>
      <c r="N9632"/>
      <c r="O9632"/>
      <c r="P9632"/>
      <c r="Q9632"/>
      <c r="R9632"/>
      <c r="S9632"/>
    </row>
    <row r="9633" spans="13:19" ht="13.95" customHeight="1">
      <c r="M9633"/>
      <c r="N9633"/>
      <c r="O9633"/>
      <c r="P9633"/>
      <c r="Q9633"/>
      <c r="R9633"/>
      <c r="S9633"/>
    </row>
    <row r="9634" spans="13:19" ht="13.95" customHeight="1">
      <c r="M9634"/>
      <c r="N9634"/>
      <c r="O9634"/>
      <c r="P9634"/>
      <c r="Q9634"/>
      <c r="R9634"/>
      <c r="S9634"/>
    </row>
    <row r="9635" spans="13:19" ht="13.95" customHeight="1">
      <c r="M9635"/>
      <c r="N9635"/>
      <c r="O9635"/>
      <c r="P9635"/>
      <c r="Q9635"/>
      <c r="R9635"/>
      <c r="S9635"/>
    </row>
    <row r="9636" spans="13:19" ht="13.95" customHeight="1">
      <c r="M9636"/>
      <c r="N9636"/>
      <c r="O9636"/>
      <c r="P9636"/>
      <c r="Q9636"/>
      <c r="R9636"/>
      <c r="S9636"/>
    </row>
    <row r="9637" spans="13:19" ht="13.95" customHeight="1">
      <c r="M9637"/>
      <c r="N9637"/>
      <c r="O9637"/>
      <c r="P9637"/>
      <c r="Q9637"/>
      <c r="R9637"/>
      <c r="S9637"/>
    </row>
    <row r="9638" spans="13:19" ht="13.95" customHeight="1">
      <c r="M9638"/>
      <c r="N9638"/>
      <c r="O9638"/>
      <c r="P9638"/>
      <c r="Q9638"/>
      <c r="R9638"/>
      <c r="S9638"/>
    </row>
    <row r="9639" spans="13:19" ht="13.95" customHeight="1">
      <c r="M9639"/>
      <c r="N9639"/>
      <c r="O9639"/>
      <c r="P9639"/>
      <c r="Q9639"/>
      <c r="R9639"/>
      <c r="S9639"/>
    </row>
    <row r="9640" spans="13:19" ht="13.95" customHeight="1">
      <c r="M9640"/>
      <c r="N9640"/>
      <c r="O9640"/>
      <c r="P9640"/>
      <c r="Q9640"/>
      <c r="R9640"/>
      <c r="S9640"/>
    </row>
    <row r="9641" spans="13:19" ht="13.95" customHeight="1">
      <c r="M9641"/>
      <c r="N9641"/>
      <c r="O9641"/>
      <c r="P9641"/>
      <c r="Q9641"/>
      <c r="R9641"/>
      <c r="S9641"/>
    </row>
    <row r="9642" spans="13:19" ht="13.95" customHeight="1">
      <c r="M9642"/>
      <c r="N9642"/>
      <c r="O9642"/>
      <c r="P9642"/>
      <c r="Q9642"/>
      <c r="R9642"/>
      <c r="S9642"/>
    </row>
    <row r="9643" spans="13:19" ht="13.95" customHeight="1">
      <c r="M9643"/>
      <c r="N9643"/>
      <c r="O9643"/>
      <c r="P9643"/>
      <c r="Q9643"/>
      <c r="R9643"/>
      <c r="S9643"/>
    </row>
    <row r="9644" spans="13:19" ht="13.95" customHeight="1">
      <c r="M9644"/>
      <c r="N9644"/>
      <c r="O9644"/>
      <c r="P9644"/>
      <c r="Q9644"/>
      <c r="R9644"/>
      <c r="S9644"/>
    </row>
    <row r="9645" spans="13:19" ht="13.95" customHeight="1">
      <c r="M9645"/>
      <c r="N9645"/>
      <c r="O9645"/>
      <c r="P9645"/>
      <c r="Q9645"/>
      <c r="R9645"/>
      <c r="S9645"/>
    </row>
    <row r="9646" spans="13:19" ht="13.95" customHeight="1">
      <c r="M9646"/>
      <c r="N9646"/>
      <c r="O9646"/>
      <c r="P9646"/>
      <c r="Q9646"/>
      <c r="R9646"/>
      <c r="S9646"/>
    </row>
    <row r="9647" spans="13:19" ht="13.95" customHeight="1">
      <c r="M9647"/>
      <c r="N9647"/>
      <c r="O9647"/>
      <c r="P9647"/>
      <c r="Q9647"/>
      <c r="R9647"/>
      <c r="S9647"/>
    </row>
    <row r="9648" spans="13:19" ht="13.95" customHeight="1">
      <c r="M9648"/>
      <c r="N9648"/>
      <c r="O9648"/>
      <c r="P9648"/>
      <c r="Q9648"/>
      <c r="R9648"/>
      <c r="S9648"/>
    </row>
    <row r="9649" spans="13:19" ht="13.95" customHeight="1">
      <c r="M9649"/>
      <c r="N9649"/>
      <c r="O9649"/>
      <c r="P9649"/>
      <c r="Q9649"/>
      <c r="R9649"/>
      <c r="S9649"/>
    </row>
    <row r="9650" spans="13:19" ht="13.95" customHeight="1">
      <c r="M9650"/>
      <c r="N9650"/>
      <c r="O9650"/>
      <c r="P9650"/>
      <c r="Q9650"/>
      <c r="R9650"/>
      <c r="S9650"/>
    </row>
    <row r="9651" spans="13:19" ht="13.95" customHeight="1">
      <c r="M9651"/>
      <c r="N9651"/>
      <c r="O9651"/>
      <c r="P9651"/>
      <c r="Q9651"/>
      <c r="R9651"/>
      <c r="S9651"/>
    </row>
    <row r="9652" spans="13:19" ht="13.95" customHeight="1">
      <c r="M9652"/>
      <c r="N9652"/>
      <c r="O9652"/>
      <c r="P9652"/>
      <c r="Q9652"/>
      <c r="R9652"/>
      <c r="S9652"/>
    </row>
    <row r="9653" spans="13:19" ht="13.95" customHeight="1">
      <c r="M9653"/>
      <c r="N9653"/>
      <c r="O9653"/>
      <c r="P9653"/>
      <c r="Q9653"/>
      <c r="R9653"/>
      <c r="S9653"/>
    </row>
    <row r="9654" spans="13:19" ht="13.95" customHeight="1">
      <c r="M9654"/>
      <c r="N9654"/>
      <c r="O9654"/>
      <c r="P9654"/>
      <c r="Q9654"/>
      <c r="R9654"/>
      <c r="S9654"/>
    </row>
    <row r="9655" spans="13:19" ht="13.95" customHeight="1">
      <c r="M9655"/>
      <c r="N9655"/>
      <c r="O9655"/>
      <c r="P9655"/>
      <c r="Q9655"/>
      <c r="R9655"/>
      <c r="S9655"/>
    </row>
    <row r="9656" spans="13:19" ht="13.95" customHeight="1">
      <c r="M9656"/>
      <c r="N9656"/>
      <c r="O9656"/>
      <c r="P9656"/>
      <c r="Q9656"/>
      <c r="R9656"/>
      <c r="S9656"/>
    </row>
    <row r="9657" spans="13:19" ht="13.95" customHeight="1">
      <c r="M9657"/>
      <c r="N9657"/>
      <c r="O9657"/>
      <c r="P9657"/>
      <c r="Q9657"/>
      <c r="R9657"/>
      <c r="S9657"/>
    </row>
    <row r="9658" spans="13:19" ht="13.95" customHeight="1">
      <c r="M9658"/>
      <c r="N9658"/>
      <c r="O9658"/>
      <c r="P9658"/>
      <c r="Q9658"/>
      <c r="R9658"/>
      <c r="S9658"/>
    </row>
    <row r="9659" spans="13:19" ht="13.95" customHeight="1">
      <c r="M9659"/>
      <c r="N9659"/>
      <c r="O9659"/>
      <c r="P9659"/>
      <c r="Q9659"/>
      <c r="R9659"/>
      <c r="S9659"/>
    </row>
    <row r="9660" spans="13:19" ht="13.95" customHeight="1">
      <c r="M9660"/>
      <c r="N9660"/>
      <c r="O9660"/>
      <c r="P9660"/>
      <c r="Q9660"/>
      <c r="R9660"/>
      <c r="S9660"/>
    </row>
    <row r="9661" spans="13:19" ht="13.95" customHeight="1">
      <c r="M9661"/>
      <c r="N9661"/>
      <c r="O9661"/>
      <c r="P9661"/>
      <c r="Q9661"/>
      <c r="R9661"/>
      <c r="S9661"/>
    </row>
    <row r="9662" spans="13:19" ht="13.95" customHeight="1">
      <c r="M9662"/>
      <c r="N9662"/>
      <c r="O9662"/>
      <c r="P9662"/>
      <c r="Q9662"/>
      <c r="R9662"/>
      <c r="S9662"/>
    </row>
    <row r="9663" spans="13:19" ht="13.95" customHeight="1">
      <c r="M9663"/>
      <c r="N9663"/>
      <c r="O9663"/>
      <c r="P9663"/>
      <c r="Q9663"/>
      <c r="R9663"/>
      <c r="S9663"/>
    </row>
    <row r="9664" spans="13:19" ht="13.95" customHeight="1">
      <c r="M9664"/>
      <c r="N9664"/>
      <c r="O9664"/>
      <c r="P9664"/>
      <c r="Q9664"/>
      <c r="R9664"/>
      <c r="S9664"/>
    </row>
    <row r="9665" spans="13:19" ht="13.95" customHeight="1">
      <c r="M9665"/>
      <c r="N9665"/>
      <c r="O9665"/>
      <c r="P9665"/>
      <c r="Q9665"/>
      <c r="R9665"/>
      <c r="S9665"/>
    </row>
    <row r="9666" spans="13:19" ht="13.95" customHeight="1">
      <c r="M9666"/>
      <c r="N9666"/>
      <c r="O9666"/>
      <c r="P9666"/>
      <c r="Q9666"/>
      <c r="R9666"/>
      <c r="S9666"/>
    </row>
    <row r="9667" spans="13:19" ht="13.95" customHeight="1">
      <c r="M9667"/>
      <c r="N9667"/>
      <c r="O9667"/>
      <c r="P9667"/>
      <c r="Q9667"/>
      <c r="R9667"/>
      <c r="S9667"/>
    </row>
    <row r="9668" spans="13:19" ht="13.95" customHeight="1">
      <c r="M9668"/>
      <c r="N9668"/>
      <c r="O9668"/>
      <c r="P9668"/>
      <c r="Q9668"/>
      <c r="R9668"/>
      <c r="S9668"/>
    </row>
    <row r="9669" spans="13:19" ht="13.95" customHeight="1">
      <c r="M9669"/>
      <c r="N9669"/>
      <c r="O9669"/>
      <c r="P9669"/>
      <c r="Q9669"/>
      <c r="R9669"/>
      <c r="S9669"/>
    </row>
    <row r="9670" spans="13:19" ht="13.95" customHeight="1">
      <c r="M9670"/>
      <c r="N9670"/>
      <c r="O9670"/>
      <c r="P9670"/>
      <c r="Q9670"/>
      <c r="R9670"/>
      <c r="S9670"/>
    </row>
    <row r="9671" spans="13:19" ht="13.95" customHeight="1">
      <c r="M9671"/>
      <c r="N9671"/>
      <c r="O9671"/>
      <c r="P9671"/>
      <c r="Q9671"/>
      <c r="R9671"/>
      <c r="S9671"/>
    </row>
    <row r="9672" spans="13:19" ht="13.95" customHeight="1">
      <c r="M9672"/>
      <c r="N9672"/>
      <c r="O9672"/>
      <c r="P9672"/>
      <c r="Q9672"/>
      <c r="R9672"/>
      <c r="S9672"/>
    </row>
    <row r="9673" spans="13:19" ht="13.95" customHeight="1">
      <c r="M9673"/>
      <c r="N9673"/>
      <c r="O9673"/>
      <c r="P9673"/>
      <c r="Q9673"/>
      <c r="R9673"/>
      <c r="S9673"/>
    </row>
    <row r="9674" spans="13:19" ht="13.95" customHeight="1">
      <c r="M9674"/>
      <c r="N9674"/>
      <c r="O9674"/>
      <c r="P9674"/>
      <c r="Q9674"/>
      <c r="R9674"/>
      <c r="S9674"/>
    </row>
    <row r="9675" spans="13:19" ht="13.95" customHeight="1">
      <c r="M9675"/>
      <c r="N9675"/>
      <c r="O9675"/>
      <c r="P9675"/>
      <c r="Q9675"/>
      <c r="R9675"/>
      <c r="S9675"/>
    </row>
    <row r="9676" spans="13:19" ht="13.95" customHeight="1">
      <c r="M9676"/>
      <c r="N9676"/>
      <c r="O9676"/>
      <c r="P9676"/>
      <c r="Q9676"/>
      <c r="R9676"/>
      <c r="S9676"/>
    </row>
    <row r="9677" spans="13:19" ht="13.95" customHeight="1">
      <c r="M9677"/>
      <c r="N9677"/>
      <c r="O9677"/>
      <c r="P9677"/>
      <c r="Q9677"/>
      <c r="R9677"/>
      <c r="S9677"/>
    </row>
    <row r="9678" spans="13:19" ht="13.95" customHeight="1">
      <c r="M9678"/>
      <c r="N9678"/>
      <c r="O9678"/>
      <c r="P9678"/>
      <c r="Q9678"/>
      <c r="R9678"/>
      <c r="S9678"/>
    </row>
    <row r="9679" spans="13:19" ht="13.95" customHeight="1">
      <c r="M9679"/>
      <c r="N9679"/>
      <c r="O9679"/>
      <c r="P9679"/>
      <c r="Q9679"/>
      <c r="R9679"/>
      <c r="S9679"/>
    </row>
    <row r="9680" spans="13:19" ht="13.95" customHeight="1">
      <c r="M9680"/>
      <c r="N9680"/>
      <c r="O9680"/>
      <c r="P9680"/>
      <c r="Q9680"/>
      <c r="R9680"/>
      <c r="S9680"/>
    </row>
    <row r="9681" spans="13:19" ht="13.95" customHeight="1">
      <c r="M9681"/>
      <c r="N9681"/>
      <c r="O9681"/>
      <c r="P9681"/>
      <c r="Q9681"/>
      <c r="R9681"/>
      <c r="S9681"/>
    </row>
    <row r="9682" spans="13:19" ht="13.95" customHeight="1">
      <c r="M9682"/>
      <c r="N9682"/>
      <c r="O9682"/>
      <c r="P9682"/>
      <c r="Q9682"/>
      <c r="R9682"/>
      <c r="S9682"/>
    </row>
    <row r="9683" spans="13:19" ht="13.95" customHeight="1">
      <c r="M9683"/>
      <c r="N9683"/>
      <c r="O9683"/>
      <c r="P9683"/>
      <c r="Q9683"/>
      <c r="R9683"/>
      <c r="S9683"/>
    </row>
    <row r="9684" spans="13:19" ht="13.95" customHeight="1">
      <c r="M9684"/>
      <c r="N9684"/>
      <c r="O9684"/>
      <c r="P9684"/>
      <c r="Q9684"/>
      <c r="R9684"/>
      <c r="S9684"/>
    </row>
    <row r="9685" spans="13:19" ht="13.95" customHeight="1">
      <c r="M9685"/>
      <c r="N9685"/>
      <c r="O9685"/>
      <c r="P9685"/>
      <c r="Q9685"/>
      <c r="R9685"/>
      <c r="S9685"/>
    </row>
    <row r="9686" spans="13:19" ht="13.95" customHeight="1">
      <c r="M9686"/>
      <c r="N9686"/>
      <c r="O9686"/>
      <c r="P9686"/>
      <c r="Q9686"/>
      <c r="R9686"/>
      <c r="S9686"/>
    </row>
    <row r="9687" spans="13:19" ht="13.95" customHeight="1">
      <c r="M9687"/>
      <c r="N9687"/>
      <c r="O9687"/>
      <c r="P9687"/>
      <c r="Q9687"/>
      <c r="R9687"/>
      <c r="S9687"/>
    </row>
    <row r="9688" spans="13:19" ht="13.95" customHeight="1">
      <c r="M9688"/>
      <c r="N9688"/>
      <c r="O9688"/>
      <c r="P9688"/>
      <c r="Q9688"/>
      <c r="R9688"/>
      <c r="S9688"/>
    </row>
    <row r="9689" spans="13:19" ht="13.95" customHeight="1">
      <c r="M9689"/>
      <c r="N9689"/>
      <c r="O9689"/>
      <c r="P9689"/>
      <c r="Q9689"/>
      <c r="R9689"/>
      <c r="S9689"/>
    </row>
    <row r="9690" spans="13:19" ht="13.95" customHeight="1">
      <c r="M9690"/>
      <c r="N9690"/>
      <c r="O9690"/>
      <c r="P9690"/>
      <c r="Q9690"/>
      <c r="R9690"/>
      <c r="S9690"/>
    </row>
    <row r="9691" spans="13:19" ht="13.95" customHeight="1">
      <c r="M9691"/>
      <c r="N9691"/>
      <c r="O9691"/>
      <c r="P9691"/>
      <c r="Q9691"/>
      <c r="R9691"/>
      <c r="S9691"/>
    </row>
    <row r="9692" spans="13:19" ht="13.95" customHeight="1">
      <c r="M9692"/>
      <c r="N9692"/>
      <c r="O9692"/>
      <c r="P9692"/>
      <c r="Q9692"/>
      <c r="R9692"/>
      <c r="S9692"/>
    </row>
    <row r="9693" spans="13:19" ht="13.95" customHeight="1">
      <c r="M9693"/>
      <c r="N9693"/>
      <c r="O9693"/>
      <c r="P9693"/>
      <c r="Q9693"/>
      <c r="R9693"/>
      <c r="S9693"/>
    </row>
    <row r="9694" spans="13:19" ht="13.95" customHeight="1">
      <c r="M9694"/>
      <c r="N9694"/>
      <c r="O9694"/>
      <c r="P9694"/>
      <c r="Q9694"/>
      <c r="R9694"/>
      <c r="S9694"/>
    </row>
    <row r="9695" spans="13:19" ht="13.95" customHeight="1">
      <c r="M9695"/>
      <c r="N9695"/>
      <c r="O9695"/>
      <c r="P9695"/>
      <c r="Q9695"/>
      <c r="R9695"/>
      <c r="S9695"/>
    </row>
    <row r="9696" spans="13:19" ht="13.95" customHeight="1">
      <c r="M9696"/>
      <c r="N9696"/>
      <c r="O9696"/>
      <c r="P9696"/>
      <c r="Q9696"/>
      <c r="R9696"/>
      <c r="S9696"/>
    </row>
    <row r="9697" spans="13:19" ht="13.95" customHeight="1">
      <c r="M9697"/>
      <c r="N9697"/>
      <c r="O9697"/>
      <c r="P9697"/>
      <c r="Q9697"/>
      <c r="R9697"/>
      <c r="S9697"/>
    </row>
    <row r="9698" spans="13:19" ht="13.95" customHeight="1">
      <c r="M9698"/>
      <c r="N9698"/>
      <c r="O9698"/>
      <c r="P9698"/>
      <c r="Q9698"/>
      <c r="R9698"/>
      <c r="S9698"/>
    </row>
    <row r="9699" spans="13:19" ht="13.95" customHeight="1">
      <c r="M9699"/>
      <c r="N9699"/>
      <c r="O9699"/>
      <c r="P9699"/>
      <c r="Q9699"/>
      <c r="R9699"/>
      <c r="S9699"/>
    </row>
    <row r="9700" spans="13:19" ht="13.95" customHeight="1">
      <c r="M9700"/>
      <c r="N9700"/>
      <c r="O9700"/>
      <c r="P9700"/>
      <c r="Q9700"/>
      <c r="R9700"/>
      <c r="S9700"/>
    </row>
    <row r="9701" spans="13:19" ht="13.95" customHeight="1">
      <c r="M9701"/>
      <c r="N9701"/>
      <c r="O9701"/>
      <c r="P9701"/>
      <c r="Q9701"/>
      <c r="R9701"/>
      <c r="S9701"/>
    </row>
    <row r="9702" spans="13:19" ht="13.95" customHeight="1">
      <c r="M9702"/>
      <c r="N9702"/>
      <c r="O9702"/>
      <c r="P9702"/>
      <c r="Q9702"/>
      <c r="R9702"/>
      <c r="S9702"/>
    </row>
    <row r="9703" spans="13:19" ht="13.95" customHeight="1">
      <c r="M9703"/>
      <c r="N9703"/>
      <c r="O9703"/>
      <c r="P9703"/>
      <c r="Q9703"/>
      <c r="R9703"/>
      <c r="S9703"/>
    </row>
    <row r="9704" spans="13:19" ht="13.95" customHeight="1">
      <c r="M9704"/>
      <c r="N9704"/>
      <c r="O9704"/>
      <c r="P9704"/>
      <c r="Q9704"/>
      <c r="R9704"/>
      <c r="S9704"/>
    </row>
    <row r="9705" spans="13:19" ht="13.95" customHeight="1">
      <c r="M9705"/>
      <c r="N9705"/>
      <c r="O9705"/>
      <c r="P9705"/>
      <c r="Q9705"/>
      <c r="R9705"/>
      <c r="S9705"/>
    </row>
    <row r="9706" spans="13:19" ht="13.95" customHeight="1">
      <c r="M9706"/>
      <c r="N9706"/>
      <c r="O9706"/>
      <c r="P9706"/>
      <c r="Q9706"/>
      <c r="R9706"/>
      <c r="S9706"/>
    </row>
    <row r="9707" spans="13:19" ht="13.95" customHeight="1">
      <c r="M9707"/>
      <c r="N9707"/>
      <c r="O9707"/>
      <c r="P9707"/>
      <c r="Q9707"/>
      <c r="R9707"/>
      <c r="S9707"/>
    </row>
    <row r="9708" spans="13:19" ht="13.95" customHeight="1">
      <c r="M9708"/>
      <c r="N9708"/>
      <c r="O9708"/>
      <c r="P9708"/>
      <c r="Q9708"/>
      <c r="R9708"/>
      <c r="S9708"/>
    </row>
    <row r="9709" spans="13:19" ht="13.95" customHeight="1">
      <c r="M9709"/>
      <c r="N9709"/>
      <c r="O9709"/>
      <c r="P9709"/>
      <c r="Q9709"/>
      <c r="R9709"/>
      <c r="S9709"/>
    </row>
    <row r="9710" spans="13:19" ht="13.95" customHeight="1">
      <c r="M9710"/>
      <c r="N9710"/>
      <c r="O9710"/>
      <c r="P9710"/>
      <c r="Q9710"/>
      <c r="R9710"/>
      <c r="S9710"/>
    </row>
    <row r="9711" spans="13:19" ht="13.95" customHeight="1">
      <c r="M9711"/>
      <c r="N9711"/>
      <c r="O9711"/>
      <c r="P9711"/>
      <c r="Q9711"/>
      <c r="R9711"/>
      <c r="S9711"/>
    </row>
    <row r="9712" spans="13:19" ht="13.95" customHeight="1">
      <c r="M9712"/>
      <c r="N9712"/>
      <c r="O9712"/>
      <c r="P9712"/>
      <c r="Q9712"/>
      <c r="R9712"/>
      <c r="S9712"/>
    </row>
    <row r="9713" spans="13:19" ht="13.95" customHeight="1">
      <c r="M9713"/>
      <c r="N9713"/>
      <c r="O9713"/>
      <c r="P9713"/>
      <c r="Q9713"/>
      <c r="R9713"/>
      <c r="S9713"/>
    </row>
    <row r="9714" spans="13:19" ht="13.95" customHeight="1">
      <c r="M9714"/>
      <c r="N9714"/>
      <c r="O9714"/>
      <c r="P9714"/>
      <c r="Q9714"/>
      <c r="R9714"/>
      <c r="S9714"/>
    </row>
    <row r="9715" spans="13:19" ht="13.95" customHeight="1">
      <c r="M9715"/>
      <c r="N9715"/>
      <c r="O9715"/>
      <c r="P9715"/>
      <c r="Q9715"/>
      <c r="R9715"/>
      <c r="S9715"/>
    </row>
    <row r="9716" spans="13:19" ht="13.95" customHeight="1">
      <c r="M9716"/>
      <c r="N9716"/>
      <c r="O9716"/>
      <c r="P9716"/>
      <c r="Q9716"/>
      <c r="R9716"/>
      <c r="S9716"/>
    </row>
    <row r="9717" spans="13:19" ht="13.95" customHeight="1">
      <c r="M9717"/>
      <c r="N9717"/>
      <c r="O9717"/>
      <c r="P9717"/>
      <c r="Q9717"/>
      <c r="R9717"/>
      <c r="S9717"/>
    </row>
    <row r="9718" spans="13:19" ht="13.95" customHeight="1">
      <c r="M9718"/>
      <c r="N9718"/>
      <c r="O9718"/>
      <c r="P9718"/>
      <c r="Q9718"/>
      <c r="R9718"/>
      <c r="S9718"/>
    </row>
    <row r="9719" spans="13:19" ht="13.95" customHeight="1">
      <c r="M9719"/>
      <c r="N9719"/>
      <c r="O9719"/>
      <c r="P9719"/>
      <c r="Q9719"/>
      <c r="R9719"/>
      <c r="S9719"/>
    </row>
    <row r="9720" spans="13:19" ht="13.95" customHeight="1">
      <c r="M9720"/>
      <c r="N9720"/>
      <c r="O9720"/>
      <c r="P9720"/>
      <c r="Q9720"/>
      <c r="R9720"/>
      <c r="S9720"/>
    </row>
    <row r="9721" spans="13:19" ht="13.95" customHeight="1">
      <c r="M9721"/>
      <c r="N9721"/>
      <c r="O9721"/>
      <c r="P9721"/>
      <c r="Q9721"/>
      <c r="R9721"/>
      <c r="S9721"/>
    </row>
    <row r="9722" spans="13:19" ht="13.95" customHeight="1">
      <c r="M9722"/>
      <c r="N9722"/>
      <c r="O9722"/>
      <c r="P9722"/>
      <c r="Q9722"/>
      <c r="R9722"/>
      <c r="S9722"/>
    </row>
    <row r="9723" spans="13:19" ht="13.95" customHeight="1">
      <c r="M9723"/>
      <c r="N9723"/>
      <c r="O9723"/>
      <c r="P9723"/>
      <c r="Q9723"/>
      <c r="R9723"/>
      <c r="S9723"/>
    </row>
    <row r="9724" spans="13:19" ht="13.95" customHeight="1">
      <c r="M9724"/>
      <c r="N9724"/>
      <c r="O9724"/>
      <c r="P9724"/>
      <c r="Q9724"/>
      <c r="R9724"/>
      <c r="S9724"/>
    </row>
    <row r="9725" spans="13:19" ht="13.95" customHeight="1">
      <c r="M9725"/>
      <c r="N9725"/>
      <c r="O9725"/>
      <c r="P9725"/>
      <c r="Q9725"/>
      <c r="R9725"/>
      <c r="S9725"/>
    </row>
    <row r="9726" spans="13:19" ht="13.95" customHeight="1">
      <c r="M9726"/>
      <c r="N9726"/>
      <c r="O9726"/>
      <c r="P9726"/>
      <c r="Q9726"/>
      <c r="R9726"/>
      <c r="S9726"/>
    </row>
    <row r="9727" spans="13:19" ht="13.95" customHeight="1">
      <c r="M9727"/>
      <c r="N9727"/>
      <c r="O9727"/>
      <c r="P9727"/>
      <c r="Q9727"/>
      <c r="R9727"/>
      <c r="S9727"/>
    </row>
    <row r="9728" spans="13:19" ht="13.95" customHeight="1">
      <c r="M9728"/>
      <c r="N9728"/>
      <c r="O9728"/>
      <c r="P9728"/>
      <c r="Q9728"/>
      <c r="R9728"/>
      <c r="S9728"/>
    </row>
    <row r="9729" spans="13:19" ht="13.95" customHeight="1">
      <c r="M9729"/>
      <c r="N9729"/>
      <c r="O9729"/>
      <c r="P9729"/>
      <c r="Q9729"/>
      <c r="R9729"/>
      <c r="S9729"/>
    </row>
    <row r="9730" spans="13:19" ht="13.95" customHeight="1">
      <c r="M9730"/>
      <c r="N9730"/>
      <c r="O9730"/>
      <c r="P9730"/>
      <c r="Q9730"/>
      <c r="R9730"/>
      <c r="S9730"/>
    </row>
    <row r="9731" spans="13:19" ht="13.95" customHeight="1">
      <c r="M9731"/>
      <c r="N9731"/>
      <c r="O9731"/>
      <c r="P9731"/>
      <c r="Q9731"/>
      <c r="R9731"/>
      <c r="S9731"/>
    </row>
    <row r="9732" spans="13:19" ht="13.95" customHeight="1">
      <c r="M9732"/>
      <c r="N9732"/>
      <c r="O9732"/>
      <c r="P9732"/>
      <c r="Q9732"/>
      <c r="R9732"/>
      <c r="S9732"/>
    </row>
    <row r="9733" spans="13:19" ht="13.95" customHeight="1">
      <c r="M9733"/>
      <c r="N9733"/>
      <c r="O9733"/>
      <c r="P9733"/>
      <c r="Q9733"/>
      <c r="R9733"/>
      <c r="S9733"/>
    </row>
    <row r="9734" spans="13:19" ht="13.95" customHeight="1">
      <c r="M9734"/>
      <c r="N9734"/>
      <c r="O9734"/>
      <c r="P9734"/>
      <c r="Q9734"/>
      <c r="R9734"/>
      <c r="S9734"/>
    </row>
    <row r="9735" spans="13:19" ht="13.95" customHeight="1">
      <c r="M9735"/>
      <c r="N9735"/>
      <c r="O9735"/>
      <c r="P9735"/>
      <c r="Q9735"/>
      <c r="R9735"/>
      <c r="S9735"/>
    </row>
    <row r="9736" spans="13:19" ht="13.95" customHeight="1">
      <c r="M9736"/>
      <c r="N9736"/>
      <c r="O9736"/>
      <c r="P9736"/>
      <c r="Q9736"/>
      <c r="R9736"/>
      <c r="S9736"/>
    </row>
    <row r="9737" spans="13:19" ht="13.95" customHeight="1">
      <c r="M9737"/>
      <c r="N9737"/>
      <c r="O9737"/>
      <c r="P9737"/>
      <c r="Q9737"/>
      <c r="R9737"/>
      <c r="S9737"/>
    </row>
    <row r="9738" spans="13:19" ht="13.95" customHeight="1">
      <c r="M9738"/>
      <c r="N9738"/>
      <c r="O9738"/>
      <c r="P9738"/>
      <c r="Q9738"/>
      <c r="R9738"/>
      <c r="S9738"/>
    </row>
    <row r="9739" spans="13:19" ht="13.95" customHeight="1">
      <c r="M9739"/>
      <c r="N9739"/>
      <c r="O9739"/>
      <c r="P9739"/>
      <c r="Q9739"/>
      <c r="R9739"/>
      <c r="S9739"/>
    </row>
    <row r="9740" spans="13:19" ht="13.95" customHeight="1">
      <c r="M9740"/>
      <c r="N9740"/>
      <c r="O9740"/>
      <c r="P9740"/>
      <c r="Q9740"/>
      <c r="R9740"/>
      <c r="S9740"/>
    </row>
    <row r="9741" spans="13:19" ht="13.95" customHeight="1">
      <c r="M9741"/>
      <c r="N9741"/>
      <c r="O9741"/>
      <c r="P9741"/>
      <c r="Q9741"/>
      <c r="R9741"/>
      <c r="S9741"/>
    </row>
    <row r="9742" spans="13:19" ht="13.95" customHeight="1">
      <c r="M9742"/>
      <c r="N9742"/>
      <c r="O9742"/>
      <c r="P9742"/>
      <c r="Q9742"/>
      <c r="R9742"/>
      <c r="S9742"/>
    </row>
    <row r="9743" spans="13:19" ht="13.95" customHeight="1">
      <c r="M9743"/>
      <c r="N9743"/>
      <c r="O9743"/>
      <c r="P9743"/>
      <c r="Q9743"/>
      <c r="R9743"/>
      <c r="S9743"/>
    </row>
    <row r="9744" spans="13:19" ht="13.95" customHeight="1">
      <c r="M9744"/>
      <c r="N9744"/>
      <c r="O9744"/>
      <c r="P9744"/>
      <c r="Q9744"/>
      <c r="R9744"/>
      <c r="S9744"/>
    </row>
    <row r="9745" spans="13:19" ht="13.95" customHeight="1">
      <c r="M9745"/>
      <c r="N9745"/>
      <c r="O9745"/>
      <c r="P9745"/>
      <c r="Q9745"/>
      <c r="R9745"/>
      <c r="S9745"/>
    </row>
    <row r="9746" spans="13:19" ht="13.95" customHeight="1">
      <c r="M9746"/>
      <c r="N9746"/>
      <c r="O9746"/>
      <c r="P9746"/>
      <c r="Q9746"/>
      <c r="R9746"/>
      <c r="S9746"/>
    </row>
    <row r="9747" spans="13:19" ht="13.95" customHeight="1">
      <c r="M9747"/>
      <c r="N9747"/>
      <c r="O9747"/>
      <c r="P9747"/>
      <c r="Q9747"/>
      <c r="R9747"/>
      <c r="S9747"/>
    </row>
    <row r="9748" spans="13:19" ht="13.95" customHeight="1">
      <c r="M9748"/>
      <c r="N9748"/>
      <c r="O9748"/>
      <c r="P9748"/>
      <c r="Q9748"/>
      <c r="R9748"/>
      <c r="S9748"/>
    </row>
    <row r="9749" spans="13:19" ht="13.95" customHeight="1">
      <c r="M9749"/>
      <c r="N9749"/>
      <c r="O9749"/>
      <c r="P9749"/>
      <c r="Q9749"/>
      <c r="R9749"/>
      <c r="S9749"/>
    </row>
    <row r="9750" spans="13:19" ht="13.95" customHeight="1">
      <c r="M9750"/>
      <c r="N9750"/>
      <c r="O9750"/>
      <c r="P9750"/>
      <c r="Q9750"/>
      <c r="R9750"/>
      <c r="S9750"/>
    </row>
    <row r="9751" spans="13:19" ht="13.95" customHeight="1">
      <c r="M9751"/>
      <c r="N9751"/>
      <c r="O9751"/>
      <c r="P9751"/>
      <c r="Q9751"/>
      <c r="R9751"/>
      <c r="S9751"/>
    </row>
    <row r="9752" spans="13:19" ht="13.95" customHeight="1">
      <c r="M9752"/>
      <c r="N9752"/>
      <c r="O9752"/>
      <c r="P9752"/>
      <c r="Q9752"/>
      <c r="R9752"/>
      <c r="S9752"/>
    </row>
    <row r="9753" spans="13:19" ht="13.95" customHeight="1">
      <c r="M9753"/>
      <c r="N9753"/>
      <c r="O9753"/>
      <c r="P9753"/>
      <c r="Q9753"/>
      <c r="R9753"/>
      <c r="S9753"/>
    </row>
    <row r="9754" spans="13:19" ht="13.95" customHeight="1">
      <c r="M9754"/>
      <c r="N9754"/>
      <c r="O9754"/>
      <c r="P9754"/>
      <c r="Q9754"/>
      <c r="R9754"/>
      <c r="S9754"/>
    </row>
    <row r="9755" spans="13:19" ht="13.95" customHeight="1">
      <c r="M9755"/>
      <c r="N9755"/>
      <c r="O9755"/>
      <c r="P9755"/>
      <c r="Q9755"/>
      <c r="R9755"/>
      <c r="S9755"/>
    </row>
    <row r="9756" spans="13:19" ht="13.95" customHeight="1">
      <c r="M9756"/>
      <c r="N9756"/>
      <c r="O9756"/>
      <c r="P9756"/>
      <c r="Q9756"/>
      <c r="R9756"/>
      <c r="S9756"/>
    </row>
    <row r="9757" spans="13:19" ht="13.95" customHeight="1">
      <c r="M9757"/>
      <c r="N9757"/>
      <c r="O9757"/>
      <c r="P9757"/>
      <c r="Q9757"/>
      <c r="R9757"/>
      <c r="S9757"/>
    </row>
    <row r="9758" spans="13:19" ht="13.95" customHeight="1">
      <c r="M9758"/>
      <c r="N9758"/>
      <c r="O9758"/>
      <c r="P9758"/>
      <c r="Q9758"/>
      <c r="R9758"/>
      <c r="S9758"/>
    </row>
    <row r="9759" spans="13:19" ht="13.95" customHeight="1">
      <c r="M9759"/>
      <c r="N9759"/>
      <c r="O9759"/>
      <c r="P9759"/>
      <c r="Q9759"/>
      <c r="R9759"/>
      <c r="S9759"/>
    </row>
    <row r="9760" spans="13:19" ht="13.95" customHeight="1">
      <c r="M9760"/>
      <c r="N9760"/>
      <c r="O9760"/>
      <c r="P9760"/>
      <c r="Q9760"/>
      <c r="R9760"/>
      <c r="S9760"/>
    </row>
    <row r="9761" spans="13:19" ht="13.95" customHeight="1">
      <c r="M9761"/>
      <c r="N9761"/>
      <c r="O9761"/>
      <c r="P9761"/>
      <c r="Q9761"/>
      <c r="R9761"/>
      <c r="S9761"/>
    </row>
    <row r="9762" spans="13:19" ht="13.95" customHeight="1">
      <c r="M9762"/>
      <c r="N9762"/>
      <c r="O9762"/>
      <c r="P9762"/>
      <c r="Q9762"/>
      <c r="R9762"/>
      <c r="S9762"/>
    </row>
    <row r="9763" spans="13:19" ht="13.95" customHeight="1">
      <c r="M9763"/>
      <c r="N9763"/>
      <c r="O9763"/>
      <c r="P9763"/>
      <c r="Q9763"/>
      <c r="R9763"/>
      <c r="S9763"/>
    </row>
    <row r="9764" spans="13:19" ht="13.95" customHeight="1">
      <c r="M9764"/>
      <c r="N9764"/>
      <c r="O9764"/>
      <c r="P9764"/>
      <c r="Q9764"/>
      <c r="R9764"/>
      <c r="S9764"/>
    </row>
    <row r="9765" spans="13:19" ht="13.95" customHeight="1">
      <c r="M9765"/>
      <c r="N9765"/>
      <c r="O9765"/>
      <c r="P9765"/>
      <c r="Q9765"/>
      <c r="R9765"/>
      <c r="S9765"/>
    </row>
    <row r="9766" spans="13:19" ht="13.95" customHeight="1">
      <c r="M9766"/>
      <c r="N9766"/>
      <c r="O9766"/>
      <c r="P9766"/>
      <c r="Q9766"/>
      <c r="R9766"/>
      <c r="S9766"/>
    </row>
    <row r="9767" spans="13:19" ht="13.95" customHeight="1">
      <c r="M9767"/>
      <c r="N9767"/>
      <c r="O9767"/>
      <c r="P9767"/>
      <c r="Q9767"/>
      <c r="R9767"/>
      <c r="S9767"/>
    </row>
    <row r="9768" spans="13:19" ht="13.95" customHeight="1">
      <c r="M9768"/>
      <c r="N9768"/>
      <c r="O9768"/>
      <c r="P9768"/>
      <c r="Q9768"/>
      <c r="R9768"/>
      <c r="S9768"/>
    </row>
    <row r="9769" spans="13:19" ht="13.95" customHeight="1">
      <c r="M9769"/>
      <c r="N9769"/>
      <c r="O9769"/>
      <c r="P9769"/>
      <c r="Q9769"/>
      <c r="R9769"/>
      <c r="S9769"/>
    </row>
    <row r="9770" spans="13:19" ht="13.95" customHeight="1">
      <c r="M9770"/>
      <c r="N9770"/>
      <c r="O9770"/>
      <c r="P9770"/>
      <c r="Q9770"/>
      <c r="R9770"/>
      <c r="S9770"/>
    </row>
    <row r="9771" spans="13:19" ht="13.95" customHeight="1">
      <c r="M9771"/>
      <c r="N9771"/>
      <c r="O9771"/>
      <c r="P9771"/>
      <c r="Q9771"/>
      <c r="R9771"/>
      <c r="S9771"/>
    </row>
    <row r="9772" spans="13:19" ht="13.95" customHeight="1">
      <c r="M9772"/>
      <c r="N9772"/>
      <c r="O9772"/>
      <c r="P9772"/>
      <c r="Q9772"/>
      <c r="R9772"/>
      <c r="S9772"/>
    </row>
    <row r="9773" spans="13:19" ht="13.95" customHeight="1">
      <c r="M9773"/>
      <c r="N9773"/>
      <c r="O9773"/>
      <c r="P9773"/>
      <c r="Q9773"/>
      <c r="R9773"/>
      <c r="S9773"/>
    </row>
    <row r="9774" spans="13:19" ht="13.95" customHeight="1">
      <c r="M9774"/>
      <c r="N9774"/>
      <c r="O9774"/>
      <c r="P9774"/>
      <c r="Q9774"/>
      <c r="R9774"/>
      <c r="S9774"/>
    </row>
    <row r="9775" spans="13:19" ht="13.95" customHeight="1">
      <c r="M9775"/>
      <c r="N9775"/>
      <c r="O9775"/>
      <c r="P9775"/>
      <c r="Q9775"/>
      <c r="R9775"/>
      <c r="S9775"/>
    </row>
    <row r="9776" spans="13:19" ht="13.95" customHeight="1">
      <c r="M9776"/>
      <c r="N9776"/>
      <c r="O9776"/>
      <c r="P9776"/>
      <c r="Q9776"/>
      <c r="R9776"/>
      <c r="S9776"/>
    </row>
    <row r="9777" spans="13:19" ht="13.95" customHeight="1">
      <c r="M9777"/>
      <c r="N9777"/>
      <c r="O9777"/>
      <c r="P9777"/>
      <c r="Q9777"/>
      <c r="R9777"/>
      <c r="S9777"/>
    </row>
    <row r="9778" spans="13:19" ht="13.95" customHeight="1">
      <c r="M9778"/>
      <c r="N9778"/>
      <c r="O9778"/>
      <c r="P9778"/>
      <c r="Q9778"/>
      <c r="R9778"/>
      <c r="S9778"/>
    </row>
    <row r="9779" spans="13:19" ht="13.95" customHeight="1">
      <c r="M9779"/>
      <c r="N9779"/>
      <c r="O9779"/>
      <c r="P9779"/>
      <c r="Q9779"/>
      <c r="R9779"/>
      <c r="S9779"/>
    </row>
    <row r="9780" spans="13:19" ht="13.95" customHeight="1">
      <c r="M9780"/>
      <c r="N9780"/>
      <c r="O9780"/>
      <c r="P9780"/>
      <c r="Q9780"/>
      <c r="R9780"/>
      <c r="S9780"/>
    </row>
    <row r="9781" spans="13:19" ht="13.95" customHeight="1">
      <c r="M9781"/>
      <c r="N9781"/>
      <c r="O9781"/>
      <c r="P9781"/>
      <c r="Q9781"/>
      <c r="R9781"/>
      <c r="S9781"/>
    </row>
    <row r="9782" spans="13:19" ht="13.95" customHeight="1">
      <c r="M9782"/>
      <c r="N9782"/>
      <c r="O9782"/>
      <c r="P9782"/>
      <c r="Q9782"/>
      <c r="R9782"/>
      <c r="S9782"/>
    </row>
    <row r="9783" spans="13:19" ht="13.95" customHeight="1">
      <c r="M9783"/>
      <c r="N9783"/>
      <c r="O9783"/>
      <c r="P9783"/>
      <c r="Q9783"/>
      <c r="R9783"/>
      <c r="S9783"/>
    </row>
    <row r="9784" spans="13:19" ht="13.95" customHeight="1">
      <c r="M9784"/>
      <c r="N9784"/>
      <c r="O9784"/>
      <c r="P9784"/>
      <c r="Q9784"/>
      <c r="R9784"/>
      <c r="S9784"/>
    </row>
    <row r="9785" spans="13:19" ht="13.95" customHeight="1">
      <c r="M9785"/>
      <c r="N9785"/>
      <c r="O9785"/>
      <c r="P9785"/>
      <c r="Q9785"/>
      <c r="R9785"/>
      <c r="S9785"/>
    </row>
    <row r="9786" spans="13:19" ht="13.95" customHeight="1">
      <c r="M9786"/>
      <c r="N9786"/>
      <c r="O9786"/>
      <c r="P9786"/>
      <c r="Q9786"/>
      <c r="R9786"/>
      <c r="S9786"/>
    </row>
    <row r="9787" spans="13:19" ht="13.95" customHeight="1">
      <c r="M9787"/>
      <c r="N9787"/>
      <c r="O9787"/>
      <c r="P9787"/>
      <c r="Q9787"/>
      <c r="R9787"/>
      <c r="S9787"/>
    </row>
    <row r="9788" spans="13:19" ht="13.95" customHeight="1">
      <c r="M9788"/>
      <c r="N9788"/>
      <c r="O9788"/>
      <c r="P9788"/>
      <c r="Q9788"/>
      <c r="R9788"/>
      <c r="S9788"/>
    </row>
    <row r="9789" spans="13:19" ht="13.95" customHeight="1">
      <c r="M9789"/>
      <c r="N9789"/>
      <c r="O9789"/>
      <c r="P9789"/>
      <c r="Q9789"/>
      <c r="R9789"/>
      <c r="S9789"/>
    </row>
    <row r="9790" spans="13:19" ht="13.95" customHeight="1">
      <c r="M9790"/>
      <c r="N9790"/>
      <c r="O9790"/>
      <c r="P9790"/>
      <c r="Q9790"/>
      <c r="R9790"/>
      <c r="S9790"/>
    </row>
    <row r="9791" spans="13:19" ht="13.95" customHeight="1">
      <c r="M9791"/>
      <c r="N9791"/>
      <c r="O9791"/>
      <c r="P9791"/>
      <c r="Q9791"/>
      <c r="R9791"/>
      <c r="S9791"/>
    </row>
    <row r="9792" spans="13:19" ht="13.95" customHeight="1">
      <c r="M9792"/>
      <c r="N9792"/>
      <c r="O9792"/>
      <c r="P9792"/>
      <c r="Q9792"/>
      <c r="R9792"/>
      <c r="S9792"/>
    </row>
    <row r="9793" spans="13:19" ht="13.95" customHeight="1">
      <c r="M9793"/>
      <c r="N9793"/>
      <c r="O9793"/>
      <c r="P9793"/>
      <c r="Q9793"/>
      <c r="R9793"/>
      <c r="S9793"/>
    </row>
    <row r="9794" spans="13:19" ht="13.95" customHeight="1">
      <c r="M9794"/>
      <c r="N9794"/>
      <c r="O9794"/>
      <c r="P9794"/>
      <c r="Q9794"/>
      <c r="R9794"/>
      <c r="S9794"/>
    </row>
    <row r="9795" spans="13:19" ht="13.95" customHeight="1">
      <c r="M9795"/>
      <c r="N9795"/>
      <c r="O9795"/>
      <c r="P9795"/>
      <c r="Q9795"/>
      <c r="R9795"/>
      <c r="S9795"/>
    </row>
    <row r="9796" spans="13:19" ht="13.95" customHeight="1">
      <c r="M9796"/>
      <c r="N9796"/>
      <c r="O9796"/>
      <c r="P9796"/>
      <c r="Q9796"/>
      <c r="R9796"/>
      <c r="S9796"/>
    </row>
    <row r="9797" spans="13:19" ht="13.95" customHeight="1">
      <c r="M9797"/>
      <c r="N9797"/>
      <c r="O9797"/>
      <c r="P9797"/>
      <c r="Q9797"/>
      <c r="R9797"/>
      <c r="S9797"/>
    </row>
    <row r="9798" spans="13:19" ht="13.95" customHeight="1">
      <c r="M9798"/>
      <c r="N9798"/>
      <c r="O9798"/>
      <c r="P9798"/>
      <c r="Q9798"/>
      <c r="R9798"/>
      <c r="S9798"/>
    </row>
    <row r="9799" spans="13:19" ht="13.95" customHeight="1">
      <c r="M9799"/>
      <c r="N9799"/>
      <c r="O9799"/>
      <c r="P9799"/>
      <c r="Q9799"/>
      <c r="R9799"/>
      <c r="S9799"/>
    </row>
    <row r="9800" spans="13:19" ht="13.95" customHeight="1">
      <c r="M9800"/>
      <c r="N9800"/>
      <c r="O9800"/>
      <c r="P9800"/>
      <c r="Q9800"/>
      <c r="R9800"/>
      <c r="S9800"/>
    </row>
    <row r="9801" spans="13:19" ht="13.95" customHeight="1">
      <c r="M9801"/>
      <c r="N9801"/>
      <c r="O9801"/>
      <c r="P9801"/>
      <c r="Q9801"/>
      <c r="R9801"/>
      <c r="S9801"/>
    </row>
    <row r="9802" spans="13:19" ht="13.95" customHeight="1">
      <c r="M9802"/>
      <c r="N9802"/>
      <c r="O9802"/>
      <c r="P9802"/>
      <c r="Q9802"/>
      <c r="R9802"/>
      <c r="S9802"/>
    </row>
    <row r="9803" spans="13:19" ht="13.95" customHeight="1">
      <c r="M9803"/>
      <c r="N9803"/>
      <c r="O9803"/>
      <c r="P9803"/>
      <c r="Q9803"/>
      <c r="R9803"/>
      <c r="S9803"/>
    </row>
    <row r="9804" spans="13:19" ht="13.95" customHeight="1">
      <c r="M9804"/>
      <c r="N9804"/>
      <c r="O9804"/>
      <c r="P9804"/>
      <c r="Q9804"/>
      <c r="R9804"/>
      <c r="S9804"/>
    </row>
    <row r="9805" spans="13:19" ht="13.95" customHeight="1">
      <c r="M9805"/>
      <c r="N9805"/>
      <c r="O9805"/>
      <c r="P9805"/>
      <c r="Q9805"/>
      <c r="R9805"/>
      <c r="S9805"/>
    </row>
    <row r="9806" spans="13:19" ht="13.95" customHeight="1">
      <c r="M9806"/>
      <c r="N9806"/>
      <c r="O9806"/>
      <c r="P9806"/>
      <c r="Q9806"/>
      <c r="R9806"/>
      <c r="S9806"/>
    </row>
    <row r="9807" spans="13:19" ht="13.95" customHeight="1">
      <c r="M9807"/>
      <c r="N9807"/>
      <c r="O9807"/>
      <c r="P9807"/>
      <c r="Q9807"/>
      <c r="R9807"/>
      <c r="S9807"/>
    </row>
    <row r="9808" spans="13:19" ht="13.95" customHeight="1">
      <c r="M9808"/>
      <c r="N9808"/>
      <c r="O9808"/>
      <c r="P9808"/>
      <c r="Q9808"/>
      <c r="R9808"/>
      <c r="S9808"/>
    </row>
    <row r="9809" spans="13:19" ht="13.95" customHeight="1">
      <c r="M9809"/>
      <c r="N9809"/>
      <c r="O9809"/>
      <c r="P9809"/>
      <c r="Q9809"/>
      <c r="R9809"/>
      <c r="S9809"/>
    </row>
    <row r="9810" spans="13:19" ht="13.95" customHeight="1">
      <c r="M9810"/>
      <c r="N9810"/>
      <c r="O9810"/>
      <c r="P9810"/>
      <c r="Q9810"/>
      <c r="R9810"/>
      <c r="S9810"/>
    </row>
    <row r="9811" spans="13:19" ht="13.95" customHeight="1">
      <c r="M9811"/>
      <c r="N9811"/>
      <c r="O9811"/>
      <c r="P9811"/>
      <c r="Q9811"/>
      <c r="R9811"/>
      <c r="S9811"/>
    </row>
    <row r="9812" spans="13:19" ht="13.95" customHeight="1">
      <c r="M9812"/>
      <c r="N9812"/>
      <c r="O9812"/>
      <c r="P9812"/>
      <c r="Q9812"/>
      <c r="R9812"/>
      <c r="S9812"/>
    </row>
    <row r="9813" spans="13:19" ht="13.95" customHeight="1">
      <c r="M9813"/>
      <c r="N9813"/>
      <c r="O9813"/>
      <c r="P9813"/>
      <c r="Q9813"/>
      <c r="R9813"/>
      <c r="S9813"/>
    </row>
    <row r="9814" spans="13:19" ht="13.95" customHeight="1">
      <c r="M9814"/>
      <c r="N9814"/>
      <c r="O9814"/>
      <c r="P9814"/>
      <c r="Q9814"/>
      <c r="R9814"/>
      <c r="S9814"/>
    </row>
    <row r="9815" spans="13:19" ht="13.95" customHeight="1">
      <c r="M9815"/>
      <c r="N9815"/>
      <c r="O9815"/>
      <c r="P9815"/>
      <c r="Q9815"/>
      <c r="R9815"/>
      <c r="S9815"/>
    </row>
    <row r="9816" spans="13:19" ht="13.95" customHeight="1">
      <c r="M9816"/>
      <c r="N9816"/>
      <c r="O9816"/>
      <c r="P9816"/>
      <c r="Q9816"/>
      <c r="R9816"/>
      <c r="S9816"/>
    </row>
    <row r="9817" spans="13:19" ht="13.95" customHeight="1">
      <c r="M9817"/>
      <c r="N9817"/>
      <c r="O9817"/>
      <c r="P9817"/>
      <c r="Q9817"/>
      <c r="R9817"/>
      <c r="S9817"/>
    </row>
    <row r="9818" spans="13:19" ht="13.95" customHeight="1">
      <c r="M9818"/>
      <c r="N9818"/>
      <c r="O9818"/>
      <c r="P9818"/>
      <c r="Q9818"/>
      <c r="R9818"/>
      <c r="S9818"/>
    </row>
    <row r="9819" spans="13:19" ht="13.95" customHeight="1">
      <c r="M9819"/>
      <c r="N9819"/>
      <c r="O9819"/>
      <c r="P9819"/>
      <c r="Q9819"/>
      <c r="R9819"/>
      <c r="S9819"/>
    </row>
    <row r="9820" spans="13:19" ht="13.95" customHeight="1">
      <c r="M9820"/>
      <c r="N9820"/>
      <c r="O9820"/>
      <c r="P9820"/>
      <c r="Q9820"/>
      <c r="R9820"/>
      <c r="S9820"/>
    </row>
    <row r="9821" spans="13:19" ht="13.95" customHeight="1">
      <c r="M9821"/>
      <c r="N9821"/>
      <c r="O9821"/>
      <c r="P9821"/>
      <c r="Q9821"/>
      <c r="R9821"/>
      <c r="S9821"/>
    </row>
    <row r="9822" spans="13:19" ht="13.95" customHeight="1">
      <c r="M9822"/>
      <c r="N9822"/>
      <c r="O9822"/>
      <c r="P9822"/>
      <c r="Q9822"/>
      <c r="R9822"/>
      <c r="S9822"/>
    </row>
    <row r="9823" spans="13:19" ht="13.95" customHeight="1">
      <c r="M9823"/>
      <c r="N9823"/>
      <c r="O9823"/>
      <c r="P9823"/>
      <c r="Q9823"/>
      <c r="R9823"/>
      <c r="S9823"/>
    </row>
    <row r="9824" spans="13:19" ht="13.95" customHeight="1">
      <c r="M9824"/>
      <c r="N9824"/>
      <c r="O9824"/>
      <c r="P9824"/>
      <c r="Q9824"/>
      <c r="R9824"/>
      <c r="S9824"/>
    </row>
    <row r="9825" spans="13:19" ht="13.95" customHeight="1">
      <c r="M9825"/>
      <c r="N9825"/>
      <c r="O9825"/>
      <c r="P9825"/>
      <c r="Q9825"/>
      <c r="R9825"/>
      <c r="S9825"/>
    </row>
    <row r="9826" spans="13:19" ht="13.95" customHeight="1">
      <c r="M9826"/>
      <c r="N9826"/>
      <c r="O9826"/>
      <c r="P9826"/>
      <c r="Q9826"/>
      <c r="R9826"/>
      <c r="S9826"/>
    </row>
    <row r="9827" spans="13:19" ht="13.95" customHeight="1">
      <c r="M9827"/>
      <c r="N9827"/>
      <c r="O9827"/>
      <c r="P9827"/>
      <c r="Q9827"/>
      <c r="R9827"/>
      <c r="S9827"/>
    </row>
    <row r="9828" spans="13:19" ht="13.95" customHeight="1">
      <c r="M9828"/>
      <c r="N9828"/>
      <c r="O9828"/>
      <c r="P9828"/>
      <c r="Q9828"/>
      <c r="R9828"/>
      <c r="S9828"/>
    </row>
    <row r="9829" spans="13:19" ht="13.95" customHeight="1">
      <c r="M9829"/>
      <c r="N9829"/>
      <c r="O9829"/>
      <c r="P9829"/>
      <c r="Q9829"/>
      <c r="R9829"/>
      <c r="S9829"/>
    </row>
    <row r="9830" spans="13:19" ht="13.95" customHeight="1">
      <c r="M9830"/>
      <c r="N9830"/>
      <c r="O9830"/>
      <c r="P9830"/>
      <c r="Q9830"/>
      <c r="R9830"/>
      <c r="S9830"/>
    </row>
    <row r="9831" spans="13:19" ht="13.95" customHeight="1">
      <c r="M9831"/>
      <c r="N9831"/>
      <c r="O9831"/>
      <c r="P9831"/>
      <c r="Q9831"/>
      <c r="R9831"/>
      <c r="S9831"/>
    </row>
    <row r="9832" spans="13:19" ht="13.95" customHeight="1">
      <c r="M9832"/>
      <c r="N9832"/>
      <c r="O9832"/>
      <c r="P9832"/>
      <c r="Q9832"/>
      <c r="R9832"/>
      <c r="S9832"/>
    </row>
    <row r="9833" spans="13:19" ht="13.95" customHeight="1">
      <c r="M9833"/>
      <c r="N9833"/>
      <c r="O9833"/>
      <c r="P9833"/>
      <c r="Q9833"/>
      <c r="R9833"/>
      <c r="S9833"/>
    </row>
    <row r="9834" spans="13:19" ht="13.95" customHeight="1">
      <c r="M9834"/>
      <c r="N9834"/>
      <c r="O9834"/>
      <c r="P9834"/>
      <c r="Q9834"/>
      <c r="R9834"/>
      <c r="S9834"/>
    </row>
    <row r="9835" spans="13:19" ht="13.95" customHeight="1">
      <c r="M9835"/>
      <c r="N9835"/>
      <c r="O9835"/>
      <c r="P9835"/>
      <c r="Q9835"/>
      <c r="R9835"/>
      <c r="S9835"/>
    </row>
    <row r="9836" spans="13:19" ht="13.95" customHeight="1">
      <c r="M9836"/>
      <c r="N9836"/>
      <c r="O9836"/>
      <c r="P9836"/>
      <c r="Q9836"/>
      <c r="R9836"/>
      <c r="S9836"/>
    </row>
    <row r="9837" spans="13:19" ht="13.95" customHeight="1">
      <c r="M9837"/>
      <c r="N9837"/>
      <c r="O9837"/>
      <c r="P9837"/>
      <c r="Q9837"/>
      <c r="R9837"/>
      <c r="S9837"/>
    </row>
    <row r="9838" spans="13:19" ht="13.95" customHeight="1">
      <c r="M9838"/>
      <c r="N9838"/>
      <c r="O9838"/>
      <c r="P9838"/>
      <c r="Q9838"/>
      <c r="R9838"/>
      <c r="S9838"/>
    </row>
    <row r="9839" spans="13:19" ht="13.95" customHeight="1">
      <c r="M9839"/>
      <c r="N9839"/>
      <c r="O9839"/>
      <c r="P9839"/>
      <c r="Q9839"/>
      <c r="R9839"/>
      <c r="S9839"/>
    </row>
    <row r="9840" spans="13:19" ht="13.95" customHeight="1">
      <c r="M9840"/>
      <c r="N9840"/>
      <c r="O9840"/>
      <c r="P9840"/>
      <c r="Q9840"/>
      <c r="R9840"/>
      <c r="S9840"/>
    </row>
    <row r="9841" spans="13:19" ht="13.95" customHeight="1">
      <c r="M9841"/>
      <c r="N9841"/>
      <c r="O9841"/>
      <c r="P9841"/>
      <c r="Q9841"/>
      <c r="R9841"/>
      <c r="S9841"/>
    </row>
    <row r="9842" spans="13:19" ht="13.95" customHeight="1">
      <c r="M9842"/>
      <c r="N9842"/>
      <c r="O9842"/>
      <c r="P9842"/>
      <c r="Q9842"/>
      <c r="R9842"/>
      <c r="S9842"/>
    </row>
    <row r="9843" spans="13:19" ht="13.95" customHeight="1">
      <c r="M9843"/>
      <c r="N9843"/>
      <c r="O9843"/>
      <c r="P9843"/>
      <c r="Q9843"/>
      <c r="R9843"/>
      <c r="S9843"/>
    </row>
    <row r="9844" spans="13:19" ht="13.95" customHeight="1">
      <c r="M9844"/>
      <c r="N9844"/>
      <c r="O9844"/>
      <c r="P9844"/>
      <c r="Q9844"/>
      <c r="R9844"/>
      <c r="S9844"/>
    </row>
    <row r="9845" spans="13:19" ht="13.95" customHeight="1">
      <c r="M9845"/>
      <c r="N9845"/>
      <c r="O9845"/>
      <c r="P9845"/>
      <c r="Q9845"/>
      <c r="R9845"/>
      <c r="S9845"/>
    </row>
    <row r="9846" spans="13:19" ht="13.95" customHeight="1">
      <c r="M9846"/>
      <c r="N9846"/>
      <c r="O9846"/>
      <c r="P9846"/>
      <c r="Q9846"/>
      <c r="R9846"/>
      <c r="S9846"/>
    </row>
    <row r="9847" spans="13:19" ht="13.95" customHeight="1">
      <c r="M9847"/>
      <c r="N9847"/>
      <c r="O9847"/>
      <c r="P9847"/>
      <c r="Q9847"/>
      <c r="R9847"/>
      <c r="S9847"/>
    </row>
    <row r="9848" spans="13:19" ht="13.95" customHeight="1">
      <c r="M9848"/>
      <c r="N9848"/>
      <c r="O9848"/>
      <c r="P9848"/>
      <c r="Q9848"/>
      <c r="R9848"/>
      <c r="S9848"/>
    </row>
    <row r="9849" spans="13:19" ht="13.95" customHeight="1">
      <c r="M9849"/>
      <c r="N9849"/>
      <c r="O9849"/>
      <c r="P9849"/>
      <c r="Q9849"/>
      <c r="R9849"/>
      <c r="S9849"/>
    </row>
    <row r="9850" spans="13:19" ht="13.95" customHeight="1">
      <c r="M9850"/>
      <c r="N9850"/>
      <c r="O9850"/>
      <c r="P9850"/>
      <c r="Q9850"/>
      <c r="R9850"/>
      <c r="S9850"/>
    </row>
    <row r="9851" spans="13:19" ht="13.95" customHeight="1">
      <c r="M9851"/>
      <c r="N9851"/>
      <c r="O9851"/>
      <c r="P9851"/>
      <c r="Q9851"/>
      <c r="R9851"/>
      <c r="S9851"/>
    </row>
    <row r="9852" spans="13:19" ht="13.95" customHeight="1">
      <c r="M9852"/>
      <c r="N9852"/>
      <c r="O9852"/>
      <c r="P9852"/>
      <c r="Q9852"/>
      <c r="R9852"/>
      <c r="S9852"/>
    </row>
    <row r="9853" spans="13:19" ht="13.95" customHeight="1">
      <c r="M9853"/>
      <c r="N9853"/>
      <c r="O9853"/>
      <c r="P9853"/>
      <c r="Q9853"/>
      <c r="R9853"/>
      <c r="S9853"/>
    </row>
    <row r="9854" spans="13:19" ht="13.95" customHeight="1">
      <c r="M9854"/>
      <c r="N9854"/>
      <c r="O9854"/>
      <c r="P9854"/>
      <c r="Q9854"/>
      <c r="R9854"/>
      <c r="S9854"/>
    </row>
    <row r="9855" spans="13:19" ht="13.95" customHeight="1">
      <c r="M9855"/>
      <c r="N9855"/>
      <c r="O9855"/>
      <c r="P9855"/>
      <c r="Q9855"/>
      <c r="R9855"/>
      <c r="S9855"/>
    </row>
    <row r="9856" spans="13:19" ht="13.95" customHeight="1">
      <c r="M9856"/>
      <c r="N9856"/>
      <c r="O9856"/>
      <c r="P9856"/>
      <c r="Q9856"/>
      <c r="R9856"/>
      <c r="S9856"/>
    </row>
    <row r="9857" spans="13:19" ht="13.95" customHeight="1">
      <c r="M9857"/>
      <c r="N9857"/>
      <c r="O9857"/>
      <c r="P9857"/>
      <c r="Q9857"/>
      <c r="R9857"/>
      <c r="S9857"/>
    </row>
    <row r="9858" spans="13:19" ht="13.95" customHeight="1">
      <c r="M9858"/>
      <c r="N9858"/>
      <c r="O9858"/>
      <c r="P9858"/>
      <c r="Q9858"/>
      <c r="R9858"/>
      <c r="S9858"/>
    </row>
    <row r="9859" spans="13:19" ht="13.95" customHeight="1">
      <c r="M9859"/>
      <c r="N9859"/>
      <c r="O9859"/>
      <c r="P9859"/>
      <c r="Q9859"/>
      <c r="R9859"/>
      <c r="S9859"/>
    </row>
    <row r="9860" spans="13:19" ht="13.95" customHeight="1">
      <c r="M9860"/>
      <c r="N9860"/>
      <c r="O9860"/>
      <c r="P9860"/>
      <c r="Q9860"/>
      <c r="R9860"/>
      <c r="S9860"/>
    </row>
    <row r="9861" spans="13:19" ht="13.95" customHeight="1">
      <c r="M9861"/>
      <c r="N9861"/>
      <c r="O9861"/>
      <c r="P9861"/>
      <c r="Q9861"/>
      <c r="R9861"/>
      <c r="S9861"/>
    </row>
    <row r="9862" spans="13:19" ht="13.95" customHeight="1">
      <c r="M9862"/>
      <c r="N9862"/>
      <c r="O9862"/>
      <c r="P9862"/>
      <c r="Q9862"/>
      <c r="R9862"/>
      <c r="S9862"/>
    </row>
    <row r="9863" spans="13:19" ht="13.95" customHeight="1">
      <c r="M9863"/>
      <c r="N9863"/>
      <c r="O9863"/>
      <c r="P9863"/>
      <c r="Q9863"/>
      <c r="R9863"/>
      <c r="S9863"/>
    </row>
    <row r="9864" spans="13:19" ht="13.95" customHeight="1">
      <c r="M9864"/>
      <c r="N9864"/>
      <c r="O9864"/>
      <c r="P9864"/>
      <c r="Q9864"/>
      <c r="R9864"/>
      <c r="S9864"/>
    </row>
    <row r="9865" spans="13:19" ht="13.95" customHeight="1">
      <c r="M9865"/>
      <c r="N9865"/>
      <c r="O9865"/>
      <c r="P9865"/>
      <c r="Q9865"/>
      <c r="R9865"/>
      <c r="S9865"/>
    </row>
    <row r="9866" spans="13:19" ht="13.95" customHeight="1">
      <c r="M9866"/>
      <c r="N9866"/>
      <c r="O9866"/>
      <c r="P9866"/>
      <c r="Q9866"/>
      <c r="R9866"/>
      <c r="S9866"/>
    </row>
    <row r="9867" spans="13:19" ht="13.95" customHeight="1">
      <c r="M9867"/>
      <c r="N9867"/>
      <c r="O9867"/>
      <c r="P9867"/>
      <c r="Q9867"/>
      <c r="R9867"/>
      <c r="S9867"/>
    </row>
    <row r="9868" spans="13:19" ht="13.95" customHeight="1">
      <c r="M9868"/>
      <c r="N9868"/>
      <c r="O9868"/>
      <c r="P9868"/>
      <c r="Q9868"/>
      <c r="R9868"/>
      <c r="S9868"/>
    </row>
    <row r="9869" spans="13:19" ht="13.95" customHeight="1">
      <c r="M9869"/>
      <c r="N9869"/>
      <c r="O9869"/>
      <c r="P9869"/>
      <c r="Q9869"/>
      <c r="R9869"/>
      <c r="S9869"/>
    </row>
    <row r="9870" spans="13:19" ht="13.95" customHeight="1">
      <c r="M9870"/>
      <c r="N9870"/>
      <c r="O9870"/>
      <c r="P9870"/>
      <c r="Q9870"/>
      <c r="R9870"/>
      <c r="S9870"/>
    </row>
    <row r="9871" spans="13:19" ht="13.95" customHeight="1">
      <c r="M9871"/>
      <c r="N9871"/>
      <c r="O9871"/>
      <c r="P9871"/>
      <c r="Q9871"/>
      <c r="R9871"/>
      <c r="S9871"/>
    </row>
    <row r="9872" spans="13:19" ht="13.95" customHeight="1">
      <c r="M9872"/>
      <c r="N9872"/>
      <c r="O9872"/>
      <c r="P9872"/>
      <c r="Q9872"/>
      <c r="R9872"/>
      <c r="S9872"/>
    </row>
    <row r="9873" spans="13:19" ht="13.95" customHeight="1">
      <c r="M9873"/>
      <c r="N9873"/>
      <c r="O9873"/>
      <c r="P9873"/>
      <c r="Q9873"/>
      <c r="R9873"/>
      <c r="S9873"/>
    </row>
    <row r="9874" spans="13:19" ht="13.95" customHeight="1">
      <c r="M9874"/>
      <c r="N9874"/>
      <c r="O9874"/>
      <c r="P9874"/>
      <c r="Q9874"/>
      <c r="R9874"/>
      <c r="S9874"/>
    </row>
    <row r="9875" spans="13:19" ht="13.95" customHeight="1">
      <c r="M9875"/>
      <c r="N9875"/>
      <c r="O9875"/>
      <c r="P9875"/>
      <c r="Q9875"/>
      <c r="R9875"/>
      <c r="S9875"/>
    </row>
    <row r="9876" spans="13:19" ht="13.95" customHeight="1">
      <c r="M9876"/>
      <c r="N9876"/>
      <c r="O9876"/>
      <c r="P9876"/>
      <c r="Q9876"/>
      <c r="R9876"/>
      <c r="S9876"/>
    </row>
    <row r="9877" spans="13:19" ht="13.95" customHeight="1">
      <c r="M9877"/>
      <c r="N9877"/>
      <c r="O9877"/>
      <c r="P9877"/>
      <c r="Q9877"/>
      <c r="R9877"/>
      <c r="S9877"/>
    </row>
    <row r="9878" spans="13:19" ht="13.95" customHeight="1">
      <c r="M9878"/>
      <c r="N9878"/>
      <c r="O9878"/>
      <c r="P9878"/>
      <c r="Q9878"/>
      <c r="R9878"/>
      <c r="S9878"/>
    </row>
    <row r="9879" spans="13:19" ht="13.95" customHeight="1">
      <c r="M9879"/>
      <c r="N9879"/>
      <c r="O9879"/>
      <c r="P9879"/>
      <c r="Q9879"/>
      <c r="R9879"/>
      <c r="S9879"/>
    </row>
    <row r="9880" spans="13:19" ht="13.95" customHeight="1">
      <c r="M9880"/>
      <c r="N9880"/>
      <c r="O9880"/>
      <c r="P9880"/>
      <c r="Q9880"/>
      <c r="R9880"/>
      <c r="S9880"/>
    </row>
    <row r="9881" spans="13:19" ht="13.95" customHeight="1">
      <c r="M9881"/>
      <c r="N9881"/>
      <c r="O9881"/>
      <c r="P9881"/>
      <c r="Q9881"/>
      <c r="R9881"/>
      <c r="S9881"/>
    </row>
    <row r="9882" spans="13:19" ht="13.95" customHeight="1">
      <c r="M9882"/>
      <c r="N9882"/>
      <c r="O9882"/>
      <c r="P9882"/>
      <c r="Q9882"/>
      <c r="R9882"/>
      <c r="S9882"/>
    </row>
    <row r="9883" spans="13:19" ht="13.95" customHeight="1">
      <c r="M9883"/>
      <c r="N9883"/>
      <c r="O9883"/>
      <c r="P9883"/>
      <c r="Q9883"/>
      <c r="R9883"/>
      <c r="S9883"/>
    </row>
    <row r="9884" spans="13:19" ht="13.95" customHeight="1">
      <c r="M9884"/>
      <c r="N9884"/>
      <c r="O9884"/>
      <c r="P9884"/>
      <c r="Q9884"/>
      <c r="R9884"/>
      <c r="S9884"/>
    </row>
    <row r="9885" spans="13:19" ht="13.95" customHeight="1">
      <c r="M9885"/>
      <c r="N9885"/>
      <c r="O9885"/>
      <c r="P9885"/>
      <c r="Q9885"/>
      <c r="R9885"/>
      <c r="S9885"/>
    </row>
    <row r="9886" spans="13:19" ht="13.95" customHeight="1">
      <c r="M9886"/>
      <c r="N9886"/>
      <c r="O9886"/>
      <c r="P9886"/>
      <c r="Q9886"/>
      <c r="R9886"/>
      <c r="S9886"/>
    </row>
    <row r="9887" spans="13:19" ht="13.95" customHeight="1">
      <c r="M9887"/>
      <c r="N9887"/>
      <c r="O9887"/>
      <c r="P9887"/>
      <c r="Q9887"/>
      <c r="R9887"/>
      <c r="S9887"/>
    </row>
    <row r="9888" spans="13:19" ht="13.95" customHeight="1">
      <c r="M9888"/>
      <c r="N9888"/>
      <c r="O9888"/>
      <c r="P9888"/>
      <c r="Q9888"/>
      <c r="R9888"/>
      <c r="S9888"/>
    </row>
    <row r="9889" spans="13:19" ht="13.95" customHeight="1">
      <c r="M9889"/>
      <c r="N9889"/>
      <c r="O9889"/>
      <c r="P9889"/>
      <c r="Q9889"/>
      <c r="R9889"/>
      <c r="S9889"/>
    </row>
    <row r="9890" spans="13:19" ht="13.95" customHeight="1">
      <c r="M9890"/>
      <c r="N9890"/>
      <c r="O9890"/>
      <c r="P9890"/>
      <c r="Q9890"/>
      <c r="R9890"/>
      <c r="S9890"/>
    </row>
    <row r="9891" spans="13:19" ht="13.95" customHeight="1">
      <c r="M9891"/>
      <c r="N9891"/>
      <c r="O9891"/>
      <c r="P9891"/>
      <c r="Q9891"/>
      <c r="R9891"/>
      <c r="S9891"/>
    </row>
    <row r="9892" spans="13:19" ht="13.95" customHeight="1">
      <c r="M9892"/>
      <c r="N9892"/>
      <c r="O9892"/>
      <c r="P9892"/>
      <c r="Q9892"/>
      <c r="R9892"/>
      <c r="S9892"/>
    </row>
    <row r="9893" spans="13:19" ht="13.95" customHeight="1">
      <c r="M9893"/>
      <c r="N9893"/>
      <c r="O9893"/>
      <c r="P9893"/>
      <c r="Q9893"/>
      <c r="R9893"/>
      <c r="S9893"/>
    </row>
    <row r="9894" spans="13:19" ht="13.95" customHeight="1">
      <c r="M9894"/>
      <c r="N9894"/>
      <c r="O9894"/>
      <c r="P9894"/>
      <c r="Q9894"/>
      <c r="R9894"/>
      <c r="S9894"/>
    </row>
    <row r="9895" spans="13:19" ht="13.95" customHeight="1">
      <c r="M9895"/>
      <c r="N9895"/>
      <c r="O9895"/>
      <c r="P9895"/>
      <c r="Q9895"/>
      <c r="R9895"/>
      <c r="S9895"/>
    </row>
    <row r="9896" spans="13:19" ht="13.95" customHeight="1">
      <c r="M9896"/>
      <c r="N9896"/>
      <c r="O9896"/>
      <c r="P9896"/>
      <c r="Q9896"/>
      <c r="R9896"/>
      <c r="S9896"/>
    </row>
    <row r="9897" spans="13:19" ht="13.95" customHeight="1">
      <c r="M9897"/>
      <c r="N9897"/>
      <c r="O9897"/>
      <c r="P9897"/>
      <c r="Q9897"/>
      <c r="R9897"/>
      <c r="S9897"/>
    </row>
    <row r="9898" spans="13:19" ht="13.95" customHeight="1">
      <c r="M9898"/>
      <c r="N9898"/>
      <c r="O9898"/>
      <c r="P9898"/>
      <c r="Q9898"/>
      <c r="R9898"/>
      <c r="S9898"/>
    </row>
    <row r="9899" spans="13:19" ht="13.95" customHeight="1">
      <c r="M9899"/>
      <c r="N9899"/>
      <c r="O9899"/>
      <c r="P9899"/>
      <c r="Q9899"/>
      <c r="R9899"/>
      <c r="S9899"/>
    </row>
    <row r="9900" spans="13:19" ht="13.95" customHeight="1">
      <c r="M9900"/>
      <c r="N9900"/>
      <c r="O9900"/>
      <c r="P9900"/>
      <c r="Q9900"/>
      <c r="R9900"/>
      <c r="S9900"/>
    </row>
    <row r="9901" spans="13:19" ht="13.95" customHeight="1">
      <c r="M9901"/>
      <c r="N9901"/>
      <c r="O9901"/>
      <c r="P9901"/>
      <c r="Q9901"/>
      <c r="R9901"/>
      <c r="S9901"/>
    </row>
    <row r="9902" spans="13:19" ht="13.95" customHeight="1">
      <c r="M9902"/>
      <c r="N9902"/>
      <c r="O9902"/>
      <c r="P9902"/>
      <c r="Q9902"/>
      <c r="R9902"/>
      <c r="S9902"/>
    </row>
    <row r="9903" spans="13:19" ht="13.95" customHeight="1">
      <c r="M9903"/>
      <c r="N9903"/>
      <c r="O9903"/>
      <c r="P9903"/>
      <c r="Q9903"/>
      <c r="R9903"/>
      <c r="S9903"/>
    </row>
    <row r="9904" spans="13:19" ht="13.95" customHeight="1">
      <c r="M9904"/>
      <c r="N9904"/>
      <c r="O9904"/>
      <c r="P9904"/>
      <c r="Q9904"/>
      <c r="R9904"/>
      <c r="S9904"/>
    </row>
    <row r="9905" spans="13:19" ht="13.95" customHeight="1">
      <c r="M9905"/>
      <c r="N9905"/>
      <c r="O9905"/>
      <c r="P9905"/>
      <c r="Q9905"/>
      <c r="R9905"/>
      <c r="S9905"/>
    </row>
    <row r="9906" spans="13:19" ht="13.95" customHeight="1">
      <c r="M9906"/>
      <c r="N9906"/>
      <c r="O9906"/>
      <c r="P9906"/>
      <c r="Q9906"/>
      <c r="R9906"/>
      <c r="S9906"/>
    </row>
    <row r="9907" spans="13:19" ht="13.95" customHeight="1">
      <c r="M9907"/>
      <c r="N9907"/>
      <c r="O9907"/>
      <c r="P9907"/>
      <c r="Q9907"/>
      <c r="R9907"/>
      <c r="S9907"/>
    </row>
    <row r="9908" spans="13:19" ht="13.95" customHeight="1">
      <c r="M9908"/>
      <c r="N9908"/>
      <c r="O9908"/>
      <c r="P9908"/>
      <c r="Q9908"/>
      <c r="R9908"/>
      <c r="S9908"/>
    </row>
    <row r="9909" spans="13:19" ht="13.95" customHeight="1">
      <c r="M9909"/>
      <c r="N9909"/>
      <c r="O9909"/>
      <c r="P9909"/>
      <c r="Q9909"/>
      <c r="R9909"/>
      <c r="S9909"/>
    </row>
    <row r="9910" spans="13:19" ht="13.95" customHeight="1">
      <c r="M9910"/>
      <c r="N9910"/>
      <c r="O9910"/>
      <c r="P9910"/>
      <c r="Q9910"/>
      <c r="R9910"/>
      <c r="S9910"/>
    </row>
    <row r="9911" spans="13:19" ht="13.95" customHeight="1">
      <c r="M9911"/>
      <c r="N9911"/>
      <c r="O9911"/>
      <c r="P9911"/>
      <c r="Q9911"/>
      <c r="R9911"/>
      <c r="S9911"/>
    </row>
    <row r="9912" spans="13:19" ht="13.95" customHeight="1">
      <c r="M9912"/>
      <c r="N9912"/>
      <c r="O9912"/>
      <c r="P9912"/>
      <c r="Q9912"/>
      <c r="R9912"/>
      <c r="S9912"/>
    </row>
    <row r="9913" spans="13:19" ht="13.95" customHeight="1">
      <c r="M9913"/>
      <c r="N9913"/>
      <c r="O9913"/>
      <c r="P9913"/>
      <c r="Q9913"/>
      <c r="R9913"/>
      <c r="S9913"/>
    </row>
    <row r="9914" spans="13:19" ht="13.95" customHeight="1">
      <c r="M9914"/>
      <c r="N9914"/>
      <c r="O9914"/>
      <c r="P9914"/>
      <c r="Q9914"/>
      <c r="R9914"/>
      <c r="S9914"/>
    </row>
    <row r="9915" spans="13:19" ht="13.95" customHeight="1">
      <c r="M9915"/>
      <c r="N9915"/>
      <c r="O9915"/>
      <c r="P9915"/>
      <c r="Q9915"/>
      <c r="R9915"/>
      <c r="S9915"/>
    </row>
    <row r="9916" spans="13:19" ht="13.95" customHeight="1">
      <c r="M9916"/>
      <c r="N9916"/>
      <c r="O9916"/>
      <c r="P9916"/>
      <c r="Q9916"/>
      <c r="R9916"/>
      <c r="S9916"/>
    </row>
    <row r="9917" spans="13:19" ht="13.95" customHeight="1">
      <c r="M9917"/>
      <c r="N9917"/>
      <c r="O9917"/>
      <c r="P9917"/>
      <c r="Q9917"/>
      <c r="R9917"/>
      <c r="S9917"/>
    </row>
    <row r="9918" spans="13:19" ht="13.95" customHeight="1">
      <c r="M9918"/>
      <c r="N9918"/>
      <c r="O9918"/>
      <c r="P9918"/>
      <c r="Q9918"/>
      <c r="R9918"/>
      <c r="S9918"/>
    </row>
    <row r="9919" spans="13:19" ht="13.95" customHeight="1">
      <c r="M9919"/>
      <c r="N9919"/>
      <c r="O9919"/>
      <c r="P9919"/>
      <c r="Q9919"/>
      <c r="R9919"/>
      <c r="S9919"/>
    </row>
    <row r="9920" spans="13:19" ht="13.95" customHeight="1">
      <c r="M9920"/>
      <c r="N9920"/>
      <c r="O9920"/>
      <c r="P9920"/>
      <c r="Q9920"/>
      <c r="R9920"/>
      <c r="S9920"/>
    </row>
    <row r="9921" spans="13:19" ht="13.95" customHeight="1">
      <c r="M9921"/>
      <c r="N9921"/>
      <c r="O9921"/>
      <c r="P9921"/>
      <c r="Q9921"/>
      <c r="R9921"/>
      <c r="S9921"/>
    </row>
    <row r="9922" spans="13:19" ht="13.95" customHeight="1">
      <c r="M9922"/>
      <c r="N9922"/>
      <c r="O9922"/>
      <c r="P9922"/>
      <c r="Q9922"/>
      <c r="R9922"/>
      <c r="S9922"/>
    </row>
    <row r="9923" spans="13:19" ht="13.95" customHeight="1">
      <c r="M9923"/>
      <c r="N9923"/>
      <c r="O9923"/>
      <c r="P9923"/>
      <c r="Q9923"/>
      <c r="R9923"/>
      <c r="S9923"/>
    </row>
    <row r="9924" spans="13:19" ht="13.95" customHeight="1">
      <c r="M9924"/>
      <c r="N9924"/>
      <c r="O9924"/>
      <c r="P9924"/>
      <c r="Q9924"/>
      <c r="R9924"/>
      <c r="S9924"/>
    </row>
    <row r="9925" spans="13:19" ht="13.95" customHeight="1">
      <c r="M9925"/>
      <c r="N9925"/>
      <c r="O9925"/>
      <c r="P9925"/>
      <c r="Q9925"/>
      <c r="R9925"/>
      <c r="S9925"/>
    </row>
    <row r="9926" spans="13:19" ht="13.95" customHeight="1">
      <c r="M9926"/>
      <c r="N9926"/>
      <c r="O9926"/>
      <c r="P9926"/>
      <c r="Q9926"/>
      <c r="R9926"/>
      <c r="S9926"/>
    </row>
    <row r="9927" spans="13:19" ht="13.95" customHeight="1">
      <c r="M9927"/>
      <c r="N9927"/>
      <c r="O9927"/>
      <c r="P9927"/>
      <c r="Q9927"/>
      <c r="R9927"/>
      <c r="S9927"/>
    </row>
    <row r="9928" spans="13:19" ht="13.95" customHeight="1">
      <c r="M9928"/>
      <c r="N9928"/>
      <c r="O9928"/>
      <c r="P9928"/>
      <c r="Q9928"/>
      <c r="R9928"/>
      <c r="S9928"/>
    </row>
    <row r="9929" spans="13:19" ht="13.95" customHeight="1">
      <c r="M9929"/>
      <c r="N9929"/>
      <c r="O9929"/>
      <c r="P9929"/>
      <c r="Q9929"/>
      <c r="R9929"/>
      <c r="S9929"/>
    </row>
    <row r="9930" spans="13:19" ht="13.95" customHeight="1">
      <c r="M9930"/>
      <c r="N9930"/>
      <c r="O9930"/>
      <c r="P9930"/>
      <c r="Q9930"/>
      <c r="R9930"/>
      <c r="S9930"/>
    </row>
    <row r="9931" spans="13:19" ht="13.95" customHeight="1">
      <c r="M9931"/>
      <c r="N9931"/>
      <c r="O9931"/>
      <c r="P9931"/>
      <c r="Q9931"/>
      <c r="R9931"/>
      <c r="S9931"/>
    </row>
    <row r="9932" spans="13:19" ht="13.95" customHeight="1">
      <c r="M9932"/>
      <c r="N9932"/>
      <c r="O9932"/>
      <c r="P9932"/>
      <c r="Q9932"/>
      <c r="R9932"/>
      <c r="S9932"/>
    </row>
    <row r="9933" spans="13:19" ht="13.95" customHeight="1">
      <c r="M9933"/>
      <c r="N9933"/>
      <c r="O9933"/>
      <c r="P9933"/>
      <c r="Q9933"/>
      <c r="R9933"/>
      <c r="S9933"/>
    </row>
    <row r="9934" spans="13:19" ht="13.95" customHeight="1">
      <c r="M9934"/>
      <c r="N9934"/>
      <c r="O9934"/>
      <c r="P9934"/>
      <c r="Q9934"/>
      <c r="R9934"/>
      <c r="S9934"/>
    </row>
    <row r="9935" spans="13:19" ht="13.95" customHeight="1">
      <c r="M9935"/>
      <c r="N9935"/>
      <c r="O9935"/>
      <c r="P9935"/>
      <c r="Q9935"/>
      <c r="R9935"/>
      <c r="S9935"/>
    </row>
    <row r="9936" spans="13:19" ht="13.95" customHeight="1">
      <c r="M9936"/>
      <c r="N9936"/>
      <c r="O9936"/>
      <c r="P9936"/>
      <c r="Q9936"/>
      <c r="R9936"/>
      <c r="S9936"/>
    </row>
    <row r="9937" spans="13:19" ht="13.95" customHeight="1">
      <c r="M9937"/>
      <c r="N9937"/>
      <c r="O9937"/>
      <c r="P9937"/>
      <c r="Q9937"/>
      <c r="R9937"/>
      <c r="S9937"/>
    </row>
    <row r="9938" spans="13:19" ht="13.95" customHeight="1">
      <c r="M9938"/>
      <c r="N9938"/>
      <c r="O9938"/>
      <c r="P9938"/>
      <c r="Q9938"/>
      <c r="R9938"/>
      <c r="S9938"/>
    </row>
    <row r="9939" spans="13:19" ht="13.95" customHeight="1">
      <c r="M9939"/>
      <c r="N9939"/>
      <c r="O9939"/>
      <c r="P9939"/>
      <c r="Q9939"/>
      <c r="R9939"/>
      <c r="S9939"/>
    </row>
    <row r="9940" spans="13:19" ht="13.95" customHeight="1">
      <c r="M9940"/>
      <c r="N9940"/>
      <c r="O9940"/>
      <c r="P9940"/>
      <c r="Q9940"/>
      <c r="R9940"/>
      <c r="S9940"/>
    </row>
    <row r="9941" spans="13:19" ht="13.95" customHeight="1">
      <c r="M9941"/>
      <c r="N9941"/>
      <c r="O9941"/>
      <c r="P9941"/>
      <c r="Q9941"/>
      <c r="R9941"/>
      <c r="S9941"/>
    </row>
    <row r="9942" spans="13:19" ht="13.95" customHeight="1">
      <c r="M9942"/>
      <c r="N9942"/>
      <c r="O9942"/>
      <c r="P9942"/>
      <c r="Q9942"/>
      <c r="R9942"/>
      <c r="S9942"/>
    </row>
    <row r="9943" spans="13:19" ht="13.95" customHeight="1">
      <c r="M9943"/>
      <c r="N9943"/>
      <c r="O9943"/>
      <c r="P9943"/>
      <c r="Q9943"/>
      <c r="R9943"/>
      <c r="S9943"/>
    </row>
    <row r="9944" spans="13:19" ht="13.95" customHeight="1">
      <c r="M9944"/>
      <c r="N9944"/>
      <c r="O9944"/>
      <c r="P9944"/>
      <c r="Q9944"/>
      <c r="R9944"/>
      <c r="S9944"/>
    </row>
    <row r="9945" spans="13:19" ht="13.95" customHeight="1">
      <c r="M9945"/>
      <c r="N9945"/>
      <c r="O9945"/>
      <c r="P9945"/>
      <c r="Q9945"/>
      <c r="R9945"/>
      <c r="S9945"/>
    </row>
    <row r="9946" spans="13:19" ht="13.95" customHeight="1">
      <c r="M9946"/>
      <c r="N9946"/>
      <c r="O9946"/>
      <c r="P9946"/>
      <c r="Q9946"/>
      <c r="R9946"/>
      <c r="S9946"/>
    </row>
    <row r="9947" spans="13:19" ht="13.95" customHeight="1">
      <c r="M9947"/>
      <c r="N9947"/>
      <c r="O9947"/>
      <c r="P9947"/>
      <c r="Q9947"/>
      <c r="R9947"/>
      <c r="S9947"/>
    </row>
    <row r="9948" spans="13:19" ht="13.95" customHeight="1">
      <c r="M9948"/>
      <c r="N9948"/>
      <c r="O9948"/>
      <c r="P9948"/>
      <c r="Q9948"/>
      <c r="R9948"/>
      <c r="S9948"/>
    </row>
    <row r="9949" spans="13:19" ht="13.95" customHeight="1">
      <c r="M9949"/>
      <c r="N9949"/>
      <c r="O9949"/>
      <c r="P9949"/>
      <c r="Q9949"/>
      <c r="R9949"/>
      <c r="S9949"/>
    </row>
    <row r="9950" spans="13:19" ht="13.95" customHeight="1">
      <c r="M9950"/>
      <c r="N9950"/>
      <c r="O9950"/>
      <c r="P9950"/>
      <c r="Q9950"/>
      <c r="R9950"/>
      <c r="S9950"/>
    </row>
    <row r="9951" spans="13:19" ht="13.95" customHeight="1">
      <c r="M9951"/>
      <c r="N9951"/>
      <c r="O9951"/>
      <c r="P9951"/>
      <c r="Q9951"/>
      <c r="R9951"/>
      <c r="S9951"/>
    </row>
    <row r="9952" spans="13:19" ht="13.95" customHeight="1">
      <c r="M9952"/>
      <c r="N9952"/>
      <c r="O9952"/>
      <c r="P9952"/>
      <c r="Q9952"/>
      <c r="R9952"/>
      <c r="S9952"/>
    </row>
    <row r="9953" spans="13:19" ht="13.95" customHeight="1">
      <c r="M9953"/>
      <c r="N9953"/>
      <c r="O9953"/>
      <c r="P9953"/>
      <c r="Q9953"/>
      <c r="R9953"/>
      <c r="S9953"/>
    </row>
    <row r="9954" spans="13:19" ht="13.95" customHeight="1">
      <c r="M9954"/>
      <c r="N9954"/>
      <c r="O9954"/>
      <c r="P9954"/>
      <c r="Q9954"/>
      <c r="R9954"/>
      <c r="S9954"/>
    </row>
    <row r="9955" spans="13:19" ht="13.95" customHeight="1">
      <c r="M9955"/>
      <c r="N9955"/>
      <c r="O9955"/>
      <c r="P9955"/>
      <c r="Q9955"/>
      <c r="R9955"/>
      <c r="S9955"/>
    </row>
    <row r="9956" spans="13:19" ht="13.95" customHeight="1">
      <c r="M9956"/>
      <c r="N9956"/>
      <c r="O9956"/>
      <c r="P9956"/>
      <c r="Q9956"/>
      <c r="R9956"/>
      <c r="S9956"/>
    </row>
    <row r="9957" spans="13:19" ht="13.95" customHeight="1">
      <c r="M9957"/>
      <c r="N9957"/>
      <c r="O9957"/>
      <c r="P9957"/>
      <c r="Q9957"/>
      <c r="R9957"/>
      <c r="S9957"/>
    </row>
    <row r="9958" spans="13:19" ht="13.95" customHeight="1">
      <c r="M9958"/>
      <c r="N9958"/>
      <c r="O9958"/>
      <c r="P9958"/>
      <c r="Q9958"/>
      <c r="R9958"/>
      <c r="S9958"/>
    </row>
    <row r="9959" spans="13:19" ht="13.95" customHeight="1">
      <c r="M9959"/>
      <c r="N9959"/>
      <c r="O9959"/>
      <c r="P9959"/>
      <c r="Q9959"/>
      <c r="R9959"/>
      <c r="S9959"/>
    </row>
    <row r="9960" spans="13:19" ht="13.95" customHeight="1">
      <c r="M9960"/>
      <c r="N9960"/>
      <c r="O9960"/>
      <c r="P9960"/>
      <c r="Q9960"/>
      <c r="R9960"/>
      <c r="S9960"/>
    </row>
    <row r="9961" spans="13:19" ht="13.95" customHeight="1">
      <c r="M9961"/>
      <c r="N9961"/>
      <c r="O9961"/>
      <c r="P9961"/>
      <c r="Q9961"/>
      <c r="R9961"/>
      <c r="S9961"/>
    </row>
    <row r="9962" spans="13:19" ht="13.95" customHeight="1">
      <c r="M9962"/>
      <c r="N9962"/>
      <c r="O9962"/>
      <c r="P9962"/>
      <c r="Q9962"/>
      <c r="R9962"/>
      <c r="S9962"/>
    </row>
    <row r="9963" spans="13:19" ht="13.95" customHeight="1">
      <c r="M9963"/>
      <c r="N9963"/>
      <c r="O9963"/>
      <c r="P9963"/>
      <c r="Q9963"/>
      <c r="R9963"/>
      <c r="S9963"/>
    </row>
    <row r="9964" spans="13:19" ht="13.95" customHeight="1">
      <c r="M9964"/>
      <c r="N9964"/>
      <c r="O9964"/>
      <c r="P9964"/>
      <c r="Q9964"/>
      <c r="R9964"/>
      <c r="S9964"/>
    </row>
    <row r="9965" spans="13:19" ht="13.95" customHeight="1">
      <c r="M9965"/>
      <c r="N9965"/>
      <c r="O9965"/>
      <c r="P9965"/>
      <c r="Q9965"/>
      <c r="R9965"/>
      <c r="S9965"/>
    </row>
    <row r="9966" spans="13:19" ht="13.95" customHeight="1">
      <c r="M9966"/>
      <c r="N9966"/>
      <c r="O9966"/>
      <c r="P9966"/>
      <c r="Q9966"/>
      <c r="R9966"/>
      <c r="S9966"/>
    </row>
    <row r="9967" spans="13:19" ht="13.95" customHeight="1">
      <c r="M9967"/>
      <c r="N9967"/>
      <c r="O9967"/>
      <c r="P9967"/>
      <c r="Q9967"/>
      <c r="R9967"/>
      <c r="S9967"/>
    </row>
    <row r="9968" spans="13:19" ht="13.95" customHeight="1">
      <c r="M9968"/>
      <c r="N9968"/>
      <c r="O9968"/>
      <c r="P9968"/>
      <c r="Q9968"/>
      <c r="R9968"/>
      <c r="S9968"/>
    </row>
    <row r="9969" spans="13:19" ht="13.95" customHeight="1">
      <c r="M9969"/>
      <c r="N9969"/>
      <c r="O9969"/>
      <c r="P9969"/>
      <c r="Q9969"/>
      <c r="R9969"/>
      <c r="S9969"/>
    </row>
    <row r="9970" spans="13:19" ht="13.95" customHeight="1">
      <c r="M9970"/>
      <c r="N9970"/>
      <c r="O9970"/>
      <c r="P9970"/>
      <c r="Q9970"/>
      <c r="R9970"/>
      <c r="S9970"/>
    </row>
    <row r="9971" spans="13:19" ht="13.95" customHeight="1">
      <c r="M9971"/>
      <c r="N9971"/>
      <c r="O9971"/>
      <c r="P9971"/>
      <c r="Q9971"/>
      <c r="R9971"/>
      <c r="S9971"/>
    </row>
    <row r="9972" spans="13:19" ht="13.95" customHeight="1">
      <c r="M9972"/>
      <c r="N9972"/>
      <c r="O9972"/>
      <c r="P9972"/>
      <c r="Q9972"/>
      <c r="R9972"/>
      <c r="S9972"/>
    </row>
    <row r="9973" spans="13:19" ht="13.95" customHeight="1">
      <c r="M9973"/>
      <c r="N9973"/>
      <c r="O9973"/>
      <c r="P9973"/>
      <c r="Q9973"/>
      <c r="R9973"/>
      <c r="S9973"/>
    </row>
    <row r="9974" spans="13:19" ht="13.95" customHeight="1">
      <c r="M9974"/>
      <c r="N9974"/>
      <c r="O9974"/>
      <c r="P9974"/>
      <c r="Q9974"/>
      <c r="R9974"/>
      <c r="S9974"/>
    </row>
    <row r="9975" spans="13:19" ht="13.95" customHeight="1">
      <c r="M9975"/>
      <c r="N9975"/>
      <c r="O9975"/>
      <c r="P9975"/>
      <c r="Q9975"/>
      <c r="R9975"/>
      <c r="S9975"/>
    </row>
    <row r="9976" spans="13:19" ht="13.95" customHeight="1">
      <c r="M9976"/>
      <c r="N9976"/>
      <c r="O9976"/>
      <c r="P9976"/>
      <c r="Q9976"/>
      <c r="R9976"/>
      <c r="S9976"/>
    </row>
    <row r="9977" spans="13:19" ht="13.95" customHeight="1">
      <c r="M9977"/>
      <c r="N9977"/>
      <c r="O9977"/>
      <c r="P9977"/>
      <c r="Q9977"/>
      <c r="R9977"/>
      <c r="S9977"/>
    </row>
    <row r="9978" spans="13:19" ht="13.95" customHeight="1">
      <c r="M9978"/>
      <c r="N9978"/>
      <c r="O9978"/>
      <c r="P9978"/>
      <c r="Q9978"/>
      <c r="R9978"/>
      <c r="S9978"/>
    </row>
    <row r="9979" spans="13:19" ht="13.95" customHeight="1">
      <c r="M9979"/>
      <c r="N9979"/>
      <c r="O9979"/>
      <c r="P9979"/>
      <c r="Q9979"/>
      <c r="R9979"/>
      <c r="S9979"/>
    </row>
    <row r="9980" spans="13:19" ht="13.95" customHeight="1">
      <c r="M9980"/>
      <c r="N9980"/>
      <c r="O9980"/>
      <c r="P9980"/>
      <c r="Q9980"/>
      <c r="R9980"/>
      <c r="S9980"/>
    </row>
    <row r="9981" spans="13:19" ht="13.95" customHeight="1">
      <c r="M9981"/>
      <c r="N9981"/>
      <c r="O9981"/>
      <c r="P9981"/>
      <c r="Q9981"/>
      <c r="R9981"/>
      <c r="S9981"/>
    </row>
    <row r="9982" spans="13:19" ht="13.95" customHeight="1">
      <c r="M9982"/>
      <c r="N9982"/>
      <c r="O9982"/>
      <c r="P9982"/>
      <c r="Q9982"/>
      <c r="R9982"/>
      <c r="S9982"/>
    </row>
    <row r="9983" spans="13:19" ht="13.95" customHeight="1">
      <c r="M9983"/>
      <c r="N9983"/>
      <c r="O9983"/>
      <c r="P9983"/>
      <c r="Q9983"/>
      <c r="R9983"/>
      <c r="S9983"/>
    </row>
    <row r="9984" spans="13:19" ht="13.95" customHeight="1">
      <c r="M9984"/>
      <c r="N9984"/>
      <c r="O9984"/>
      <c r="P9984"/>
      <c r="Q9984"/>
      <c r="R9984"/>
      <c r="S9984"/>
    </row>
    <row r="9985" spans="13:19" ht="13.95" customHeight="1">
      <c r="M9985"/>
      <c r="N9985"/>
      <c r="O9985"/>
      <c r="P9985"/>
      <c r="Q9985"/>
      <c r="R9985"/>
      <c r="S9985"/>
    </row>
    <row r="9986" spans="13:19" ht="13.95" customHeight="1">
      <c r="M9986"/>
      <c r="N9986"/>
      <c r="O9986"/>
      <c r="P9986"/>
      <c r="Q9986"/>
      <c r="R9986"/>
      <c r="S9986"/>
    </row>
    <row r="9987" spans="13:19" ht="13.95" customHeight="1">
      <c r="M9987"/>
      <c r="N9987"/>
      <c r="O9987"/>
      <c r="P9987"/>
      <c r="Q9987"/>
      <c r="R9987"/>
      <c r="S9987"/>
    </row>
    <row r="9988" spans="13:19" ht="13.95" customHeight="1">
      <c r="M9988"/>
      <c r="N9988"/>
      <c r="O9988"/>
      <c r="P9988"/>
      <c r="Q9988"/>
      <c r="R9988"/>
      <c r="S9988"/>
    </row>
    <row r="9989" spans="13:19" ht="13.95" customHeight="1">
      <c r="M9989"/>
      <c r="N9989"/>
      <c r="O9989"/>
      <c r="P9989"/>
      <c r="Q9989"/>
      <c r="R9989"/>
      <c r="S9989"/>
    </row>
    <row r="9990" spans="13:19" ht="13.95" customHeight="1">
      <c r="M9990"/>
      <c r="N9990"/>
      <c r="O9990"/>
      <c r="P9990"/>
      <c r="Q9990"/>
      <c r="R9990"/>
      <c r="S9990"/>
    </row>
    <row r="9991" spans="13:19" ht="13.95" customHeight="1">
      <c r="M9991"/>
      <c r="N9991"/>
      <c r="O9991"/>
      <c r="P9991"/>
      <c r="Q9991"/>
      <c r="R9991"/>
      <c r="S9991"/>
    </row>
    <row r="9992" spans="13:19" ht="13.95" customHeight="1">
      <c r="M9992"/>
      <c r="N9992"/>
      <c r="O9992"/>
      <c r="P9992"/>
      <c r="Q9992"/>
      <c r="R9992"/>
      <c r="S9992"/>
    </row>
    <row r="9993" spans="13:19" ht="13.95" customHeight="1">
      <c r="M9993"/>
      <c r="N9993"/>
      <c r="O9993"/>
      <c r="P9993"/>
      <c r="Q9993"/>
      <c r="R9993"/>
      <c r="S9993"/>
    </row>
    <row r="9994" spans="13:19" ht="13.95" customHeight="1">
      <c r="M9994"/>
      <c r="N9994"/>
      <c r="O9994"/>
      <c r="P9994"/>
      <c r="Q9994"/>
      <c r="R9994"/>
      <c r="S9994"/>
    </row>
    <row r="9995" spans="13:19" ht="13.95" customHeight="1">
      <c r="M9995"/>
      <c r="N9995"/>
      <c r="O9995"/>
      <c r="P9995"/>
      <c r="Q9995"/>
      <c r="R9995"/>
      <c r="S9995"/>
    </row>
    <row r="9996" spans="13:19" ht="13.95" customHeight="1">
      <c r="M9996"/>
      <c r="N9996"/>
      <c r="O9996"/>
      <c r="P9996"/>
      <c r="Q9996"/>
      <c r="R9996"/>
      <c r="S9996"/>
    </row>
    <row r="9997" spans="13:19" ht="13.95" customHeight="1">
      <c r="M9997"/>
      <c r="N9997"/>
      <c r="O9997"/>
      <c r="P9997"/>
      <c r="Q9997"/>
      <c r="R9997"/>
      <c r="S9997"/>
    </row>
    <row r="9998" spans="13:19" ht="13.95" customHeight="1">
      <c r="M9998"/>
      <c r="N9998"/>
      <c r="O9998"/>
      <c r="P9998"/>
      <c r="Q9998"/>
      <c r="R9998"/>
      <c r="S9998"/>
    </row>
    <row r="9999" spans="13:19" ht="13.95" customHeight="1">
      <c r="M9999"/>
      <c r="N9999"/>
      <c r="O9999"/>
      <c r="P9999"/>
      <c r="Q9999"/>
      <c r="R9999"/>
      <c r="S9999"/>
    </row>
    <row r="10000" spans="13:19" ht="13.95" customHeight="1">
      <c r="M10000"/>
      <c r="N10000"/>
      <c r="O10000"/>
      <c r="P10000"/>
      <c r="Q10000"/>
      <c r="R10000"/>
      <c r="S10000"/>
    </row>
    <row r="10001" spans="13:19" ht="13.95" customHeight="1">
      <c r="M10001"/>
      <c r="N10001"/>
      <c r="O10001"/>
      <c r="P10001"/>
      <c r="Q10001"/>
      <c r="R10001"/>
      <c r="S10001"/>
    </row>
    <row r="10002" spans="13:19" ht="13.95" customHeight="1">
      <c r="M10002"/>
      <c r="N10002"/>
      <c r="O10002"/>
      <c r="P10002"/>
      <c r="Q10002"/>
      <c r="R10002"/>
      <c r="S10002"/>
    </row>
    <row r="10003" spans="13:19" ht="13.95" customHeight="1">
      <c r="M10003"/>
      <c r="N10003"/>
      <c r="O10003"/>
      <c r="P10003"/>
      <c r="Q10003"/>
      <c r="R10003"/>
      <c r="S10003"/>
    </row>
    <row r="10004" spans="13:19" ht="13.95" customHeight="1">
      <c r="M10004"/>
      <c r="N10004"/>
      <c r="O10004"/>
      <c r="P10004"/>
      <c r="Q10004"/>
      <c r="R10004"/>
      <c r="S10004"/>
    </row>
    <row r="10005" spans="13:19" ht="13.95" customHeight="1">
      <c r="M10005"/>
      <c r="N10005"/>
      <c r="O10005"/>
      <c r="P10005"/>
      <c r="Q10005"/>
      <c r="R10005"/>
      <c r="S10005"/>
    </row>
    <row r="10006" spans="13:19" ht="13.95" customHeight="1">
      <c r="M10006"/>
      <c r="N10006"/>
      <c r="O10006"/>
      <c r="P10006"/>
      <c r="Q10006"/>
      <c r="R10006"/>
      <c r="S10006"/>
    </row>
    <row r="10007" spans="13:19" ht="13.95" customHeight="1">
      <c r="M10007"/>
      <c r="N10007"/>
      <c r="O10007"/>
      <c r="P10007"/>
      <c r="Q10007"/>
      <c r="R10007"/>
      <c r="S10007"/>
    </row>
    <row r="10008" spans="13:19" ht="13.95" customHeight="1">
      <c r="M10008"/>
      <c r="N10008"/>
      <c r="O10008"/>
      <c r="P10008"/>
      <c r="Q10008"/>
      <c r="R10008"/>
      <c r="S10008"/>
    </row>
    <row r="10009" spans="13:19" ht="13.95" customHeight="1">
      <c r="M10009"/>
      <c r="N10009"/>
      <c r="O10009"/>
      <c r="P10009"/>
      <c r="Q10009"/>
      <c r="R10009"/>
      <c r="S10009"/>
    </row>
    <row r="10010" spans="13:19" ht="13.95" customHeight="1">
      <c r="M10010"/>
      <c r="N10010"/>
      <c r="O10010"/>
      <c r="P10010"/>
      <c r="Q10010"/>
      <c r="R10010"/>
      <c r="S10010"/>
    </row>
    <row r="10011" spans="13:19" ht="13.95" customHeight="1">
      <c r="M10011"/>
      <c r="N10011"/>
      <c r="O10011"/>
      <c r="P10011"/>
      <c r="Q10011"/>
      <c r="R10011"/>
      <c r="S10011"/>
    </row>
    <row r="10012" spans="13:19" ht="13.95" customHeight="1">
      <c r="M10012"/>
      <c r="N10012"/>
      <c r="O10012"/>
      <c r="P10012"/>
      <c r="Q10012"/>
      <c r="R10012"/>
      <c r="S10012"/>
    </row>
    <row r="10013" spans="13:19" ht="13.95" customHeight="1">
      <c r="M10013"/>
      <c r="N10013"/>
      <c r="O10013"/>
      <c r="P10013"/>
      <c r="Q10013"/>
      <c r="R10013"/>
      <c r="S10013"/>
    </row>
    <row r="10014" spans="13:19" ht="13.95" customHeight="1">
      <c r="M10014"/>
      <c r="N10014"/>
      <c r="O10014"/>
      <c r="P10014"/>
      <c r="Q10014"/>
      <c r="R10014"/>
      <c r="S10014"/>
    </row>
    <row r="10015" spans="13:19" ht="13.95" customHeight="1">
      <c r="M10015"/>
      <c r="N10015"/>
      <c r="O10015"/>
      <c r="P10015"/>
      <c r="Q10015"/>
      <c r="R10015"/>
      <c r="S10015"/>
    </row>
    <row r="10016" spans="13:19" ht="13.95" customHeight="1">
      <c r="M10016"/>
      <c r="N10016"/>
      <c r="O10016"/>
      <c r="P10016"/>
      <c r="Q10016"/>
      <c r="R10016"/>
      <c r="S10016"/>
    </row>
    <row r="10017" spans="13:19" ht="13.95" customHeight="1">
      <c r="M10017"/>
      <c r="N10017"/>
      <c r="O10017"/>
      <c r="P10017"/>
      <c r="Q10017"/>
      <c r="R10017"/>
      <c r="S10017"/>
    </row>
    <row r="10018" spans="13:19" ht="13.95" customHeight="1">
      <c r="M10018"/>
      <c r="N10018"/>
      <c r="O10018"/>
      <c r="P10018"/>
      <c r="Q10018"/>
      <c r="R10018"/>
      <c r="S10018"/>
    </row>
    <row r="10019" spans="13:19" ht="13.95" customHeight="1">
      <c r="M10019"/>
      <c r="N10019"/>
      <c r="O10019"/>
      <c r="P10019"/>
      <c r="Q10019"/>
      <c r="R10019"/>
      <c r="S10019"/>
    </row>
    <row r="10020" spans="13:19" ht="13.95" customHeight="1">
      <c r="M10020"/>
      <c r="N10020"/>
      <c r="O10020"/>
      <c r="P10020"/>
      <c r="Q10020"/>
      <c r="R10020"/>
      <c r="S10020"/>
    </row>
    <row r="10021" spans="13:19" ht="13.95" customHeight="1">
      <c r="M10021"/>
      <c r="N10021"/>
      <c r="O10021"/>
      <c r="P10021"/>
      <c r="Q10021"/>
      <c r="R10021"/>
      <c r="S10021"/>
    </row>
    <row r="10022" spans="13:19" ht="13.95" customHeight="1">
      <c r="M10022"/>
      <c r="N10022"/>
      <c r="O10022"/>
      <c r="P10022"/>
      <c r="Q10022"/>
      <c r="R10022"/>
      <c r="S10022"/>
    </row>
    <row r="10023" spans="13:19" ht="13.95" customHeight="1">
      <c r="M10023"/>
      <c r="N10023"/>
      <c r="O10023"/>
      <c r="P10023"/>
      <c r="Q10023"/>
      <c r="R10023"/>
      <c r="S10023"/>
    </row>
    <row r="10024" spans="13:19" ht="13.95" customHeight="1">
      <c r="M10024"/>
      <c r="N10024"/>
      <c r="O10024"/>
      <c r="P10024"/>
      <c r="Q10024"/>
      <c r="R10024"/>
      <c r="S10024"/>
    </row>
    <row r="10025" spans="13:19" ht="13.95" customHeight="1">
      <c r="M10025"/>
      <c r="N10025"/>
      <c r="O10025"/>
      <c r="P10025"/>
      <c r="Q10025"/>
      <c r="R10025"/>
      <c r="S10025"/>
    </row>
    <row r="10026" spans="13:19" ht="13.95" customHeight="1">
      <c r="M10026"/>
      <c r="N10026"/>
      <c r="O10026"/>
      <c r="P10026"/>
      <c r="Q10026"/>
      <c r="R10026"/>
      <c r="S10026"/>
    </row>
    <row r="10027" spans="13:19" ht="13.95" customHeight="1">
      <c r="M10027"/>
      <c r="N10027"/>
      <c r="O10027"/>
      <c r="P10027"/>
      <c r="Q10027"/>
      <c r="R10027"/>
      <c r="S10027"/>
    </row>
    <row r="10028" spans="13:19" ht="13.95" customHeight="1">
      <c r="M10028"/>
      <c r="N10028"/>
      <c r="O10028"/>
      <c r="P10028"/>
      <c r="Q10028"/>
      <c r="R10028"/>
      <c r="S10028"/>
    </row>
    <row r="10029" spans="13:19" ht="13.95" customHeight="1">
      <c r="M10029"/>
      <c r="N10029"/>
      <c r="O10029"/>
      <c r="P10029"/>
      <c r="Q10029"/>
      <c r="R10029"/>
      <c r="S10029"/>
    </row>
    <row r="10030" spans="13:19" ht="13.95" customHeight="1">
      <c r="M10030"/>
      <c r="N10030"/>
      <c r="O10030"/>
      <c r="P10030"/>
      <c r="Q10030"/>
      <c r="R10030"/>
      <c r="S10030"/>
    </row>
    <row r="10031" spans="13:19" ht="13.95" customHeight="1">
      <c r="M10031"/>
      <c r="N10031"/>
      <c r="O10031"/>
      <c r="P10031"/>
      <c r="Q10031"/>
      <c r="R10031"/>
      <c r="S10031"/>
    </row>
    <row r="10032" spans="13:19" ht="13.95" customHeight="1">
      <c r="M10032"/>
      <c r="N10032"/>
      <c r="O10032"/>
      <c r="P10032"/>
      <c r="Q10032"/>
      <c r="R10032"/>
      <c r="S10032"/>
    </row>
    <row r="10033" spans="13:19" ht="13.95" customHeight="1">
      <c r="M10033"/>
      <c r="N10033"/>
      <c r="O10033"/>
      <c r="P10033"/>
      <c r="Q10033"/>
      <c r="R10033"/>
      <c r="S10033"/>
    </row>
    <row r="10034" spans="13:19" ht="13.95" customHeight="1">
      <c r="M10034"/>
      <c r="N10034"/>
      <c r="O10034"/>
      <c r="P10034"/>
      <c r="Q10034"/>
      <c r="R10034"/>
      <c r="S10034"/>
    </row>
    <row r="10035" spans="13:19" ht="13.95" customHeight="1">
      <c r="M10035"/>
      <c r="N10035"/>
      <c r="O10035"/>
      <c r="P10035"/>
      <c r="Q10035"/>
      <c r="R10035"/>
      <c r="S10035"/>
    </row>
    <row r="10036" spans="13:19" ht="13.95" customHeight="1">
      <c r="M10036"/>
      <c r="N10036"/>
      <c r="O10036"/>
      <c r="P10036"/>
      <c r="Q10036"/>
      <c r="R10036"/>
      <c r="S10036"/>
    </row>
    <row r="10037" spans="13:19" ht="13.95" customHeight="1">
      <c r="M10037"/>
      <c r="N10037"/>
      <c r="O10037"/>
      <c r="P10037"/>
      <c r="Q10037"/>
      <c r="R10037"/>
      <c r="S10037"/>
    </row>
    <row r="10038" spans="13:19" ht="13.95" customHeight="1">
      <c r="M10038"/>
      <c r="N10038"/>
      <c r="O10038"/>
      <c r="P10038"/>
      <c r="Q10038"/>
      <c r="R10038"/>
      <c r="S10038"/>
    </row>
    <row r="10039" spans="13:19" ht="13.95" customHeight="1">
      <c r="M10039"/>
      <c r="N10039"/>
      <c r="O10039"/>
      <c r="P10039"/>
      <c r="Q10039"/>
      <c r="R10039"/>
      <c r="S10039"/>
    </row>
    <row r="10040" spans="13:19" ht="13.95" customHeight="1">
      <c r="M10040"/>
      <c r="N10040"/>
      <c r="O10040"/>
      <c r="P10040"/>
      <c r="Q10040"/>
      <c r="R10040"/>
      <c r="S10040"/>
    </row>
    <row r="10041" spans="13:19" ht="13.95" customHeight="1">
      <c r="M10041"/>
      <c r="N10041"/>
      <c r="O10041"/>
      <c r="P10041"/>
      <c r="Q10041"/>
      <c r="R10041"/>
      <c r="S10041"/>
    </row>
    <row r="10042" spans="13:19" ht="13.95" customHeight="1">
      <c r="M10042"/>
      <c r="N10042"/>
      <c r="O10042"/>
      <c r="P10042"/>
      <c r="Q10042"/>
      <c r="R10042"/>
      <c r="S10042"/>
    </row>
    <row r="10043" spans="13:19" ht="13.95" customHeight="1">
      <c r="M10043"/>
      <c r="N10043"/>
      <c r="O10043"/>
      <c r="P10043"/>
      <c r="Q10043"/>
      <c r="R10043"/>
      <c r="S10043"/>
    </row>
    <row r="10044" spans="13:19" ht="13.95" customHeight="1">
      <c r="M10044"/>
      <c r="N10044"/>
      <c r="O10044"/>
      <c r="P10044"/>
      <c r="Q10044"/>
      <c r="R10044"/>
      <c r="S10044"/>
    </row>
    <row r="10045" spans="13:19" ht="13.95" customHeight="1">
      <c r="M10045"/>
      <c r="N10045"/>
      <c r="O10045"/>
      <c r="P10045"/>
      <c r="Q10045"/>
      <c r="R10045"/>
      <c r="S10045"/>
    </row>
    <row r="10046" spans="13:19" ht="13.95" customHeight="1">
      <c r="M10046"/>
      <c r="N10046"/>
      <c r="O10046"/>
      <c r="P10046"/>
      <c r="Q10046"/>
      <c r="R10046"/>
      <c r="S10046"/>
    </row>
    <row r="10047" spans="13:19" ht="13.95" customHeight="1">
      <c r="M10047"/>
      <c r="N10047"/>
      <c r="O10047"/>
      <c r="P10047"/>
      <c r="Q10047"/>
      <c r="R10047"/>
      <c r="S10047"/>
    </row>
    <row r="10048" spans="13:19" ht="13.95" customHeight="1">
      <c r="M10048"/>
      <c r="N10048"/>
      <c r="O10048"/>
      <c r="P10048"/>
      <c r="Q10048"/>
      <c r="R10048"/>
      <c r="S10048"/>
    </row>
    <row r="10049" spans="13:19" ht="13.95" customHeight="1">
      <c r="M10049"/>
      <c r="N10049"/>
      <c r="O10049"/>
      <c r="P10049"/>
      <c r="Q10049"/>
      <c r="R10049"/>
      <c r="S10049"/>
    </row>
    <row r="10050" spans="13:19" ht="13.95" customHeight="1">
      <c r="M10050"/>
      <c r="N10050"/>
      <c r="O10050"/>
      <c r="P10050"/>
      <c r="Q10050"/>
      <c r="R10050"/>
      <c r="S10050"/>
    </row>
    <row r="10051" spans="13:19" ht="13.95" customHeight="1">
      <c r="M10051"/>
      <c r="N10051"/>
      <c r="O10051"/>
      <c r="P10051"/>
      <c r="Q10051"/>
      <c r="R10051"/>
      <c r="S10051"/>
    </row>
    <row r="10052" spans="13:19" ht="13.95" customHeight="1">
      <c r="M10052"/>
      <c r="N10052"/>
      <c r="O10052"/>
      <c r="P10052"/>
      <c r="Q10052"/>
      <c r="R10052"/>
      <c r="S10052"/>
    </row>
    <row r="10053" spans="13:19" ht="13.95" customHeight="1">
      <c r="M10053"/>
      <c r="N10053"/>
      <c r="O10053"/>
      <c r="P10053"/>
      <c r="Q10053"/>
      <c r="R10053"/>
      <c r="S10053"/>
    </row>
    <row r="10054" spans="13:19" ht="13.95" customHeight="1">
      <c r="M10054"/>
      <c r="N10054"/>
      <c r="O10054"/>
      <c r="P10054"/>
      <c r="Q10054"/>
      <c r="R10054"/>
      <c r="S10054"/>
    </row>
    <row r="10055" spans="13:19" ht="13.95" customHeight="1">
      <c r="M10055"/>
      <c r="N10055"/>
      <c r="O10055"/>
      <c r="P10055"/>
      <c r="Q10055"/>
      <c r="R10055"/>
      <c r="S10055"/>
    </row>
    <row r="10056" spans="13:19" ht="13.95" customHeight="1">
      <c r="M10056"/>
      <c r="N10056"/>
      <c r="O10056"/>
      <c r="P10056"/>
      <c r="Q10056"/>
      <c r="R10056"/>
      <c r="S10056"/>
    </row>
    <row r="10057" spans="13:19" ht="13.95" customHeight="1">
      <c r="M10057"/>
      <c r="N10057"/>
      <c r="O10057"/>
      <c r="P10057"/>
      <c r="Q10057"/>
      <c r="R10057"/>
      <c r="S10057"/>
    </row>
    <row r="10058" spans="13:19" ht="13.95" customHeight="1">
      <c r="M10058"/>
      <c r="N10058"/>
      <c r="O10058"/>
      <c r="P10058"/>
      <c r="Q10058"/>
      <c r="R10058"/>
      <c r="S10058"/>
    </row>
    <row r="10059" spans="13:19" ht="13.95" customHeight="1">
      <c r="M10059"/>
      <c r="N10059"/>
      <c r="O10059"/>
      <c r="P10059"/>
      <c r="Q10059"/>
      <c r="R10059"/>
      <c r="S10059"/>
    </row>
    <row r="10060" spans="13:19" ht="13.95" customHeight="1">
      <c r="M10060"/>
      <c r="N10060"/>
      <c r="O10060"/>
      <c r="P10060"/>
      <c r="Q10060"/>
      <c r="R10060"/>
      <c r="S10060"/>
    </row>
    <row r="10061" spans="13:19" ht="13.95" customHeight="1">
      <c r="M10061"/>
      <c r="N10061"/>
      <c r="O10061"/>
      <c r="P10061"/>
      <c r="Q10061"/>
      <c r="R10061"/>
      <c r="S10061"/>
    </row>
    <row r="10062" spans="13:19" ht="13.95" customHeight="1">
      <c r="M10062"/>
      <c r="N10062"/>
      <c r="O10062"/>
      <c r="P10062"/>
      <c r="Q10062"/>
      <c r="R10062"/>
      <c r="S10062"/>
    </row>
    <row r="10063" spans="13:19" ht="13.95" customHeight="1">
      <c r="M10063"/>
      <c r="N10063"/>
      <c r="O10063"/>
      <c r="P10063"/>
      <c r="Q10063"/>
      <c r="R10063"/>
      <c r="S10063"/>
    </row>
    <row r="10064" spans="13:19" ht="13.95" customHeight="1">
      <c r="M10064"/>
      <c r="N10064"/>
      <c r="O10064"/>
      <c r="P10064"/>
      <c r="Q10064"/>
      <c r="R10064"/>
      <c r="S10064"/>
    </row>
    <row r="10065" spans="13:19" ht="13.95" customHeight="1">
      <c r="M10065"/>
      <c r="N10065"/>
      <c r="O10065"/>
      <c r="P10065"/>
      <c r="Q10065"/>
      <c r="R10065"/>
      <c r="S10065"/>
    </row>
    <row r="10066" spans="13:19" ht="13.95" customHeight="1">
      <c r="M10066"/>
      <c r="N10066"/>
      <c r="O10066"/>
      <c r="P10066"/>
      <c r="Q10066"/>
      <c r="R10066"/>
      <c r="S10066"/>
    </row>
    <row r="10067" spans="13:19" ht="13.95" customHeight="1">
      <c r="M10067"/>
      <c r="N10067"/>
      <c r="O10067"/>
      <c r="P10067"/>
      <c r="Q10067"/>
      <c r="R10067"/>
      <c r="S10067"/>
    </row>
    <row r="10068" spans="13:19" ht="13.95" customHeight="1">
      <c r="M10068"/>
      <c r="N10068"/>
      <c r="O10068"/>
      <c r="P10068"/>
      <c r="Q10068"/>
      <c r="R10068"/>
      <c r="S10068"/>
    </row>
    <row r="10069" spans="13:19" ht="13.95" customHeight="1">
      <c r="M10069"/>
      <c r="N10069"/>
      <c r="O10069"/>
      <c r="P10069"/>
      <c r="Q10069"/>
      <c r="R10069"/>
      <c r="S10069"/>
    </row>
    <row r="10070" spans="13:19" ht="13.95" customHeight="1">
      <c r="M10070"/>
      <c r="N10070"/>
      <c r="O10070"/>
      <c r="P10070"/>
      <c r="Q10070"/>
      <c r="R10070"/>
      <c r="S10070"/>
    </row>
    <row r="10071" spans="13:19" ht="13.95" customHeight="1">
      <c r="M10071"/>
      <c r="N10071"/>
      <c r="O10071"/>
      <c r="P10071"/>
      <c r="Q10071"/>
      <c r="R10071"/>
      <c r="S10071"/>
    </row>
    <row r="10072" spans="13:19" ht="13.95" customHeight="1">
      <c r="M10072"/>
      <c r="N10072"/>
      <c r="O10072"/>
      <c r="P10072"/>
      <c r="Q10072"/>
      <c r="R10072"/>
      <c r="S10072"/>
    </row>
    <row r="10073" spans="13:19" ht="13.95" customHeight="1">
      <c r="M10073"/>
      <c r="N10073"/>
      <c r="O10073"/>
      <c r="P10073"/>
      <c r="Q10073"/>
      <c r="R10073"/>
      <c r="S10073"/>
    </row>
    <row r="10074" spans="13:19" ht="13.95" customHeight="1">
      <c r="M10074"/>
      <c r="N10074"/>
      <c r="O10074"/>
      <c r="P10074"/>
      <c r="Q10074"/>
      <c r="R10074"/>
      <c r="S10074"/>
    </row>
    <row r="10075" spans="13:19" ht="13.95" customHeight="1">
      <c r="M10075"/>
      <c r="N10075"/>
      <c r="O10075"/>
      <c r="P10075"/>
      <c r="Q10075"/>
      <c r="R10075"/>
      <c r="S10075"/>
    </row>
    <row r="10076" spans="13:19" ht="13.95" customHeight="1">
      <c r="M10076"/>
      <c r="N10076"/>
      <c r="O10076"/>
      <c r="P10076"/>
      <c r="Q10076"/>
      <c r="R10076"/>
      <c r="S10076"/>
    </row>
    <row r="10077" spans="13:19" ht="13.95" customHeight="1">
      <c r="M10077"/>
      <c r="N10077"/>
      <c r="O10077"/>
      <c r="P10077"/>
      <c r="Q10077"/>
      <c r="R10077"/>
      <c r="S10077"/>
    </row>
    <row r="10078" spans="13:19" ht="13.95" customHeight="1">
      <c r="M10078"/>
      <c r="N10078"/>
      <c r="O10078"/>
      <c r="P10078"/>
      <c r="Q10078"/>
      <c r="R10078"/>
      <c r="S10078"/>
    </row>
    <row r="10079" spans="13:19" ht="13.95" customHeight="1">
      <c r="M10079"/>
      <c r="N10079"/>
      <c r="O10079"/>
      <c r="P10079"/>
      <c r="Q10079"/>
      <c r="R10079"/>
      <c r="S10079"/>
    </row>
    <row r="10080" spans="13:19" ht="13.95" customHeight="1">
      <c r="M10080"/>
      <c r="N10080"/>
      <c r="O10080"/>
      <c r="P10080"/>
      <c r="Q10080"/>
      <c r="R10080"/>
      <c r="S10080"/>
    </row>
    <row r="10081" spans="13:19" ht="13.95" customHeight="1">
      <c r="M10081"/>
      <c r="N10081"/>
      <c r="O10081"/>
      <c r="P10081"/>
      <c r="Q10081"/>
      <c r="R10081"/>
      <c r="S10081"/>
    </row>
    <row r="10082" spans="13:19" ht="13.95" customHeight="1">
      <c r="M10082"/>
      <c r="N10082"/>
      <c r="O10082"/>
      <c r="P10082"/>
      <c r="Q10082"/>
      <c r="R10082"/>
      <c r="S10082"/>
    </row>
    <row r="10083" spans="13:19" ht="13.95" customHeight="1">
      <c r="M10083"/>
      <c r="N10083"/>
      <c r="O10083"/>
      <c r="P10083"/>
      <c r="Q10083"/>
      <c r="R10083"/>
      <c r="S10083"/>
    </row>
    <row r="10084" spans="13:19" ht="13.95" customHeight="1">
      <c r="M10084"/>
      <c r="N10084"/>
      <c r="O10084"/>
      <c r="P10084"/>
      <c r="Q10084"/>
      <c r="R10084"/>
      <c r="S10084"/>
    </row>
    <row r="10085" spans="13:19" ht="13.95" customHeight="1">
      <c r="M10085"/>
      <c r="N10085"/>
      <c r="O10085"/>
      <c r="P10085"/>
      <c r="Q10085"/>
      <c r="R10085"/>
      <c r="S10085"/>
    </row>
    <row r="10086" spans="13:19" ht="13.95" customHeight="1">
      <c r="M10086"/>
      <c r="N10086"/>
      <c r="O10086"/>
      <c r="P10086"/>
      <c r="Q10086"/>
      <c r="R10086"/>
      <c r="S10086"/>
    </row>
    <row r="10087" spans="13:19" ht="13.95" customHeight="1">
      <c r="M10087"/>
      <c r="N10087"/>
      <c r="O10087"/>
      <c r="P10087"/>
      <c r="Q10087"/>
      <c r="R10087"/>
      <c r="S10087"/>
    </row>
    <row r="10088" spans="13:19" ht="13.95" customHeight="1">
      <c r="M10088"/>
      <c r="N10088"/>
      <c r="O10088"/>
      <c r="P10088"/>
      <c r="Q10088"/>
      <c r="R10088"/>
      <c r="S10088"/>
    </row>
    <row r="10089" spans="13:19" ht="13.95" customHeight="1">
      <c r="M10089"/>
      <c r="N10089"/>
      <c r="O10089"/>
      <c r="P10089"/>
      <c r="Q10089"/>
      <c r="R10089"/>
      <c r="S10089"/>
    </row>
    <row r="10090" spans="13:19" ht="13.95" customHeight="1">
      <c r="M10090"/>
      <c r="N10090"/>
      <c r="O10090"/>
      <c r="P10090"/>
      <c r="Q10090"/>
      <c r="R10090"/>
      <c r="S10090"/>
    </row>
    <row r="10091" spans="13:19" ht="13.95" customHeight="1">
      <c r="M10091"/>
      <c r="N10091"/>
      <c r="O10091"/>
      <c r="P10091"/>
      <c r="Q10091"/>
      <c r="R10091"/>
      <c r="S10091"/>
    </row>
    <row r="10092" spans="13:19" ht="13.95" customHeight="1">
      <c r="M10092"/>
      <c r="N10092"/>
      <c r="O10092"/>
      <c r="P10092"/>
      <c r="Q10092"/>
      <c r="R10092"/>
      <c r="S10092"/>
    </row>
    <row r="10093" spans="13:19" ht="13.95" customHeight="1">
      <c r="M10093"/>
      <c r="N10093"/>
      <c r="O10093"/>
      <c r="P10093"/>
      <c r="Q10093"/>
      <c r="R10093"/>
      <c r="S10093"/>
    </row>
    <row r="10094" spans="13:19" ht="13.95" customHeight="1">
      <c r="M10094"/>
      <c r="N10094"/>
      <c r="O10094"/>
      <c r="P10094"/>
      <c r="Q10094"/>
      <c r="R10094"/>
      <c r="S10094"/>
    </row>
    <row r="10095" spans="13:19" ht="13.95" customHeight="1">
      <c r="M10095"/>
      <c r="N10095"/>
      <c r="O10095"/>
      <c r="P10095"/>
      <c r="Q10095"/>
      <c r="R10095"/>
      <c r="S10095"/>
    </row>
    <row r="10096" spans="13:19" ht="13.95" customHeight="1">
      <c r="M10096"/>
      <c r="N10096"/>
      <c r="O10096"/>
      <c r="P10096"/>
      <c r="Q10096"/>
      <c r="R10096"/>
      <c r="S10096"/>
    </row>
    <row r="10097" spans="13:19" ht="13.95" customHeight="1">
      <c r="M10097"/>
      <c r="N10097"/>
      <c r="O10097"/>
      <c r="P10097"/>
      <c r="Q10097"/>
      <c r="R10097"/>
      <c r="S10097"/>
    </row>
    <row r="10098" spans="13:19" ht="13.95" customHeight="1">
      <c r="M10098"/>
      <c r="N10098"/>
      <c r="O10098"/>
      <c r="P10098"/>
      <c r="Q10098"/>
      <c r="R10098"/>
      <c r="S10098"/>
    </row>
    <row r="10099" spans="13:19" ht="13.95" customHeight="1">
      <c r="M10099"/>
      <c r="N10099"/>
      <c r="O10099"/>
      <c r="P10099"/>
      <c r="Q10099"/>
      <c r="R10099"/>
      <c r="S10099"/>
    </row>
    <row r="10100" spans="13:19" ht="13.95" customHeight="1">
      <c r="M10100"/>
      <c r="N10100"/>
      <c r="O10100"/>
      <c r="P10100"/>
      <c r="Q10100"/>
      <c r="R10100"/>
      <c r="S10100"/>
    </row>
    <row r="10101" spans="13:19" ht="13.95" customHeight="1">
      <c r="M10101"/>
      <c r="N10101"/>
      <c r="O10101"/>
      <c r="P10101"/>
      <c r="Q10101"/>
      <c r="R10101"/>
      <c r="S10101"/>
    </row>
    <row r="10102" spans="13:19" ht="13.95" customHeight="1">
      <c r="M10102"/>
      <c r="N10102"/>
      <c r="O10102"/>
      <c r="P10102"/>
      <c r="Q10102"/>
      <c r="R10102"/>
      <c r="S10102"/>
    </row>
    <row r="10103" spans="13:19" ht="13.95" customHeight="1">
      <c r="M10103"/>
      <c r="N10103"/>
      <c r="O10103"/>
      <c r="P10103"/>
      <c r="Q10103"/>
      <c r="R10103"/>
      <c r="S10103"/>
    </row>
    <row r="10104" spans="13:19" ht="13.95" customHeight="1">
      <c r="M10104"/>
      <c r="N10104"/>
      <c r="O10104"/>
      <c r="P10104"/>
      <c r="Q10104"/>
      <c r="R10104"/>
      <c r="S10104"/>
    </row>
    <row r="10105" spans="13:19" ht="13.95" customHeight="1">
      <c r="M10105"/>
      <c r="N10105"/>
      <c r="O10105"/>
      <c r="P10105"/>
      <c r="Q10105"/>
      <c r="R10105"/>
      <c r="S10105"/>
    </row>
    <row r="10106" spans="13:19" ht="13.95" customHeight="1">
      <c r="M10106"/>
      <c r="N10106"/>
      <c r="O10106"/>
      <c r="P10106"/>
      <c r="Q10106"/>
      <c r="R10106"/>
      <c r="S10106"/>
    </row>
    <row r="10107" spans="13:19" ht="13.95" customHeight="1">
      <c r="M10107"/>
      <c r="N10107"/>
      <c r="O10107"/>
      <c r="P10107"/>
      <c r="Q10107"/>
      <c r="R10107"/>
      <c r="S10107"/>
    </row>
    <row r="10108" spans="13:19" ht="13.95" customHeight="1">
      <c r="M10108"/>
      <c r="N10108"/>
      <c r="O10108"/>
      <c r="P10108"/>
      <c r="Q10108"/>
      <c r="R10108"/>
      <c r="S10108"/>
    </row>
    <row r="10109" spans="13:19" ht="13.95" customHeight="1">
      <c r="M10109"/>
      <c r="N10109"/>
      <c r="O10109"/>
      <c r="P10109"/>
      <c r="Q10109"/>
      <c r="R10109"/>
      <c r="S10109"/>
    </row>
    <row r="10110" spans="13:19" ht="13.95" customHeight="1">
      <c r="M10110"/>
      <c r="N10110"/>
      <c r="O10110"/>
      <c r="P10110"/>
      <c r="Q10110"/>
      <c r="R10110"/>
      <c r="S10110"/>
    </row>
    <row r="10111" spans="13:19" ht="13.95" customHeight="1">
      <c r="M10111"/>
      <c r="N10111"/>
      <c r="O10111"/>
      <c r="P10111"/>
      <c r="Q10111"/>
      <c r="R10111"/>
      <c r="S10111"/>
    </row>
    <row r="10112" spans="13:19" ht="13.95" customHeight="1">
      <c r="M10112"/>
      <c r="N10112"/>
      <c r="O10112"/>
      <c r="P10112"/>
      <c r="Q10112"/>
      <c r="R10112"/>
      <c r="S10112"/>
    </row>
    <row r="10113" spans="13:19" ht="13.95" customHeight="1">
      <c r="M10113"/>
      <c r="N10113"/>
      <c r="O10113"/>
      <c r="P10113"/>
      <c r="Q10113"/>
      <c r="R10113"/>
      <c r="S10113"/>
    </row>
    <row r="10114" spans="13:19" ht="13.95" customHeight="1">
      <c r="M10114"/>
      <c r="N10114"/>
      <c r="O10114"/>
      <c r="P10114"/>
      <c r="Q10114"/>
      <c r="R10114"/>
      <c r="S10114"/>
    </row>
    <row r="10115" spans="13:19" ht="13.95" customHeight="1">
      <c r="M10115"/>
      <c r="N10115"/>
      <c r="O10115"/>
      <c r="P10115"/>
      <c r="Q10115"/>
      <c r="R10115"/>
      <c r="S10115"/>
    </row>
    <row r="10116" spans="13:19" ht="13.95" customHeight="1">
      <c r="M10116"/>
      <c r="N10116"/>
      <c r="O10116"/>
      <c r="P10116"/>
      <c r="Q10116"/>
      <c r="R10116"/>
      <c r="S10116"/>
    </row>
    <row r="10117" spans="13:19" ht="13.95" customHeight="1">
      <c r="M10117"/>
      <c r="N10117"/>
      <c r="O10117"/>
      <c r="P10117"/>
      <c r="Q10117"/>
      <c r="R10117"/>
      <c r="S10117"/>
    </row>
    <row r="10118" spans="13:19" ht="13.95" customHeight="1">
      <c r="M10118"/>
      <c r="N10118"/>
      <c r="O10118"/>
      <c r="P10118"/>
      <c r="Q10118"/>
      <c r="R10118"/>
      <c r="S10118"/>
    </row>
    <row r="10119" spans="13:19" ht="13.95" customHeight="1">
      <c r="M10119"/>
      <c r="N10119"/>
      <c r="O10119"/>
      <c r="P10119"/>
      <c r="Q10119"/>
      <c r="R10119"/>
      <c r="S10119"/>
    </row>
    <row r="10120" spans="13:19" ht="13.95" customHeight="1">
      <c r="M10120"/>
      <c r="N10120"/>
      <c r="O10120"/>
      <c r="P10120"/>
      <c r="Q10120"/>
      <c r="R10120"/>
      <c r="S10120"/>
    </row>
    <row r="10121" spans="13:19" ht="13.95" customHeight="1">
      <c r="M10121"/>
      <c r="N10121"/>
      <c r="O10121"/>
      <c r="P10121"/>
      <c r="Q10121"/>
      <c r="R10121"/>
      <c r="S10121"/>
    </row>
    <row r="10122" spans="13:19" ht="13.95" customHeight="1">
      <c r="M10122"/>
      <c r="N10122"/>
      <c r="O10122"/>
      <c r="P10122"/>
      <c r="Q10122"/>
      <c r="R10122"/>
      <c r="S10122"/>
    </row>
    <row r="10123" spans="13:19" ht="13.95" customHeight="1">
      <c r="M10123"/>
      <c r="N10123"/>
      <c r="O10123"/>
      <c r="P10123"/>
      <c r="Q10123"/>
      <c r="R10123"/>
      <c r="S10123"/>
    </row>
    <row r="10124" spans="13:19" ht="13.95" customHeight="1">
      <c r="M10124"/>
      <c r="N10124"/>
      <c r="O10124"/>
      <c r="P10124"/>
      <c r="Q10124"/>
      <c r="R10124"/>
      <c r="S10124"/>
    </row>
    <row r="10125" spans="13:19" ht="13.95" customHeight="1">
      <c r="M10125"/>
      <c r="N10125"/>
      <c r="O10125"/>
      <c r="P10125"/>
      <c r="Q10125"/>
      <c r="R10125"/>
      <c r="S10125"/>
    </row>
    <row r="10126" spans="13:19" ht="13.95" customHeight="1">
      <c r="M10126"/>
      <c r="N10126"/>
      <c r="O10126"/>
      <c r="P10126"/>
      <c r="Q10126"/>
      <c r="R10126"/>
      <c r="S10126"/>
    </row>
    <row r="10127" spans="13:19" ht="13.95" customHeight="1">
      <c r="M10127"/>
      <c r="N10127"/>
      <c r="O10127"/>
      <c r="P10127"/>
      <c r="Q10127"/>
      <c r="R10127"/>
      <c r="S10127"/>
    </row>
    <row r="10128" spans="13:19" ht="13.95" customHeight="1">
      <c r="M10128"/>
      <c r="N10128"/>
      <c r="O10128"/>
      <c r="P10128"/>
      <c r="Q10128"/>
      <c r="R10128"/>
      <c r="S10128"/>
    </row>
    <row r="10129" spans="13:19" ht="13.95" customHeight="1">
      <c r="M10129"/>
      <c r="N10129"/>
      <c r="O10129"/>
      <c r="P10129"/>
      <c r="Q10129"/>
      <c r="R10129"/>
      <c r="S10129"/>
    </row>
    <row r="10130" spans="13:19" ht="13.95" customHeight="1">
      <c r="M10130"/>
      <c r="N10130"/>
      <c r="O10130"/>
      <c r="P10130"/>
      <c r="Q10130"/>
      <c r="R10130"/>
      <c r="S10130"/>
    </row>
    <row r="10131" spans="13:19" ht="13.95" customHeight="1">
      <c r="M10131"/>
      <c r="N10131"/>
      <c r="O10131"/>
      <c r="P10131"/>
      <c r="Q10131"/>
      <c r="R10131"/>
      <c r="S10131"/>
    </row>
    <row r="10132" spans="13:19" ht="13.95" customHeight="1">
      <c r="M10132"/>
      <c r="N10132"/>
      <c r="O10132"/>
      <c r="P10132"/>
      <c r="Q10132"/>
      <c r="R10132"/>
      <c r="S10132"/>
    </row>
    <row r="10133" spans="13:19" ht="13.95" customHeight="1">
      <c r="M10133"/>
      <c r="N10133"/>
      <c r="O10133"/>
      <c r="P10133"/>
      <c r="Q10133"/>
      <c r="R10133"/>
      <c r="S10133"/>
    </row>
    <row r="10134" spans="13:19" ht="13.95" customHeight="1">
      <c r="M10134"/>
      <c r="N10134"/>
      <c r="O10134"/>
      <c r="P10134"/>
      <c r="Q10134"/>
      <c r="R10134"/>
      <c r="S10134"/>
    </row>
    <row r="10135" spans="13:19" ht="13.95" customHeight="1">
      <c r="M10135"/>
      <c r="N10135"/>
      <c r="O10135"/>
      <c r="P10135"/>
      <c r="Q10135"/>
      <c r="R10135"/>
      <c r="S10135"/>
    </row>
    <row r="10136" spans="13:19" ht="13.95" customHeight="1">
      <c r="M10136"/>
      <c r="N10136"/>
      <c r="O10136"/>
      <c r="P10136"/>
      <c r="Q10136"/>
      <c r="R10136"/>
      <c r="S10136"/>
    </row>
    <row r="10137" spans="13:19" ht="13.95" customHeight="1">
      <c r="M10137"/>
      <c r="N10137"/>
      <c r="O10137"/>
      <c r="P10137"/>
      <c r="Q10137"/>
      <c r="R10137"/>
      <c r="S10137"/>
    </row>
    <row r="10138" spans="13:19" ht="13.95" customHeight="1">
      <c r="M10138"/>
      <c r="N10138"/>
      <c r="O10138"/>
      <c r="P10138"/>
      <c r="Q10138"/>
      <c r="R10138"/>
      <c r="S10138"/>
    </row>
    <row r="10139" spans="13:19" ht="13.95" customHeight="1">
      <c r="M10139"/>
      <c r="N10139"/>
      <c r="O10139"/>
      <c r="P10139"/>
      <c r="Q10139"/>
      <c r="R10139"/>
      <c r="S10139"/>
    </row>
    <row r="10140" spans="13:19" ht="13.95" customHeight="1">
      <c r="M10140"/>
      <c r="N10140"/>
      <c r="O10140"/>
      <c r="P10140"/>
      <c r="Q10140"/>
      <c r="R10140"/>
      <c r="S10140"/>
    </row>
    <row r="10141" spans="13:19" ht="13.95" customHeight="1">
      <c r="M10141"/>
      <c r="N10141"/>
      <c r="O10141"/>
      <c r="P10141"/>
      <c r="Q10141"/>
      <c r="R10141"/>
      <c r="S10141"/>
    </row>
    <row r="10142" spans="13:19" ht="13.95" customHeight="1">
      <c r="M10142"/>
      <c r="N10142"/>
      <c r="O10142"/>
      <c r="P10142"/>
      <c r="Q10142"/>
      <c r="R10142"/>
      <c r="S10142"/>
    </row>
    <row r="10143" spans="13:19" ht="13.95" customHeight="1">
      <c r="M10143"/>
      <c r="N10143"/>
      <c r="O10143"/>
      <c r="P10143"/>
      <c r="Q10143"/>
      <c r="R10143"/>
      <c r="S10143"/>
    </row>
    <row r="10144" spans="13:19" ht="13.95" customHeight="1">
      <c r="M10144"/>
      <c r="N10144"/>
      <c r="O10144"/>
      <c r="P10144"/>
      <c r="Q10144"/>
      <c r="R10144"/>
      <c r="S10144"/>
    </row>
    <row r="10145" spans="13:19" ht="13.95" customHeight="1">
      <c r="M10145"/>
      <c r="N10145"/>
      <c r="O10145"/>
      <c r="P10145"/>
      <c r="Q10145"/>
      <c r="R10145"/>
      <c r="S10145"/>
    </row>
    <row r="10146" spans="13:19" ht="13.95" customHeight="1">
      <c r="M10146"/>
      <c r="N10146"/>
      <c r="O10146"/>
      <c r="P10146"/>
      <c r="Q10146"/>
      <c r="R10146"/>
      <c r="S10146"/>
    </row>
    <row r="10147" spans="13:19" ht="13.95" customHeight="1">
      <c r="M10147"/>
      <c r="N10147"/>
      <c r="O10147"/>
      <c r="P10147"/>
      <c r="Q10147"/>
      <c r="R10147"/>
      <c r="S10147"/>
    </row>
    <row r="10148" spans="13:19" ht="13.95" customHeight="1">
      <c r="M10148"/>
      <c r="N10148"/>
      <c r="O10148"/>
      <c r="P10148"/>
      <c r="Q10148"/>
      <c r="R10148"/>
      <c r="S10148"/>
    </row>
    <row r="10149" spans="13:19" ht="13.95" customHeight="1">
      <c r="M10149"/>
      <c r="N10149"/>
      <c r="O10149"/>
      <c r="P10149"/>
      <c r="Q10149"/>
      <c r="R10149"/>
      <c r="S10149"/>
    </row>
    <row r="10150" spans="13:19" ht="13.95" customHeight="1">
      <c r="M10150"/>
      <c r="N10150"/>
      <c r="O10150"/>
      <c r="P10150"/>
      <c r="Q10150"/>
      <c r="R10150"/>
      <c r="S10150"/>
    </row>
    <row r="10151" spans="13:19" ht="13.95" customHeight="1">
      <c r="M10151"/>
      <c r="N10151"/>
      <c r="O10151"/>
      <c r="P10151"/>
      <c r="Q10151"/>
      <c r="R10151"/>
      <c r="S10151"/>
    </row>
    <row r="10152" spans="13:19" ht="13.95" customHeight="1">
      <c r="M10152"/>
      <c r="N10152"/>
      <c r="O10152"/>
      <c r="P10152"/>
      <c r="Q10152"/>
      <c r="R10152"/>
      <c r="S10152"/>
    </row>
    <row r="10153" spans="13:19" ht="13.95" customHeight="1">
      <c r="M10153"/>
      <c r="N10153"/>
      <c r="O10153"/>
      <c r="P10153"/>
      <c r="Q10153"/>
      <c r="R10153"/>
      <c r="S10153"/>
    </row>
    <row r="10154" spans="13:19" ht="13.95" customHeight="1">
      <c r="M10154"/>
      <c r="N10154"/>
      <c r="O10154"/>
      <c r="P10154"/>
      <c r="Q10154"/>
      <c r="R10154"/>
      <c r="S10154"/>
    </row>
    <row r="10155" spans="13:19" ht="13.95" customHeight="1">
      <c r="M10155"/>
      <c r="N10155"/>
      <c r="O10155"/>
      <c r="P10155"/>
      <c r="Q10155"/>
      <c r="R10155"/>
      <c r="S10155"/>
    </row>
    <row r="10156" spans="13:19" ht="13.95" customHeight="1">
      <c r="M10156"/>
      <c r="N10156"/>
      <c r="O10156"/>
      <c r="P10156"/>
      <c r="Q10156"/>
      <c r="R10156"/>
      <c r="S10156"/>
    </row>
    <row r="10157" spans="13:19" ht="13.95" customHeight="1">
      <c r="M10157"/>
      <c r="N10157"/>
      <c r="O10157"/>
      <c r="P10157"/>
      <c r="Q10157"/>
      <c r="R10157"/>
      <c r="S10157"/>
    </row>
    <row r="10158" spans="13:19" ht="13.95" customHeight="1">
      <c r="M10158"/>
      <c r="N10158"/>
      <c r="O10158"/>
      <c r="P10158"/>
      <c r="Q10158"/>
      <c r="R10158"/>
      <c r="S10158"/>
    </row>
    <row r="10159" spans="13:19" ht="13.95" customHeight="1">
      <c r="M10159"/>
      <c r="N10159"/>
      <c r="O10159"/>
      <c r="P10159"/>
      <c r="Q10159"/>
      <c r="R10159"/>
      <c r="S10159"/>
    </row>
    <row r="10160" spans="13:19" ht="13.95" customHeight="1">
      <c r="M10160"/>
      <c r="N10160"/>
      <c r="O10160"/>
      <c r="P10160"/>
      <c r="Q10160"/>
      <c r="R10160"/>
      <c r="S10160"/>
    </row>
    <row r="10161" spans="13:19" ht="13.95" customHeight="1">
      <c r="M10161"/>
      <c r="N10161"/>
      <c r="O10161"/>
      <c r="P10161"/>
      <c r="Q10161"/>
      <c r="R10161"/>
      <c r="S10161"/>
    </row>
    <row r="10162" spans="13:19" ht="13.95" customHeight="1">
      <c r="M10162"/>
      <c r="N10162"/>
      <c r="O10162"/>
      <c r="P10162"/>
      <c r="Q10162"/>
      <c r="R10162"/>
      <c r="S10162"/>
    </row>
    <row r="10163" spans="13:19" ht="13.95" customHeight="1">
      <c r="M10163"/>
      <c r="N10163"/>
      <c r="O10163"/>
      <c r="P10163"/>
      <c r="Q10163"/>
      <c r="R10163"/>
      <c r="S10163"/>
    </row>
    <row r="10164" spans="13:19" ht="13.95" customHeight="1">
      <c r="M10164"/>
      <c r="N10164"/>
      <c r="O10164"/>
      <c r="P10164"/>
      <c r="Q10164"/>
      <c r="R10164"/>
      <c r="S10164"/>
    </row>
    <row r="10165" spans="13:19" ht="13.95" customHeight="1">
      <c r="M10165"/>
      <c r="N10165"/>
      <c r="O10165"/>
      <c r="P10165"/>
      <c r="Q10165"/>
      <c r="R10165"/>
      <c r="S10165"/>
    </row>
    <row r="10166" spans="13:19" ht="13.95" customHeight="1">
      <c r="M10166"/>
      <c r="N10166"/>
      <c r="O10166"/>
      <c r="P10166"/>
      <c r="Q10166"/>
      <c r="R10166"/>
      <c r="S10166"/>
    </row>
    <row r="10167" spans="13:19" ht="13.95" customHeight="1">
      <c r="M10167"/>
      <c r="N10167"/>
      <c r="O10167"/>
      <c r="P10167"/>
      <c r="Q10167"/>
      <c r="R10167"/>
      <c r="S10167"/>
    </row>
    <row r="10168" spans="13:19" ht="13.95" customHeight="1">
      <c r="M10168"/>
      <c r="N10168"/>
      <c r="O10168"/>
      <c r="P10168"/>
      <c r="Q10168"/>
      <c r="R10168"/>
      <c r="S10168"/>
    </row>
    <row r="10169" spans="13:19" ht="13.95" customHeight="1">
      <c r="M10169"/>
      <c r="N10169"/>
      <c r="O10169"/>
      <c r="P10169"/>
      <c r="Q10169"/>
      <c r="R10169"/>
      <c r="S10169"/>
    </row>
    <row r="10170" spans="13:19" ht="13.95" customHeight="1">
      <c r="M10170"/>
      <c r="N10170"/>
      <c r="O10170"/>
      <c r="P10170"/>
      <c r="Q10170"/>
      <c r="R10170"/>
      <c r="S10170"/>
    </row>
    <row r="10171" spans="13:19" ht="13.95" customHeight="1">
      <c r="M10171"/>
      <c r="N10171"/>
      <c r="O10171"/>
      <c r="P10171"/>
      <c r="Q10171"/>
      <c r="R10171"/>
      <c r="S10171"/>
    </row>
    <row r="10172" spans="13:19" ht="13.95" customHeight="1">
      <c r="M10172"/>
      <c r="N10172"/>
      <c r="O10172"/>
      <c r="P10172"/>
      <c r="Q10172"/>
      <c r="R10172"/>
      <c r="S10172"/>
    </row>
    <row r="10173" spans="13:19" ht="13.95" customHeight="1">
      <c r="M10173"/>
      <c r="N10173"/>
      <c r="O10173"/>
      <c r="P10173"/>
      <c r="Q10173"/>
      <c r="R10173"/>
      <c r="S10173"/>
    </row>
    <row r="10174" spans="13:19" ht="13.95" customHeight="1">
      <c r="M10174"/>
      <c r="N10174"/>
      <c r="O10174"/>
      <c r="P10174"/>
      <c r="Q10174"/>
      <c r="R10174"/>
      <c r="S10174"/>
    </row>
    <row r="10175" spans="13:19" ht="13.95" customHeight="1">
      <c r="M10175"/>
      <c r="N10175"/>
      <c r="O10175"/>
      <c r="P10175"/>
      <c r="Q10175"/>
      <c r="R10175"/>
      <c r="S10175"/>
    </row>
    <row r="10176" spans="13:19" ht="13.95" customHeight="1">
      <c r="M10176"/>
      <c r="N10176"/>
      <c r="O10176"/>
      <c r="P10176"/>
      <c r="Q10176"/>
      <c r="R10176"/>
      <c r="S10176"/>
    </row>
    <row r="10177" spans="13:19" ht="13.95" customHeight="1">
      <c r="M10177"/>
      <c r="N10177"/>
      <c r="O10177"/>
      <c r="P10177"/>
      <c r="Q10177"/>
      <c r="R10177"/>
      <c r="S10177"/>
    </row>
    <row r="10178" spans="13:19" ht="13.95" customHeight="1">
      <c r="M10178"/>
      <c r="N10178"/>
      <c r="O10178"/>
      <c r="P10178"/>
      <c r="Q10178"/>
      <c r="R10178"/>
      <c r="S10178"/>
    </row>
    <row r="10179" spans="13:19" ht="13.95" customHeight="1">
      <c r="M10179"/>
      <c r="N10179"/>
      <c r="O10179"/>
      <c r="P10179"/>
      <c r="Q10179"/>
      <c r="R10179"/>
      <c r="S10179"/>
    </row>
    <row r="10180" spans="13:19" ht="13.95" customHeight="1">
      <c r="M10180"/>
      <c r="N10180"/>
      <c r="O10180"/>
      <c r="P10180"/>
      <c r="Q10180"/>
      <c r="R10180"/>
      <c r="S10180"/>
    </row>
    <row r="10181" spans="13:19" ht="13.95" customHeight="1">
      <c r="M10181"/>
      <c r="N10181"/>
      <c r="O10181"/>
      <c r="P10181"/>
      <c r="Q10181"/>
      <c r="R10181"/>
      <c r="S10181"/>
    </row>
    <row r="10182" spans="13:19" ht="13.95" customHeight="1">
      <c r="M10182"/>
      <c r="N10182"/>
      <c r="O10182"/>
      <c r="P10182"/>
      <c r="Q10182"/>
      <c r="R10182"/>
      <c r="S10182"/>
    </row>
    <row r="10183" spans="13:19" ht="13.95" customHeight="1">
      <c r="M10183"/>
      <c r="N10183"/>
      <c r="O10183"/>
      <c r="P10183"/>
      <c r="Q10183"/>
      <c r="R10183"/>
      <c r="S10183"/>
    </row>
    <row r="10184" spans="13:19" ht="13.95" customHeight="1">
      <c r="M10184"/>
      <c r="N10184"/>
      <c r="O10184"/>
      <c r="P10184"/>
      <c r="Q10184"/>
      <c r="R10184"/>
      <c r="S10184"/>
    </row>
    <row r="10185" spans="13:19" ht="13.95" customHeight="1">
      <c r="M10185"/>
      <c r="N10185"/>
      <c r="O10185"/>
      <c r="P10185"/>
      <c r="Q10185"/>
      <c r="R10185"/>
      <c r="S10185"/>
    </row>
    <row r="10186" spans="13:19" ht="13.95" customHeight="1">
      <c r="M10186"/>
      <c r="N10186"/>
      <c r="O10186"/>
      <c r="P10186"/>
      <c r="Q10186"/>
      <c r="R10186"/>
      <c r="S10186"/>
    </row>
    <row r="10187" spans="13:19" ht="13.95" customHeight="1">
      <c r="M10187"/>
      <c r="N10187"/>
      <c r="O10187"/>
      <c r="P10187"/>
      <c r="Q10187"/>
      <c r="R10187"/>
      <c r="S10187"/>
    </row>
    <row r="10188" spans="13:19" ht="13.95" customHeight="1">
      <c r="M10188"/>
      <c r="N10188"/>
      <c r="O10188"/>
      <c r="P10188"/>
      <c r="Q10188"/>
      <c r="R10188"/>
      <c r="S10188"/>
    </row>
    <row r="10189" spans="13:19" ht="13.95" customHeight="1">
      <c r="M10189"/>
      <c r="N10189"/>
      <c r="O10189"/>
      <c r="P10189"/>
      <c r="Q10189"/>
      <c r="R10189"/>
      <c r="S10189"/>
    </row>
    <row r="10190" spans="13:19" ht="13.95" customHeight="1">
      <c r="M10190"/>
      <c r="N10190"/>
      <c r="O10190"/>
      <c r="P10190"/>
      <c r="Q10190"/>
      <c r="R10190"/>
      <c r="S10190"/>
    </row>
    <row r="10191" spans="13:19" ht="13.95" customHeight="1">
      <c r="M10191"/>
      <c r="N10191"/>
      <c r="O10191"/>
      <c r="P10191"/>
      <c r="Q10191"/>
      <c r="R10191"/>
      <c r="S10191"/>
    </row>
    <row r="10192" spans="13:19" ht="13.95" customHeight="1">
      <c r="M10192"/>
      <c r="N10192"/>
      <c r="O10192"/>
      <c r="P10192"/>
      <c r="Q10192"/>
      <c r="R10192"/>
      <c r="S10192"/>
    </row>
    <row r="10193" spans="13:19" ht="13.95" customHeight="1">
      <c r="M10193"/>
      <c r="N10193"/>
      <c r="O10193"/>
      <c r="P10193"/>
      <c r="Q10193"/>
      <c r="R10193"/>
      <c r="S10193"/>
    </row>
    <row r="10194" spans="13:19" ht="13.95" customHeight="1">
      <c r="M10194"/>
      <c r="N10194"/>
      <c r="O10194"/>
      <c r="P10194"/>
      <c r="Q10194"/>
      <c r="R10194"/>
      <c r="S10194"/>
    </row>
    <row r="10195" spans="13:19" ht="13.95" customHeight="1">
      <c r="M10195"/>
      <c r="N10195"/>
      <c r="O10195"/>
      <c r="P10195"/>
      <c r="Q10195"/>
      <c r="R10195"/>
      <c r="S10195"/>
    </row>
    <row r="10196" spans="13:19" ht="13.95" customHeight="1">
      <c r="M10196"/>
      <c r="N10196"/>
      <c r="O10196"/>
      <c r="P10196"/>
      <c r="Q10196"/>
      <c r="R10196"/>
      <c r="S10196"/>
    </row>
    <row r="10197" spans="13:19" ht="13.95" customHeight="1">
      <c r="M10197"/>
      <c r="N10197"/>
      <c r="O10197"/>
      <c r="P10197"/>
      <c r="Q10197"/>
      <c r="R10197"/>
      <c r="S10197"/>
    </row>
    <row r="10198" spans="13:19" ht="13.95" customHeight="1">
      <c r="M10198"/>
      <c r="N10198"/>
      <c r="O10198"/>
      <c r="P10198"/>
      <c r="Q10198"/>
      <c r="R10198"/>
      <c r="S10198"/>
    </row>
    <row r="10199" spans="13:19" ht="13.95" customHeight="1">
      <c r="M10199"/>
      <c r="N10199"/>
      <c r="O10199"/>
      <c r="P10199"/>
      <c r="Q10199"/>
      <c r="R10199"/>
      <c r="S10199"/>
    </row>
    <row r="10200" spans="13:19" ht="13.95" customHeight="1">
      <c r="M10200"/>
      <c r="N10200"/>
      <c r="O10200"/>
      <c r="P10200"/>
      <c r="Q10200"/>
      <c r="R10200"/>
      <c r="S10200"/>
    </row>
    <row r="10201" spans="13:19" ht="13.95" customHeight="1">
      <c r="M10201"/>
      <c r="N10201"/>
      <c r="O10201"/>
      <c r="P10201"/>
      <c r="Q10201"/>
      <c r="R10201"/>
      <c r="S10201"/>
    </row>
    <row r="10202" spans="13:19" ht="13.95" customHeight="1">
      <c r="M10202"/>
      <c r="N10202"/>
      <c r="O10202"/>
      <c r="P10202"/>
      <c r="Q10202"/>
      <c r="R10202"/>
      <c r="S10202"/>
    </row>
    <row r="10203" spans="13:19" ht="13.95" customHeight="1">
      <c r="M10203"/>
      <c r="N10203"/>
      <c r="O10203"/>
      <c r="P10203"/>
      <c r="Q10203"/>
      <c r="R10203"/>
      <c r="S10203"/>
    </row>
    <row r="10204" spans="13:19" ht="13.95" customHeight="1">
      <c r="M10204"/>
      <c r="N10204"/>
      <c r="O10204"/>
      <c r="P10204"/>
      <c r="Q10204"/>
      <c r="R10204"/>
      <c r="S10204"/>
    </row>
    <row r="10205" spans="13:19" ht="13.95" customHeight="1">
      <c r="M10205"/>
      <c r="N10205"/>
      <c r="O10205"/>
      <c r="P10205"/>
      <c r="Q10205"/>
      <c r="R10205"/>
      <c r="S10205"/>
    </row>
    <row r="10206" spans="13:19" ht="13.95" customHeight="1">
      <c r="M10206"/>
      <c r="N10206"/>
      <c r="O10206"/>
      <c r="P10206"/>
      <c r="Q10206"/>
      <c r="R10206"/>
      <c r="S10206"/>
    </row>
    <row r="10207" spans="13:19" ht="13.95" customHeight="1">
      <c r="M10207"/>
      <c r="N10207"/>
      <c r="O10207"/>
      <c r="P10207"/>
      <c r="Q10207"/>
      <c r="R10207"/>
      <c r="S10207"/>
    </row>
    <row r="10208" spans="13:19" ht="13.95" customHeight="1">
      <c r="M10208"/>
      <c r="N10208"/>
      <c r="O10208"/>
      <c r="P10208"/>
      <c r="Q10208"/>
      <c r="R10208"/>
      <c r="S10208"/>
    </row>
    <row r="10209" spans="13:19" ht="13.95" customHeight="1">
      <c r="M10209"/>
      <c r="N10209"/>
      <c r="O10209"/>
      <c r="P10209"/>
      <c r="Q10209"/>
      <c r="R10209"/>
      <c r="S10209"/>
    </row>
    <row r="10210" spans="13:19" ht="13.95" customHeight="1">
      <c r="M10210"/>
      <c r="N10210"/>
      <c r="O10210"/>
      <c r="P10210"/>
      <c r="Q10210"/>
      <c r="R10210"/>
      <c r="S10210"/>
    </row>
    <row r="10211" spans="13:19" ht="13.95" customHeight="1">
      <c r="M10211"/>
      <c r="N10211"/>
      <c r="O10211"/>
      <c r="P10211"/>
      <c r="Q10211"/>
      <c r="R10211"/>
      <c r="S10211"/>
    </row>
    <row r="10212" spans="13:19" ht="13.95" customHeight="1">
      <c r="M10212"/>
      <c r="N10212"/>
      <c r="O10212"/>
      <c r="P10212"/>
      <c r="Q10212"/>
      <c r="R10212"/>
      <c r="S10212"/>
    </row>
    <row r="10213" spans="13:19" ht="13.95" customHeight="1">
      <c r="M10213"/>
      <c r="N10213"/>
      <c r="O10213"/>
      <c r="P10213"/>
      <c r="Q10213"/>
      <c r="R10213"/>
      <c r="S10213"/>
    </row>
    <row r="10214" spans="13:19" ht="13.95" customHeight="1">
      <c r="M10214"/>
      <c r="N10214"/>
      <c r="O10214"/>
      <c r="P10214"/>
      <c r="Q10214"/>
      <c r="R10214"/>
      <c r="S10214"/>
    </row>
    <row r="10215" spans="13:19" ht="13.95" customHeight="1">
      <c r="M10215"/>
      <c r="N10215"/>
      <c r="O10215"/>
      <c r="P10215"/>
      <c r="Q10215"/>
      <c r="R10215"/>
      <c r="S10215"/>
    </row>
    <row r="10216" spans="13:19" ht="13.95" customHeight="1">
      <c r="M10216"/>
      <c r="N10216"/>
      <c r="O10216"/>
      <c r="P10216"/>
      <c r="Q10216"/>
      <c r="R10216"/>
      <c r="S10216"/>
    </row>
    <row r="10217" spans="13:19" ht="13.95" customHeight="1">
      <c r="M10217"/>
      <c r="N10217"/>
      <c r="O10217"/>
      <c r="P10217"/>
      <c r="Q10217"/>
      <c r="R10217"/>
      <c r="S10217"/>
    </row>
    <row r="10218" spans="13:19" ht="13.95" customHeight="1">
      <c r="M10218"/>
      <c r="N10218"/>
      <c r="O10218"/>
      <c r="P10218"/>
      <c r="Q10218"/>
      <c r="R10218"/>
      <c r="S10218"/>
    </row>
    <row r="10219" spans="13:19" ht="13.95" customHeight="1">
      <c r="M10219"/>
      <c r="N10219"/>
      <c r="O10219"/>
      <c r="P10219"/>
      <c r="Q10219"/>
      <c r="R10219"/>
      <c r="S10219"/>
    </row>
    <row r="10220" spans="13:19" ht="13.95" customHeight="1">
      <c r="M10220"/>
      <c r="N10220"/>
      <c r="O10220"/>
      <c r="P10220"/>
      <c r="Q10220"/>
      <c r="R10220"/>
      <c r="S10220"/>
    </row>
    <row r="10221" spans="13:19" ht="13.95" customHeight="1">
      <c r="M10221"/>
      <c r="N10221"/>
      <c r="O10221"/>
      <c r="P10221"/>
      <c r="Q10221"/>
      <c r="R10221"/>
      <c r="S10221"/>
    </row>
    <row r="10222" spans="13:19" ht="13.95" customHeight="1">
      <c r="M10222"/>
      <c r="N10222"/>
      <c r="O10222"/>
      <c r="P10222"/>
      <c r="Q10222"/>
      <c r="R10222"/>
      <c r="S10222"/>
    </row>
    <row r="10223" spans="13:19" ht="13.95" customHeight="1">
      <c r="M10223"/>
      <c r="N10223"/>
      <c r="O10223"/>
      <c r="P10223"/>
      <c r="Q10223"/>
      <c r="R10223"/>
      <c r="S10223"/>
    </row>
    <row r="10224" spans="13:19" ht="13.95" customHeight="1">
      <c r="M10224"/>
      <c r="N10224"/>
      <c r="O10224"/>
      <c r="P10224"/>
      <c r="Q10224"/>
      <c r="R10224"/>
      <c r="S10224"/>
    </row>
    <row r="10225" spans="13:19" ht="13.95" customHeight="1">
      <c r="M10225"/>
      <c r="N10225"/>
      <c r="O10225"/>
      <c r="P10225"/>
      <c r="Q10225"/>
      <c r="R10225"/>
      <c r="S10225"/>
    </row>
    <row r="10226" spans="13:19" ht="13.95" customHeight="1">
      <c r="M10226"/>
      <c r="N10226"/>
      <c r="O10226"/>
      <c r="P10226"/>
      <c r="Q10226"/>
      <c r="R10226"/>
      <c r="S10226"/>
    </row>
    <row r="10227" spans="13:19" ht="13.95" customHeight="1">
      <c r="M10227"/>
      <c r="N10227"/>
      <c r="O10227"/>
      <c r="P10227"/>
      <c r="Q10227"/>
      <c r="R10227"/>
      <c r="S10227"/>
    </row>
    <row r="10228" spans="13:19" ht="13.95" customHeight="1">
      <c r="M10228"/>
      <c r="N10228"/>
      <c r="O10228"/>
      <c r="P10228"/>
      <c r="Q10228"/>
      <c r="R10228"/>
      <c r="S10228"/>
    </row>
    <row r="10229" spans="13:19" ht="13.95" customHeight="1">
      <c r="M10229"/>
      <c r="N10229"/>
      <c r="O10229"/>
      <c r="P10229"/>
      <c r="Q10229"/>
      <c r="R10229"/>
      <c r="S10229"/>
    </row>
    <row r="10230" spans="13:19" ht="13.95" customHeight="1">
      <c r="M10230"/>
      <c r="N10230"/>
      <c r="O10230"/>
      <c r="P10230"/>
      <c r="Q10230"/>
      <c r="R10230"/>
      <c r="S10230"/>
    </row>
    <row r="10231" spans="13:19" ht="13.95" customHeight="1">
      <c r="M10231"/>
      <c r="N10231"/>
      <c r="O10231"/>
      <c r="P10231"/>
      <c r="Q10231"/>
      <c r="R10231"/>
      <c r="S10231"/>
    </row>
    <row r="10232" spans="13:19" ht="13.95" customHeight="1">
      <c r="M10232"/>
      <c r="N10232"/>
      <c r="O10232"/>
      <c r="P10232"/>
      <c r="Q10232"/>
      <c r="R10232"/>
      <c r="S10232"/>
    </row>
    <row r="10233" spans="13:19" ht="13.95" customHeight="1">
      <c r="M10233"/>
      <c r="N10233"/>
      <c r="O10233"/>
      <c r="P10233"/>
      <c r="Q10233"/>
      <c r="R10233"/>
      <c r="S10233"/>
    </row>
    <row r="10234" spans="13:19" ht="13.95" customHeight="1">
      <c r="M10234"/>
      <c r="N10234"/>
      <c r="O10234"/>
      <c r="P10234"/>
      <c r="Q10234"/>
      <c r="R10234"/>
      <c r="S10234"/>
    </row>
    <row r="10235" spans="13:19" ht="13.95" customHeight="1">
      <c r="M10235"/>
      <c r="N10235"/>
      <c r="O10235"/>
      <c r="P10235"/>
      <c r="Q10235"/>
      <c r="R10235"/>
      <c r="S10235"/>
    </row>
    <row r="10236" spans="13:19" ht="13.95" customHeight="1">
      <c r="M10236"/>
      <c r="N10236"/>
      <c r="O10236"/>
      <c r="P10236"/>
      <c r="Q10236"/>
      <c r="R10236"/>
      <c r="S10236"/>
    </row>
    <row r="10237" spans="13:19" ht="13.95" customHeight="1">
      <c r="M10237"/>
      <c r="N10237"/>
      <c r="O10237"/>
      <c r="P10237"/>
      <c r="Q10237"/>
      <c r="R10237"/>
      <c r="S10237"/>
    </row>
    <row r="10238" spans="13:19" ht="13.95" customHeight="1">
      <c r="M10238"/>
      <c r="N10238"/>
      <c r="O10238"/>
      <c r="P10238"/>
      <c r="Q10238"/>
      <c r="R10238"/>
      <c r="S10238"/>
    </row>
    <row r="10239" spans="13:19" ht="13.95" customHeight="1">
      <c r="M10239"/>
      <c r="N10239"/>
      <c r="O10239"/>
      <c r="P10239"/>
      <c r="Q10239"/>
      <c r="R10239"/>
      <c r="S10239"/>
    </row>
    <row r="10240" spans="13:19" ht="13.95" customHeight="1">
      <c r="M10240"/>
      <c r="N10240"/>
      <c r="O10240"/>
      <c r="P10240"/>
      <c r="Q10240"/>
      <c r="R10240"/>
      <c r="S10240"/>
    </row>
    <row r="10241" spans="13:19" ht="13.95" customHeight="1">
      <c r="M10241"/>
      <c r="N10241"/>
      <c r="O10241"/>
      <c r="P10241"/>
      <c r="Q10241"/>
      <c r="R10241"/>
      <c r="S10241"/>
    </row>
    <row r="10242" spans="13:19" ht="13.95" customHeight="1">
      <c r="M10242"/>
      <c r="N10242"/>
      <c r="O10242"/>
      <c r="P10242"/>
      <c r="Q10242"/>
      <c r="R10242"/>
      <c r="S10242"/>
    </row>
    <row r="10243" spans="13:19" ht="13.95" customHeight="1">
      <c r="M10243"/>
      <c r="N10243"/>
      <c r="O10243"/>
      <c r="P10243"/>
      <c r="Q10243"/>
      <c r="R10243"/>
      <c r="S10243"/>
    </row>
    <row r="10244" spans="13:19" ht="13.95" customHeight="1">
      <c r="M10244"/>
      <c r="N10244"/>
      <c r="O10244"/>
      <c r="P10244"/>
      <c r="Q10244"/>
      <c r="R10244"/>
      <c r="S10244"/>
    </row>
    <row r="10245" spans="13:19" ht="13.95" customHeight="1">
      <c r="M10245"/>
      <c r="N10245"/>
      <c r="O10245"/>
      <c r="P10245"/>
      <c r="Q10245"/>
      <c r="R10245"/>
      <c r="S10245"/>
    </row>
    <row r="10246" spans="13:19" ht="13.95" customHeight="1">
      <c r="M10246"/>
      <c r="N10246"/>
      <c r="O10246"/>
      <c r="P10246"/>
      <c r="Q10246"/>
      <c r="R10246"/>
      <c r="S10246"/>
    </row>
    <row r="10247" spans="13:19" ht="13.95" customHeight="1">
      <c r="M10247"/>
      <c r="N10247"/>
      <c r="O10247"/>
      <c r="P10247"/>
      <c r="Q10247"/>
      <c r="R10247"/>
      <c r="S10247"/>
    </row>
    <row r="10248" spans="13:19" ht="13.95" customHeight="1">
      <c r="M10248"/>
      <c r="N10248"/>
      <c r="O10248"/>
      <c r="P10248"/>
      <c r="Q10248"/>
      <c r="R10248"/>
      <c r="S10248"/>
    </row>
    <row r="10249" spans="13:19" ht="13.95" customHeight="1">
      <c r="M10249"/>
      <c r="N10249"/>
      <c r="O10249"/>
      <c r="P10249"/>
      <c r="Q10249"/>
      <c r="R10249"/>
      <c r="S10249"/>
    </row>
    <row r="10250" spans="13:19" ht="13.95" customHeight="1">
      <c r="M10250"/>
      <c r="N10250"/>
      <c r="O10250"/>
      <c r="P10250"/>
      <c r="Q10250"/>
      <c r="R10250"/>
      <c r="S10250"/>
    </row>
    <row r="10251" spans="13:19" ht="13.95" customHeight="1">
      <c r="M10251"/>
      <c r="N10251"/>
      <c r="O10251"/>
      <c r="P10251"/>
      <c r="Q10251"/>
      <c r="R10251"/>
      <c r="S10251"/>
    </row>
    <row r="10252" spans="13:19" ht="13.95" customHeight="1">
      <c r="M10252"/>
      <c r="N10252"/>
      <c r="O10252"/>
      <c r="P10252"/>
      <c r="Q10252"/>
      <c r="R10252"/>
      <c r="S10252"/>
    </row>
    <row r="10253" spans="13:19" ht="13.95" customHeight="1">
      <c r="M10253"/>
      <c r="N10253"/>
      <c r="O10253"/>
      <c r="P10253"/>
      <c r="Q10253"/>
      <c r="R10253"/>
      <c r="S10253"/>
    </row>
    <row r="10254" spans="13:19" ht="13.95" customHeight="1">
      <c r="M10254"/>
      <c r="N10254"/>
      <c r="O10254"/>
      <c r="P10254"/>
      <c r="Q10254"/>
      <c r="R10254"/>
      <c r="S10254"/>
    </row>
    <row r="10255" spans="13:19" ht="13.95" customHeight="1">
      <c r="M10255"/>
      <c r="N10255"/>
      <c r="O10255"/>
      <c r="P10255"/>
      <c r="Q10255"/>
      <c r="R10255"/>
      <c r="S10255"/>
    </row>
    <row r="10256" spans="13:19" ht="13.95" customHeight="1">
      <c r="M10256"/>
      <c r="N10256"/>
      <c r="O10256"/>
      <c r="P10256"/>
      <c r="Q10256"/>
      <c r="R10256"/>
      <c r="S10256"/>
    </row>
    <row r="10257" spans="13:19" ht="13.95" customHeight="1">
      <c r="M10257"/>
      <c r="N10257"/>
      <c r="O10257"/>
      <c r="P10257"/>
      <c r="Q10257"/>
      <c r="R10257"/>
      <c r="S10257"/>
    </row>
    <row r="10258" spans="13:19" ht="13.95" customHeight="1">
      <c r="M10258"/>
      <c r="N10258"/>
      <c r="O10258"/>
      <c r="P10258"/>
      <c r="Q10258"/>
      <c r="R10258"/>
      <c r="S10258"/>
    </row>
    <row r="10259" spans="13:19" ht="13.95" customHeight="1">
      <c r="M10259"/>
      <c r="N10259"/>
      <c r="O10259"/>
      <c r="P10259"/>
      <c r="Q10259"/>
      <c r="R10259"/>
      <c r="S10259"/>
    </row>
    <row r="10260" spans="13:19" ht="13.95" customHeight="1">
      <c r="M10260"/>
      <c r="N10260"/>
      <c r="O10260"/>
      <c r="P10260"/>
      <c r="Q10260"/>
      <c r="R10260"/>
      <c r="S10260"/>
    </row>
    <row r="10261" spans="13:19" ht="13.95" customHeight="1">
      <c r="M10261"/>
      <c r="N10261"/>
      <c r="O10261"/>
      <c r="P10261"/>
      <c r="Q10261"/>
      <c r="R10261"/>
      <c r="S10261"/>
    </row>
    <row r="10262" spans="13:19" ht="13.95" customHeight="1">
      <c r="M10262"/>
      <c r="N10262"/>
      <c r="O10262"/>
      <c r="P10262"/>
      <c r="Q10262"/>
      <c r="R10262"/>
      <c r="S10262"/>
    </row>
    <row r="10263" spans="13:19" ht="13.95" customHeight="1">
      <c r="M10263"/>
      <c r="N10263"/>
      <c r="O10263"/>
      <c r="P10263"/>
      <c r="Q10263"/>
      <c r="R10263"/>
      <c r="S10263"/>
    </row>
    <row r="10264" spans="13:19" ht="13.95" customHeight="1">
      <c r="M10264"/>
      <c r="N10264"/>
      <c r="O10264"/>
      <c r="P10264"/>
      <c r="Q10264"/>
      <c r="R10264"/>
      <c r="S10264"/>
    </row>
    <row r="10265" spans="13:19" ht="13.95" customHeight="1">
      <c r="M10265"/>
      <c r="N10265"/>
      <c r="O10265"/>
      <c r="P10265"/>
      <c r="Q10265"/>
      <c r="R10265"/>
      <c r="S10265"/>
    </row>
    <row r="10266" spans="13:19" ht="13.95" customHeight="1">
      <c r="M10266"/>
      <c r="N10266"/>
      <c r="O10266"/>
      <c r="P10266"/>
      <c r="Q10266"/>
      <c r="R10266"/>
      <c r="S10266"/>
    </row>
    <row r="10267" spans="13:19" ht="13.95" customHeight="1">
      <c r="M10267"/>
      <c r="N10267"/>
      <c r="O10267"/>
      <c r="P10267"/>
      <c r="Q10267"/>
      <c r="R10267"/>
      <c r="S10267"/>
    </row>
    <row r="10268" spans="13:19" ht="13.95" customHeight="1">
      <c r="M10268"/>
      <c r="N10268"/>
      <c r="O10268"/>
      <c r="P10268"/>
      <c r="Q10268"/>
      <c r="R10268"/>
      <c r="S10268"/>
    </row>
    <row r="10269" spans="13:19" ht="13.95" customHeight="1">
      <c r="M10269"/>
      <c r="N10269"/>
      <c r="O10269"/>
      <c r="P10269"/>
      <c r="Q10269"/>
      <c r="R10269"/>
      <c r="S10269"/>
    </row>
    <row r="10270" spans="13:19" ht="13.95" customHeight="1">
      <c r="M10270"/>
      <c r="N10270"/>
      <c r="O10270"/>
      <c r="P10270"/>
      <c r="Q10270"/>
      <c r="R10270"/>
      <c r="S10270"/>
    </row>
    <row r="10271" spans="13:19" ht="13.95" customHeight="1">
      <c r="M10271"/>
      <c r="N10271"/>
      <c r="O10271"/>
      <c r="P10271"/>
      <c r="Q10271"/>
      <c r="R10271"/>
      <c r="S10271"/>
    </row>
    <row r="10272" spans="13:19" ht="13.95" customHeight="1">
      <c r="M10272"/>
      <c r="N10272"/>
      <c r="O10272"/>
      <c r="P10272"/>
      <c r="Q10272"/>
      <c r="R10272"/>
      <c r="S10272"/>
    </row>
    <row r="10273" spans="13:19" ht="13.95" customHeight="1">
      <c r="M10273"/>
      <c r="N10273"/>
      <c r="O10273"/>
      <c r="P10273"/>
      <c r="Q10273"/>
      <c r="R10273"/>
      <c r="S10273"/>
    </row>
    <row r="10274" spans="13:19" ht="13.95" customHeight="1">
      <c r="M10274"/>
      <c r="N10274"/>
      <c r="O10274"/>
      <c r="P10274"/>
      <c r="Q10274"/>
      <c r="R10274"/>
      <c r="S10274"/>
    </row>
    <row r="10275" spans="13:19" ht="13.95" customHeight="1">
      <c r="M10275"/>
      <c r="N10275"/>
      <c r="O10275"/>
      <c r="P10275"/>
      <c r="Q10275"/>
      <c r="R10275"/>
      <c r="S10275"/>
    </row>
    <row r="10276" spans="13:19" ht="13.95" customHeight="1">
      <c r="M10276"/>
      <c r="N10276"/>
      <c r="O10276"/>
      <c r="P10276"/>
      <c r="Q10276"/>
      <c r="R10276"/>
      <c r="S10276"/>
    </row>
    <row r="10277" spans="13:19" ht="13.95" customHeight="1">
      <c r="M10277"/>
      <c r="N10277"/>
      <c r="O10277"/>
      <c r="P10277"/>
      <c r="Q10277"/>
      <c r="R10277"/>
      <c r="S10277"/>
    </row>
    <row r="10278" spans="13:19" ht="13.95" customHeight="1">
      <c r="M10278"/>
      <c r="N10278"/>
      <c r="O10278"/>
      <c r="P10278"/>
      <c r="Q10278"/>
      <c r="R10278"/>
      <c r="S10278"/>
    </row>
    <row r="10279" spans="13:19" ht="13.95" customHeight="1">
      <c r="M10279"/>
      <c r="N10279"/>
      <c r="O10279"/>
      <c r="P10279"/>
      <c r="Q10279"/>
      <c r="R10279"/>
      <c r="S10279"/>
    </row>
    <row r="10280" spans="13:19" ht="13.95" customHeight="1">
      <c r="M10280"/>
      <c r="N10280"/>
      <c r="O10280"/>
      <c r="P10280"/>
      <c r="Q10280"/>
      <c r="R10280"/>
      <c r="S10280"/>
    </row>
    <row r="10281" spans="13:19" ht="13.95" customHeight="1">
      <c r="M10281"/>
      <c r="N10281"/>
      <c r="O10281"/>
      <c r="P10281"/>
      <c r="Q10281"/>
      <c r="R10281"/>
      <c r="S10281"/>
    </row>
    <row r="10282" spans="13:19" ht="13.95" customHeight="1">
      <c r="M10282"/>
      <c r="N10282"/>
      <c r="O10282"/>
      <c r="P10282"/>
      <c r="Q10282"/>
      <c r="R10282"/>
      <c r="S10282"/>
    </row>
    <row r="10283" spans="13:19" ht="13.95" customHeight="1">
      <c r="M10283"/>
      <c r="N10283"/>
      <c r="O10283"/>
      <c r="P10283"/>
      <c r="Q10283"/>
      <c r="R10283"/>
      <c r="S10283"/>
    </row>
    <row r="10284" spans="13:19" ht="13.95" customHeight="1">
      <c r="M10284"/>
      <c r="N10284"/>
      <c r="O10284"/>
      <c r="P10284"/>
      <c r="Q10284"/>
      <c r="R10284"/>
      <c r="S10284"/>
    </row>
    <row r="10285" spans="13:19" ht="13.95" customHeight="1">
      <c r="M10285"/>
      <c r="N10285"/>
      <c r="O10285"/>
      <c r="P10285"/>
      <c r="Q10285"/>
      <c r="R10285"/>
      <c r="S10285"/>
    </row>
    <row r="10286" spans="13:19" ht="13.95" customHeight="1">
      <c r="M10286"/>
      <c r="N10286"/>
      <c r="O10286"/>
      <c r="P10286"/>
      <c r="Q10286"/>
      <c r="R10286"/>
      <c r="S10286"/>
    </row>
    <row r="10287" spans="13:19" ht="13.95" customHeight="1">
      <c r="M10287"/>
      <c r="N10287"/>
      <c r="O10287"/>
      <c r="P10287"/>
      <c r="Q10287"/>
      <c r="R10287"/>
      <c r="S10287"/>
    </row>
    <row r="10288" spans="13:19" ht="13.95" customHeight="1">
      <c r="M10288"/>
      <c r="N10288"/>
      <c r="O10288"/>
      <c r="P10288"/>
      <c r="Q10288"/>
      <c r="R10288"/>
      <c r="S10288"/>
    </row>
    <row r="10289" spans="13:19" ht="13.95" customHeight="1">
      <c r="M10289"/>
      <c r="N10289"/>
      <c r="O10289"/>
      <c r="P10289"/>
      <c r="Q10289"/>
      <c r="R10289"/>
      <c r="S10289"/>
    </row>
    <row r="10290" spans="13:19" ht="13.95" customHeight="1">
      <c r="M10290"/>
      <c r="N10290"/>
      <c r="O10290"/>
      <c r="P10290"/>
      <c r="Q10290"/>
      <c r="R10290"/>
      <c r="S10290"/>
    </row>
    <row r="10291" spans="13:19" ht="13.95" customHeight="1">
      <c r="M10291"/>
      <c r="N10291"/>
      <c r="O10291"/>
      <c r="P10291"/>
      <c r="Q10291"/>
      <c r="R10291"/>
      <c r="S10291"/>
    </row>
    <row r="10292" spans="13:19" ht="13.95" customHeight="1">
      <c r="M10292"/>
      <c r="N10292"/>
      <c r="O10292"/>
      <c r="P10292"/>
      <c r="Q10292"/>
      <c r="R10292"/>
      <c r="S10292"/>
    </row>
    <row r="10293" spans="13:19" ht="13.95" customHeight="1">
      <c r="M10293"/>
      <c r="N10293"/>
      <c r="O10293"/>
      <c r="P10293"/>
      <c r="Q10293"/>
      <c r="R10293"/>
      <c r="S10293"/>
    </row>
    <row r="10294" spans="13:19" ht="13.95" customHeight="1">
      <c r="M10294"/>
      <c r="N10294"/>
      <c r="O10294"/>
      <c r="P10294"/>
      <c r="Q10294"/>
      <c r="R10294"/>
      <c r="S10294"/>
    </row>
    <row r="10295" spans="13:19" ht="13.95" customHeight="1">
      <c r="M10295"/>
      <c r="N10295"/>
      <c r="O10295"/>
      <c r="P10295"/>
      <c r="Q10295"/>
      <c r="R10295"/>
      <c r="S10295"/>
    </row>
    <row r="10296" spans="13:19" ht="13.95" customHeight="1">
      <c r="M10296"/>
      <c r="N10296"/>
      <c r="O10296"/>
      <c r="P10296"/>
      <c r="Q10296"/>
      <c r="R10296"/>
      <c r="S10296"/>
    </row>
    <row r="10297" spans="13:19" ht="13.95" customHeight="1">
      <c r="M10297"/>
      <c r="N10297"/>
      <c r="O10297"/>
      <c r="P10297"/>
      <c r="Q10297"/>
      <c r="R10297"/>
      <c r="S10297"/>
    </row>
    <row r="10298" spans="13:19" ht="13.95" customHeight="1">
      <c r="M10298"/>
      <c r="N10298"/>
      <c r="O10298"/>
      <c r="P10298"/>
      <c r="Q10298"/>
      <c r="R10298"/>
      <c r="S10298"/>
    </row>
    <row r="10299" spans="13:19" ht="13.95" customHeight="1">
      <c r="M10299"/>
      <c r="N10299"/>
      <c r="O10299"/>
      <c r="P10299"/>
      <c r="Q10299"/>
      <c r="R10299"/>
      <c r="S10299"/>
    </row>
    <row r="10300" spans="13:19" ht="13.95" customHeight="1">
      <c r="M10300"/>
      <c r="N10300"/>
      <c r="O10300"/>
      <c r="P10300"/>
      <c r="Q10300"/>
      <c r="R10300"/>
      <c r="S10300"/>
    </row>
    <row r="10301" spans="13:19" ht="13.95" customHeight="1">
      <c r="M10301"/>
      <c r="N10301"/>
      <c r="O10301"/>
      <c r="P10301"/>
      <c r="Q10301"/>
      <c r="R10301"/>
      <c r="S10301"/>
    </row>
    <row r="10302" spans="13:19" ht="13.95" customHeight="1">
      <c r="M10302"/>
      <c r="N10302"/>
      <c r="O10302"/>
      <c r="P10302"/>
      <c r="Q10302"/>
      <c r="R10302"/>
      <c r="S10302"/>
    </row>
    <row r="10303" spans="13:19" ht="13.95" customHeight="1">
      <c r="M10303"/>
      <c r="N10303"/>
      <c r="O10303"/>
      <c r="P10303"/>
      <c r="Q10303"/>
      <c r="R10303"/>
      <c r="S10303"/>
    </row>
    <row r="10304" spans="13:19" ht="13.95" customHeight="1">
      <c r="M10304"/>
      <c r="N10304"/>
      <c r="O10304"/>
      <c r="P10304"/>
      <c r="Q10304"/>
      <c r="R10304"/>
      <c r="S10304"/>
    </row>
    <row r="10305" spans="13:19" ht="13.95" customHeight="1">
      <c r="M10305"/>
      <c r="N10305"/>
      <c r="O10305"/>
      <c r="P10305"/>
      <c r="Q10305"/>
      <c r="R10305"/>
      <c r="S10305"/>
    </row>
    <row r="10306" spans="13:19" ht="13.95" customHeight="1">
      <c r="M10306"/>
      <c r="N10306"/>
      <c r="O10306"/>
      <c r="P10306"/>
      <c r="Q10306"/>
      <c r="R10306"/>
      <c r="S10306"/>
    </row>
    <row r="10307" spans="13:19" ht="13.95" customHeight="1">
      <c r="M10307"/>
      <c r="N10307"/>
      <c r="O10307"/>
      <c r="P10307"/>
      <c r="Q10307"/>
      <c r="R10307"/>
      <c r="S10307"/>
    </row>
    <row r="10308" spans="13:19" ht="13.95" customHeight="1">
      <c r="M10308"/>
      <c r="N10308"/>
      <c r="O10308"/>
      <c r="P10308"/>
      <c r="Q10308"/>
      <c r="R10308"/>
      <c r="S10308"/>
    </row>
    <row r="10309" spans="13:19" ht="13.95" customHeight="1">
      <c r="M10309"/>
      <c r="N10309"/>
      <c r="O10309"/>
      <c r="P10309"/>
      <c r="Q10309"/>
      <c r="R10309"/>
      <c r="S10309"/>
    </row>
    <row r="10310" spans="13:19" ht="13.95" customHeight="1">
      <c r="M10310"/>
      <c r="N10310"/>
      <c r="O10310"/>
      <c r="P10310"/>
      <c r="Q10310"/>
      <c r="R10310"/>
      <c r="S10310"/>
    </row>
    <row r="10311" spans="13:19" ht="13.95" customHeight="1">
      <c r="M10311"/>
      <c r="N10311"/>
      <c r="O10311"/>
      <c r="P10311"/>
      <c r="Q10311"/>
      <c r="R10311"/>
      <c r="S10311"/>
    </row>
    <row r="10312" spans="13:19" ht="13.95" customHeight="1">
      <c r="M10312"/>
      <c r="N10312"/>
      <c r="O10312"/>
      <c r="P10312"/>
      <c r="Q10312"/>
      <c r="R10312"/>
      <c r="S10312"/>
    </row>
    <row r="10313" spans="13:19" ht="13.95" customHeight="1">
      <c r="M10313"/>
      <c r="N10313"/>
      <c r="O10313"/>
      <c r="P10313"/>
      <c r="Q10313"/>
      <c r="R10313"/>
      <c r="S10313"/>
    </row>
    <row r="10314" spans="13:19" ht="13.95" customHeight="1">
      <c r="M10314"/>
      <c r="N10314"/>
      <c r="O10314"/>
      <c r="P10314"/>
      <c r="Q10314"/>
      <c r="R10314"/>
      <c r="S10314"/>
    </row>
    <row r="10315" spans="13:19" ht="13.95" customHeight="1">
      <c r="M10315"/>
      <c r="N10315"/>
      <c r="O10315"/>
      <c r="P10315"/>
      <c r="Q10315"/>
      <c r="R10315"/>
      <c r="S10315"/>
    </row>
    <row r="10316" spans="13:19" ht="13.95" customHeight="1">
      <c r="M10316"/>
      <c r="N10316"/>
      <c r="O10316"/>
      <c r="P10316"/>
      <c r="Q10316"/>
      <c r="R10316"/>
      <c r="S10316"/>
    </row>
    <row r="10317" spans="13:19" ht="13.95" customHeight="1">
      <c r="M10317"/>
      <c r="N10317"/>
      <c r="O10317"/>
      <c r="P10317"/>
      <c r="Q10317"/>
      <c r="R10317"/>
      <c r="S10317"/>
    </row>
    <row r="10318" spans="13:19" ht="13.95" customHeight="1">
      <c r="M10318"/>
      <c r="N10318"/>
      <c r="O10318"/>
      <c r="P10318"/>
      <c r="Q10318"/>
      <c r="R10318"/>
      <c r="S10318"/>
    </row>
    <row r="10319" spans="13:19" ht="13.95" customHeight="1">
      <c r="M10319"/>
      <c r="N10319"/>
      <c r="O10319"/>
      <c r="P10319"/>
      <c r="Q10319"/>
      <c r="R10319"/>
      <c r="S10319"/>
    </row>
    <row r="10320" spans="13:19" ht="13.95" customHeight="1">
      <c r="M10320"/>
      <c r="N10320"/>
      <c r="O10320"/>
      <c r="P10320"/>
      <c r="Q10320"/>
      <c r="R10320"/>
      <c r="S10320"/>
    </row>
    <row r="10321" spans="13:19" ht="13.95" customHeight="1">
      <c r="M10321"/>
      <c r="N10321"/>
      <c r="O10321"/>
      <c r="P10321"/>
      <c r="Q10321"/>
      <c r="R10321"/>
      <c r="S10321"/>
    </row>
    <row r="10322" spans="13:19" ht="13.95" customHeight="1">
      <c r="M10322"/>
      <c r="N10322"/>
      <c r="O10322"/>
      <c r="P10322"/>
      <c r="Q10322"/>
      <c r="R10322"/>
      <c r="S10322"/>
    </row>
    <row r="10323" spans="13:19" ht="13.95" customHeight="1">
      <c r="M10323"/>
      <c r="N10323"/>
      <c r="O10323"/>
      <c r="P10323"/>
      <c r="Q10323"/>
      <c r="R10323"/>
      <c r="S10323"/>
    </row>
    <row r="10324" spans="13:19" ht="13.95" customHeight="1">
      <c r="M10324"/>
      <c r="N10324"/>
      <c r="O10324"/>
      <c r="P10324"/>
      <c r="Q10324"/>
      <c r="R10324"/>
      <c r="S10324"/>
    </row>
    <row r="10325" spans="13:19" ht="13.95" customHeight="1">
      <c r="M10325"/>
      <c r="N10325"/>
      <c r="O10325"/>
      <c r="P10325"/>
      <c r="Q10325"/>
      <c r="R10325"/>
      <c r="S10325"/>
    </row>
    <row r="10326" spans="13:19" ht="13.95" customHeight="1">
      <c r="M10326"/>
      <c r="N10326"/>
      <c r="O10326"/>
      <c r="P10326"/>
      <c r="Q10326"/>
      <c r="R10326"/>
      <c r="S10326"/>
    </row>
    <row r="10327" spans="13:19" ht="13.95" customHeight="1">
      <c r="M10327"/>
      <c r="N10327"/>
      <c r="O10327"/>
      <c r="P10327"/>
      <c r="Q10327"/>
      <c r="R10327"/>
      <c r="S10327"/>
    </row>
    <row r="10328" spans="13:19" ht="13.95" customHeight="1">
      <c r="M10328"/>
      <c r="N10328"/>
      <c r="O10328"/>
      <c r="P10328"/>
      <c r="Q10328"/>
      <c r="R10328"/>
      <c r="S10328"/>
    </row>
    <row r="10329" spans="13:19" ht="13.95" customHeight="1">
      <c r="M10329"/>
      <c r="N10329"/>
      <c r="O10329"/>
      <c r="P10329"/>
      <c r="Q10329"/>
      <c r="R10329"/>
      <c r="S10329"/>
    </row>
    <row r="10330" spans="13:19" ht="13.95" customHeight="1">
      <c r="M10330"/>
      <c r="N10330"/>
      <c r="O10330"/>
      <c r="P10330"/>
      <c r="Q10330"/>
      <c r="R10330"/>
      <c r="S10330"/>
    </row>
    <row r="10331" spans="13:19" ht="13.95" customHeight="1">
      <c r="M10331"/>
      <c r="N10331"/>
      <c r="O10331"/>
      <c r="P10331"/>
      <c r="Q10331"/>
      <c r="R10331"/>
      <c r="S10331"/>
    </row>
    <row r="10332" spans="13:19" ht="13.95" customHeight="1">
      <c r="M10332"/>
      <c r="N10332"/>
      <c r="O10332"/>
      <c r="P10332"/>
      <c r="Q10332"/>
      <c r="R10332"/>
      <c r="S10332"/>
    </row>
    <row r="10333" spans="13:19" ht="13.95" customHeight="1">
      <c r="M10333"/>
      <c r="N10333"/>
      <c r="O10333"/>
      <c r="P10333"/>
      <c r="Q10333"/>
      <c r="R10333"/>
      <c r="S10333"/>
    </row>
    <row r="10334" spans="13:19" ht="13.95" customHeight="1">
      <c r="M10334"/>
      <c r="N10334"/>
      <c r="O10334"/>
      <c r="P10334"/>
      <c r="Q10334"/>
      <c r="R10334"/>
      <c r="S10334"/>
    </row>
    <row r="10335" spans="13:19" ht="13.95" customHeight="1">
      <c r="M10335"/>
      <c r="N10335"/>
      <c r="O10335"/>
      <c r="P10335"/>
      <c r="Q10335"/>
      <c r="R10335"/>
      <c r="S10335"/>
    </row>
    <row r="10336" spans="13:19" ht="13.95" customHeight="1">
      <c r="M10336"/>
      <c r="N10336"/>
      <c r="O10336"/>
      <c r="P10336"/>
      <c r="Q10336"/>
      <c r="R10336"/>
      <c r="S10336"/>
    </row>
    <row r="10337" spans="13:19" ht="13.95" customHeight="1">
      <c r="M10337"/>
      <c r="N10337"/>
      <c r="O10337"/>
      <c r="P10337"/>
      <c r="Q10337"/>
      <c r="R10337"/>
      <c r="S10337"/>
    </row>
    <row r="10338" spans="13:19" ht="13.95" customHeight="1">
      <c r="M10338"/>
      <c r="N10338"/>
      <c r="O10338"/>
      <c r="P10338"/>
      <c r="Q10338"/>
      <c r="R10338"/>
      <c r="S10338"/>
    </row>
    <row r="10339" spans="13:19" ht="13.95" customHeight="1">
      <c r="M10339"/>
      <c r="N10339"/>
      <c r="O10339"/>
      <c r="P10339"/>
      <c r="Q10339"/>
      <c r="R10339"/>
      <c r="S10339"/>
    </row>
    <row r="10340" spans="13:19" ht="13.95" customHeight="1">
      <c r="M10340"/>
      <c r="N10340"/>
      <c r="O10340"/>
      <c r="P10340"/>
      <c r="Q10340"/>
      <c r="R10340"/>
      <c r="S10340"/>
    </row>
    <row r="10341" spans="13:19" ht="13.95" customHeight="1">
      <c r="M10341"/>
      <c r="N10341"/>
      <c r="O10341"/>
      <c r="P10341"/>
      <c r="Q10341"/>
      <c r="R10341"/>
      <c r="S10341"/>
    </row>
    <row r="10342" spans="13:19" ht="13.95" customHeight="1">
      <c r="M10342"/>
      <c r="N10342"/>
      <c r="O10342"/>
      <c r="P10342"/>
      <c r="Q10342"/>
      <c r="R10342"/>
      <c r="S10342"/>
    </row>
    <row r="10343" spans="13:19" ht="13.95" customHeight="1">
      <c r="M10343"/>
      <c r="N10343"/>
      <c r="O10343"/>
      <c r="P10343"/>
      <c r="Q10343"/>
      <c r="R10343"/>
      <c r="S10343"/>
    </row>
    <row r="10344" spans="13:19" ht="13.95" customHeight="1">
      <c r="M10344"/>
      <c r="N10344"/>
      <c r="O10344"/>
      <c r="P10344"/>
      <c r="Q10344"/>
      <c r="R10344"/>
      <c r="S10344"/>
    </row>
    <row r="10345" spans="13:19" ht="13.95" customHeight="1">
      <c r="M10345"/>
      <c r="N10345"/>
      <c r="O10345"/>
      <c r="P10345"/>
      <c r="Q10345"/>
      <c r="R10345"/>
      <c r="S10345"/>
    </row>
    <row r="10346" spans="13:19" ht="13.95" customHeight="1">
      <c r="M10346"/>
      <c r="N10346"/>
      <c r="O10346"/>
      <c r="P10346"/>
      <c r="Q10346"/>
      <c r="R10346"/>
      <c r="S10346"/>
    </row>
    <row r="10347" spans="13:19" ht="13.95" customHeight="1">
      <c r="M10347"/>
      <c r="N10347"/>
      <c r="O10347"/>
      <c r="P10347"/>
      <c r="Q10347"/>
      <c r="R10347"/>
      <c r="S10347"/>
    </row>
    <row r="10348" spans="13:19" ht="13.95" customHeight="1">
      <c r="M10348"/>
      <c r="N10348"/>
      <c r="O10348"/>
      <c r="P10348"/>
      <c r="Q10348"/>
      <c r="R10348"/>
      <c r="S10348"/>
    </row>
    <row r="10349" spans="13:19" ht="13.95" customHeight="1">
      <c r="M10349"/>
      <c r="N10349"/>
      <c r="O10349"/>
      <c r="P10349"/>
      <c r="Q10349"/>
      <c r="R10349"/>
      <c r="S10349"/>
    </row>
    <row r="10350" spans="13:19" ht="13.95" customHeight="1">
      <c r="M10350"/>
      <c r="N10350"/>
      <c r="O10350"/>
      <c r="P10350"/>
      <c r="Q10350"/>
      <c r="R10350"/>
      <c r="S10350"/>
    </row>
    <row r="10351" spans="13:19" ht="13.95" customHeight="1">
      <c r="M10351"/>
      <c r="N10351"/>
      <c r="O10351"/>
      <c r="P10351"/>
      <c r="Q10351"/>
      <c r="R10351"/>
      <c r="S10351"/>
    </row>
    <row r="10352" spans="13:19" ht="13.95" customHeight="1">
      <c r="M10352"/>
      <c r="N10352"/>
      <c r="O10352"/>
      <c r="P10352"/>
      <c r="Q10352"/>
      <c r="R10352"/>
      <c r="S10352"/>
    </row>
    <row r="10353" spans="13:19" ht="13.95" customHeight="1">
      <c r="M10353"/>
      <c r="N10353"/>
      <c r="O10353"/>
      <c r="P10353"/>
      <c r="Q10353"/>
      <c r="R10353"/>
      <c r="S10353"/>
    </row>
    <row r="10354" spans="13:19" ht="13.95" customHeight="1">
      <c r="M10354"/>
      <c r="N10354"/>
      <c r="O10354"/>
      <c r="P10354"/>
      <c r="Q10354"/>
      <c r="R10354"/>
      <c r="S10354"/>
    </row>
    <row r="10355" spans="13:19" ht="13.95" customHeight="1">
      <c r="M10355"/>
      <c r="N10355"/>
      <c r="O10355"/>
      <c r="P10355"/>
      <c r="Q10355"/>
      <c r="R10355"/>
      <c r="S10355"/>
    </row>
    <row r="10356" spans="13:19" ht="13.95" customHeight="1">
      <c r="M10356"/>
      <c r="N10356"/>
      <c r="O10356"/>
      <c r="P10356"/>
      <c r="Q10356"/>
      <c r="R10356"/>
      <c r="S10356"/>
    </row>
    <row r="10357" spans="13:19" ht="13.95" customHeight="1">
      <c r="M10357"/>
      <c r="N10357"/>
      <c r="O10357"/>
      <c r="P10357"/>
      <c r="Q10357"/>
      <c r="R10357"/>
      <c r="S10357"/>
    </row>
    <row r="10358" spans="13:19" ht="13.95" customHeight="1">
      <c r="M10358"/>
      <c r="N10358"/>
      <c r="O10358"/>
      <c r="P10358"/>
      <c r="Q10358"/>
      <c r="R10358"/>
      <c r="S10358"/>
    </row>
    <row r="10359" spans="13:19" ht="13.95" customHeight="1">
      <c r="M10359"/>
      <c r="N10359"/>
      <c r="O10359"/>
      <c r="P10359"/>
      <c r="Q10359"/>
      <c r="R10359"/>
      <c r="S10359"/>
    </row>
    <row r="10360" spans="13:19" ht="13.95" customHeight="1">
      <c r="M10360"/>
      <c r="N10360"/>
      <c r="O10360"/>
      <c r="P10360"/>
      <c r="Q10360"/>
      <c r="R10360"/>
      <c r="S10360"/>
    </row>
    <row r="10361" spans="13:19" ht="13.95" customHeight="1">
      <c r="M10361"/>
      <c r="N10361"/>
      <c r="O10361"/>
      <c r="P10361"/>
      <c r="Q10361"/>
      <c r="R10361"/>
      <c r="S10361"/>
    </row>
    <row r="10362" spans="13:19" ht="13.95" customHeight="1">
      <c r="M10362"/>
      <c r="N10362"/>
      <c r="O10362"/>
      <c r="P10362"/>
      <c r="Q10362"/>
      <c r="R10362"/>
      <c r="S10362"/>
    </row>
    <row r="10363" spans="13:19" ht="13.95" customHeight="1">
      <c r="M10363"/>
      <c r="N10363"/>
      <c r="O10363"/>
      <c r="P10363"/>
      <c r="Q10363"/>
      <c r="R10363"/>
      <c r="S10363"/>
    </row>
    <row r="10364" spans="13:19" ht="13.95" customHeight="1">
      <c r="M10364"/>
      <c r="N10364"/>
      <c r="O10364"/>
      <c r="P10364"/>
      <c r="Q10364"/>
      <c r="R10364"/>
      <c r="S10364"/>
    </row>
    <row r="10365" spans="13:19" ht="13.95" customHeight="1">
      <c r="M10365"/>
      <c r="N10365"/>
      <c r="O10365"/>
      <c r="P10365"/>
      <c r="Q10365"/>
      <c r="R10365"/>
      <c r="S10365"/>
    </row>
    <row r="10366" spans="13:19" ht="13.95" customHeight="1">
      <c r="M10366"/>
      <c r="N10366"/>
      <c r="O10366"/>
      <c r="P10366"/>
      <c r="Q10366"/>
      <c r="R10366"/>
      <c r="S10366"/>
    </row>
    <row r="10367" spans="13:19" ht="13.95" customHeight="1">
      <c r="M10367"/>
      <c r="N10367"/>
      <c r="O10367"/>
      <c r="P10367"/>
      <c r="Q10367"/>
      <c r="R10367"/>
      <c r="S10367"/>
    </row>
    <row r="10368" spans="13:19" ht="13.95" customHeight="1">
      <c r="M10368"/>
      <c r="N10368"/>
      <c r="O10368"/>
      <c r="P10368"/>
      <c r="Q10368"/>
      <c r="R10368"/>
      <c r="S10368"/>
    </row>
    <row r="10369" spans="13:19" ht="13.95" customHeight="1">
      <c r="M10369"/>
      <c r="N10369"/>
      <c r="O10369"/>
      <c r="P10369"/>
      <c r="Q10369"/>
      <c r="R10369"/>
      <c r="S10369"/>
    </row>
    <row r="10370" spans="13:19" ht="13.95" customHeight="1">
      <c r="M10370"/>
      <c r="N10370"/>
      <c r="O10370"/>
      <c r="P10370"/>
      <c r="Q10370"/>
      <c r="R10370"/>
      <c r="S10370"/>
    </row>
    <row r="10371" spans="13:19" ht="13.95" customHeight="1">
      <c r="M10371"/>
      <c r="N10371"/>
      <c r="O10371"/>
      <c r="P10371"/>
      <c r="Q10371"/>
      <c r="R10371"/>
      <c r="S10371"/>
    </row>
    <row r="10372" spans="13:19" ht="13.95" customHeight="1">
      <c r="M10372"/>
      <c r="N10372"/>
      <c r="O10372"/>
      <c r="P10372"/>
      <c r="Q10372"/>
      <c r="R10372"/>
      <c r="S10372"/>
    </row>
    <row r="10373" spans="13:19" ht="13.95" customHeight="1">
      <c r="M10373"/>
      <c r="N10373"/>
      <c r="O10373"/>
      <c r="P10373"/>
      <c r="Q10373"/>
      <c r="R10373"/>
      <c r="S10373"/>
    </row>
    <row r="10374" spans="13:19" ht="13.95" customHeight="1">
      <c r="M10374"/>
      <c r="N10374"/>
      <c r="O10374"/>
      <c r="P10374"/>
      <c r="Q10374"/>
      <c r="R10374"/>
      <c r="S10374"/>
    </row>
    <row r="10375" spans="13:19" ht="13.95" customHeight="1">
      <c r="M10375"/>
      <c r="N10375"/>
      <c r="O10375"/>
      <c r="P10375"/>
      <c r="Q10375"/>
      <c r="R10375"/>
      <c r="S10375"/>
    </row>
    <row r="10376" spans="13:19" ht="13.95" customHeight="1">
      <c r="M10376"/>
      <c r="N10376"/>
      <c r="O10376"/>
      <c r="P10376"/>
      <c r="Q10376"/>
      <c r="R10376"/>
      <c r="S10376"/>
    </row>
    <row r="10377" spans="13:19" ht="13.95" customHeight="1">
      <c r="M10377"/>
      <c r="N10377"/>
      <c r="O10377"/>
      <c r="P10377"/>
      <c r="Q10377"/>
      <c r="R10377"/>
      <c r="S10377"/>
    </row>
    <row r="10378" spans="13:19" ht="13.95" customHeight="1">
      <c r="M10378"/>
      <c r="N10378"/>
      <c r="O10378"/>
      <c r="P10378"/>
      <c r="Q10378"/>
      <c r="R10378"/>
      <c r="S10378"/>
    </row>
    <row r="10379" spans="13:19" ht="13.95" customHeight="1">
      <c r="M10379"/>
      <c r="N10379"/>
      <c r="O10379"/>
      <c r="P10379"/>
      <c r="Q10379"/>
      <c r="R10379"/>
      <c r="S10379"/>
    </row>
    <row r="10380" spans="13:19" ht="13.95" customHeight="1">
      <c r="M10380"/>
      <c r="N10380"/>
      <c r="O10380"/>
      <c r="P10380"/>
      <c r="Q10380"/>
      <c r="R10380"/>
      <c r="S10380"/>
    </row>
    <row r="10381" spans="13:19" ht="13.95" customHeight="1">
      <c r="M10381"/>
      <c r="N10381"/>
      <c r="O10381"/>
      <c r="P10381"/>
      <c r="Q10381"/>
      <c r="R10381"/>
      <c r="S10381"/>
    </row>
    <row r="10382" spans="13:19" ht="13.95" customHeight="1">
      <c r="M10382"/>
      <c r="N10382"/>
      <c r="O10382"/>
      <c r="P10382"/>
      <c r="Q10382"/>
      <c r="R10382"/>
      <c r="S10382"/>
    </row>
    <row r="10383" spans="13:19" ht="13.95" customHeight="1">
      <c r="M10383"/>
      <c r="N10383"/>
      <c r="O10383"/>
      <c r="P10383"/>
      <c r="Q10383"/>
      <c r="R10383"/>
      <c r="S10383"/>
    </row>
    <row r="10384" spans="13:19" ht="13.95" customHeight="1">
      <c r="M10384"/>
      <c r="N10384"/>
      <c r="O10384"/>
      <c r="P10384"/>
      <c r="Q10384"/>
      <c r="R10384"/>
      <c r="S10384"/>
    </row>
    <row r="10385" spans="13:19" ht="13.95" customHeight="1">
      <c r="M10385"/>
      <c r="N10385"/>
      <c r="O10385"/>
      <c r="P10385"/>
      <c r="Q10385"/>
      <c r="R10385"/>
      <c r="S10385"/>
    </row>
    <row r="10386" spans="13:19" ht="13.95" customHeight="1">
      <c r="M10386"/>
      <c r="N10386"/>
      <c r="O10386"/>
      <c r="P10386"/>
      <c r="Q10386"/>
      <c r="R10386"/>
      <c r="S10386"/>
    </row>
    <row r="10387" spans="13:19" ht="13.95" customHeight="1">
      <c r="M10387"/>
      <c r="N10387"/>
      <c r="O10387"/>
      <c r="P10387"/>
      <c r="Q10387"/>
      <c r="R10387"/>
      <c r="S10387"/>
    </row>
    <row r="10388" spans="13:19" ht="13.95" customHeight="1">
      <c r="M10388"/>
      <c r="N10388"/>
      <c r="O10388"/>
      <c r="P10388"/>
      <c r="Q10388"/>
      <c r="R10388"/>
      <c r="S10388"/>
    </row>
    <row r="10389" spans="13:19" ht="13.95" customHeight="1">
      <c r="M10389"/>
      <c r="N10389"/>
      <c r="O10389"/>
      <c r="P10389"/>
      <c r="Q10389"/>
      <c r="R10389"/>
      <c r="S10389"/>
    </row>
    <row r="10390" spans="13:19" ht="13.95" customHeight="1">
      <c r="M10390"/>
      <c r="N10390"/>
      <c r="O10390"/>
      <c r="P10390"/>
      <c r="Q10390"/>
      <c r="R10390"/>
      <c r="S10390"/>
    </row>
    <row r="10391" spans="13:19" ht="13.95" customHeight="1">
      <c r="M10391"/>
      <c r="N10391"/>
      <c r="O10391"/>
      <c r="P10391"/>
      <c r="Q10391"/>
      <c r="R10391"/>
      <c r="S10391"/>
    </row>
    <row r="10392" spans="13:19" ht="13.95" customHeight="1">
      <c r="M10392"/>
      <c r="N10392"/>
      <c r="O10392"/>
      <c r="P10392"/>
      <c r="Q10392"/>
      <c r="R10392"/>
      <c r="S10392"/>
    </row>
    <row r="10393" spans="13:19" ht="13.95" customHeight="1">
      <c r="M10393"/>
      <c r="N10393"/>
      <c r="O10393"/>
      <c r="P10393"/>
      <c r="Q10393"/>
      <c r="R10393"/>
      <c r="S10393"/>
    </row>
    <row r="10394" spans="13:19" ht="13.95" customHeight="1">
      <c r="M10394"/>
      <c r="N10394"/>
      <c r="O10394"/>
      <c r="P10394"/>
      <c r="Q10394"/>
      <c r="R10394"/>
      <c r="S10394"/>
    </row>
    <row r="10395" spans="13:19" ht="13.95" customHeight="1">
      <c r="M10395"/>
      <c r="N10395"/>
      <c r="O10395"/>
      <c r="P10395"/>
      <c r="Q10395"/>
      <c r="R10395"/>
      <c r="S10395"/>
    </row>
    <row r="10396" spans="13:19" ht="13.95" customHeight="1">
      <c r="M10396"/>
      <c r="N10396"/>
      <c r="O10396"/>
      <c r="P10396"/>
      <c r="Q10396"/>
      <c r="R10396"/>
      <c r="S10396"/>
    </row>
    <row r="10397" spans="13:19" ht="13.95" customHeight="1">
      <c r="M10397"/>
      <c r="N10397"/>
      <c r="O10397"/>
      <c r="P10397"/>
      <c r="Q10397"/>
      <c r="R10397"/>
      <c r="S10397"/>
    </row>
    <row r="10398" spans="13:19" ht="13.95" customHeight="1">
      <c r="M10398"/>
      <c r="N10398"/>
      <c r="O10398"/>
      <c r="P10398"/>
      <c r="Q10398"/>
      <c r="R10398"/>
      <c r="S10398"/>
    </row>
    <row r="10399" spans="13:19" ht="13.95" customHeight="1">
      <c r="M10399"/>
      <c r="N10399"/>
      <c r="O10399"/>
      <c r="P10399"/>
      <c r="Q10399"/>
      <c r="R10399"/>
      <c r="S10399"/>
    </row>
    <row r="10400" spans="13:19" ht="13.95" customHeight="1">
      <c r="M10400"/>
      <c r="N10400"/>
      <c r="O10400"/>
      <c r="P10400"/>
      <c r="Q10400"/>
      <c r="R10400"/>
      <c r="S10400"/>
    </row>
    <row r="10401" spans="13:19" ht="13.95" customHeight="1">
      <c r="M10401"/>
      <c r="N10401"/>
      <c r="O10401"/>
      <c r="P10401"/>
      <c r="Q10401"/>
      <c r="R10401"/>
      <c r="S10401"/>
    </row>
    <row r="10402" spans="13:19" ht="13.95" customHeight="1">
      <c r="M10402"/>
      <c r="N10402"/>
      <c r="O10402"/>
      <c r="P10402"/>
      <c r="Q10402"/>
      <c r="R10402"/>
      <c r="S10402"/>
    </row>
    <row r="10403" spans="13:19" ht="13.95" customHeight="1">
      <c r="M10403"/>
      <c r="N10403"/>
      <c r="O10403"/>
      <c r="P10403"/>
      <c r="Q10403"/>
      <c r="R10403"/>
      <c r="S10403"/>
    </row>
    <row r="10404" spans="13:19" ht="13.95" customHeight="1">
      <c r="M10404"/>
      <c r="N10404"/>
      <c r="O10404"/>
      <c r="P10404"/>
      <c r="Q10404"/>
      <c r="R10404"/>
      <c r="S10404"/>
    </row>
    <row r="10405" spans="13:19" ht="13.95" customHeight="1">
      <c r="M10405"/>
      <c r="N10405"/>
      <c r="O10405"/>
      <c r="P10405"/>
      <c r="Q10405"/>
      <c r="R10405"/>
      <c r="S10405"/>
    </row>
    <row r="10406" spans="13:19" ht="13.95" customHeight="1">
      <c r="M10406"/>
      <c r="N10406"/>
      <c r="O10406"/>
      <c r="P10406"/>
      <c r="Q10406"/>
      <c r="R10406"/>
      <c r="S10406"/>
    </row>
    <row r="10407" spans="13:19" ht="13.95" customHeight="1">
      <c r="M10407"/>
      <c r="N10407"/>
      <c r="O10407"/>
      <c r="P10407"/>
      <c r="Q10407"/>
      <c r="R10407"/>
      <c r="S10407"/>
    </row>
    <row r="10408" spans="13:19" ht="13.95" customHeight="1">
      <c r="M10408"/>
      <c r="N10408"/>
      <c r="O10408"/>
      <c r="P10408"/>
      <c r="Q10408"/>
      <c r="R10408"/>
      <c r="S10408"/>
    </row>
    <row r="10409" spans="13:19" ht="13.95" customHeight="1">
      <c r="M10409"/>
      <c r="N10409"/>
      <c r="O10409"/>
      <c r="P10409"/>
      <c r="Q10409"/>
      <c r="R10409"/>
      <c r="S10409"/>
    </row>
    <row r="10410" spans="13:19" ht="13.95" customHeight="1">
      <c r="M10410"/>
      <c r="N10410"/>
      <c r="O10410"/>
      <c r="P10410"/>
      <c r="Q10410"/>
      <c r="R10410"/>
      <c r="S10410"/>
    </row>
    <row r="10411" spans="13:19" ht="13.95" customHeight="1">
      <c r="M10411"/>
      <c r="N10411"/>
      <c r="O10411"/>
      <c r="P10411"/>
      <c r="Q10411"/>
      <c r="R10411"/>
      <c r="S10411"/>
    </row>
    <row r="10412" spans="13:19" ht="13.95" customHeight="1">
      <c r="M10412"/>
      <c r="N10412"/>
      <c r="O10412"/>
      <c r="P10412"/>
      <c r="Q10412"/>
      <c r="R10412"/>
      <c r="S10412"/>
    </row>
    <row r="10413" spans="13:19" ht="13.95" customHeight="1">
      <c r="M10413"/>
      <c r="N10413"/>
      <c r="O10413"/>
      <c r="P10413"/>
      <c r="Q10413"/>
      <c r="R10413"/>
      <c r="S10413"/>
    </row>
    <row r="10414" spans="13:19" ht="13.95" customHeight="1">
      <c r="M10414"/>
      <c r="N10414"/>
      <c r="O10414"/>
      <c r="P10414"/>
      <c r="Q10414"/>
      <c r="R10414"/>
      <c r="S10414"/>
    </row>
    <row r="10415" spans="13:19" ht="13.95" customHeight="1">
      <c r="M10415"/>
      <c r="N10415"/>
      <c r="O10415"/>
      <c r="P10415"/>
      <c r="Q10415"/>
      <c r="R10415"/>
      <c r="S10415"/>
    </row>
    <row r="10416" spans="13:19" ht="13.95" customHeight="1">
      <c r="M10416"/>
      <c r="N10416"/>
      <c r="O10416"/>
      <c r="P10416"/>
      <c r="Q10416"/>
      <c r="R10416"/>
      <c r="S10416"/>
    </row>
    <row r="10417" spans="13:19" ht="13.95" customHeight="1">
      <c r="M10417"/>
      <c r="N10417"/>
      <c r="O10417"/>
      <c r="P10417"/>
      <c r="Q10417"/>
      <c r="R10417"/>
      <c r="S10417"/>
    </row>
    <row r="10418" spans="13:19" ht="13.95" customHeight="1">
      <c r="M10418"/>
      <c r="N10418"/>
      <c r="O10418"/>
      <c r="P10418"/>
      <c r="Q10418"/>
      <c r="R10418"/>
      <c r="S10418"/>
    </row>
    <row r="10419" spans="13:19" ht="13.95" customHeight="1">
      <c r="M10419"/>
      <c r="N10419"/>
      <c r="O10419"/>
      <c r="P10419"/>
      <c r="Q10419"/>
      <c r="R10419"/>
      <c r="S10419"/>
    </row>
    <row r="10420" spans="13:19" ht="13.95" customHeight="1">
      <c r="M10420"/>
      <c r="N10420"/>
      <c r="O10420"/>
      <c r="P10420"/>
      <c r="Q10420"/>
      <c r="R10420"/>
      <c r="S10420"/>
    </row>
    <row r="10421" spans="13:19" ht="13.95" customHeight="1">
      <c r="M10421"/>
      <c r="N10421"/>
      <c r="O10421"/>
      <c r="P10421"/>
      <c r="Q10421"/>
      <c r="R10421"/>
      <c r="S10421"/>
    </row>
    <row r="10422" spans="13:19" ht="13.95" customHeight="1">
      <c r="M10422"/>
      <c r="N10422"/>
      <c r="O10422"/>
      <c r="P10422"/>
      <c r="Q10422"/>
      <c r="R10422"/>
      <c r="S10422"/>
    </row>
    <row r="10423" spans="13:19" ht="13.95" customHeight="1">
      <c r="M10423"/>
      <c r="N10423"/>
      <c r="O10423"/>
      <c r="P10423"/>
      <c r="Q10423"/>
      <c r="R10423"/>
      <c r="S10423"/>
    </row>
    <row r="10424" spans="13:19" ht="13.95" customHeight="1">
      <c r="M10424"/>
      <c r="N10424"/>
      <c r="O10424"/>
      <c r="P10424"/>
      <c r="Q10424"/>
      <c r="R10424"/>
      <c r="S10424"/>
    </row>
    <row r="10425" spans="13:19" ht="13.95" customHeight="1">
      <c r="M10425"/>
      <c r="N10425"/>
      <c r="O10425"/>
      <c r="P10425"/>
      <c r="Q10425"/>
      <c r="R10425"/>
      <c r="S10425"/>
    </row>
    <row r="10426" spans="13:19" ht="13.95" customHeight="1">
      <c r="M10426"/>
      <c r="N10426"/>
      <c r="O10426"/>
      <c r="P10426"/>
      <c r="Q10426"/>
      <c r="R10426"/>
      <c r="S10426"/>
    </row>
    <row r="10427" spans="13:19" ht="13.95" customHeight="1">
      <c r="M10427"/>
      <c r="N10427"/>
      <c r="O10427"/>
      <c r="P10427"/>
      <c r="Q10427"/>
      <c r="R10427"/>
      <c r="S10427"/>
    </row>
    <row r="10428" spans="13:19" ht="13.95" customHeight="1">
      <c r="M10428"/>
      <c r="N10428"/>
      <c r="O10428"/>
      <c r="P10428"/>
      <c r="Q10428"/>
      <c r="R10428"/>
      <c r="S10428"/>
    </row>
    <row r="10429" spans="13:19" ht="13.95" customHeight="1">
      <c r="M10429"/>
      <c r="N10429"/>
      <c r="O10429"/>
      <c r="P10429"/>
      <c r="Q10429"/>
      <c r="R10429"/>
      <c r="S10429"/>
    </row>
    <row r="10430" spans="13:19" ht="13.95" customHeight="1">
      <c r="M10430"/>
      <c r="N10430"/>
      <c r="O10430"/>
      <c r="P10430"/>
      <c r="Q10430"/>
      <c r="R10430"/>
      <c r="S10430"/>
    </row>
    <row r="10431" spans="13:19" ht="13.95" customHeight="1">
      <c r="M10431"/>
      <c r="N10431"/>
      <c r="O10431"/>
      <c r="P10431"/>
      <c r="Q10431"/>
      <c r="R10431"/>
      <c r="S10431"/>
    </row>
    <row r="10432" spans="13:19" ht="13.95" customHeight="1">
      <c r="M10432"/>
      <c r="N10432"/>
      <c r="O10432"/>
      <c r="P10432"/>
      <c r="Q10432"/>
      <c r="R10432"/>
      <c r="S10432"/>
    </row>
    <row r="10433" spans="13:19" ht="13.95" customHeight="1">
      <c r="M10433"/>
      <c r="N10433"/>
      <c r="O10433"/>
      <c r="P10433"/>
      <c r="Q10433"/>
      <c r="R10433"/>
      <c r="S10433"/>
    </row>
    <row r="10434" spans="13:19" ht="13.95" customHeight="1">
      <c r="M10434"/>
      <c r="N10434"/>
      <c r="O10434"/>
      <c r="P10434"/>
      <c r="Q10434"/>
      <c r="R10434"/>
      <c r="S10434"/>
    </row>
    <row r="10435" spans="13:19" ht="13.95" customHeight="1">
      <c r="M10435"/>
      <c r="N10435"/>
      <c r="O10435"/>
      <c r="P10435"/>
      <c r="Q10435"/>
      <c r="R10435"/>
      <c r="S10435"/>
    </row>
    <row r="10436" spans="13:19" ht="13.95" customHeight="1">
      <c r="M10436"/>
      <c r="N10436"/>
      <c r="O10436"/>
      <c r="P10436"/>
      <c r="Q10436"/>
      <c r="R10436"/>
      <c r="S10436"/>
    </row>
    <row r="10437" spans="13:19" ht="13.95" customHeight="1">
      <c r="M10437"/>
      <c r="N10437"/>
      <c r="O10437"/>
      <c r="P10437"/>
      <c r="Q10437"/>
      <c r="R10437"/>
      <c r="S10437"/>
    </row>
    <row r="10438" spans="13:19" ht="13.95" customHeight="1">
      <c r="M10438"/>
      <c r="N10438"/>
      <c r="O10438"/>
      <c r="P10438"/>
      <c r="Q10438"/>
      <c r="R10438"/>
      <c r="S10438"/>
    </row>
    <row r="10439" spans="13:19" ht="13.95" customHeight="1">
      <c r="M10439"/>
      <c r="N10439"/>
      <c r="O10439"/>
      <c r="P10439"/>
      <c r="Q10439"/>
      <c r="R10439"/>
      <c r="S10439"/>
    </row>
    <row r="10440" spans="13:19" ht="13.95" customHeight="1">
      <c r="M10440"/>
      <c r="N10440"/>
      <c r="O10440"/>
      <c r="P10440"/>
      <c r="Q10440"/>
      <c r="R10440"/>
      <c r="S10440"/>
    </row>
    <row r="10441" spans="13:19" ht="13.95" customHeight="1">
      <c r="M10441"/>
      <c r="N10441"/>
      <c r="O10441"/>
      <c r="P10441"/>
      <c r="Q10441"/>
      <c r="R10441"/>
      <c r="S10441"/>
    </row>
    <row r="10442" spans="13:19" ht="13.95" customHeight="1">
      <c r="M10442"/>
      <c r="N10442"/>
      <c r="O10442"/>
      <c r="P10442"/>
      <c r="Q10442"/>
      <c r="R10442"/>
      <c r="S10442"/>
    </row>
    <row r="10443" spans="13:19" ht="13.95" customHeight="1">
      <c r="M10443"/>
      <c r="N10443"/>
      <c r="O10443"/>
      <c r="P10443"/>
      <c r="Q10443"/>
      <c r="R10443"/>
      <c r="S10443"/>
    </row>
    <row r="10444" spans="13:19" ht="13.95" customHeight="1">
      <c r="M10444"/>
      <c r="N10444"/>
      <c r="O10444"/>
      <c r="P10444"/>
      <c r="Q10444"/>
      <c r="R10444"/>
      <c r="S10444"/>
    </row>
    <row r="10445" spans="13:19" ht="13.95" customHeight="1">
      <c r="M10445"/>
      <c r="N10445"/>
      <c r="O10445"/>
      <c r="P10445"/>
      <c r="Q10445"/>
      <c r="R10445"/>
      <c r="S10445"/>
    </row>
    <row r="10446" spans="13:19" ht="13.95" customHeight="1">
      <c r="M10446"/>
      <c r="N10446"/>
      <c r="O10446"/>
      <c r="P10446"/>
      <c r="Q10446"/>
      <c r="R10446"/>
      <c r="S10446"/>
    </row>
    <row r="10447" spans="13:19" ht="13.95" customHeight="1">
      <c r="M10447"/>
      <c r="N10447"/>
      <c r="O10447"/>
      <c r="P10447"/>
      <c r="Q10447"/>
      <c r="R10447"/>
      <c r="S10447"/>
    </row>
    <row r="10448" spans="13:19" ht="13.95" customHeight="1">
      <c r="M10448"/>
      <c r="N10448"/>
      <c r="O10448"/>
      <c r="P10448"/>
      <c r="Q10448"/>
      <c r="R10448"/>
      <c r="S10448"/>
    </row>
    <row r="10449" spans="13:19" ht="13.95" customHeight="1">
      <c r="M10449"/>
      <c r="N10449"/>
      <c r="O10449"/>
      <c r="P10449"/>
      <c r="Q10449"/>
      <c r="R10449"/>
      <c r="S10449"/>
    </row>
    <row r="10450" spans="13:19" ht="13.95" customHeight="1">
      <c r="M10450"/>
      <c r="N10450"/>
      <c r="O10450"/>
      <c r="P10450"/>
      <c r="Q10450"/>
      <c r="R10450"/>
      <c r="S10450"/>
    </row>
    <row r="10451" spans="13:19" ht="13.95" customHeight="1">
      <c r="M10451"/>
      <c r="N10451"/>
      <c r="O10451"/>
      <c r="P10451"/>
      <c r="Q10451"/>
      <c r="R10451"/>
      <c r="S10451"/>
    </row>
    <row r="10452" spans="13:19" ht="13.95" customHeight="1">
      <c r="M10452"/>
      <c r="N10452"/>
      <c r="O10452"/>
      <c r="P10452"/>
      <c r="Q10452"/>
      <c r="R10452"/>
      <c r="S10452"/>
    </row>
    <row r="10453" spans="13:19" ht="13.95" customHeight="1">
      <c r="M10453"/>
      <c r="N10453"/>
      <c r="O10453"/>
      <c r="P10453"/>
      <c r="Q10453"/>
      <c r="R10453"/>
      <c r="S10453"/>
    </row>
    <row r="10454" spans="13:19" ht="13.95" customHeight="1">
      <c r="M10454"/>
      <c r="N10454"/>
      <c r="O10454"/>
      <c r="P10454"/>
      <c r="Q10454"/>
      <c r="R10454"/>
      <c r="S10454"/>
    </row>
    <row r="10455" spans="13:19" ht="13.95" customHeight="1">
      <c r="M10455"/>
      <c r="N10455"/>
      <c r="O10455"/>
      <c r="P10455"/>
      <c r="Q10455"/>
      <c r="R10455"/>
      <c r="S10455"/>
    </row>
    <row r="10456" spans="13:19" ht="13.95" customHeight="1">
      <c r="M10456"/>
      <c r="N10456"/>
      <c r="O10456"/>
      <c r="P10456"/>
      <c r="Q10456"/>
      <c r="R10456"/>
      <c r="S10456"/>
    </row>
    <row r="10457" spans="13:19" ht="13.95" customHeight="1">
      <c r="M10457"/>
      <c r="N10457"/>
      <c r="O10457"/>
      <c r="P10457"/>
      <c r="Q10457"/>
      <c r="R10457"/>
      <c r="S10457"/>
    </row>
    <row r="10458" spans="13:19" ht="13.95" customHeight="1">
      <c r="M10458"/>
      <c r="N10458"/>
      <c r="O10458"/>
      <c r="P10458"/>
      <c r="Q10458"/>
      <c r="R10458"/>
      <c r="S10458"/>
    </row>
    <row r="10459" spans="13:19" ht="13.95" customHeight="1">
      <c r="M10459"/>
      <c r="N10459"/>
      <c r="O10459"/>
      <c r="P10459"/>
      <c r="Q10459"/>
      <c r="R10459"/>
      <c r="S10459"/>
    </row>
    <row r="10460" spans="13:19" ht="13.95" customHeight="1">
      <c r="M10460"/>
      <c r="N10460"/>
      <c r="O10460"/>
      <c r="P10460"/>
      <c r="Q10460"/>
      <c r="R10460"/>
      <c r="S10460"/>
    </row>
    <row r="10461" spans="13:19" ht="13.95" customHeight="1">
      <c r="M10461"/>
      <c r="N10461"/>
      <c r="O10461"/>
      <c r="P10461"/>
      <c r="Q10461"/>
      <c r="R10461"/>
      <c r="S10461"/>
    </row>
    <row r="10462" spans="13:19" ht="13.95" customHeight="1">
      <c r="M10462"/>
      <c r="N10462"/>
      <c r="O10462"/>
      <c r="P10462"/>
      <c r="Q10462"/>
      <c r="R10462"/>
      <c r="S10462"/>
    </row>
    <row r="10463" spans="13:19" ht="13.95" customHeight="1">
      <c r="M10463"/>
      <c r="N10463"/>
      <c r="O10463"/>
      <c r="P10463"/>
      <c r="Q10463"/>
      <c r="R10463"/>
      <c r="S10463"/>
    </row>
    <row r="10464" spans="13:19" ht="13.95" customHeight="1">
      <c r="M10464"/>
      <c r="N10464"/>
      <c r="O10464"/>
      <c r="P10464"/>
      <c r="Q10464"/>
      <c r="R10464"/>
      <c r="S10464"/>
    </row>
    <row r="10465" spans="13:19" ht="13.95" customHeight="1">
      <c r="M10465"/>
      <c r="N10465"/>
      <c r="O10465"/>
      <c r="P10465"/>
      <c r="Q10465"/>
      <c r="R10465"/>
      <c r="S10465"/>
    </row>
    <row r="10466" spans="13:19" ht="13.95" customHeight="1">
      <c r="M10466"/>
      <c r="N10466"/>
      <c r="O10466"/>
      <c r="P10466"/>
      <c r="Q10466"/>
      <c r="R10466"/>
      <c r="S10466"/>
    </row>
    <row r="10467" spans="13:19" ht="13.95" customHeight="1">
      <c r="M10467"/>
      <c r="N10467"/>
      <c r="O10467"/>
      <c r="P10467"/>
      <c r="Q10467"/>
      <c r="R10467"/>
      <c r="S10467"/>
    </row>
    <row r="10468" spans="13:19" ht="13.95" customHeight="1">
      <c r="M10468"/>
      <c r="N10468"/>
      <c r="O10468"/>
      <c r="P10468"/>
      <c r="Q10468"/>
      <c r="R10468"/>
      <c r="S10468"/>
    </row>
    <row r="10469" spans="13:19" ht="13.95" customHeight="1">
      <c r="M10469"/>
      <c r="N10469"/>
      <c r="O10469"/>
      <c r="P10469"/>
      <c r="Q10469"/>
      <c r="R10469"/>
      <c r="S10469"/>
    </row>
    <row r="10470" spans="13:19" ht="13.95" customHeight="1">
      <c r="M10470"/>
      <c r="N10470"/>
      <c r="O10470"/>
      <c r="P10470"/>
      <c r="Q10470"/>
      <c r="R10470"/>
      <c r="S10470"/>
    </row>
    <row r="10471" spans="13:19" ht="13.95" customHeight="1">
      <c r="M10471"/>
      <c r="N10471"/>
      <c r="O10471"/>
      <c r="P10471"/>
      <c r="Q10471"/>
      <c r="R10471"/>
      <c r="S10471"/>
    </row>
    <row r="10472" spans="13:19" ht="13.95" customHeight="1">
      <c r="M10472"/>
      <c r="N10472"/>
      <c r="O10472"/>
      <c r="P10472"/>
      <c r="Q10472"/>
      <c r="R10472"/>
      <c r="S10472"/>
    </row>
    <row r="10473" spans="13:19" ht="13.95" customHeight="1">
      <c r="M10473"/>
      <c r="N10473"/>
      <c r="O10473"/>
      <c r="P10473"/>
      <c r="Q10473"/>
      <c r="R10473"/>
      <c r="S10473"/>
    </row>
    <row r="10474" spans="13:19" ht="13.95" customHeight="1">
      <c r="M10474"/>
      <c r="N10474"/>
      <c r="O10474"/>
      <c r="P10474"/>
      <c r="Q10474"/>
      <c r="R10474"/>
      <c r="S10474"/>
    </row>
    <row r="10475" spans="13:19" ht="13.95" customHeight="1">
      <c r="M10475"/>
      <c r="N10475"/>
      <c r="O10475"/>
      <c r="P10475"/>
      <c r="Q10475"/>
      <c r="R10475"/>
      <c r="S10475"/>
    </row>
    <row r="10476" spans="13:19" ht="13.95" customHeight="1">
      <c r="M10476"/>
      <c r="N10476"/>
      <c r="O10476"/>
      <c r="P10476"/>
      <c r="Q10476"/>
      <c r="R10476"/>
      <c r="S10476"/>
    </row>
    <row r="10477" spans="13:19" ht="13.95" customHeight="1">
      <c r="M10477"/>
      <c r="N10477"/>
      <c r="O10477"/>
      <c r="P10477"/>
      <c r="Q10477"/>
      <c r="R10477"/>
      <c r="S10477"/>
    </row>
    <row r="10478" spans="13:19" ht="13.95" customHeight="1">
      <c r="M10478"/>
      <c r="N10478"/>
      <c r="O10478"/>
      <c r="P10478"/>
      <c r="Q10478"/>
      <c r="R10478"/>
      <c r="S10478"/>
    </row>
    <row r="10479" spans="13:19" ht="13.95" customHeight="1">
      <c r="M10479"/>
      <c r="N10479"/>
      <c r="O10479"/>
      <c r="P10479"/>
      <c r="Q10479"/>
      <c r="R10479"/>
      <c r="S10479"/>
    </row>
    <row r="10480" spans="13:19" ht="13.95" customHeight="1">
      <c r="M10480"/>
      <c r="N10480"/>
      <c r="O10480"/>
      <c r="P10480"/>
      <c r="Q10480"/>
      <c r="R10480"/>
      <c r="S10480"/>
    </row>
    <row r="10481" spans="13:19" ht="13.95" customHeight="1">
      <c r="M10481"/>
      <c r="N10481"/>
      <c r="O10481"/>
      <c r="P10481"/>
      <c r="Q10481"/>
      <c r="R10481"/>
      <c r="S10481"/>
    </row>
    <row r="10482" spans="13:19" ht="13.95" customHeight="1">
      <c r="M10482"/>
      <c r="N10482"/>
      <c r="O10482"/>
      <c r="P10482"/>
      <c r="Q10482"/>
      <c r="R10482"/>
      <c r="S10482"/>
    </row>
    <row r="10483" spans="13:19" ht="13.95" customHeight="1">
      <c r="M10483"/>
      <c r="N10483"/>
      <c r="O10483"/>
      <c r="P10483"/>
      <c r="Q10483"/>
      <c r="R10483"/>
      <c r="S10483"/>
    </row>
    <row r="10484" spans="13:19" ht="13.95" customHeight="1">
      <c r="M10484"/>
      <c r="N10484"/>
      <c r="O10484"/>
      <c r="P10484"/>
      <c r="Q10484"/>
      <c r="R10484"/>
      <c r="S10484"/>
    </row>
    <row r="10485" spans="13:19" ht="13.95" customHeight="1">
      <c r="M10485"/>
      <c r="N10485"/>
      <c r="O10485"/>
      <c r="P10485"/>
      <c r="Q10485"/>
      <c r="R10485"/>
      <c r="S10485"/>
    </row>
    <row r="10486" spans="13:19" ht="13.95" customHeight="1">
      <c r="M10486"/>
      <c r="N10486"/>
      <c r="O10486"/>
      <c r="P10486"/>
      <c r="Q10486"/>
      <c r="R10486"/>
      <c r="S10486"/>
    </row>
    <row r="10487" spans="13:19" ht="13.95" customHeight="1">
      <c r="M10487"/>
      <c r="N10487"/>
      <c r="O10487"/>
      <c r="P10487"/>
      <c r="Q10487"/>
      <c r="R10487"/>
      <c r="S10487"/>
    </row>
    <row r="10488" spans="13:19" ht="13.95" customHeight="1">
      <c r="M10488"/>
      <c r="N10488"/>
      <c r="O10488"/>
      <c r="P10488"/>
      <c r="Q10488"/>
      <c r="R10488"/>
      <c r="S10488"/>
    </row>
    <row r="10489" spans="13:19" ht="13.95" customHeight="1">
      <c r="M10489"/>
      <c r="N10489"/>
      <c r="O10489"/>
      <c r="P10489"/>
      <c r="Q10489"/>
      <c r="R10489"/>
      <c r="S10489"/>
    </row>
    <row r="10490" spans="13:19" ht="13.95" customHeight="1">
      <c r="M10490"/>
      <c r="N10490"/>
      <c r="O10490"/>
      <c r="P10490"/>
      <c r="Q10490"/>
      <c r="R10490"/>
      <c r="S10490"/>
    </row>
    <row r="10491" spans="13:19" ht="13.95" customHeight="1">
      <c r="M10491"/>
      <c r="N10491"/>
      <c r="O10491"/>
      <c r="P10491"/>
      <c r="Q10491"/>
      <c r="R10491"/>
      <c r="S10491"/>
    </row>
    <row r="10492" spans="13:19" ht="13.95" customHeight="1">
      <c r="M10492"/>
      <c r="N10492"/>
      <c r="O10492"/>
      <c r="P10492"/>
      <c r="Q10492"/>
      <c r="R10492"/>
      <c r="S10492"/>
    </row>
    <row r="10493" spans="13:19" ht="13.95" customHeight="1">
      <c r="M10493"/>
      <c r="N10493"/>
      <c r="O10493"/>
      <c r="P10493"/>
      <c r="Q10493"/>
      <c r="R10493"/>
      <c r="S10493"/>
    </row>
    <row r="10494" spans="13:19" ht="13.95" customHeight="1">
      <c r="M10494"/>
      <c r="N10494"/>
      <c r="O10494"/>
      <c r="P10494"/>
      <c r="Q10494"/>
      <c r="R10494"/>
      <c r="S10494"/>
    </row>
    <row r="10495" spans="13:19" ht="13.95" customHeight="1">
      <c r="M10495"/>
      <c r="N10495"/>
      <c r="O10495"/>
      <c r="P10495"/>
      <c r="Q10495"/>
      <c r="R10495"/>
      <c r="S10495"/>
    </row>
    <row r="10496" spans="13:19" ht="13.95" customHeight="1">
      <c r="M10496"/>
      <c r="N10496"/>
      <c r="O10496"/>
      <c r="P10496"/>
      <c r="Q10496"/>
      <c r="R10496"/>
      <c r="S10496"/>
    </row>
    <row r="10497" spans="13:19" ht="13.95" customHeight="1">
      <c r="M10497"/>
      <c r="N10497"/>
      <c r="O10497"/>
      <c r="P10497"/>
      <c r="Q10497"/>
      <c r="R10497"/>
      <c r="S10497"/>
    </row>
    <row r="10498" spans="13:19" ht="13.95" customHeight="1">
      <c r="M10498"/>
      <c r="N10498"/>
      <c r="O10498"/>
      <c r="P10498"/>
      <c r="Q10498"/>
      <c r="R10498"/>
      <c r="S10498"/>
    </row>
    <row r="10499" spans="13:19" ht="13.95" customHeight="1">
      <c r="M10499"/>
      <c r="N10499"/>
      <c r="O10499"/>
      <c r="P10499"/>
      <c r="Q10499"/>
      <c r="R10499"/>
      <c r="S10499"/>
    </row>
    <row r="10500" spans="13:19" ht="13.95" customHeight="1">
      <c r="M10500"/>
      <c r="N10500"/>
      <c r="O10500"/>
      <c r="P10500"/>
      <c r="Q10500"/>
      <c r="R10500"/>
      <c r="S10500"/>
    </row>
    <row r="10501" spans="13:19" ht="13.95" customHeight="1">
      <c r="M10501"/>
      <c r="N10501"/>
      <c r="O10501"/>
      <c r="P10501"/>
      <c r="Q10501"/>
      <c r="R10501"/>
      <c r="S10501"/>
    </row>
    <row r="10502" spans="13:19" ht="13.95" customHeight="1">
      <c r="M10502"/>
      <c r="N10502"/>
      <c r="O10502"/>
      <c r="P10502"/>
      <c r="Q10502"/>
      <c r="R10502"/>
      <c r="S10502"/>
    </row>
    <row r="10503" spans="13:19" ht="13.95" customHeight="1">
      <c r="M10503"/>
      <c r="N10503"/>
      <c r="O10503"/>
      <c r="P10503"/>
      <c r="Q10503"/>
      <c r="R10503"/>
      <c r="S10503"/>
    </row>
    <row r="10504" spans="13:19" ht="13.95" customHeight="1">
      <c r="M10504"/>
      <c r="N10504"/>
      <c r="O10504"/>
      <c r="P10504"/>
      <c r="Q10504"/>
      <c r="R10504"/>
      <c r="S10504"/>
    </row>
    <row r="10505" spans="13:19" ht="13.95" customHeight="1">
      <c r="M10505"/>
      <c r="N10505"/>
      <c r="O10505"/>
      <c r="P10505"/>
      <c r="Q10505"/>
      <c r="R10505"/>
      <c r="S10505"/>
    </row>
    <row r="10506" spans="13:19" ht="13.95" customHeight="1">
      <c r="M10506"/>
      <c r="N10506"/>
      <c r="O10506"/>
      <c r="P10506"/>
      <c r="Q10506"/>
      <c r="R10506"/>
      <c r="S10506"/>
    </row>
    <row r="10507" spans="13:19" ht="13.95" customHeight="1">
      <c r="M10507"/>
      <c r="N10507"/>
      <c r="O10507"/>
      <c r="P10507"/>
      <c r="Q10507"/>
      <c r="R10507"/>
      <c r="S10507"/>
    </row>
    <row r="10508" spans="13:19" ht="13.95" customHeight="1">
      <c r="M10508"/>
      <c r="N10508"/>
      <c r="O10508"/>
      <c r="P10508"/>
      <c r="Q10508"/>
      <c r="R10508"/>
      <c r="S10508"/>
    </row>
    <row r="10509" spans="13:19" ht="13.95" customHeight="1">
      <c r="M10509"/>
      <c r="N10509"/>
      <c r="O10509"/>
      <c r="P10509"/>
      <c r="Q10509"/>
      <c r="R10509"/>
      <c r="S10509"/>
    </row>
    <row r="10510" spans="13:19" ht="13.95" customHeight="1">
      <c r="M10510"/>
      <c r="N10510"/>
      <c r="O10510"/>
      <c r="P10510"/>
      <c r="Q10510"/>
      <c r="R10510"/>
      <c r="S10510"/>
    </row>
    <row r="10511" spans="13:19" ht="13.95" customHeight="1">
      <c r="M10511"/>
      <c r="N10511"/>
      <c r="O10511"/>
      <c r="P10511"/>
      <c r="Q10511"/>
      <c r="R10511"/>
      <c r="S10511"/>
    </row>
    <row r="10512" spans="13:19" ht="13.95" customHeight="1">
      <c r="M10512"/>
      <c r="N10512"/>
      <c r="O10512"/>
      <c r="P10512"/>
      <c r="Q10512"/>
      <c r="R10512"/>
      <c r="S10512"/>
    </row>
    <row r="10513" spans="13:19" ht="13.95" customHeight="1">
      <c r="M10513"/>
      <c r="N10513"/>
      <c r="O10513"/>
      <c r="P10513"/>
      <c r="Q10513"/>
      <c r="R10513"/>
      <c r="S10513"/>
    </row>
    <row r="10514" spans="13:19" ht="13.95" customHeight="1">
      <c r="M10514"/>
      <c r="N10514"/>
      <c r="O10514"/>
      <c r="P10514"/>
      <c r="Q10514"/>
      <c r="R10514"/>
      <c r="S10514"/>
    </row>
    <row r="10515" spans="13:19" ht="13.95" customHeight="1">
      <c r="M10515"/>
      <c r="N10515"/>
      <c r="O10515"/>
      <c r="P10515"/>
      <c r="Q10515"/>
      <c r="R10515"/>
      <c r="S10515"/>
    </row>
    <row r="10516" spans="13:19" ht="13.95" customHeight="1">
      <c r="M10516"/>
      <c r="N10516"/>
      <c r="O10516"/>
      <c r="P10516"/>
      <c r="Q10516"/>
      <c r="R10516"/>
      <c r="S10516"/>
    </row>
    <row r="10517" spans="13:19" ht="13.95" customHeight="1">
      <c r="M10517"/>
      <c r="N10517"/>
      <c r="O10517"/>
      <c r="P10517"/>
      <c r="Q10517"/>
      <c r="R10517"/>
      <c r="S10517"/>
    </row>
    <row r="10518" spans="13:19" ht="13.95" customHeight="1">
      <c r="M10518"/>
      <c r="N10518"/>
      <c r="O10518"/>
      <c r="P10518"/>
      <c r="Q10518"/>
      <c r="R10518"/>
      <c r="S10518"/>
    </row>
    <row r="10519" spans="13:19" ht="13.95" customHeight="1">
      <c r="M10519"/>
      <c r="N10519"/>
      <c r="O10519"/>
      <c r="P10519"/>
      <c r="Q10519"/>
      <c r="R10519"/>
      <c r="S10519"/>
    </row>
    <row r="10520" spans="13:19" ht="13.95" customHeight="1">
      <c r="M10520"/>
      <c r="N10520"/>
      <c r="O10520"/>
      <c r="P10520"/>
      <c r="Q10520"/>
      <c r="R10520"/>
      <c r="S10520"/>
    </row>
    <row r="10521" spans="13:19" ht="13.95" customHeight="1">
      <c r="M10521"/>
      <c r="N10521"/>
      <c r="O10521"/>
      <c r="P10521"/>
      <c r="Q10521"/>
      <c r="R10521"/>
      <c r="S10521"/>
    </row>
    <row r="10522" spans="13:19" ht="13.95" customHeight="1">
      <c r="M10522"/>
      <c r="N10522"/>
      <c r="O10522"/>
      <c r="P10522"/>
      <c r="Q10522"/>
      <c r="R10522"/>
      <c r="S10522"/>
    </row>
    <row r="10523" spans="13:19" ht="13.95" customHeight="1">
      <c r="M10523"/>
      <c r="N10523"/>
      <c r="O10523"/>
      <c r="P10523"/>
      <c r="Q10523"/>
      <c r="R10523"/>
      <c r="S10523"/>
    </row>
    <row r="10524" spans="13:19" ht="13.95" customHeight="1">
      <c r="M10524"/>
      <c r="N10524"/>
      <c r="O10524"/>
      <c r="P10524"/>
      <c r="Q10524"/>
      <c r="R10524"/>
      <c r="S10524"/>
    </row>
    <row r="10525" spans="13:19" ht="13.95" customHeight="1">
      <c r="M10525"/>
      <c r="N10525"/>
      <c r="O10525"/>
      <c r="P10525"/>
      <c r="Q10525"/>
      <c r="R10525"/>
      <c r="S10525"/>
    </row>
    <row r="10526" spans="13:19" ht="13.95" customHeight="1">
      <c r="M10526"/>
      <c r="N10526"/>
      <c r="O10526"/>
      <c r="P10526"/>
      <c r="Q10526"/>
      <c r="R10526"/>
      <c r="S10526"/>
    </row>
    <row r="10527" spans="13:19" ht="13.95" customHeight="1">
      <c r="M10527"/>
      <c r="N10527"/>
      <c r="O10527"/>
      <c r="P10527"/>
      <c r="Q10527"/>
      <c r="R10527"/>
      <c r="S10527"/>
    </row>
    <row r="10528" spans="13:19" ht="13.95" customHeight="1">
      <c r="M10528"/>
      <c r="N10528"/>
      <c r="O10528"/>
      <c r="P10528"/>
      <c r="Q10528"/>
      <c r="R10528"/>
      <c r="S10528"/>
    </row>
    <row r="10529" spans="13:19" ht="13.95" customHeight="1">
      <c r="M10529"/>
      <c r="N10529"/>
      <c r="O10529"/>
      <c r="P10529"/>
      <c r="Q10529"/>
      <c r="R10529"/>
      <c r="S10529"/>
    </row>
    <row r="10530" spans="13:19" ht="13.95" customHeight="1">
      <c r="M10530"/>
      <c r="N10530"/>
      <c r="O10530"/>
      <c r="P10530"/>
      <c r="Q10530"/>
      <c r="R10530"/>
      <c r="S10530"/>
    </row>
    <row r="10531" spans="13:19" ht="13.95" customHeight="1">
      <c r="M10531"/>
      <c r="N10531"/>
      <c r="O10531"/>
      <c r="P10531"/>
      <c r="Q10531"/>
      <c r="R10531"/>
      <c r="S10531"/>
    </row>
    <row r="10532" spans="13:19" ht="13.95" customHeight="1">
      <c r="M10532"/>
      <c r="N10532"/>
      <c r="O10532"/>
      <c r="P10532"/>
      <c r="Q10532"/>
      <c r="R10532"/>
      <c r="S10532"/>
    </row>
    <row r="10533" spans="13:19" ht="13.95" customHeight="1">
      <c r="M10533"/>
      <c r="N10533"/>
      <c r="O10533"/>
      <c r="P10533"/>
      <c r="Q10533"/>
      <c r="R10533"/>
      <c r="S10533"/>
    </row>
    <row r="10534" spans="13:19" ht="13.95" customHeight="1">
      <c r="M10534"/>
      <c r="N10534"/>
      <c r="O10534"/>
      <c r="P10534"/>
      <c r="Q10534"/>
      <c r="R10534"/>
      <c r="S10534"/>
    </row>
    <row r="10535" spans="13:19" ht="13.95" customHeight="1">
      <c r="M10535"/>
      <c r="N10535"/>
      <c r="O10535"/>
      <c r="P10535"/>
      <c r="Q10535"/>
      <c r="R10535"/>
      <c r="S10535"/>
    </row>
    <row r="10536" spans="13:19" ht="13.95" customHeight="1">
      <c r="M10536"/>
      <c r="N10536"/>
      <c r="O10536"/>
      <c r="P10536"/>
      <c r="Q10536"/>
      <c r="R10536"/>
      <c r="S10536"/>
    </row>
    <row r="10537" spans="13:19" ht="13.95" customHeight="1">
      <c r="M10537"/>
      <c r="N10537"/>
      <c r="O10537"/>
      <c r="P10537"/>
      <c r="Q10537"/>
      <c r="R10537"/>
      <c r="S10537"/>
    </row>
    <row r="10538" spans="13:19" ht="13.95" customHeight="1">
      <c r="M10538"/>
      <c r="N10538"/>
      <c r="O10538"/>
      <c r="P10538"/>
      <c r="Q10538"/>
      <c r="R10538"/>
      <c r="S10538"/>
    </row>
    <row r="10539" spans="13:19" ht="13.95" customHeight="1">
      <c r="M10539"/>
      <c r="N10539"/>
      <c r="O10539"/>
      <c r="P10539"/>
      <c r="Q10539"/>
      <c r="R10539"/>
      <c r="S10539"/>
    </row>
    <row r="10540" spans="13:19" ht="13.95" customHeight="1">
      <c r="M10540"/>
      <c r="N10540"/>
      <c r="O10540"/>
      <c r="P10540"/>
      <c r="Q10540"/>
      <c r="R10540"/>
      <c r="S10540"/>
    </row>
    <row r="10541" spans="13:19" ht="13.95" customHeight="1">
      <c r="M10541"/>
      <c r="N10541"/>
      <c r="O10541"/>
      <c r="P10541"/>
      <c r="Q10541"/>
      <c r="R10541"/>
      <c r="S10541"/>
    </row>
    <row r="10542" spans="13:19" ht="13.95" customHeight="1">
      <c r="M10542"/>
      <c r="N10542"/>
      <c r="O10542"/>
      <c r="P10542"/>
      <c r="Q10542"/>
      <c r="R10542"/>
      <c r="S10542"/>
    </row>
    <row r="10543" spans="13:19" ht="13.95" customHeight="1">
      <c r="M10543"/>
      <c r="N10543"/>
      <c r="O10543"/>
      <c r="P10543"/>
      <c r="Q10543"/>
      <c r="R10543"/>
      <c r="S10543"/>
    </row>
    <row r="10544" spans="13:19" ht="13.95" customHeight="1">
      <c r="M10544"/>
      <c r="N10544"/>
      <c r="O10544"/>
      <c r="P10544"/>
      <c r="Q10544"/>
      <c r="R10544"/>
      <c r="S10544"/>
    </row>
    <row r="10545" spans="13:19" ht="13.95" customHeight="1">
      <c r="M10545"/>
      <c r="N10545"/>
      <c r="O10545"/>
      <c r="P10545"/>
      <c r="Q10545"/>
      <c r="R10545"/>
      <c r="S10545"/>
    </row>
    <row r="10546" spans="13:19" ht="13.95" customHeight="1">
      <c r="M10546"/>
      <c r="N10546"/>
      <c r="O10546"/>
      <c r="P10546"/>
      <c r="Q10546"/>
      <c r="R10546"/>
      <c r="S10546"/>
    </row>
    <row r="10547" spans="13:19" ht="13.95" customHeight="1">
      <c r="M10547"/>
      <c r="N10547"/>
      <c r="O10547"/>
      <c r="P10547"/>
      <c r="Q10547"/>
      <c r="R10547"/>
      <c r="S10547"/>
    </row>
    <row r="10548" spans="13:19" ht="13.95" customHeight="1">
      <c r="M10548"/>
      <c r="N10548"/>
      <c r="O10548"/>
      <c r="P10548"/>
      <c r="Q10548"/>
      <c r="R10548"/>
      <c r="S10548"/>
    </row>
    <row r="10549" spans="13:19" ht="13.95" customHeight="1">
      <c r="M10549"/>
      <c r="N10549"/>
      <c r="O10549"/>
      <c r="P10549"/>
      <c r="Q10549"/>
      <c r="R10549"/>
      <c r="S10549"/>
    </row>
    <row r="10550" spans="13:19" ht="13.95" customHeight="1">
      <c r="M10550"/>
      <c r="N10550"/>
      <c r="O10550"/>
      <c r="P10550"/>
      <c r="Q10550"/>
      <c r="R10550"/>
      <c r="S10550"/>
    </row>
    <row r="10551" spans="13:19" ht="13.95" customHeight="1">
      <c r="M10551"/>
      <c r="N10551"/>
      <c r="O10551"/>
      <c r="P10551"/>
      <c r="Q10551"/>
      <c r="R10551"/>
      <c r="S10551"/>
    </row>
    <row r="10552" spans="13:19" ht="13.95" customHeight="1">
      <c r="M10552"/>
      <c r="N10552"/>
      <c r="O10552"/>
      <c r="P10552"/>
      <c r="Q10552"/>
      <c r="R10552"/>
      <c r="S10552"/>
    </row>
    <row r="10553" spans="13:19" ht="13.95" customHeight="1">
      <c r="M10553"/>
      <c r="N10553"/>
      <c r="O10553"/>
      <c r="P10553"/>
      <c r="Q10553"/>
      <c r="R10553"/>
      <c r="S10553"/>
    </row>
    <row r="10554" spans="13:19" ht="13.95" customHeight="1">
      <c r="M10554"/>
      <c r="N10554"/>
      <c r="O10554"/>
      <c r="P10554"/>
      <c r="Q10554"/>
      <c r="R10554"/>
      <c r="S10554"/>
    </row>
    <row r="10555" spans="13:19" ht="13.95" customHeight="1">
      <c r="M10555"/>
      <c r="N10555"/>
      <c r="O10555"/>
      <c r="P10555"/>
      <c r="Q10555"/>
      <c r="R10555"/>
      <c r="S10555"/>
    </row>
    <row r="10556" spans="13:19" ht="13.95" customHeight="1">
      <c r="M10556"/>
      <c r="N10556"/>
      <c r="O10556"/>
      <c r="P10556"/>
      <c r="Q10556"/>
      <c r="R10556"/>
      <c r="S10556"/>
    </row>
    <row r="10557" spans="13:19" ht="13.95" customHeight="1">
      <c r="M10557"/>
      <c r="N10557"/>
      <c r="O10557"/>
      <c r="P10557"/>
      <c r="Q10557"/>
      <c r="R10557"/>
      <c r="S10557"/>
    </row>
    <row r="10558" spans="13:19" ht="13.95" customHeight="1">
      <c r="M10558"/>
      <c r="N10558"/>
      <c r="O10558"/>
      <c r="P10558"/>
      <c r="Q10558"/>
      <c r="R10558"/>
      <c r="S10558"/>
    </row>
    <row r="10559" spans="13:19" ht="13.95" customHeight="1">
      <c r="M10559"/>
      <c r="N10559"/>
      <c r="O10559"/>
      <c r="P10559"/>
      <c r="Q10559"/>
      <c r="R10559"/>
      <c r="S10559"/>
    </row>
    <row r="10560" spans="13:19" ht="13.95" customHeight="1">
      <c r="M10560"/>
      <c r="N10560"/>
      <c r="O10560"/>
      <c r="P10560"/>
      <c r="Q10560"/>
      <c r="R10560"/>
      <c r="S10560"/>
    </row>
    <row r="10561" spans="13:19" ht="13.95" customHeight="1">
      <c r="M10561"/>
      <c r="N10561"/>
      <c r="O10561"/>
      <c r="P10561"/>
      <c r="Q10561"/>
      <c r="R10561"/>
      <c r="S10561"/>
    </row>
    <row r="10562" spans="13:19" ht="13.95" customHeight="1">
      <c r="M10562"/>
      <c r="N10562"/>
      <c r="O10562"/>
      <c r="P10562"/>
      <c r="Q10562"/>
      <c r="R10562"/>
      <c r="S10562"/>
    </row>
    <row r="10563" spans="13:19" ht="13.95" customHeight="1">
      <c r="M10563"/>
      <c r="N10563"/>
      <c r="O10563"/>
      <c r="P10563"/>
      <c r="Q10563"/>
      <c r="R10563"/>
      <c r="S10563"/>
    </row>
    <row r="10564" spans="13:19" ht="13.95" customHeight="1">
      <c r="M10564"/>
      <c r="N10564"/>
      <c r="O10564"/>
      <c r="P10564"/>
      <c r="Q10564"/>
      <c r="R10564"/>
      <c r="S10564"/>
    </row>
    <row r="10565" spans="13:19" ht="13.95" customHeight="1">
      <c r="M10565"/>
      <c r="N10565"/>
      <c r="O10565"/>
      <c r="P10565"/>
      <c r="Q10565"/>
      <c r="R10565"/>
      <c r="S10565"/>
    </row>
    <row r="10566" spans="13:19" ht="13.95" customHeight="1">
      <c r="M10566"/>
      <c r="N10566"/>
      <c r="O10566"/>
      <c r="P10566"/>
      <c r="Q10566"/>
      <c r="R10566"/>
      <c r="S10566"/>
    </row>
    <row r="10567" spans="13:19" ht="13.95" customHeight="1">
      <c r="M10567"/>
      <c r="N10567"/>
      <c r="O10567"/>
      <c r="P10567"/>
      <c r="Q10567"/>
      <c r="R10567"/>
      <c r="S10567"/>
    </row>
    <row r="10568" spans="13:19" ht="13.95" customHeight="1">
      <c r="M10568"/>
      <c r="N10568"/>
      <c r="O10568"/>
      <c r="P10568"/>
      <c r="Q10568"/>
      <c r="R10568"/>
      <c r="S10568"/>
    </row>
    <row r="10569" spans="13:19" ht="13.95" customHeight="1">
      <c r="M10569"/>
      <c r="N10569"/>
      <c r="O10569"/>
      <c r="P10569"/>
      <c r="Q10569"/>
      <c r="R10569"/>
      <c r="S10569"/>
    </row>
    <row r="10570" spans="13:19" ht="13.95" customHeight="1">
      <c r="M10570"/>
      <c r="N10570"/>
      <c r="O10570"/>
      <c r="P10570"/>
      <c r="Q10570"/>
      <c r="R10570"/>
      <c r="S10570"/>
    </row>
    <row r="10571" spans="13:19" ht="13.95" customHeight="1">
      <c r="M10571"/>
      <c r="N10571"/>
      <c r="O10571"/>
      <c r="P10571"/>
      <c r="Q10571"/>
      <c r="R10571"/>
      <c r="S10571"/>
    </row>
    <row r="10572" spans="13:19" ht="13.95" customHeight="1">
      <c r="M10572"/>
      <c r="N10572"/>
      <c r="O10572"/>
      <c r="P10572"/>
      <c r="Q10572"/>
      <c r="R10572"/>
      <c r="S10572"/>
    </row>
    <row r="10573" spans="13:19" ht="13.95" customHeight="1">
      <c r="M10573"/>
      <c r="N10573"/>
      <c r="O10573"/>
      <c r="P10573"/>
      <c r="Q10573"/>
      <c r="R10573"/>
      <c r="S10573"/>
    </row>
    <row r="10574" spans="13:19" ht="13.95" customHeight="1">
      <c r="M10574"/>
      <c r="N10574"/>
      <c r="O10574"/>
      <c r="P10574"/>
      <c r="Q10574"/>
      <c r="R10574"/>
      <c r="S10574"/>
    </row>
    <row r="10575" spans="13:19" ht="13.95" customHeight="1">
      <c r="M10575"/>
      <c r="N10575"/>
      <c r="O10575"/>
      <c r="P10575"/>
      <c r="Q10575"/>
      <c r="R10575"/>
      <c r="S10575"/>
    </row>
    <row r="10576" spans="13:19" ht="13.95" customHeight="1">
      <c r="M10576"/>
      <c r="N10576"/>
      <c r="O10576"/>
      <c r="P10576"/>
      <c r="Q10576"/>
      <c r="R10576"/>
      <c r="S10576"/>
    </row>
    <row r="10577" spans="13:19" ht="13.95" customHeight="1">
      <c r="M10577"/>
      <c r="N10577"/>
      <c r="O10577"/>
      <c r="P10577"/>
      <c r="Q10577"/>
      <c r="R10577"/>
      <c r="S10577"/>
    </row>
    <row r="10578" spans="13:19" ht="13.95" customHeight="1">
      <c r="M10578"/>
      <c r="N10578"/>
      <c r="O10578"/>
      <c r="P10578"/>
      <c r="Q10578"/>
      <c r="R10578"/>
      <c r="S10578"/>
    </row>
    <row r="10579" spans="13:19" ht="13.95" customHeight="1">
      <c r="M10579"/>
      <c r="N10579"/>
      <c r="O10579"/>
      <c r="P10579"/>
      <c r="Q10579"/>
      <c r="R10579"/>
      <c r="S10579"/>
    </row>
    <row r="10580" spans="13:19" ht="13.95" customHeight="1">
      <c r="M10580"/>
      <c r="N10580"/>
      <c r="O10580"/>
      <c r="P10580"/>
      <c r="Q10580"/>
      <c r="R10580"/>
      <c r="S10580"/>
    </row>
    <row r="10581" spans="13:19" ht="13.95" customHeight="1">
      <c r="M10581"/>
      <c r="N10581"/>
      <c r="O10581"/>
      <c r="P10581"/>
      <c r="Q10581"/>
      <c r="R10581"/>
      <c r="S10581"/>
    </row>
    <row r="10582" spans="13:19" ht="13.95" customHeight="1">
      <c r="M10582"/>
      <c r="N10582"/>
      <c r="O10582"/>
      <c r="P10582"/>
      <c r="Q10582"/>
      <c r="R10582"/>
      <c r="S10582"/>
    </row>
    <row r="10583" spans="13:19" ht="13.95" customHeight="1">
      <c r="M10583"/>
      <c r="N10583"/>
      <c r="O10583"/>
      <c r="P10583"/>
      <c r="Q10583"/>
      <c r="R10583"/>
      <c r="S10583"/>
    </row>
    <row r="10584" spans="13:19" ht="13.95" customHeight="1">
      <c r="M10584"/>
      <c r="N10584"/>
      <c r="O10584"/>
      <c r="P10584"/>
      <c r="Q10584"/>
      <c r="R10584"/>
      <c r="S10584"/>
    </row>
    <row r="10585" spans="13:19" ht="13.95" customHeight="1">
      <c r="M10585"/>
      <c r="N10585"/>
      <c r="O10585"/>
      <c r="P10585"/>
      <c r="Q10585"/>
      <c r="R10585"/>
      <c r="S10585"/>
    </row>
    <row r="10586" spans="13:19" ht="13.95" customHeight="1">
      <c r="M10586"/>
      <c r="N10586"/>
      <c r="O10586"/>
      <c r="P10586"/>
      <c r="Q10586"/>
      <c r="R10586"/>
      <c r="S10586"/>
    </row>
    <row r="10587" spans="13:19" ht="13.95" customHeight="1">
      <c r="M10587"/>
      <c r="N10587"/>
      <c r="O10587"/>
      <c r="P10587"/>
      <c r="Q10587"/>
      <c r="R10587"/>
      <c r="S10587"/>
    </row>
    <row r="10588" spans="13:19" ht="13.95" customHeight="1">
      <c r="M10588"/>
      <c r="N10588"/>
      <c r="O10588"/>
      <c r="P10588"/>
      <c r="Q10588"/>
      <c r="R10588"/>
      <c r="S10588"/>
    </row>
    <row r="10589" spans="13:19" ht="13.95" customHeight="1">
      <c r="M10589"/>
      <c r="N10589"/>
      <c r="O10589"/>
      <c r="P10589"/>
      <c r="Q10589"/>
      <c r="R10589"/>
      <c r="S10589"/>
    </row>
    <row r="10590" spans="13:19" ht="13.95" customHeight="1">
      <c r="M10590"/>
      <c r="N10590"/>
      <c r="O10590"/>
      <c r="P10590"/>
      <c r="Q10590"/>
      <c r="R10590"/>
      <c r="S10590"/>
    </row>
    <row r="10591" spans="13:19" ht="13.95" customHeight="1">
      <c r="M10591"/>
      <c r="N10591"/>
      <c r="O10591"/>
      <c r="P10591"/>
      <c r="Q10591"/>
      <c r="R10591"/>
      <c r="S10591"/>
    </row>
    <row r="10592" spans="13:19" ht="13.95" customHeight="1">
      <c r="M10592"/>
      <c r="N10592"/>
      <c r="O10592"/>
      <c r="P10592"/>
      <c r="Q10592"/>
      <c r="R10592"/>
      <c r="S10592"/>
    </row>
    <row r="10593" spans="13:19" ht="13.95" customHeight="1">
      <c r="M10593"/>
      <c r="N10593"/>
      <c r="O10593"/>
      <c r="P10593"/>
      <c r="Q10593"/>
      <c r="R10593"/>
      <c r="S10593"/>
    </row>
    <row r="10594" spans="13:19" ht="13.95" customHeight="1">
      <c r="M10594"/>
      <c r="N10594"/>
      <c r="O10594"/>
      <c r="P10594"/>
      <c r="Q10594"/>
      <c r="R10594"/>
      <c r="S10594"/>
    </row>
    <row r="10595" spans="13:19" ht="13.95" customHeight="1">
      <c r="M10595"/>
      <c r="N10595"/>
      <c r="O10595"/>
      <c r="P10595"/>
      <c r="Q10595"/>
      <c r="R10595"/>
      <c r="S10595"/>
    </row>
    <row r="10596" spans="13:19" ht="13.95" customHeight="1">
      <c r="M10596"/>
      <c r="N10596"/>
      <c r="O10596"/>
      <c r="P10596"/>
      <c r="Q10596"/>
      <c r="R10596"/>
      <c r="S10596"/>
    </row>
    <row r="10597" spans="13:19" ht="13.95" customHeight="1">
      <c r="M10597"/>
      <c r="N10597"/>
      <c r="O10597"/>
      <c r="P10597"/>
      <c r="Q10597"/>
      <c r="R10597"/>
      <c r="S10597"/>
    </row>
    <row r="10598" spans="13:19" ht="13.95" customHeight="1">
      <c r="M10598"/>
      <c r="N10598"/>
      <c r="O10598"/>
      <c r="P10598"/>
      <c r="Q10598"/>
      <c r="R10598"/>
      <c r="S10598"/>
    </row>
    <row r="10599" spans="13:19" ht="13.95" customHeight="1">
      <c r="M10599"/>
      <c r="N10599"/>
      <c r="O10599"/>
      <c r="P10599"/>
      <c r="Q10599"/>
      <c r="R10599"/>
      <c r="S10599"/>
    </row>
    <row r="10600" spans="13:19" ht="13.95" customHeight="1">
      <c r="M10600"/>
      <c r="N10600"/>
      <c r="O10600"/>
      <c r="P10600"/>
      <c r="Q10600"/>
      <c r="R10600"/>
      <c r="S10600"/>
    </row>
    <row r="10601" spans="13:19" ht="13.95" customHeight="1">
      <c r="M10601"/>
      <c r="N10601"/>
      <c r="O10601"/>
      <c r="P10601"/>
      <c r="Q10601"/>
      <c r="R10601"/>
      <c r="S10601"/>
    </row>
    <row r="10602" spans="13:19" ht="13.95" customHeight="1">
      <c r="M10602"/>
      <c r="N10602"/>
      <c r="O10602"/>
      <c r="P10602"/>
      <c r="Q10602"/>
      <c r="R10602"/>
      <c r="S10602"/>
    </row>
    <row r="10603" spans="13:19" ht="13.95" customHeight="1">
      <c r="M10603"/>
      <c r="N10603"/>
      <c r="O10603"/>
      <c r="P10603"/>
      <c r="Q10603"/>
      <c r="R10603"/>
      <c r="S10603"/>
    </row>
    <row r="10604" spans="13:19" ht="13.95" customHeight="1">
      <c r="M10604"/>
      <c r="N10604"/>
      <c r="O10604"/>
      <c r="P10604"/>
      <c r="Q10604"/>
      <c r="R10604"/>
      <c r="S10604"/>
    </row>
    <row r="10605" spans="13:19" ht="13.95" customHeight="1">
      <c r="M10605"/>
      <c r="N10605"/>
      <c r="O10605"/>
      <c r="P10605"/>
      <c r="Q10605"/>
      <c r="R10605"/>
      <c r="S10605"/>
    </row>
    <row r="10606" spans="13:19" ht="13.95" customHeight="1">
      <c r="M10606"/>
      <c r="N10606"/>
      <c r="O10606"/>
      <c r="P10606"/>
      <c r="Q10606"/>
      <c r="R10606"/>
      <c r="S10606"/>
    </row>
    <row r="10607" spans="13:19" ht="13.95" customHeight="1">
      <c r="M10607"/>
      <c r="N10607"/>
      <c r="O10607"/>
      <c r="P10607"/>
      <c r="Q10607"/>
      <c r="R10607"/>
      <c r="S10607"/>
    </row>
    <row r="10608" spans="13:19" ht="13.95" customHeight="1">
      <c r="M10608"/>
      <c r="N10608"/>
      <c r="O10608"/>
      <c r="P10608"/>
      <c r="Q10608"/>
      <c r="R10608"/>
      <c r="S10608"/>
    </row>
    <row r="10609" spans="13:19" ht="13.95" customHeight="1">
      <c r="M10609"/>
      <c r="N10609"/>
      <c r="O10609"/>
      <c r="P10609"/>
      <c r="Q10609"/>
      <c r="R10609"/>
      <c r="S10609"/>
    </row>
    <row r="10610" spans="13:19" ht="13.95" customHeight="1">
      <c r="M10610"/>
      <c r="N10610"/>
      <c r="O10610"/>
      <c r="P10610"/>
      <c r="Q10610"/>
      <c r="R10610"/>
      <c r="S10610"/>
    </row>
    <row r="10611" spans="13:19" ht="13.95" customHeight="1">
      <c r="M10611"/>
      <c r="N10611"/>
      <c r="O10611"/>
      <c r="P10611"/>
      <c r="Q10611"/>
      <c r="R10611"/>
      <c r="S10611"/>
    </row>
    <row r="10612" spans="13:19" ht="13.95" customHeight="1">
      <c r="M10612"/>
      <c r="N10612"/>
      <c r="O10612"/>
      <c r="P10612"/>
      <c r="Q10612"/>
      <c r="R10612"/>
      <c r="S10612"/>
    </row>
    <row r="10613" spans="13:19" ht="13.95" customHeight="1">
      <c r="M10613"/>
      <c r="N10613"/>
      <c r="O10613"/>
      <c r="P10613"/>
      <c r="Q10613"/>
      <c r="R10613"/>
      <c r="S10613"/>
    </row>
    <row r="10614" spans="13:19" ht="13.95" customHeight="1">
      <c r="M10614"/>
      <c r="N10614"/>
      <c r="O10614"/>
      <c r="P10614"/>
      <c r="Q10614"/>
      <c r="R10614"/>
      <c r="S10614"/>
    </row>
    <row r="10615" spans="13:19" ht="13.95" customHeight="1">
      <c r="M10615"/>
      <c r="N10615"/>
      <c r="O10615"/>
      <c r="P10615"/>
      <c r="Q10615"/>
      <c r="R10615"/>
      <c r="S10615"/>
    </row>
    <row r="10616" spans="13:19" ht="13.95" customHeight="1">
      <c r="M10616"/>
      <c r="N10616"/>
      <c r="O10616"/>
      <c r="P10616"/>
      <c r="Q10616"/>
      <c r="R10616"/>
      <c r="S10616"/>
    </row>
    <row r="10617" spans="13:19" ht="13.95" customHeight="1">
      <c r="M10617"/>
      <c r="N10617"/>
      <c r="O10617"/>
      <c r="P10617"/>
      <c r="Q10617"/>
      <c r="R10617"/>
      <c r="S10617"/>
    </row>
    <row r="10618" spans="13:19" ht="13.95" customHeight="1">
      <c r="M10618"/>
      <c r="N10618"/>
      <c r="O10618"/>
      <c r="P10618"/>
      <c r="Q10618"/>
      <c r="R10618"/>
      <c r="S10618"/>
    </row>
    <row r="10619" spans="13:19" ht="13.95" customHeight="1">
      <c r="M10619"/>
      <c r="N10619"/>
      <c r="O10619"/>
      <c r="P10619"/>
      <c r="Q10619"/>
      <c r="R10619"/>
      <c r="S10619"/>
    </row>
    <row r="10620" spans="13:19" ht="13.95" customHeight="1">
      <c r="M10620"/>
      <c r="N10620"/>
      <c r="O10620"/>
      <c r="P10620"/>
      <c r="Q10620"/>
      <c r="R10620"/>
      <c r="S10620"/>
    </row>
    <row r="10621" spans="13:19" ht="13.95" customHeight="1">
      <c r="M10621"/>
      <c r="N10621"/>
      <c r="O10621"/>
      <c r="P10621"/>
      <c r="Q10621"/>
      <c r="R10621"/>
      <c r="S10621"/>
    </row>
    <row r="10622" spans="13:19" ht="13.95" customHeight="1">
      <c r="M10622"/>
      <c r="N10622"/>
      <c r="O10622"/>
      <c r="P10622"/>
      <c r="Q10622"/>
      <c r="R10622"/>
      <c r="S10622"/>
    </row>
    <row r="10623" spans="13:19" ht="13.95" customHeight="1">
      <c r="M10623"/>
      <c r="N10623"/>
      <c r="O10623"/>
      <c r="P10623"/>
      <c r="Q10623"/>
      <c r="R10623"/>
      <c r="S10623"/>
    </row>
    <row r="10624" spans="13:19" ht="13.95" customHeight="1">
      <c r="M10624"/>
      <c r="N10624"/>
      <c r="O10624"/>
      <c r="P10624"/>
      <c r="Q10624"/>
      <c r="R10624"/>
      <c r="S10624"/>
    </row>
    <row r="10625" spans="13:19" ht="13.95" customHeight="1">
      <c r="M10625"/>
      <c r="N10625"/>
      <c r="O10625"/>
      <c r="P10625"/>
      <c r="Q10625"/>
      <c r="R10625"/>
      <c r="S10625"/>
    </row>
    <row r="10626" spans="13:19" ht="13.95" customHeight="1">
      <c r="M10626"/>
      <c r="N10626"/>
      <c r="O10626"/>
      <c r="P10626"/>
      <c r="Q10626"/>
      <c r="R10626"/>
      <c r="S10626"/>
    </row>
    <row r="10627" spans="13:19" ht="13.95" customHeight="1">
      <c r="M10627"/>
      <c r="N10627"/>
      <c r="O10627"/>
      <c r="P10627"/>
      <c r="Q10627"/>
      <c r="R10627"/>
      <c r="S10627"/>
    </row>
    <row r="10628" spans="13:19" ht="13.95" customHeight="1">
      <c r="M10628"/>
      <c r="N10628"/>
      <c r="O10628"/>
      <c r="P10628"/>
      <c r="Q10628"/>
      <c r="R10628"/>
      <c r="S10628"/>
    </row>
    <row r="10629" spans="13:19" ht="13.95" customHeight="1">
      <c r="M10629"/>
      <c r="N10629"/>
      <c r="O10629"/>
      <c r="P10629"/>
      <c r="Q10629"/>
      <c r="R10629"/>
      <c r="S10629"/>
    </row>
    <row r="10630" spans="13:19" ht="13.95" customHeight="1">
      <c r="M10630"/>
      <c r="N10630"/>
      <c r="O10630"/>
      <c r="P10630"/>
      <c r="Q10630"/>
      <c r="R10630"/>
      <c r="S10630"/>
    </row>
    <row r="10631" spans="13:19" ht="13.95" customHeight="1">
      <c r="M10631"/>
      <c r="N10631"/>
      <c r="O10631"/>
      <c r="P10631"/>
      <c r="Q10631"/>
      <c r="R10631"/>
      <c r="S10631"/>
    </row>
    <row r="10632" spans="13:19" ht="13.95" customHeight="1">
      <c r="M10632"/>
      <c r="N10632"/>
      <c r="O10632"/>
      <c r="P10632"/>
      <c r="Q10632"/>
      <c r="R10632"/>
      <c r="S10632"/>
    </row>
    <row r="10633" spans="13:19" ht="13.95" customHeight="1">
      <c r="M10633"/>
      <c r="N10633"/>
      <c r="O10633"/>
      <c r="P10633"/>
      <c r="Q10633"/>
      <c r="R10633"/>
      <c r="S10633"/>
    </row>
    <row r="10634" spans="13:19" ht="13.95" customHeight="1">
      <c r="M10634"/>
      <c r="N10634"/>
      <c r="O10634"/>
      <c r="P10634"/>
      <c r="Q10634"/>
      <c r="R10634"/>
      <c r="S10634"/>
    </row>
    <row r="10635" spans="13:19" ht="13.95" customHeight="1">
      <c r="M10635"/>
      <c r="N10635"/>
      <c r="O10635"/>
      <c r="P10635"/>
      <c r="Q10635"/>
      <c r="R10635"/>
      <c r="S10635"/>
    </row>
    <row r="10636" spans="13:19" ht="13.95" customHeight="1">
      <c r="M10636"/>
      <c r="N10636"/>
      <c r="O10636"/>
      <c r="P10636"/>
      <c r="Q10636"/>
      <c r="R10636"/>
      <c r="S10636"/>
    </row>
    <row r="10637" spans="13:19" ht="13.95" customHeight="1">
      <c r="M10637"/>
      <c r="N10637"/>
      <c r="O10637"/>
      <c r="P10637"/>
      <c r="Q10637"/>
      <c r="R10637"/>
      <c r="S10637"/>
    </row>
    <row r="10638" spans="13:19" ht="13.95" customHeight="1">
      <c r="M10638"/>
      <c r="N10638"/>
      <c r="O10638"/>
      <c r="P10638"/>
      <c r="Q10638"/>
      <c r="R10638"/>
      <c r="S10638"/>
    </row>
    <row r="10639" spans="13:19" ht="13.95" customHeight="1">
      <c r="M10639"/>
      <c r="N10639"/>
      <c r="O10639"/>
      <c r="P10639"/>
      <c r="Q10639"/>
      <c r="R10639"/>
      <c r="S10639"/>
    </row>
    <row r="10640" spans="13:19" ht="13.95" customHeight="1">
      <c r="M10640"/>
      <c r="N10640"/>
      <c r="O10640"/>
      <c r="P10640"/>
      <c r="Q10640"/>
      <c r="R10640"/>
      <c r="S10640"/>
    </row>
    <row r="10641" spans="13:19" ht="13.95" customHeight="1">
      <c r="M10641"/>
      <c r="N10641"/>
      <c r="O10641"/>
      <c r="P10641"/>
      <c r="Q10641"/>
      <c r="R10641"/>
      <c r="S10641"/>
    </row>
    <row r="10642" spans="13:19" ht="13.95" customHeight="1">
      <c r="M10642"/>
      <c r="N10642"/>
      <c r="O10642"/>
      <c r="P10642"/>
      <c r="Q10642"/>
      <c r="R10642"/>
      <c r="S10642"/>
    </row>
    <row r="10643" spans="13:19" ht="13.95" customHeight="1">
      <c r="M10643"/>
      <c r="N10643"/>
      <c r="O10643"/>
      <c r="P10643"/>
      <c r="Q10643"/>
      <c r="R10643"/>
      <c r="S10643"/>
    </row>
    <row r="10644" spans="13:19" ht="13.95" customHeight="1">
      <c r="M10644"/>
      <c r="N10644"/>
      <c r="O10644"/>
      <c r="P10644"/>
      <c r="Q10644"/>
      <c r="R10644"/>
      <c r="S10644"/>
    </row>
    <row r="10645" spans="13:19" ht="13.95" customHeight="1">
      <c r="M10645"/>
      <c r="N10645"/>
      <c r="O10645"/>
      <c r="P10645"/>
      <c r="Q10645"/>
      <c r="R10645"/>
      <c r="S10645"/>
    </row>
    <row r="10646" spans="13:19" ht="13.95" customHeight="1">
      <c r="M10646"/>
      <c r="N10646"/>
      <c r="O10646"/>
      <c r="P10646"/>
      <c r="Q10646"/>
      <c r="R10646"/>
      <c r="S10646"/>
    </row>
    <row r="10647" spans="13:19" ht="13.95" customHeight="1">
      <c r="M10647"/>
      <c r="N10647"/>
      <c r="O10647"/>
      <c r="P10647"/>
      <c r="Q10647"/>
      <c r="R10647"/>
      <c r="S10647"/>
    </row>
    <row r="10648" spans="13:19" ht="13.95" customHeight="1">
      <c r="M10648"/>
      <c r="N10648"/>
      <c r="O10648"/>
      <c r="P10648"/>
      <c r="Q10648"/>
      <c r="R10648"/>
      <c r="S10648"/>
    </row>
    <row r="10649" spans="13:19" ht="13.95" customHeight="1">
      <c r="M10649"/>
      <c r="N10649"/>
      <c r="O10649"/>
      <c r="P10649"/>
      <c r="Q10649"/>
      <c r="R10649"/>
      <c r="S10649"/>
    </row>
    <row r="10650" spans="13:19" ht="13.95" customHeight="1">
      <c r="M10650"/>
      <c r="N10650"/>
      <c r="O10650"/>
      <c r="P10650"/>
      <c r="Q10650"/>
      <c r="R10650"/>
      <c r="S10650"/>
    </row>
    <row r="10651" spans="13:19" ht="13.95" customHeight="1">
      <c r="M10651"/>
      <c r="N10651"/>
      <c r="O10651"/>
      <c r="P10651"/>
      <c r="Q10651"/>
      <c r="R10651"/>
      <c r="S10651"/>
    </row>
    <row r="10652" spans="13:19" ht="13.95" customHeight="1">
      <c r="M10652"/>
      <c r="N10652"/>
      <c r="O10652"/>
      <c r="P10652"/>
      <c r="Q10652"/>
      <c r="R10652"/>
      <c r="S10652"/>
    </row>
    <row r="10653" spans="13:19" ht="13.95" customHeight="1">
      <c r="M10653"/>
      <c r="N10653"/>
      <c r="O10653"/>
      <c r="P10653"/>
      <c r="Q10653"/>
      <c r="R10653"/>
      <c r="S10653"/>
    </row>
    <row r="10654" spans="13:19" ht="13.95" customHeight="1">
      <c r="M10654"/>
      <c r="N10654"/>
      <c r="O10654"/>
      <c r="P10654"/>
      <c r="Q10654"/>
      <c r="R10654"/>
      <c r="S10654"/>
    </row>
    <row r="10655" spans="13:19" ht="13.95" customHeight="1">
      <c r="M10655"/>
      <c r="N10655"/>
      <c r="O10655"/>
      <c r="P10655"/>
      <c r="Q10655"/>
      <c r="R10655"/>
      <c r="S10655"/>
    </row>
    <row r="10656" spans="13:19" ht="13.95" customHeight="1">
      <c r="M10656"/>
      <c r="N10656"/>
      <c r="O10656"/>
      <c r="P10656"/>
      <c r="Q10656"/>
      <c r="R10656"/>
      <c r="S10656"/>
    </row>
    <row r="10657" spans="13:19" ht="13.95" customHeight="1">
      <c r="M10657"/>
      <c r="N10657"/>
      <c r="O10657"/>
      <c r="P10657"/>
      <c r="Q10657"/>
      <c r="R10657"/>
      <c r="S10657"/>
    </row>
    <row r="10658" spans="13:19" ht="13.95" customHeight="1">
      <c r="M10658"/>
      <c r="N10658"/>
      <c r="O10658"/>
      <c r="P10658"/>
      <c r="Q10658"/>
      <c r="R10658"/>
      <c r="S10658"/>
    </row>
    <row r="10659" spans="13:19" ht="13.95" customHeight="1">
      <c r="M10659"/>
      <c r="N10659"/>
      <c r="O10659"/>
      <c r="P10659"/>
      <c r="Q10659"/>
      <c r="R10659"/>
      <c r="S10659"/>
    </row>
    <row r="10660" spans="13:19" ht="13.95" customHeight="1">
      <c r="M10660"/>
      <c r="N10660"/>
      <c r="O10660"/>
      <c r="P10660"/>
      <c r="Q10660"/>
      <c r="R10660"/>
      <c r="S10660"/>
    </row>
    <row r="10661" spans="13:19" ht="13.95" customHeight="1">
      <c r="M10661"/>
      <c r="N10661"/>
      <c r="O10661"/>
      <c r="P10661"/>
      <c r="Q10661"/>
      <c r="R10661"/>
      <c r="S10661"/>
    </row>
    <row r="10662" spans="13:19" ht="13.95" customHeight="1">
      <c r="M10662"/>
      <c r="N10662"/>
      <c r="O10662"/>
      <c r="P10662"/>
      <c r="Q10662"/>
      <c r="R10662"/>
      <c r="S10662"/>
    </row>
    <row r="10663" spans="13:19" ht="13.95" customHeight="1">
      <c r="M10663"/>
      <c r="N10663"/>
      <c r="O10663"/>
      <c r="P10663"/>
      <c r="Q10663"/>
      <c r="R10663"/>
      <c r="S10663"/>
    </row>
    <row r="10664" spans="13:19" ht="13.95" customHeight="1">
      <c r="M10664"/>
      <c r="N10664"/>
      <c r="O10664"/>
      <c r="P10664"/>
      <c r="Q10664"/>
      <c r="R10664"/>
      <c r="S10664"/>
    </row>
    <row r="10665" spans="13:19" ht="13.95" customHeight="1">
      <c r="M10665"/>
      <c r="N10665"/>
      <c r="O10665"/>
      <c r="P10665"/>
      <c r="Q10665"/>
      <c r="R10665"/>
      <c r="S10665"/>
    </row>
    <row r="10666" spans="13:19" ht="13.95" customHeight="1">
      <c r="M10666"/>
      <c r="N10666"/>
      <c r="O10666"/>
      <c r="P10666"/>
      <c r="Q10666"/>
      <c r="R10666"/>
      <c r="S10666"/>
    </row>
    <row r="10667" spans="13:19" ht="13.95" customHeight="1">
      <c r="M10667"/>
      <c r="N10667"/>
      <c r="O10667"/>
      <c r="P10667"/>
      <c r="Q10667"/>
      <c r="R10667"/>
      <c r="S10667"/>
    </row>
    <row r="10668" spans="13:19" ht="13.95" customHeight="1">
      <c r="M10668"/>
      <c r="N10668"/>
      <c r="O10668"/>
      <c r="P10668"/>
      <c r="Q10668"/>
      <c r="R10668"/>
      <c r="S10668"/>
    </row>
    <row r="10669" spans="13:19" ht="13.95" customHeight="1">
      <c r="M10669"/>
      <c r="N10669"/>
      <c r="O10669"/>
      <c r="P10669"/>
      <c r="Q10669"/>
      <c r="R10669"/>
      <c r="S10669"/>
    </row>
    <row r="10670" spans="13:19" ht="13.95" customHeight="1">
      <c r="M10670"/>
      <c r="N10670"/>
      <c r="O10670"/>
      <c r="P10670"/>
      <c r="Q10670"/>
      <c r="R10670"/>
      <c r="S10670"/>
    </row>
    <row r="10671" spans="13:19" ht="13.95" customHeight="1">
      <c r="M10671"/>
      <c r="N10671"/>
      <c r="O10671"/>
      <c r="P10671"/>
      <c r="Q10671"/>
      <c r="R10671"/>
      <c r="S10671"/>
    </row>
    <row r="10672" spans="13:19" ht="13.95" customHeight="1">
      <c r="M10672"/>
      <c r="N10672"/>
      <c r="O10672"/>
      <c r="P10672"/>
      <c r="Q10672"/>
      <c r="R10672"/>
      <c r="S10672"/>
    </row>
    <row r="10673" spans="13:19" ht="13.95" customHeight="1">
      <c r="M10673"/>
      <c r="N10673"/>
      <c r="O10673"/>
      <c r="P10673"/>
      <c r="Q10673"/>
      <c r="R10673"/>
      <c r="S10673"/>
    </row>
    <row r="10674" spans="13:19" ht="13.95" customHeight="1">
      <c r="M10674"/>
      <c r="N10674"/>
      <c r="O10674"/>
      <c r="P10674"/>
      <c r="Q10674"/>
      <c r="R10674"/>
      <c r="S10674"/>
    </row>
    <row r="10675" spans="13:19" ht="13.95" customHeight="1">
      <c r="M10675"/>
      <c r="N10675"/>
      <c r="O10675"/>
      <c r="P10675"/>
      <c r="Q10675"/>
      <c r="R10675"/>
      <c r="S10675"/>
    </row>
    <row r="10676" spans="13:19" ht="13.95" customHeight="1">
      <c r="M10676"/>
      <c r="N10676"/>
      <c r="O10676"/>
      <c r="P10676"/>
      <c r="Q10676"/>
      <c r="R10676"/>
      <c r="S10676"/>
    </row>
    <row r="10677" spans="13:19" ht="13.95" customHeight="1">
      <c r="M10677"/>
      <c r="N10677"/>
      <c r="O10677"/>
      <c r="P10677"/>
      <c r="Q10677"/>
      <c r="R10677"/>
      <c r="S10677"/>
    </row>
    <row r="10678" spans="13:19" ht="13.95" customHeight="1">
      <c r="M10678"/>
      <c r="N10678"/>
      <c r="O10678"/>
      <c r="P10678"/>
      <c r="Q10678"/>
      <c r="R10678"/>
      <c r="S10678"/>
    </row>
    <row r="10679" spans="13:19" ht="13.95" customHeight="1">
      <c r="M10679"/>
      <c r="N10679"/>
      <c r="O10679"/>
      <c r="P10679"/>
      <c r="Q10679"/>
      <c r="R10679"/>
      <c r="S10679"/>
    </row>
    <row r="10680" spans="13:19" ht="13.95" customHeight="1">
      <c r="M10680"/>
      <c r="N10680"/>
      <c r="O10680"/>
      <c r="P10680"/>
      <c r="Q10680"/>
      <c r="R10680"/>
      <c r="S10680"/>
    </row>
    <row r="10681" spans="13:19" ht="13.95" customHeight="1">
      <c r="M10681"/>
      <c r="N10681"/>
      <c r="O10681"/>
      <c r="P10681"/>
      <c r="Q10681"/>
      <c r="R10681"/>
      <c r="S10681"/>
    </row>
    <row r="10682" spans="13:19" ht="13.95" customHeight="1">
      <c r="M10682"/>
      <c r="N10682"/>
      <c r="O10682"/>
      <c r="P10682"/>
      <c r="Q10682"/>
      <c r="R10682"/>
      <c r="S10682"/>
    </row>
    <row r="10683" spans="13:19" ht="13.95" customHeight="1">
      <c r="M10683"/>
      <c r="N10683"/>
      <c r="O10683"/>
      <c r="P10683"/>
      <c r="Q10683"/>
      <c r="R10683"/>
      <c r="S10683"/>
    </row>
    <row r="10684" spans="13:19" ht="13.95" customHeight="1">
      <c r="M10684"/>
      <c r="N10684"/>
      <c r="O10684"/>
      <c r="P10684"/>
      <c r="Q10684"/>
      <c r="R10684"/>
      <c r="S10684"/>
    </row>
    <row r="10685" spans="13:19" ht="13.95" customHeight="1">
      <c r="M10685"/>
      <c r="N10685"/>
      <c r="O10685"/>
      <c r="P10685"/>
      <c r="Q10685"/>
      <c r="R10685"/>
      <c r="S10685"/>
    </row>
    <row r="10686" spans="13:19" ht="13.95" customHeight="1">
      <c r="M10686"/>
      <c r="N10686"/>
      <c r="O10686"/>
      <c r="P10686"/>
      <c r="Q10686"/>
      <c r="R10686"/>
      <c r="S10686"/>
    </row>
    <row r="10687" spans="13:19" ht="13.95" customHeight="1">
      <c r="M10687"/>
      <c r="N10687"/>
      <c r="O10687"/>
      <c r="P10687"/>
      <c r="Q10687"/>
      <c r="R10687"/>
      <c r="S10687"/>
    </row>
    <row r="10688" spans="13:19" ht="13.95" customHeight="1">
      <c r="M10688"/>
      <c r="N10688"/>
      <c r="O10688"/>
      <c r="P10688"/>
      <c r="Q10688"/>
      <c r="R10688"/>
      <c r="S10688"/>
    </row>
    <row r="10689" spans="13:19" ht="13.95" customHeight="1">
      <c r="M10689"/>
      <c r="N10689"/>
      <c r="O10689"/>
      <c r="P10689"/>
      <c r="Q10689"/>
      <c r="R10689"/>
      <c r="S10689"/>
    </row>
    <row r="10690" spans="13:19" ht="13.95" customHeight="1">
      <c r="M10690"/>
      <c r="N10690"/>
      <c r="O10690"/>
      <c r="P10690"/>
      <c r="Q10690"/>
      <c r="R10690"/>
      <c r="S10690"/>
    </row>
    <row r="10691" spans="13:19" ht="13.95" customHeight="1">
      <c r="M10691"/>
      <c r="N10691"/>
      <c r="O10691"/>
      <c r="P10691"/>
      <c r="Q10691"/>
      <c r="R10691"/>
      <c r="S10691"/>
    </row>
    <row r="10692" spans="13:19" ht="13.95" customHeight="1">
      <c r="M10692"/>
      <c r="N10692"/>
      <c r="O10692"/>
      <c r="P10692"/>
      <c r="Q10692"/>
      <c r="R10692"/>
      <c r="S10692"/>
    </row>
    <row r="10693" spans="13:19" ht="13.95" customHeight="1">
      <c r="M10693"/>
      <c r="N10693"/>
      <c r="O10693"/>
      <c r="P10693"/>
      <c r="Q10693"/>
      <c r="R10693"/>
      <c r="S10693"/>
    </row>
    <row r="10694" spans="13:19" ht="13.95" customHeight="1">
      <c r="M10694"/>
      <c r="N10694"/>
      <c r="O10694"/>
      <c r="P10694"/>
      <c r="Q10694"/>
      <c r="R10694"/>
      <c r="S10694"/>
    </row>
    <row r="10695" spans="13:19" ht="13.95" customHeight="1">
      <c r="M10695"/>
      <c r="N10695"/>
      <c r="O10695"/>
      <c r="P10695"/>
      <c r="Q10695"/>
      <c r="R10695"/>
      <c r="S10695"/>
    </row>
    <row r="10696" spans="13:19" ht="13.95" customHeight="1">
      <c r="M10696"/>
      <c r="N10696"/>
      <c r="O10696"/>
      <c r="P10696"/>
      <c r="Q10696"/>
      <c r="R10696"/>
      <c r="S10696"/>
    </row>
    <row r="10697" spans="13:19" ht="13.95" customHeight="1">
      <c r="M10697"/>
      <c r="N10697"/>
      <c r="O10697"/>
      <c r="P10697"/>
      <c r="Q10697"/>
      <c r="R10697"/>
      <c r="S10697"/>
    </row>
    <row r="10698" spans="13:19" ht="13.95" customHeight="1">
      <c r="M10698"/>
      <c r="N10698"/>
      <c r="O10698"/>
      <c r="P10698"/>
      <c r="Q10698"/>
      <c r="R10698"/>
      <c r="S10698"/>
    </row>
    <row r="10699" spans="13:19" ht="13.95" customHeight="1">
      <c r="M10699"/>
      <c r="N10699"/>
      <c r="O10699"/>
      <c r="P10699"/>
      <c r="Q10699"/>
      <c r="R10699"/>
      <c r="S10699"/>
    </row>
    <row r="10700" spans="13:19" ht="13.95" customHeight="1">
      <c r="M10700"/>
      <c r="N10700"/>
      <c r="O10700"/>
      <c r="P10700"/>
      <c r="Q10700"/>
      <c r="R10700"/>
      <c r="S10700"/>
    </row>
    <row r="10701" spans="13:19" ht="13.95" customHeight="1">
      <c r="M10701"/>
      <c r="N10701"/>
      <c r="O10701"/>
      <c r="P10701"/>
      <c r="Q10701"/>
      <c r="R10701"/>
      <c r="S10701"/>
    </row>
    <row r="10702" spans="13:19" ht="13.95" customHeight="1">
      <c r="M10702"/>
      <c r="N10702"/>
      <c r="O10702"/>
      <c r="P10702"/>
      <c r="Q10702"/>
      <c r="R10702"/>
      <c r="S10702"/>
    </row>
    <row r="10703" spans="13:19" ht="13.95" customHeight="1">
      <c r="M10703"/>
      <c r="N10703"/>
      <c r="O10703"/>
      <c r="P10703"/>
      <c r="Q10703"/>
      <c r="R10703"/>
      <c r="S10703"/>
    </row>
    <row r="10704" spans="13:19" ht="13.95" customHeight="1">
      <c r="M10704"/>
      <c r="N10704"/>
      <c r="O10704"/>
      <c r="P10704"/>
      <c r="Q10704"/>
      <c r="R10704"/>
      <c r="S10704"/>
    </row>
    <row r="10705" spans="13:19" ht="13.95" customHeight="1">
      <c r="M10705"/>
      <c r="N10705"/>
      <c r="O10705"/>
      <c r="P10705"/>
      <c r="Q10705"/>
      <c r="R10705"/>
      <c r="S10705"/>
    </row>
    <row r="10706" spans="13:19" ht="13.95" customHeight="1">
      <c r="M10706"/>
      <c r="N10706"/>
      <c r="O10706"/>
      <c r="P10706"/>
      <c r="Q10706"/>
      <c r="R10706"/>
      <c r="S10706"/>
    </row>
    <row r="10707" spans="13:19" ht="13.95" customHeight="1">
      <c r="M10707"/>
      <c r="N10707"/>
      <c r="O10707"/>
      <c r="P10707"/>
      <c r="Q10707"/>
      <c r="R10707"/>
      <c r="S10707"/>
    </row>
    <row r="10708" spans="13:19" ht="13.95" customHeight="1">
      <c r="M10708"/>
      <c r="N10708"/>
      <c r="O10708"/>
      <c r="P10708"/>
      <c r="Q10708"/>
      <c r="R10708"/>
      <c r="S10708"/>
    </row>
    <row r="10709" spans="13:19" ht="13.95" customHeight="1">
      <c r="M10709"/>
      <c r="N10709"/>
      <c r="O10709"/>
      <c r="P10709"/>
      <c r="Q10709"/>
      <c r="R10709"/>
      <c r="S10709"/>
    </row>
    <row r="10710" spans="13:19" ht="13.95" customHeight="1">
      <c r="M10710"/>
      <c r="N10710"/>
      <c r="O10710"/>
      <c r="P10710"/>
      <c r="Q10710"/>
      <c r="R10710"/>
      <c r="S10710"/>
    </row>
    <row r="10711" spans="13:19" ht="13.95" customHeight="1">
      <c r="M10711"/>
      <c r="N10711"/>
      <c r="O10711"/>
      <c r="P10711"/>
      <c r="Q10711"/>
      <c r="R10711"/>
      <c r="S10711"/>
    </row>
    <row r="10712" spans="13:19" ht="13.95" customHeight="1">
      <c r="M10712"/>
      <c r="N10712"/>
      <c r="O10712"/>
      <c r="P10712"/>
      <c r="Q10712"/>
      <c r="R10712"/>
      <c r="S10712"/>
    </row>
    <row r="10713" spans="13:19" ht="13.95" customHeight="1">
      <c r="M10713"/>
      <c r="N10713"/>
      <c r="O10713"/>
      <c r="P10713"/>
      <c r="Q10713"/>
      <c r="R10713"/>
      <c r="S10713"/>
    </row>
    <row r="10714" spans="13:19" ht="13.95" customHeight="1">
      <c r="M10714"/>
      <c r="N10714"/>
      <c r="O10714"/>
      <c r="P10714"/>
      <c r="Q10714"/>
      <c r="R10714"/>
      <c r="S10714"/>
    </row>
    <row r="10715" spans="13:19" ht="13.95" customHeight="1">
      <c r="M10715"/>
      <c r="N10715"/>
      <c r="O10715"/>
      <c r="P10715"/>
      <c r="Q10715"/>
      <c r="R10715"/>
      <c r="S10715"/>
    </row>
    <row r="10716" spans="13:19" ht="13.95" customHeight="1">
      <c r="M10716"/>
      <c r="N10716"/>
      <c r="O10716"/>
      <c r="P10716"/>
      <c r="Q10716"/>
      <c r="R10716"/>
      <c r="S10716"/>
    </row>
    <row r="10717" spans="13:19" ht="13.95" customHeight="1">
      <c r="M10717"/>
      <c r="N10717"/>
      <c r="O10717"/>
      <c r="P10717"/>
      <c r="Q10717"/>
      <c r="R10717"/>
      <c r="S10717"/>
    </row>
    <row r="10718" spans="13:19" ht="13.95" customHeight="1">
      <c r="M10718"/>
      <c r="N10718"/>
      <c r="O10718"/>
      <c r="P10718"/>
      <c r="Q10718"/>
      <c r="R10718"/>
      <c r="S10718"/>
    </row>
    <row r="10719" spans="13:19" ht="13.95" customHeight="1">
      <c r="M10719"/>
      <c r="N10719"/>
      <c r="O10719"/>
      <c r="P10719"/>
      <c r="Q10719"/>
      <c r="R10719"/>
      <c r="S10719"/>
    </row>
    <row r="10720" spans="13:19" ht="13.95" customHeight="1">
      <c r="M10720"/>
      <c r="N10720"/>
      <c r="O10720"/>
      <c r="P10720"/>
      <c r="Q10720"/>
      <c r="R10720"/>
      <c r="S10720"/>
    </row>
    <row r="10721" spans="13:19" ht="13.95" customHeight="1">
      <c r="M10721"/>
      <c r="N10721"/>
      <c r="O10721"/>
      <c r="P10721"/>
      <c r="Q10721"/>
      <c r="R10721"/>
      <c r="S10721"/>
    </row>
    <row r="10722" spans="13:19" ht="13.95" customHeight="1">
      <c r="M10722"/>
      <c r="N10722"/>
      <c r="O10722"/>
      <c r="P10722"/>
      <c r="Q10722"/>
      <c r="R10722"/>
      <c r="S10722"/>
    </row>
    <row r="10723" spans="13:19" ht="13.95" customHeight="1">
      <c r="M10723"/>
      <c r="N10723"/>
      <c r="O10723"/>
      <c r="P10723"/>
      <c r="Q10723"/>
      <c r="R10723"/>
      <c r="S10723"/>
    </row>
    <row r="10724" spans="13:19" ht="13.95" customHeight="1">
      <c r="M10724"/>
      <c r="N10724"/>
      <c r="O10724"/>
      <c r="P10724"/>
      <c r="Q10724"/>
      <c r="R10724"/>
      <c r="S10724"/>
    </row>
    <row r="10725" spans="13:19" ht="13.95" customHeight="1">
      <c r="M10725"/>
      <c r="N10725"/>
      <c r="O10725"/>
      <c r="P10725"/>
      <c r="Q10725"/>
      <c r="R10725"/>
      <c r="S10725"/>
    </row>
    <row r="10726" spans="13:19" ht="13.95" customHeight="1">
      <c r="M10726"/>
      <c r="N10726"/>
      <c r="O10726"/>
      <c r="P10726"/>
      <c r="Q10726"/>
      <c r="R10726"/>
      <c r="S10726"/>
    </row>
    <row r="10727" spans="13:19" ht="13.95" customHeight="1">
      <c r="M10727"/>
      <c r="N10727"/>
      <c r="O10727"/>
      <c r="P10727"/>
      <c r="Q10727"/>
      <c r="R10727"/>
      <c r="S10727"/>
    </row>
    <row r="10728" spans="13:19" ht="13.95" customHeight="1">
      <c r="M10728"/>
      <c r="N10728"/>
      <c r="O10728"/>
      <c r="P10728"/>
      <c r="Q10728"/>
      <c r="R10728"/>
      <c r="S10728"/>
    </row>
    <row r="10729" spans="13:19" ht="13.95" customHeight="1">
      <c r="M10729"/>
      <c r="N10729"/>
      <c r="O10729"/>
      <c r="P10729"/>
      <c r="Q10729"/>
      <c r="R10729"/>
      <c r="S10729"/>
    </row>
    <row r="10730" spans="13:19" ht="13.95" customHeight="1">
      <c r="M10730"/>
      <c r="N10730"/>
      <c r="O10730"/>
      <c r="P10730"/>
      <c r="Q10730"/>
      <c r="R10730"/>
      <c r="S10730"/>
    </row>
    <row r="10731" spans="13:19" ht="13.95" customHeight="1">
      <c r="M10731"/>
      <c r="N10731"/>
      <c r="O10731"/>
      <c r="P10731"/>
      <c r="Q10731"/>
      <c r="R10731"/>
      <c r="S10731"/>
    </row>
    <row r="10732" spans="13:19" ht="13.95" customHeight="1">
      <c r="M10732"/>
      <c r="N10732"/>
      <c r="O10732"/>
      <c r="P10732"/>
      <c r="Q10732"/>
      <c r="R10732"/>
      <c r="S10732"/>
    </row>
    <row r="10733" spans="13:19" ht="13.95" customHeight="1">
      <c r="M10733"/>
      <c r="N10733"/>
      <c r="O10733"/>
      <c r="P10733"/>
      <c r="Q10733"/>
      <c r="R10733"/>
      <c r="S10733"/>
    </row>
    <row r="10734" spans="13:19" ht="13.95" customHeight="1">
      <c r="M10734"/>
      <c r="N10734"/>
      <c r="O10734"/>
      <c r="P10734"/>
      <c r="Q10734"/>
      <c r="R10734"/>
      <c r="S10734"/>
    </row>
    <row r="10735" spans="13:19" ht="13.95" customHeight="1">
      <c r="M10735"/>
      <c r="N10735"/>
      <c r="O10735"/>
      <c r="P10735"/>
      <c r="Q10735"/>
      <c r="R10735"/>
      <c r="S10735"/>
    </row>
    <row r="10736" spans="13:19" ht="13.95" customHeight="1">
      <c r="M10736"/>
      <c r="N10736"/>
      <c r="O10736"/>
      <c r="P10736"/>
      <c r="Q10736"/>
      <c r="R10736"/>
      <c r="S10736"/>
    </row>
    <row r="10737" spans="13:19" ht="13.95" customHeight="1">
      <c r="M10737"/>
      <c r="N10737"/>
      <c r="O10737"/>
      <c r="P10737"/>
      <c r="Q10737"/>
      <c r="R10737"/>
      <c r="S10737"/>
    </row>
    <row r="10738" spans="13:19" ht="13.95" customHeight="1">
      <c r="M10738"/>
      <c r="N10738"/>
      <c r="O10738"/>
      <c r="P10738"/>
      <c r="Q10738"/>
      <c r="R10738"/>
      <c r="S10738"/>
    </row>
    <row r="10739" spans="13:19" ht="13.95" customHeight="1">
      <c r="M10739"/>
      <c r="N10739"/>
      <c r="O10739"/>
      <c r="P10739"/>
      <c r="Q10739"/>
      <c r="R10739"/>
      <c r="S10739"/>
    </row>
    <row r="10740" spans="13:19" ht="13.95" customHeight="1">
      <c r="M10740"/>
      <c r="N10740"/>
      <c r="O10740"/>
      <c r="P10740"/>
      <c r="Q10740"/>
      <c r="R10740"/>
      <c r="S10740"/>
    </row>
    <row r="10741" spans="13:19" ht="13.95" customHeight="1">
      <c r="M10741"/>
      <c r="N10741"/>
      <c r="O10741"/>
      <c r="P10741"/>
      <c r="Q10741"/>
      <c r="R10741"/>
      <c r="S10741"/>
    </row>
    <row r="10742" spans="13:19" ht="13.95" customHeight="1">
      <c r="M10742"/>
      <c r="N10742"/>
      <c r="O10742"/>
      <c r="P10742"/>
      <c r="Q10742"/>
      <c r="R10742"/>
      <c r="S10742"/>
    </row>
    <row r="10743" spans="13:19" ht="13.95" customHeight="1">
      <c r="M10743"/>
      <c r="N10743"/>
      <c r="O10743"/>
      <c r="P10743"/>
      <c r="Q10743"/>
      <c r="R10743"/>
      <c r="S10743"/>
    </row>
    <row r="10744" spans="13:19" ht="13.95" customHeight="1">
      <c r="M10744"/>
      <c r="N10744"/>
      <c r="O10744"/>
      <c r="P10744"/>
      <c r="Q10744"/>
      <c r="R10744"/>
      <c r="S10744"/>
    </row>
    <row r="10745" spans="13:19" ht="13.95" customHeight="1">
      <c r="M10745"/>
      <c r="N10745"/>
      <c r="O10745"/>
      <c r="P10745"/>
      <c r="Q10745"/>
      <c r="R10745"/>
      <c r="S10745"/>
    </row>
    <row r="10746" spans="13:19" ht="13.95" customHeight="1">
      <c r="M10746"/>
      <c r="N10746"/>
      <c r="O10746"/>
      <c r="P10746"/>
      <c r="Q10746"/>
      <c r="R10746"/>
      <c r="S10746"/>
    </row>
    <row r="10747" spans="13:19" ht="13.95" customHeight="1">
      <c r="M10747"/>
      <c r="N10747"/>
      <c r="O10747"/>
      <c r="P10747"/>
      <c r="Q10747"/>
      <c r="R10747"/>
      <c r="S10747"/>
    </row>
    <row r="10748" spans="13:19" ht="13.95" customHeight="1">
      <c r="M10748"/>
      <c r="N10748"/>
      <c r="O10748"/>
      <c r="P10748"/>
      <c r="Q10748"/>
      <c r="R10748"/>
      <c r="S10748"/>
    </row>
    <row r="10749" spans="13:19" ht="13.95" customHeight="1">
      <c r="M10749"/>
      <c r="N10749"/>
      <c r="O10749"/>
      <c r="P10749"/>
      <c r="Q10749"/>
      <c r="R10749"/>
      <c r="S10749"/>
    </row>
    <row r="10750" spans="13:19" ht="13.95" customHeight="1">
      <c r="M10750"/>
      <c r="N10750"/>
      <c r="O10750"/>
      <c r="P10750"/>
      <c r="Q10750"/>
      <c r="R10750"/>
      <c r="S10750"/>
    </row>
    <row r="10751" spans="13:19" ht="13.95" customHeight="1">
      <c r="M10751"/>
      <c r="N10751"/>
      <c r="O10751"/>
      <c r="P10751"/>
      <c r="Q10751"/>
      <c r="R10751"/>
      <c r="S10751"/>
    </row>
    <row r="10752" spans="13:19" ht="13.95" customHeight="1">
      <c r="M10752"/>
      <c r="N10752"/>
      <c r="O10752"/>
      <c r="P10752"/>
      <c r="Q10752"/>
      <c r="R10752"/>
      <c r="S10752"/>
    </row>
    <row r="10753" spans="13:19" ht="13.95" customHeight="1">
      <c r="M10753"/>
      <c r="N10753"/>
      <c r="O10753"/>
      <c r="P10753"/>
      <c r="Q10753"/>
      <c r="R10753"/>
      <c r="S10753"/>
    </row>
    <row r="10754" spans="13:19" ht="13.95" customHeight="1">
      <c r="M10754"/>
      <c r="N10754"/>
      <c r="O10754"/>
      <c r="P10754"/>
      <c r="Q10754"/>
      <c r="R10754"/>
      <c r="S10754"/>
    </row>
    <row r="10755" spans="13:19" ht="13.95" customHeight="1">
      <c r="M10755"/>
      <c r="N10755"/>
      <c r="O10755"/>
      <c r="P10755"/>
      <c r="Q10755"/>
      <c r="R10755"/>
      <c r="S10755"/>
    </row>
    <row r="10756" spans="13:19" ht="13.95" customHeight="1">
      <c r="M10756"/>
      <c r="N10756"/>
      <c r="O10756"/>
      <c r="P10756"/>
      <c r="Q10756"/>
      <c r="R10756"/>
      <c r="S10756"/>
    </row>
    <row r="10757" spans="13:19" ht="13.95" customHeight="1">
      <c r="M10757"/>
      <c r="N10757"/>
      <c r="O10757"/>
      <c r="P10757"/>
      <c r="Q10757"/>
      <c r="R10757"/>
      <c r="S10757"/>
    </row>
    <row r="10758" spans="13:19" ht="13.95" customHeight="1">
      <c r="M10758"/>
      <c r="N10758"/>
      <c r="O10758"/>
      <c r="P10758"/>
      <c r="Q10758"/>
      <c r="R10758"/>
      <c r="S10758"/>
    </row>
    <row r="10759" spans="13:19" ht="13.95" customHeight="1">
      <c r="M10759"/>
      <c r="N10759"/>
      <c r="O10759"/>
      <c r="P10759"/>
      <c r="Q10759"/>
      <c r="R10759"/>
      <c r="S10759"/>
    </row>
    <row r="10760" spans="13:19" ht="13.95" customHeight="1">
      <c r="M10760"/>
      <c r="N10760"/>
      <c r="O10760"/>
      <c r="P10760"/>
      <c r="Q10760"/>
      <c r="R10760"/>
      <c r="S10760"/>
    </row>
    <row r="10761" spans="13:19" ht="13.95" customHeight="1">
      <c r="M10761"/>
      <c r="N10761"/>
      <c r="O10761"/>
      <c r="P10761"/>
      <c r="Q10761"/>
      <c r="R10761"/>
      <c r="S10761"/>
    </row>
    <row r="10762" spans="13:19" ht="13.95" customHeight="1">
      <c r="M10762"/>
      <c r="N10762"/>
      <c r="O10762"/>
      <c r="P10762"/>
      <c r="Q10762"/>
      <c r="R10762"/>
      <c r="S10762"/>
    </row>
    <row r="10763" spans="13:19" ht="13.95" customHeight="1">
      <c r="M10763"/>
      <c r="N10763"/>
      <c r="O10763"/>
      <c r="P10763"/>
      <c r="Q10763"/>
      <c r="R10763"/>
      <c r="S10763"/>
    </row>
    <row r="10764" spans="13:19" ht="13.95" customHeight="1">
      <c r="M10764"/>
      <c r="N10764"/>
      <c r="O10764"/>
      <c r="P10764"/>
      <c r="Q10764"/>
      <c r="R10764"/>
      <c r="S10764"/>
    </row>
    <row r="10765" spans="13:19" ht="13.95" customHeight="1">
      <c r="M10765"/>
      <c r="N10765"/>
      <c r="O10765"/>
      <c r="P10765"/>
      <c r="Q10765"/>
      <c r="R10765"/>
      <c r="S10765"/>
    </row>
    <row r="10766" spans="13:19" ht="13.95" customHeight="1">
      <c r="M10766"/>
      <c r="N10766"/>
      <c r="O10766"/>
      <c r="P10766"/>
      <c r="Q10766"/>
      <c r="R10766"/>
      <c r="S10766"/>
    </row>
    <row r="10767" spans="13:19" ht="13.95" customHeight="1">
      <c r="M10767"/>
      <c r="N10767"/>
      <c r="O10767"/>
      <c r="P10767"/>
      <c r="Q10767"/>
      <c r="R10767"/>
      <c r="S10767"/>
    </row>
    <row r="10768" spans="13:19" ht="13.95" customHeight="1">
      <c r="M10768"/>
      <c r="N10768"/>
      <c r="O10768"/>
      <c r="P10768"/>
      <c r="Q10768"/>
      <c r="R10768"/>
      <c r="S10768"/>
    </row>
    <row r="10769" spans="13:19" ht="13.95" customHeight="1">
      <c r="M10769"/>
      <c r="N10769"/>
      <c r="O10769"/>
      <c r="P10769"/>
      <c r="Q10769"/>
      <c r="R10769"/>
      <c r="S10769"/>
    </row>
    <row r="10770" spans="13:19" ht="13.95" customHeight="1">
      <c r="M10770"/>
      <c r="N10770"/>
      <c r="O10770"/>
      <c r="P10770"/>
      <c r="Q10770"/>
      <c r="R10770"/>
      <c r="S10770"/>
    </row>
    <row r="10771" spans="13:19" ht="13.95" customHeight="1">
      <c r="M10771"/>
      <c r="N10771"/>
      <c r="O10771"/>
      <c r="P10771"/>
      <c r="Q10771"/>
      <c r="R10771"/>
      <c r="S10771"/>
    </row>
    <row r="10772" spans="13:19" ht="13.95" customHeight="1">
      <c r="M10772"/>
      <c r="N10772"/>
      <c r="O10772"/>
      <c r="P10772"/>
      <c r="Q10772"/>
      <c r="R10772"/>
      <c r="S10772"/>
    </row>
    <row r="10773" spans="13:19" ht="13.95" customHeight="1">
      <c r="M10773"/>
      <c r="N10773"/>
      <c r="O10773"/>
      <c r="P10773"/>
      <c r="Q10773"/>
      <c r="R10773"/>
      <c r="S10773"/>
    </row>
    <row r="10774" spans="13:19" ht="13.95" customHeight="1">
      <c r="M10774"/>
      <c r="N10774"/>
      <c r="O10774"/>
      <c r="P10774"/>
      <c r="Q10774"/>
      <c r="R10774"/>
      <c r="S10774"/>
    </row>
    <row r="10775" spans="13:19" ht="13.95" customHeight="1">
      <c r="M10775"/>
      <c r="N10775"/>
      <c r="O10775"/>
      <c r="P10775"/>
      <c r="Q10775"/>
      <c r="R10775"/>
      <c r="S10775"/>
    </row>
    <row r="10776" spans="13:19" ht="13.95" customHeight="1">
      <c r="M10776"/>
      <c r="N10776"/>
      <c r="O10776"/>
      <c r="P10776"/>
      <c r="Q10776"/>
      <c r="R10776"/>
      <c r="S10776"/>
    </row>
    <row r="10777" spans="13:19" ht="13.95" customHeight="1">
      <c r="M10777"/>
      <c r="N10777"/>
      <c r="O10777"/>
      <c r="P10777"/>
      <c r="Q10777"/>
      <c r="R10777"/>
      <c r="S10777"/>
    </row>
    <row r="10778" spans="13:19" ht="13.95" customHeight="1">
      <c r="M10778"/>
      <c r="N10778"/>
      <c r="O10778"/>
      <c r="P10778"/>
      <c r="Q10778"/>
      <c r="R10778"/>
      <c r="S10778"/>
    </row>
    <row r="10779" spans="13:19" ht="13.95" customHeight="1">
      <c r="M10779"/>
      <c r="N10779"/>
      <c r="O10779"/>
      <c r="P10779"/>
      <c r="Q10779"/>
      <c r="R10779"/>
      <c r="S10779"/>
    </row>
    <row r="10780" spans="13:19" ht="13.95" customHeight="1">
      <c r="M10780"/>
      <c r="N10780"/>
      <c r="O10780"/>
      <c r="P10780"/>
      <c r="Q10780"/>
      <c r="R10780"/>
      <c r="S10780"/>
    </row>
    <row r="10781" spans="13:19" ht="13.95" customHeight="1">
      <c r="M10781"/>
      <c r="N10781"/>
      <c r="O10781"/>
      <c r="P10781"/>
      <c r="Q10781"/>
      <c r="R10781"/>
      <c r="S10781"/>
    </row>
    <row r="10782" spans="13:19" ht="13.95" customHeight="1">
      <c r="M10782"/>
      <c r="N10782"/>
      <c r="O10782"/>
      <c r="P10782"/>
      <c r="Q10782"/>
      <c r="R10782"/>
      <c r="S10782"/>
    </row>
    <row r="10783" spans="13:19" ht="13.95" customHeight="1">
      <c r="M10783"/>
      <c r="N10783"/>
      <c r="O10783"/>
      <c r="P10783"/>
      <c r="Q10783"/>
      <c r="R10783"/>
      <c r="S10783"/>
    </row>
    <row r="10784" spans="13:19" ht="13.95" customHeight="1">
      <c r="M10784"/>
      <c r="N10784"/>
      <c r="O10784"/>
      <c r="P10784"/>
      <c r="Q10784"/>
      <c r="R10784"/>
      <c r="S10784"/>
    </row>
    <row r="10785" spans="13:19" ht="13.95" customHeight="1">
      <c r="M10785"/>
      <c r="N10785"/>
      <c r="O10785"/>
      <c r="P10785"/>
      <c r="Q10785"/>
      <c r="R10785"/>
      <c r="S10785"/>
    </row>
    <row r="10786" spans="13:19" ht="13.95" customHeight="1">
      <c r="M10786"/>
      <c r="N10786"/>
      <c r="O10786"/>
      <c r="P10786"/>
      <c r="Q10786"/>
      <c r="R10786"/>
      <c r="S10786"/>
    </row>
    <row r="10787" spans="13:19" ht="13.95" customHeight="1">
      <c r="M10787"/>
      <c r="N10787"/>
      <c r="O10787"/>
      <c r="P10787"/>
      <c r="Q10787"/>
      <c r="R10787"/>
      <c r="S10787"/>
    </row>
    <row r="10788" spans="13:19" ht="13.95" customHeight="1">
      <c r="M10788"/>
      <c r="N10788"/>
      <c r="O10788"/>
      <c r="P10788"/>
      <c r="Q10788"/>
      <c r="R10788"/>
      <c r="S10788"/>
    </row>
    <row r="10789" spans="13:19" ht="13.95" customHeight="1">
      <c r="M10789"/>
      <c r="N10789"/>
      <c r="O10789"/>
      <c r="P10789"/>
      <c r="Q10789"/>
      <c r="R10789"/>
      <c r="S10789"/>
    </row>
    <row r="10790" spans="13:19" ht="13.95" customHeight="1">
      <c r="M10790"/>
      <c r="N10790"/>
      <c r="O10790"/>
      <c r="P10790"/>
      <c r="Q10790"/>
      <c r="R10790"/>
      <c r="S10790"/>
    </row>
    <row r="10791" spans="13:19" ht="13.95" customHeight="1">
      <c r="M10791"/>
      <c r="N10791"/>
      <c r="O10791"/>
      <c r="P10791"/>
      <c r="Q10791"/>
      <c r="R10791"/>
      <c r="S10791"/>
    </row>
    <row r="10792" spans="13:19" ht="13.95" customHeight="1">
      <c r="M10792"/>
      <c r="N10792"/>
      <c r="O10792"/>
      <c r="P10792"/>
      <c r="Q10792"/>
      <c r="R10792"/>
      <c r="S10792"/>
    </row>
    <row r="10793" spans="13:19" ht="13.95" customHeight="1">
      <c r="M10793"/>
      <c r="N10793"/>
      <c r="O10793"/>
      <c r="P10793"/>
      <c r="Q10793"/>
      <c r="R10793"/>
      <c r="S10793"/>
    </row>
    <row r="10794" spans="13:19" ht="13.95" customHeight="1">
      <c r="M10794"/>
      <c r="N10794"/>
      <c r="O10794"/>
      <c r="P10794"/>
      <c r="Q10794"/>
      <c r="R10794"/>
      <c r="S10794"/>
    </row>
    <row r="10795" spans="13:19" ht="13.95" customHeight="1">
      <c r="M10795"/>
      <c r="N10795"/>
      <c r="O10795"/>
      <c r="P10795"/>
      <c r="Q10795"/>
      <c r="R10795"/>
      <c r="S10795"/>
    </row>
    <row r="10796" spans="13:19" ht="13.95" customHeight="1">
      <c r="M10796"/>
      <c r="N10796"/>
      <c r="O10796"/>
      <c r="P10796"/>
      <c r="Q10796"/>
      <c r="R10796"/>
      <c r="S10796"/>
    </row>
    <row r="10797" spans="13:19" ht="13.95" customHeight="1">
      <c r="M10797"/>
      <c r="N10797"/>
      <c r="O10797"/>
      <c r="P10797"/>
      <c r="Q10797"/>
      <c r="R10797"/>
      <c r="S10797"/>
    </row>
    <row r="10798" spans="13:19" ht="13.95" customHeight="1">
      <c r="M10798"/>
      <c r="N10798"/>
      <c r="O10798"/>
      <c r="P10798"/>
      <c r="Q10798"/>
      <c r="R10798"/>
      <c r="S10798"/>
    </row>
    <row r="10799" spans="13:19" ht="13.95" customHeight="1">
      <c r="M10799"/>
      <c r="N10799"/>
      <c r="O10799"/>
      <c r="P10799"/>
      <c r="Q10799"/>
      <c r="R10799"/>
      <c r="S10799"/>
    </row>
    <row r="10800" spans="13:19" ht="13.95" customHeight="1">
      <c r="M10800"/>
      <c r="N10800"/>
      <c r="O10800"/>
      <c r="P10800"/>
      <c r="Q10800"/>
      <c r="R10800"/>
      <c r="S10800"/>
    </row>
    <row r="10801" spans="13:19" ht="13.95" customHeight="1">
      <c r="M10801"/>
      <c r="N10801"/>
      <c r="O10801"/>
      <c r="P10801"/>
      <c r="Q10801"/>
      <c r="R10801"/>
      <c r="S10801"/>
    </row>
    <row r="10802" spans="13:19" ht="13.95" customHeight="1">
      <c r="M10802"/>
      <c r="N10802"/>
      <c r="O10802"/>
      <c r="P10802"/>
      <c r="Q10802"/>
      <c r="R10802"/>
      <c r="S10802"/>
    </row>
    <row r="10803" spans="13:19" ht="13.95" customHeight="1">
      <c r="M10803"/>
      <c r="N10803"/>
      <c r="O10803"/>
      <c r="P10803"/>
      <c r="Q10803"/>
      <c r="R10803"/>
      <c r="S10803"/>
    </row>
    <row r="10804" spans="13:19" ht="13.95" customHeight="1">
      <c r="M10804"/>
      <c r="N10804"/>
      <c r="O10804"/>
      <c r="P10804"/>
      <c r="Q10804"/>
      <c r="R10804"/>
      <c r="S10804"/>
    </row>
    <row r="10805" spans="13:19" ht="13.95" customHeight="1">
      <c r="M10805"/>
      <c r="N10805"/>
      <c r="O10805"/>
      <c r="P10805"/>
      <c r="Q10805"/>
      <c r="R10805"/>
      <c r="S10805"/>
    </row>
    <row r="10806" spans="13:19" ht="13.95" customHeight="1">
      <c r="M10806"/>
      <c r="N10806"/>
      <c r="O10806"/>
      <c r="P10806"/>
      <c r="Q10806"/>
      <c r="R10806"/>
      <c r="S10806"/>
    </row>
    <row r="10807" spans="13:19" ht="13.95" customHeight="1">
      <c r="M10807"/>
      <c r="N10807"/>
      <c r="O10807"/>
      <c r="P10807"/>
      <c r="Q10807"/>
      <c r="R10807"/>
      <c r="S10807"/>
    </row>
    <row r="10808" spans="13:19" ht="13.95" customHeight="1">
      <c r="M10808"/>
      <c r="N10808"/>
      <c r="O10808"/>
      <c r="P10808"/>
      <c r="Q10808"/>
      <c r="R10808"/>
      <c r="S10808"/>
    </row>
    <row r="10809" spans="13:19" ht="13.95" customHeight="1">
      <c r="M10809"/>
      <c r="N10809"/>
      <c r="O10809"/>
      <c r="P10809"/>
      <c r="Q10809"/>
      <c r="R10809"/>
      <c r="S10809"/>
    </row>
    <row r="10810" spans="13:19" ht="13.95" customHeight="1">
      <c r="M10810"/>
      <c r="N10810"/>
      <c r="O10810"/>
      <c r="P10810"/>
      <c r="Q10810"/>
      <c r="R10810"/>
      <c r="S10810"/>
    </row>
    <row r="10811" spans="13:19" ht="13.95" customHeight="1">
      <c r="M10811"/>
      <c r="N10811"/>
      <c r="O10811"/>
      <c r="P10811"/>
      <c r="Q10811"/>
      <c r="R10811"/>
      <c r="S10811"/>
    </row>
    <row r="10812" spans="13:19" ht="13.95" customHeight="1">
      <c r="M10812"/>
      <c r="N10812"/>
      <c r="O10812"/>
      <c r="P10812"/>
      <c r="Q10812"/>
      <c r="R10812"/>
      <c r="S10812"/>
    </row>
    <row r="10813" spans="13:19" ht="13.95" customHeight="1">
      <c r="M10813"/>
      <c r="N10813"/>
      <c r="O10813"/>
      <c r="P10813"/>
      <c r="Q10813"/>
      <c r="R10813"/>
      <c r="S10813"/>
    </row>
    <row r="10814" spans="13:19" ht="13.95" customHeight="1">
      <c r="M10814"/>
      <c r="N10814"/>
      <c r="O10814"/>
      <c r="P10814"/>
      <c r="Q10814"/>
      <c r="R10814"/>
      <c r="S10814"/>
    </row>
    <row r="10815" spans="13:19" ht="13.95" customHeight="1">
      <c r="M10815"/>
      <c r="N10815"/>
      <c r="O10815"/>
      <c r="P10815"/>
      <c r="Q10815"/>
      <c r="R10815"/>
      <c r="S10815"/>
    </row>
    <row r="10816" spans="13:19" ht="13.95" customHeight="1">
      <c r="M10816"/>
      <c r="N10816"/>
      <c r="O10816"/>
      <c r="P10816"/>
      <c r="Q10816"/>
      <c r="R10816"/>
      <c r="S10816"/>
    </row>
    <row r="10817" spans="13:19" ht="13.95" customHeight="1">
      <c r="M10817"/>
      <c r="N10817"/>
      <c r="O10817"/>
      <c r="P10817"/>
      <c r="Q10817"/>
      <c r="R10817"/>
      <c r="S10817"/>
    </row>
    <row r="10818" spans="13:19" ht="13.95" customHeight="1">
      <c r="M10818"/>
      <c r="N10818"/>
      <c r="O10818"/>
      <c r="P10818"/>
      <c r="Q10818"/>
      <c r="R10818"/>
      <c r="S10818"/>
    </row>
    <row r="10819" spans="13:19" ht="13.95" customHeight="1">
      <c r="M10819"/>
      <c r="N10819"/>
      <c r="O10819"/>
      <c r="P10819"/>
      <c r="Q10819"/>
      <c r="R10819"/>
      <c r="S10819"/>
    </row>
    <row r="10820" spans="13:19" ht="13.95" customHeight="1">
      <c r="M10820"/>
      <c r="N10820"/>
      <c r="O10820"/>
      <c r="P10820"/>
      <c r="Q10820"/>
      <c r="R10820"/>
      <c r="S10820"/>
    </row>
    <row r="10821" spans="13:19" ht="13.95" customHeight="1">
      <c r="M10821"/>
      <c r="N10821"/>
      <c r="O10821"/>
      <c r="P10821"/>
      <c r="Q10821"/>
      <c r="R10821"/>
      <c r="S10821"/>
    </row>
    <row r="10822" spans="13:19" ht="13.95" customHeight="1">
      <c r="M10822"/>
      <c r="N10822"/>
      <c r="O10822"/>
      <c r="P10822"/>
      <c r="Q10822"/>
      <c r="R10822"/>
      <c r="S10822"/>
    </row>
    <row r="10823" spans="13:19" ht="13.95" customHeight="1">
      <c r="M10823"/>
      <c r="N10823"/>
      <c r="O10823"/>
      <c r="P10823"/>
      <c r="Q10823"/>
      <c r="R10823"/>
      <c r="S10823"/>
    </row>
    <row r="10824" spans="13:19" ht="13.95" customHeight="1">
      <c r="M10824"/>
      <c r="N10824"/>
      <c r="O10824"/>
      <c r="P10824"/>
      <c r="Q10824"/>
      <c r="R10824"/>
      <c r="S10824"/>
    </row>
    <row r="10825" spans="13:19" ht="13.95" customHeight="1">
      <c r="M10825"/>
      <c r="N10825"/>
      <c r="O10825"/>
      <c r="P10825"/>
      <c r="Q10825"/>
      <c r="R10825"/>
      <c r="S10825"/>
    </row>
    <row r="10826" spans="13:19" ht="13.95" customHeight="1">
      <c r="M10826"/>
      <c r="N10826"/>
      <c r="O10826"/>
      <c r="P10826"/>
      <c r="Q10826"/>
      <c r="R10826"/>
      <c r="S10826"/>
    </row>
    <row r="10827" spans="13:19" ht="13.95" customHeight="1">
      <c r="M10827"/>
      <c r="N10827"/>
      <c r="O10827"/>
      <c r="P10827"/>
      <c r="Q10827"/>
      <c r="R10827"/>
      <c r="S10827"/>
    </row>
    <row r="10828" spans="13:19" ht="13.95" customHeight="1">
      <c r="M10828"/>
      <c r="N10828"/>
      <c r="O10828"/>
      <c r="P10828"/>
      <c r="Q10828"/>
      <c r="R10828"/>
      <c r="S10828"/>
    </row>
    <row r="10829" spans="13:19" ht="13.95" customHeight="1">
      <c r="M10829"/>
      <c r="N10829"/>
      <c r="O10829"/>
      <c r="P10829"/>
      <c r="Q10829"/>
      <c r="R10829"/>
      <c r="S10829"/>
    </row>
    <row r="10830" spans="13:19" ht="13.95" customHeight="1">
      <c r="M10830"/>
      <c r="N10830"/>
      <c r="O10830"/>
      <c r="P10830"/>
      <c r="Q10830"/>
      <c r="R10830"/>
      <c r="S10830"/>
    </row>
    <row r="10831" spans="13:19" ht="13.95" customHeight="1">
      <c r="M10831"/>
      <c r="N10831"/>
      <c r="O10831"/>
      <c r="P10831"/>
      <c r="Q10831"/>
      <c r="R10831"/>
      <c r="S10831"/>
    </row>
    <row r="10832" spans="13:19" ht="13.95" customHeight="1">
      <c r="M10832"/>
      <c r="N10832"/>
      <c r="O10832"/>
      <c r="P10832"/>
      <c r="Q10832"/>
      <c r="R10832"/>
      <c r="S10832"/>
    </row>
    <row r="10833" spans="13:19" ht="13.95" customHeight="1">
      <c r="M10833"/>
      <c r="N10833"/>
      <c r="O10833"/>
      <c r="P10833"/>
      <c r="Q10833"/>
      <c r="R10833"/>
      <c r="S10833"/>
    </row>
    <row r="10834" spans="13:19" ht="13.95" customHeight="1">
      <c r="M10834"/>
      <c r="N10834"/>
      <c r="O10834"/>
      <c r="P10834"/>
      <c r="Q10834"/>
      <c r="R10834"/>
      <c r="S10834"/>
    </row>
    <row r="10835" spans="13:19" ht="13.95" customHeight="1">
      <c r="M10835"/>
      <c r="N10835"/>
      <c r="O10835"/>
      <c r="P10835"/>
      <c r="Q10835"/>
      <c r="R10835"/>
      <c r="S10835"/>
    </row>
    <row r="10836" spans="13:19" ht="13.95" customHeight="1">
      <c r="M10836"/>
      <c r="N10836"/>
      <c r="O10836"/>
      <c r="P10836"/>
      <c r="Q10836"/>
      <c r="R10836"/>
      <c r="S10836"/>
    </row>
    <row r="10837" spans="13:19" ht="13.95" customHeight="1">
      <c r="M10837"/>
      <c r="N10837"/>
      <c r="O10837"/>
      <c r="P10837"/>
      <c r="Q10837"/>
      <c r="R10837"/>
      <c r="S10837"/>
    </row>
    <row r="10838" spans="13:19" ht="13.95" customHeight="1">
      <c r="M10838"/>
      <c r="N10838"/>
      <c r="O10838"/>
      <c r="P10838"/>
      <c r="Q10838"/>
      <c r="R10838"/>
      <c r="S10838"/>
    </row>
    <row r="10839" spans="13:19" ht="13.95" customHeight="1">
      <c r="M10839"/>
      <c r="N10839"/>
      <c r="O10839"/>
      <c r="P10839"/>
      <c r="Q10839"/>
      <c r="R10839"/>
      <c r="S10839"/>
    </row>
    <row r="10840" spans="13:19" ht="13.95" customHeight="1">
      <c r="M10840"/>
      <c r="N10840"/>
      <c r="O10840"/>
      <c r="P10840"/>
      <c r="Q10840"/>
      <c r="R10840"/>
      <c r="S10840"/>
    </row>
    <row r="10841" spans="13:19" ht="13.95" customHeight="1">
      <c r="M10841"/>
      <c r="N10841"/>
      <c r="O10841"/>
      <c r="P10841"/>
      <c r="Q10841"/>
      <c r="R10841"/>
      <c r="S10841"/>
    </row>
    <row r="10842" spans="13:19" ht="13.95" customHeight="1">
      <c r="M10842"/>
      <c r="N10842"/>
      <c r="O10842"/>
      <c r="P10842"/>
      <c r="Q10842"/>
      <c r="R10842"/>
      <c r="S10842"/>
    </row>
    <row r="10843" spans="13:19" ht="13.95" customHeight="1">
      <c r="M10843"/>
      <c r="N10843"/>
      <c r="O10843"/>
      <c r="P10843"/>
      <c r="Q10843"/>
      <c r="R10843"/>
      <c r="S10843"/>
    </row>
    <row r="10844" spans="13:19" ht="13.95" customHeight="1">
      <c r="M10844"/>
      <c r="N10844"/>
      <c r="O10844"/>
      <c r="P10844"/>
      <c r="Q10844"/>
      <c r="R10844"/>
      <c r="S10844"/>
    </row>
    <row r="10845" spans="13:19" ht="13.95" customHeight="1">
      <c r="M10845"/>
      <c r="N10845"/>
      <c r="O10845"/>
      <c r="P10845"/>
      <c r="Q10845"/>
      <c r="R10845"/>
      <c r="S10845"/>
    </row>
    <row r="10846" spans="13:19" ht="13.95" customHeight="1">
      <c r="M10846"/>
      <c r="N10846"/>
      <c r="O10846"/>
      <c r="P10846"/>
      <c r="Q10846"/>
      <c r="R10846"/>
      <c r="S10846"/>
    </row>
    <row r="10847" spans="13:19" ht="13.95" customHeight="1">
      <c r="M10847"/>
      <c r="N10847"/>
      <c r="O10847"/>
      <c r="P10847"/>
      <c r="Q10847"/>
      <c r="R10847"/>
      <c r="S10847"/>
    </row>
    <row r="10848" spans="13:19" ht="13.95" customHeight="1">
      <c r="M10848"/>
      <c r="N10848"/>
      <c r="O10848"/>
      <c r="P10848"/>
      <c r="Q10848"/>
      <c r="R10848"/>
      <c r="S10848"/>
    </row>
    <row r="10849" spans="13:19" ht="13.95" customHeight="1">
      <c r="M10849"/>
      <c r="N10849"/>
      <c r="O10849"/>
      <c r="P10849"/>
      <c r="Q10849"/>
      <c r="R10849"/>
      <c r="S10849"/>
    </row>
    <row r="10850" spans="13:19" ht="13.95" customHeight="1">
      <c r="M10850"/>
      <c r="N10850"/>
      <c r="O10850"/>
      <c r="P10850"/>
      <c r="Q10850"/>
      <c r="R10850"/>
      <c r="S10850"/>
    </row>
    <row r="10851" spans="13:19" ht="13.95" customHeight="1">
      <c r="M10851"/>
      <c r="N10851"/>
      <c r="O10851"/>
      <c r="P10851"/>
      <c r="Q10851"/>
      <c r="R10851"/>
      <c r="S10851"/>
    </row>
    <row r="10852" spans="13:19" ht="13.95" customHeight="1">
      <c r="M10852"/>
      <c r="N10852"/>
      <c r="O10852"/>
      <c r="P10852"/>
      <c r="Q10852"/>
      <c r="R10852"/>
      <c r="S10852"/>
    </row>
    <row r="10853" spans="13:19" ht="13.95" customHeight="1">
      <c r="M10853"/>
      <c r="N10853"/>
      <c r="O10853"/>
      <c r="P10853"/>
      <c r="Q10853"/>
      <c r="R10853"/>
      <c r="S10853"/>
    </row>
    <row r="10854" spans="13:19" ht="13.95" customHeight="1">
      <c r="M10854"/>
      <c r="N10854"/>
      <c r="O10854"/>
      <c r="P10854"/>
      <c r="Q10854"/>
      <c r="R10854"/>
      <c r="S10854"/>
    </row>
    <row r="10855" spans="13:19" ht="13.95" customHeight="1">
      <c r="M10855"/>
      <c r="N10855"/>
      <c r="O10855"/>
      <c r="P10855"/>
      <c r="Q10855"/>
      <c r="R10855"/>
      <c r="S10855"/>
    </row>
    <row r="10856" spans="13:19" ht="13.95" customHeight="1">
      <c r="M10856"/>
      <c r="N10856"/>
      <c r="O10856"/>
      <c r="P10856"/>
      <c r="Q10856"/>
      <c r="R10856"/>
      <c r="S10856"/>
    </row>
    <row r="10857" spans="13:19" ht="13.95" customHeight="1">
      <c r="M10857"/>
      <c r="N10857"/>
      <c r="O10857"/>
      <c r="P10857"/>
      <c r="Q10857"/>
      <c r="R10857"/>
      <c r="S10857"/>
    </row>
    <row r="10858" spans="13:19" ht="13.95" customHeight="1">
      <c r="M10858"/>
      <c r="N10858"/>
      <c r="O10858"/>
      <c r="P10858"/>
      <c r="Q10858"/>
      <c r="R10858"/>
      <c r="S10858"/>
    </row>
    <row r="10859" spans="13:19" ht="13.95" customHeight="1">
      <c r="M10859"/>
      <c r="N10859"/>
      <c r="O10859"/>
      <c r="P10859"/>
      <c r="Q10859"/>
      <c r="R10859"/>
      <c r="S10859"/>
    </row>
    <row r="10860" spans="13:19" ht="13.95" customHeight="1">
      <c r="M10860"/>
      <c r="N10860"/>
      <c r="O10860"/>
      <c r="P10860"/>
      <c r="Q10860"/>
      <c r="R10860"/>
      <c r="S10860"/>
    </row>
    <row r="10861" spans="13:19" ht="13.95" customHeight="1">
      <c r="M10861"/>
      <c r="N10861"/>
      <c r="O10861"/>
      <c r="P10861"/>
      <c r="Q10861"/>
      <c r="R10861"/>
      <c r="S10861"/>
    </row>
    <row r="10862" spans="13:19" ht="13.95" customHeight="1">
      <c r="M10862"/>
      <c r="N10862"/>
      <c r="O10862"/>
      <c r="P10862"/>
      <c r="Q10862"/>
      <c r="R10862"/>
      <c r="S10862"/>
    </row>
    <row r="10863" spans="13:19" ht="13.95" customHeight="1">
      <c r="M10863"/>
      <c r="N10863"/>
      <c r="O10863"/>
      <c r="P10863"/>
      <c r="Q10863"/>
      <c r="R10863"/>
      <c r="S10863"/>
    </row>
    <row r="10864" spans="13:19" ht="13.95" customHeight="1">
      <c r="M10864"/>
      <c r="N10864"/>
      <c r="O10864"/>
      <c r="P10864"/>
      <c r="Q10864"/>
      <c r="R10864"/>
      <c r="S10864"/>
    </row>
    <row r="10865" spans="13:19" ht="13.95" customHeight="1">
      <c r="M10865"/>
      <c r="N10865"/>
      <c r="O10865"/>
      <c r="P10865"/>
      <c r="Q10865"/>
      <c r="R10865"/>
      <c r="S10865"/>
    </row>
    <row r="10866" spans="13:19" ht="13.95" customHeight="1">
      <c r="M10866"/>
      <c r="N10866"/>
      <c r="O10866"/>
      <c r="P10866"/>
      <c r="Q10866"/>
      <c r="R10866"/>
      <c r="S10866"/>
    </row>
    <row r="10867" spans="13:19" ht="13.95" customHeight="1">
      <c r="M10867"/>
      <c r="N10867"/>
      <c r="O10867"/>
      <c r="P10867"/>
      <c r="Q10867"/>
      <c r="R10867"/>
      <c r="S10867"/>
    </row>
    <row r="10868" spans="13:19" ht="13.95" customHeight="1">
      <c r="M10868"/>
      <c r="N10868"/>
      <c r="O10868"/>
      <c r="P10868"/>
      <c r="Q10868"/>
      <c r="R10868"/>
      <c r="S10868"/>
    </row>
    <row r="10869" spans="13:19" ht="13.95" customHeight="1">
      <c r="M10869"/>
      <c r="N10869"/>
      <c r="O10869"/>
      <c r="P10869"/>
      <c r="Q10869"/>
      <c r="R10869"/>
      <c r="S10869"/>
    </row>
    <row r="10870" spans="13:19" ht="13.95" customHeight="1">
      <c r="M10870"/>
      <c r="N10870"/>
      <c r="O10870"/>
      <c r="P10870"/>
      <c r="Q10870"/>
      <c r="R10870"/>
      <c r="S10870"/>
    </row>
    <row r="10871" spans="13:19" ht="13.95" customHeight="1">
      <c r="M10871"/>
      <c r="N10871"/>
      <c r="O10871"/>
      <c r="P10871"/>
      <c r="Q10871"/>
      <c r="R10871"/>
      <c r="S10871"/>
    </row>
    <row r="10872" spans="13:19" ht="13.95" customHeight="1">
      <c r="M10872"/>
      <c r="N10872"/>
      <c r="O10872"/>
      <c r="P10872"/>
      <c r="Q10872"/>
      <c r="R10872"/>
      <c r="S10872"/>
    </row>
    <row r="10873" spans="13:19" ht="13.95" customHeight="1">
      <c r="M10873"/>
      <c r="N10873"/>
      <c r="O10873"/>
      <c r="P10873"/>
      <c r="Q10873"/>
      <c r="R10873"/>
      <c r="S10873"/>
    </row>
    <row r="10874" spans="13:19" ht="13.95" customHeight="1">
      <c r="M10874"/>
      <c r="N10874"/>
      <c r="O10874"/>
      <c r="P10874"/>
      <c r="Q10874"/>
      <c r="R10874"/>
      <c r="S10874"/>
    </row>
    <row r="10875" spans="13:19" ht="13.95" customHeight="1">
      <c r="M10875"/>
      <c r="N10875"/>
      <c r="O10875"/>
      <c r="P10875"/>
      <c r="Q10875"/>
      <c r="R10875"/>
      <c r="S10875"/>
    </row>
    <row r="10876" spans="13:19" ht="13.95" customHeight="1">
      <c r="M10876"/>
      <c r="N10876"/>
      <c r="O10876"/>
      <c r="P10876"/>
      <c r="Q10876"/>
      <c r="R10876"/>
      <c r="S10876"/>
    </row>
    <row r="10877" spans="13:19" ht="13.95" customHeight="1">
      <c r="M10877"/>
      <c r="N10877"/>
      <c r="O10877"/>
      <c r="P10877"/>
      <c r="Q10877"/>
      <c r="R10877"/>
      <c r="S10877"/>
    </row>
    <row r="10878" spans="13:19" ht="13.95" customHeight="1">
      <c r="M10878"/>
      <c r="N10878"/>
      <c r="O10878"/>
      <c r="P10878"/>
      <c r="Q10878"/>
      <c r="R10878"/>
      <c r="S10878"/>
    </row>
    <row r="10879" spans="13:19" ht="13.95" customHeight="1">
      <c r="M10879"/>
      <c r="N10879"/>
      <c r="O10879"/>
      <c r="P10879"/>
      <c r="Q10879"/>
      <c r="R10879"/>
      <c r="S10879"/>
    </row>
    <row r="10880" spans="13:19" ht="13.95" customHeight="1">
      <c r="M10880"/>
      <c r="N10880"/>
      <c r="O10880"/>
      <c r="P10880"/>
      <c r="Q10880"/>
      <c r="R10880"/>
      <c r="S10880"/>
    </row>
    <row r="10881" spans="13:19" ht="13.95" customHeight="1">
      <c r="M10881"/>
      <c r="N10881"/>
      <c r="O10881"/>
      <c r="P10881"/>
      <c r="Q10881"/>
      <c r="R10881"/>
      <c r="S10881"/>
    </row>
    <row r="10882" spans="13:19" ht="13.95" customHeight="1">
      <c r="M10882"/>
      <c r="N10882"/>
      <c r="O10882"/>
      <c r="P10882"/>
      <c r="Q10882"/>
      <c r="R10882"/>
      <c r="S10882"/>
    </row>
    <row r="10883" spans="13:19" ht="13.95" customHeight="1">
      <c r="M10883"/>
      <c r="N10883"/>
      <c r="O10883"/>
      <c r="P10883"/>
      <c r="Q10883"/>
      <c r="R10883"/>
      <c r="S10883"/>
    </row>
    <row r="10884" spans="13:19" ht="13.95" customHeight="1">
      <c r="M10884"/>
      <c r="N10884"/>
      <c r="O10884"/>
      <c r="P10884"/>
      <c r="Q10884"/>
      <c r="R10884"/>
      <c r="S10884"/>
    </row>
    <row r="10885" spans="13:19" ht="13.95" customHeight="1">
      <c r="M10885"/>
      <c r="N10885"/>
      <c r="O10885"/>
      <c r="P10885"/>
      <c r="Q10885"/>
      <c r="R10885"/>
      <c r="S10885"/>
    </row>
    <row r="10886" spans="13:19" ht="13.95" customHeight="1">
      <c r="M10886"/>
      <c r="N10886"/>
      <c r="O10886"/>
      <c r="P10886"/>
      <c r="Q10886"/>
      <c r="R10886"/>
      <c r="S10886"/>
    </row>
    <row r="10887" spans="13:19" ht="13.95" customHeight="1">
      <c r="M10887"/>
      <c r="N10887"/>
      <c r="O10887"/>
      <c r="P10887"/>
      <c r="Q10887"/>
      <c r="R10887"/>
      <c r="S10887"/>
    </row>
    <row r="10888" spans="13:19" ht="13.95" customHeight="1">
      <c r="M10888"/>
      <c r="N10888"/>
      <c r="O10888"/>
      <c r="P10888"/>
      <c r="Q10888"/>
      <c r="R10888"/>
      <c r="S10888"/>
    </row>
    <row r="10889" spans="13:19" ht="13.95" customHeight="1">
      <c r="M10889"/>
      <c r="N10889"/>
      <c r="O10889"/>
      <c r="P10889"/>
      <c r="Q10889"/>
      <c r="R10889"/>
      <c r="S10889"/>
    </row>
    <row r="10890" spans="13:19" ht="13.95" customHeight="1">
      <c r="M10890"/>
      <c r="N10890"/>
      <c r="O10890"/>
      <c r="P10890"/>
      <c r="Q10890"/>
      <c r="R10890"/>
      <c r="S10890"/>
    </row>
    <row r="10891" spans="13:19" ht="13.95" customHeight="1">
      <c r="M10891"/>
      <c r="N10891"/>
      <c r="O10891"/>
      <c r="P10891"/>
      <c r="Q10891"/>
      <c r="R10891"/>
      <c r="S10891"/>
    </row>
    <row r="10892" spans="13:19" ht="13.95" customHeight="1">
      <c r="M10892"/>
      <c r="N10892"/>
      <c r="O10892"/>
      <c r="P10892"/>
      <c r="Q10892"/>
      <c r="R10892"/>
      <c r="S10892"/>
    </row>
    <row r="10893" spans="13:19" ht="13.95" customHeight="1">
      <c r="M10893"/>
      <c r="N10893"/>
      <c r="O10893"/>
      <c r="P10893"/>
      <c r="Q10893"/>
      <c r="R10893"/>
      <c r="S10893"/>
    </row>
    <row r="10894" spans="13:19" ht="13.95" customHeight="1">
      <c r="M10894"/>
      <c r="N10894"/>
      <c r="O10894"/>
      <c r="P10894"/>
      <c r="Q10894"/>
      <c r="R10894"/>
      <c r="S10894"/>
    </row>
    <row r="10895" spans="13:19" ht="13.95" customHeight="1">
      <c r="M10895"/>
      <c r="N10895"/>
      <c r="O10895"/>
      <c r="P10895"/>
      <c r="Q10895"/>
      <c r="R10895"/>
      <c r="S10895"/>
    </row>
    <row r="10896" spans="13:19" ht="13.95" customHeight="1">
      <c r="M10896"/>
      <c r="N10896"/>
      <c r="O10896"/>
      <c r="P10896"/>
      <c r="Q10896"/>
      <c r="R10896"/>
      <c r="S10896"/>
    </row>
    <row r="10897" spans="13:19" ht="13.95" customHeight="1">
      <c r="M10897"/>
      <c r="N10897"/>
      <c r="O10897"/>
      <c r="P10897"/>
      <c r="Q10897"/>
      <c r="R10897"/>
      <c r="S10897"/>
    </row>
    <row r="10898" spans="13:19" ht="13.95" customHeight="1">
      <c r="M10898"/>
      <c r="N10898"/>
      <c r="O10898"/>
      <c r="P10898"/>
      <c r="Q10898"/>
      <c r="R10898"/>
      <c r="S10898"/>
    </row>
    <row r="10899" spans="13:19" ht="13.95" customHeight="1">
      <c r="M10899"/>
      <c r="N10899"/>
      <c r="O10899"/>
      <c r="P10899"/>
      <c r="Q10899"/>
      <c r="R10899"/>
      <c r="S10899"/>
    </row>
    <row r="10900" spans="13:19" ht="13.95" customHeight="1">
      <c r="M10900"/>
      <c r="N10900"/>
      <c r="O10900"/>
      <c r="P10900"/>
      <c r="Q10900"/>
      <c r="R10900"/>
      <c r="S10900"/>
    </row>
    <row r="10901" spans="13:19" ht="13.95" customHeight="1">
      <c r="M10901"/>
      <c r="N10901"/>
      <c r="O10901"/>
      <c r="P10901"/>
      <c r="Q10901"/>
      <c r="R10901"/>
      <c r="S10901"/>
    </row>
    <row r="10902" spans="13:19" ht="13.95" customHeight="1">
      <c r="M10902"/>
      <c r="N10902"/>
      <c r="O10902"/>
      <c r="P10902"/>
      <c r="Q10902"/>
      <c r="R10902"/>
      <c r="S10902"/>
    </row>
    <row r="10903" spans="13:19" ht="13.95" customHeight="1">
      <c r="M10903"/>
      <c r="N10903"/>
      <c r="O10903"/>
      <c r="P10903"/>
      <c r="Q10903"/>
      <c r="R10903"/>
      <c r="S10903"/>
    </row>
    <row r="10904" spans="13:19" ht="13.95" customHeight="1">
      <c r="M10904"/>
      <c r="N10904"/>
      <c r="O10904"/>
      <c r="P10904"/>
      <c r="Q10904"/>
      <c r="R10904"/>
      <c r="S10904"/>
    </row>
    <row r="10905" spans="13:19" ht="13.95" customHeight="1">
      <c r="M10905"/>
      <c r="N10905"/>
      <c r="O10905"/>
      <c r="P10905"/>
      <c r="Q10905"/>
      <c r="R10905"/>
      <c r="S10905"/>
    </row>
    <row r="10906" spans="13:19" ht="13.95" customHeight="1">
      <c r="M10906"/>
      <c r="N10906"/>
      <c r="O10906"/>
      <c r="P10906"/>
      <c r="Q10906"/>
      <c r="R10906"/>
      <c r="S10906"/>
    </row>
    <row r="10907" spans="13:19" ht="13.95" customHeight="1">
      <c r="M10907"/>
      <c r="N10907"/>
      <c r="O10907"/>
      <c r="P10907"/>
      <c r="Q10907"/>
      <c r="R10907"/>
      <c r="S10907"/>
    </row>
    <row r="10908" spans="13:19" ht="13.95" customHeight="1">
      <c r="M10908"/>
      <c r="N10908"/>
      <c r="O10908"/>
      <c r="P10908"/>
      <c r="Q10908"/>
      <c r="R10908"/>
      <c r="S10908"/>
    </row>
    <row r="10909" spans="13:19" ht="13.95" customHeight="1">
      <c r="M10909"/>
      <c r="N10909"/>
      <c r="O10909"/>
      <c r="P10909"/>
      <c r="Q10909"/>
      <c r="R10909"/>
      <c r="S10909"/>
    </row>
    <row r="10910" spans="13:19" ht="13.95" customHeight="1">
      <c r="M10910"/>
      <c r="N10910"/>
      <c r="O10910"/>
      <c r="P10910"/>
      <c r="Q10910"/>
      <c r="R10910"/>
      <c r="S10910"/>
    </row>
    <row r="10911" spans="13:19" ht="13.95" customHeight="1">
      <c r="M10911"/>
      <c r="N10911"/>
      <c r="O10911"/>
      <c r="P10911"/>
      <c r="Q10911"/>
      <c r="R10911"/>
      <c r="S10911"/>
    </row>
    <row r="10912" spans="13:19" ht="13.95" customHeight="1">
      <c r="M10912"/>
      <c r="N10912"/>
      <c r="O10912"/>
      <c r="P10912"/>
      <c r="Q10912"/>
      <c r="R10912"/>
      <c r="S10912"/>
    </row>
    <row r="10913" spans="13:19" ht="13.95" customHeight="1">
      <c r="M10913"/>
      <c r="N10913"/>
      <c r="O10913"/>
      <c r="P10913"/>
      <c r="Q10913"/>
      <c r="R10913"/>
      <c r="S10913"/>
    </row>
    <row r="10914" spans="13:19" ht="13.95" customHeight="1">
      <c r="M10914"/>
      <c r="N10914"/>
      <c r="O10914"/>
      <c r="P10914"/>
      <c r="Q10914"/>
      <c r="R10914"/>
      <c r="S10914"/>
    </row>
    <row r="10915" spans="13:19" ht="13.95" customHeight="1">
      <c r="M10915"/>
      <c r="N10915"/>
      <c r="O10915"/>
      <c r="P10915"/>
      <c r="Q10915"/>
      <c r="R10915"/>
      <c r="S10915"/>
    </row>
    <row r="10916" spans="13:19" ht="13.95" customHeight="1">
      <c r="M10916"/>
      <c r="N10916"/>
      <c r="O10916"/>
      <c r="P10916"/>
      <c r="Q10916"/>
      <c r="R10916"/>
      <c r="S10916"/>
    </row>
    <row r="10917" spans="13:19" ht="13.95" customHeight="1">
      <c r="M10917"/>
      <c r="N10917"/>
      <c r="O10917"/>
      <c r="P10917"/>
      <c r="Q10917"/>
      <c r="R10917"/>
      <c r="S10917"/>
    </row>
    <row r="10918" spans="13:19" ht="13.95" customHeight="1">
      <c r="M10918"/>
      <c r="N10918"/>
      <c r="O10918"/>
      <c r="P10918"/>
      <c r="Q10918"/>
      <c r="R10918"/>
      <c r="S10918"/>
    </row>
    <row r="10919" spans="13:19" ht="13.95" customHeight="1">
      <c r="M10919"/>
      <c r="N10919"/>
      <c r="O10919"/>
      <c r="P10919"/>
      <c r="Q10919"/>
      <c r="R10919"/>
      <c r="S10919"/>
    </row>
    <row r="10920" spans="13:19" ht="13.95" customHeight="1">
      <c r="M10920"/>
      <c r="N10920"/>
      <c r="O10920"/>
      <c r="P10920"/>
      <c r="Q10920"/>
      <c r="R10920"/>
      <c r="S10920"/>
    </row>
    <row r="10921" spans="13:19" ht="13.95" customHeight="1">
      <c r="M10921"/>
      <c r="N10921"/>
      <c r="O10921"/>
      <c r="P10921"/>
      <c r="Q10921"/>
      <c r="R10921"/>
      <c r="S10921"/>
    </row>
    <row r="10922" spans="13:19" ht="13.95" customHeight="1">
      <c r="M10922"/>
      <c r="N10922"/>
      <c r="O10922"/>
      <c r="P10922"/>
      <c r="Q10922"/>
      <c r="R10922"/>
      <c r="S10922"/>
    </row>
    <row r="10923" spans="13:19" ht="13.95" customHeight="1">
      <c r="M10923"/>
      <c r="N10923"/>
      <c r="O10923"/>
      <c r="P10923"/>
      <c r="Q10923"/>
      <c r="R10923"/>
      <c r="S10923"/>
    </row>
    <row r="10924" spans="13:19" ht="13.95" customHeight="1">
      <c r="M10924"/>
      <c r="N10924"/>
      <c r="O10924"/>
      <c r="P10924"/>
      <c r="Q10924"/>
      <c r="R10924"/>
      <c r="S10924"/>
    </row>
    <row r="10925" spans="13:19" ht="13.95" customHeight="1">
      <c r="M10925"/>
      <c r="N10925"/>
      <c r="O10925"/>
      <c r="P10925"/>
      <c r="Q10925"/>
      <c r="R10925"/>
      <c r="S10925"/>
    </row>
    <row r="10926" spans="13:19" ht="13.95" customHeight="1">
      <c r="M10926"/>
      <c r="N10926"/>
      <c r="O10926"/>
      <c r="P10926"/>
      <c r="Q10926"/>
      <c r="R10926"/>
      <c r="S10926"/>
    </row>
    <row r="10927" spans="13:19" ht="13.95" customHeight="1">
      <c r="M10927"/>
      <c r="N10927"/>
      <c r="O10927"/>
      <c r="P10927"/>
      <c r="Q10927"/>
      <c r="R10927"/>
      <c r="S10927"/>
    </row>
    <row r="10928" spans="13:19" ht="13.95" customHeight="1">
      <c r="M10928"/>
      <c r="N10928"/>
      <c r="O10928"/>
      <c r="P10928"/>
      <c r="Q10928"/>
      <c r="R10928"/>
      <c r="S10928"/>
    </row>
    <row r="10929" spans="13:19" ht="13.95" customHeight="1">
      <c r="M10929"/>
      <c r="N10929"/>
      <c r="O10929"/>
      <c r="P10929"/>
      <c r="Q10929"/>
      <c r="R10929"/>
      <c r="S10929"/>
    </row>
    <row r="10930" spans="13:19" ht="13.95" customHeight="1">
      <c r="M10930"/>
      <c r="N10930"/>
      <c r="O10930"/>
      <c r="P10930"/>
      <c r="Q10930"/>
      <c r="R10930"/>
      <c r="S10930"/>
    </row>
    <row r="10931" spans="13:19" ht="13.95" customHeight="1">
      <c r="M10931"/>
      <c r="N10931"/>
      <c r="O10931"/>
      <c r="P10931"/>
      <c r="Q10931"/>
      <c r="R10931"/>
      <c r="S10931"/>
    </row>
    <row r="10932" spans="13:19" ht="13.95" customHeight="1">
      <c r="M10932"/>
      <c r="N10932"/>
      <c r="O10932"/>
      <c r="P10932"/>
      <c r="Q10932"/>
      <c r="R10932"/>
      <c r="S10932"/>
    </row>
    <row r="10933" spans="13:19" ht="13.95" customHeight="1">
      <c r="M10933"/>
      <c r="N10933"/>
      <c r="O10933"/>
      <c r="P10933"/>
      <c r="Q10933"/>
      <c r="R10933"/>
      <c r="S10933"/>
    </row>
    <row r="10934" spans="13:19" ht="13.95" customHeight="1">
      <c r="M10934"/>
      <c r="N10934"/>
      <c r="O10934"/>
      <c r="P10934"/>
      <c r="Q10934"/>
      <c r="R10934"/>
      <c r="S10934"/>
    </row>
    <row r="10935" spans="13:19" ht="13.95" customHeight="1">
      <c r="M10935"/>
      <c r="N10935"/>
      <c r="O10935"/>
      <c r="P10935"/>
      <c r="Q10935"/>
      <c r="R10935"/>
      <c r="S10935"/>
    </row>
    <row r="10936" spans="13:19" ht="13.95" customHeight="1">
      <c r="M10936"/>
      <c r="N10936"/>
      <c r="O10936"/>
      <c r="P10936"/>
      <c r="Q10936"/>
      <c r="R10936"/>
      <c r="S10936"/>
    </row>
    <row r="10937" spans="13:19" ht="13.95" customHeight="1">
      <c r="M10937"/>
      <c r="N10937"/>
      <c r="O10937"/>
      <c r="P10937"/>
      <c r="Q10937"/>
      <c r="R10937"/>
      <c r="S10937"/>
    </row>
    <row r="10938" spans="13:19" ht="13.95" customHeight="1">
      <c r="M10938"/>
      <c r="N10938"/>
      <c r="O10938"/>
      <c r="P10938"/>
      <c r="Q10938"/>
      <c r="R10938"/>
      <c r="S10938"/>
    </row>
    <row r="10939" spans="13:19" ht="13.95" customHeight="1">
      <c r="M10939"/>
      <c r="N10939"/>
      <c r="O10939"/>
      <c r="P10939"/>
      <c r="Q10939"/>
      <c r="R10939"/>
      <c r="S10939"/>
    </row>
    <row r="10940" spans="13:19" ht="13.95" customHeight="1">
      <c r="M10940"/>
      <c r="N10940"/>
      <c r="O10940"/>
      <c r="P10940"/>
      <c r="Q10940"/>
      <c r="R10940"/>
      <c r="S10940"/>
    </row>
    <row r="10941" spans="13:19" ht="13.95" customHeight="1">
      <c r="M10941"/>
      <c r="N10941"/>
      <c r="O10941"/>
      <c r="P10941"/>
      <c r="Q10941"/>
      <c r="R10941"/>
      <c r="S10941"/>
    </row>
    <row r="10942" spans="13:19" ht="13.95" customHeight="1">
      <c r="M10942"/>
      <c r="N10942"/>
      <c r="O10942"/>
      <c r="P10942"/>
      <c r="Q10942"/>
      <c r="R10942"/>
      <c r="S10942"/>
    </row>
    <row r="10943" spans="13:19" ht="13.95" customHeight="1">
      <c r="M10943"/>
      <c r="N10943"/>
      <c r="O10943"/>
      <c r="P10943"/>
      <c r="Q10943"/>
      <c r="R10943"/>
      <c r="S10943"/>
    </row>
    <row r="10944" spans="13:19" ht="13.95" customHeight="1">
      <c r="M10944"/>
      <c r="N10944"/>
      <c r="O10944"/>
      <c r="P10944"/>
      <c r="Q10944"/>
      <c r="R10944"/>
      <c r="S10944"/>
    </row>
    <row r="10945" spans="13:19" ht="13.95" customHeight="1">
      <c r="M10945"/>
      <c r="N10945"/>
      <c r="O10945"/>
      <c r="P10945"/>
      <c r="Q10945"/>
      <c r="R10945"/>
      <c r="S10945"/>
    </row>
    <row r="10946" spans="13:19" ht="13.95" customHeight="1">
      <c r="M10946"/>
      <c r="N10946"/>
      <c r="O10946"/>
      <c r="P10946"/>
      <c r="Q10946"/>
      <c r="R10946"/>
      <c r="S10946"/>
    </row>
    <row r="10947" spans="13:19" ht="13.95" customHeight="1">
      <c r="M10947"/>
      <c r="N10947"/>
      <c r="O10947"/>
      <c r="P10947"/>
      <c r="Q10947"/>
      <c r="R10947"/>
      <c r="S10947"/>
    </row>
    <row r="10948" spans="13:19" ht="13.95" customHeight="1">
      <c r="M10948"/>
      <c r="N10948"/>
      <c r="O10948"/>
      <c r="P10948"/>
      <c r="Q10948"/>
      <c r="R10948"/>
      <c r="S10948"/>
    </row>
    <row r="10949" spans="13:19" ht="13.95" customHeight="1">
      <c r="M10949"/>
      <c r="N10949"/>
      <c r="O10949"/>
      <c r="P10949"/>
      <c r="Q10949"/>
      <c r="R10949"/>
      <c r="S10949"/>
    </row>
    <row r="10950" spans="13:19" ht="13.95" customHeight="1">
      <c r="M10950"/>
      <c r="N10950"/>
      <c r="O10950"/>
      <c r="P10950"/>
      <c r="Q10950"/>
      <c r="R10950"/>
      <c r="S10950"/>
    </row>
    <row r="10951" spans="13:19" ht="13.95" customHeight="1">
      <c r="M10951"/>
      <c r="N10951"/>
      <c r="O10951"/>
      <c r="P10951"/>
      <c r="Q10951"/>
      <c r="R10951"/>
      <c r="S10951"/>
    </row>
    <row r="10952" spans="13:19" ht="13.95" customHeight="1">
      <c r="M10952"/>
      <c r="N10952"/>
      <c r="O10952"/>
      <c r="P10952"/>
      <c r="Q10952"/>
      <c r="R10952"/>
      <c r="S10952"/>
    </row>
    <row r="10953" spans="13:19" ht="13.95" customHeight="1">
      <c r="M10953"/>
      <c r="N10953"/>
      <c r="O10953"/>
      <c r="P10953"/>
      <c r="Q10953"/>
      <c r="R10953"/>
      <c r="S10953"/>
    </row>
    <row r="10954" spans="13:19" ht="13.95" customHeight="1">
      <c r="M10954"/>
      <c r="N10954"/>
      <c r="O10954"/>
      <c r="P10954"/>
      <c r="Q10954"/>
      <c r="R10954"/>
      <c r="S10954"/>
    </row>
    <row r="10955" spans="13:19" ht="13.95" customHeight="1">
      <c r="M10955"/>
      <c r="N10955"/>
      <c r="O10955"/>
      <c r="P10955"/>
      <c r="Q10955"/>
      <c r="R10955"/>
      <c r="S10955"/>
    </row>
    <row r="10956" spans="13:19" ht="13.95" customHeight="1">
      <c r="M10956"/>
      <c r="N10956"/>
      <c r="O10956"/>
      <c r="P10956"/>
      <c r="Q10956"/>
      <c r="R10956"/>
      <c r="S10956"/>
    </row>
    <row r="10957" spans="13:19" ht="13.95" customHeight="1">
      <c r="M10957"/>
      <c r="N10957"/>
      <c r="O10957"/>
      <c r="P10957"/>
      <c r="Q10957"/>
      <c r="R10957"/>
      <c r="S10957"/>
    </row>
    <row r="10958" spans="13:19" ht="13.95" customHeight="1">
      <c r="M10958"/>
      <c r="N10958"/>
      <c r="O10958"/>
      <c r="P10958"/>
      <c r="Q10958"/>
      <c r="R10958"/>
      <c r="S10958"/>
    </row>
    <row r="10959" spans="13:19" ht="13.95" customHeight="1">
      <c r="M10959"/>
      <c r="N10959"/>
      <c r="O10959"/>
      <c r="P10959"/>
      <c r="Q10959"/>
      <c r="R10959"/>
      <c r="S10959"/>
    </row>
    <row r="10960" spans="13:19" ht="13.95" customHeight="1">
      <c r="M10960"/>
      <c r="N10960"/>
      <c r="O10960"/>
      <c r="P10960"/>
      <c r="Q10960"/>
      <c r="R10960"/>
      <c r="S10960"/>
    </row>
    <row r="10961" spans="13:19" ht="13.95" customHeight="1">
      <c r="M10961"/>
      <c r="N10961"/>
      <c r="O10961"/>
      <c r="P10961"/>
      <c r="Q10961"/>
      <c r="R10961"/>
      <c r="S10961"/>
    </row>
    <row r="10962" spans="13:19" ht="13.95" customHeight="1">
      <c r="M10962"/>
      <c r="N10962"/>
      <c r="O10962"/>
      <c r="P10962"/>
      <c r="Q10962"/>
      <c r="R10962"/>
      <c r="S10962"/>
    </row>
    <row r="10963" spans="13:19" ht="13.95" customHeight="1">
      <c r="M10963"/>
      <c r="N10963"/>
      <c r="O10963"/>
      <c r="P10963"/>
      <c r="Q10963"/>
      <c r="R10963"/>
      <c r="S10963"/>
    </row>
    <row r="10964" spans="13:19" ht="13.95" customHeight="1">
      <c r="M10964"/>
      <c r="N10964"/>
      <c r="O10964"/>
      <c r="P10964"/>
      <c r="Q10964"/>
      <c r="R10964"/>
      <c r="S10964"/>
    </row>
    <row r="10965" spans="13:19" ht="13.95" customHeight="1">
      <c r="M10965"/>
      <c r="N10965"/>
      <c r="O10965"/>
      <c r="P10965"/>
      <c r="Q10965"/>
      <c r="R10965"/>
      <c r="S10965"/>
    </row>
    <row r="10966" spans="13:19" ht="13.95" customHeight="1">
      <c r="M10966"/>
      <c r="N10966"/>
      <c r="O10966"/>
      <c r="P10966"/>
      <c r="Q10966"/>
      <c r="R10966"/>
      <c r="S10966"/>
    </row>
    <row r="10967" spans="13:19" ht="13.95" customHeight="1">
      <c r="M10967"/>
      <c r="N10967"/>
      <c r="O10967"/>
      <c r="P10967"/>
      <c r="Q10967"/>
      <c r="R10967"/>
      <c r="S10967"/>
    </row>
    <row r="10968" spans="13:19" ht="13.95" customHeight="1">
      <c r="M10968"/>
      <c r="N10968"/>
      <c r="O10968"/>
      <c r="P10968"/>
      <c r="Q10968"/>
      <c r="R10968"/>
      <c r="S10968"/>
    </row>
    <row r="10969" spans="13:19" ht="13.95" customHeight="1">
      <c r="M10969"/>
      <c r="N10969"/>
      <c r="O10969"/>
      <c r="P10969"/>
      <c r="Q10969"/>
      <c r="R10969"/>
      <c r="S10969"/>
    </row>
    <row r="10970" spans="13:19" ht="13.95" customHeight="1">
      <c r="M10970"/>
      <c r="N10970"/>
      <c r="O10970"/>
      <c r="P10970"/>
      <c r="Q10970"/>
      <c r="R10970"/>
      <c r="S10970"/>
    </row>
    <row r="10971" spans="13:19" ht="13.95" customHeight="1">
      <c r="M10971"/>
      <c r="N10971"/>
      <c r="O10971"/>
      <c r="P10971"/>
      <c r="Q10971"/>
      <c r="R10971"/>
      <c r="S10971"/>
    </row>
    <row r="10972" spans="13:19" ht="13.95" customHeight="1">
      <c r="M10972"/>
      <c r="N10972"/>
      <c r="O10972"/>
      <c r="P10972"/>
      <c r="Q10972"/>
      <c r="R10972"/>
      <c r="S10972"/>
    </row>
    <row r="10973" spans="13:19" ht="13.95" customHeight="1">
      <c r="M10973"/>
      <c r="N10973"/>
      <c r="O10973"/>
      <c r="P10973"/>
      <c r="Q10973"/>
      <c r="R10973"/>
      <c r="S10973"/>
    </row>
    <row r="10974" spans="13:19" ht="13.95" customHeight="1">
      <c r="M10974"/>
      <c r="N10974"/>
      <c r="O10974"/>
      <c r="P10974"/>
      <c r="Q10974"/>
      <c r="R10974"/>
      <c r="S10974"/>
    </row>
    <row r="10975" spans="13:19" ht="13.95" customHeight="1">
      <c r="M10975"/>
      <c r="N10975"/>
      <c r="O10975"/>
      <c r="P10975"/>
      <c r="Q10975"/>
      <c r="R10975"/>
      <c r="S10975"/>
    </row>
    <row r="10976" spans="13:19" ht="13.95" customHeight="1">
      <c r="M10976"/>
      <c r="N10976"/>
      <c r="O10976"/>
      <c r="P10976"/>
      <c r="Q10976"/>
      <c r="R10976"/>
      <c r="S10976"/>
    </row>
    <row r="10977" spans="13:19" ht="13.95" customHeight="1">
      <c r="M10977"/>
      <c r="N10977"/>
      <c r="O10977"/>
      <c r="P10977"/>
      <c r="Q10977"/>
      <c r="R10977"/>
      <c r="S10977"/>
    </row>
    <row r="10978" spans="13:19" ht="13.95" customHeight="1">
      <c r="M10978"/>
      <c r="N10978"/>
      <c r="O10978"/>
      <c r="P10978"/>
      <c r="Q10978"/>
      <c r="R10978"/>
      <c r="S10978"/>
    </row>
    <row r="10979" spans="13:19" ht="13.95" customHeight="1">
      <c r="M10979"/>
      <c r="N10979"/>
      <c r="O10979"/>
      <c r="P10979"/>
      <c r="Q10979"/>
      <c r="R10979"/>
      <c r="S10979"/>
    </row>
    <row r="10980" spans="13:19" ht="13.95" customHeight="1">
      <c r="M10980"/>
      <c r="N10980"/>
      <c r="O10980"/>
      <c r="P10980"/>
      <c r="Q10980"/>
      <c r="R10980"/>
      <c r="S10980"/>
    </row>
    <row r="10981" spans="13:19" ht="13.95" customHeight="1">
      <c r="M10981"/>
      <c r="N10981"/>
      <c r="O10981"/>
      <c r="P10981"/>
      <c r="Q10981"/>
      <c r="R10981"/>
      <c r="S10981"/>
    </row>
    <row r="10982" spans="13:19" ht="13.95" customHeight="1">
      <c r="M10982"/>
      <c r="N10982"/>
      <c r="O10982"/>
      <c r="P10982"/>
      <c r="Q10982"/>
      <c r="R10982"/>
      <c r="S10982"/>
    </row>
    <row r="10983" spans="13:19" ht="13.95" customHeight="1">
      <c r="M10983"/>
      <c r="N10983"/>
      <c r="O10983"/>
      <c r="P10983"/>
      <c r="Q10983"/>
      <c r="R10983"/>
      <c r="S10983"/>
    </row>
    <row r="10984" spans="13:19" ht="13.95" customHeight="1">
      <c r="M10984"/>
      <c r="N10984"/>
      <c r="O10984"/>
      <c r="P10984"/>
      <c r="Q10984"/>
      <c r="R10984"/>
      <c r="S10984"/>
    </row>
    <row r="10985" spans="13:19" ht="13.95" customHeight="1">
      <c r="M10985"/>
      <c r="N10985"/>
      <c r="O10985"/>
      <c r="P10985"/>
      <c r="Q10985"/>
      <c r="R10985"/>
      <c r="S10985"/>
    </row>
    <row r="10986" spans="13:19" ht="13.95" customHeight="1">
      <c r="M10986"/>
      <c r="N10986"/>
      <c r="O10986"/>
      <c r="P10986"/>
      <c r="Q10986"/>
      <c r="R10986"/>
      <c r="S10986"/>
    </row>
    <row r="10987" spans="13:19" ht="13.95" customHeight="1">
      <c r="M10987"/>
      <c r="N10987"/>
      <c r="O10987"/>
      <c r="P10987"/>
      <c r="Q10987"/>
      <c r="R10987"/>
      <c r="S10987"/>
    </row>
    <row r="10988" spans="13:19" ht="13.95" customHeight="1">
      <c r="M10988"/>
      <c r="N10988"/>
      <c r="O10988"/>
      <c r="P10988"/>
      <c r="Q10988"/>
      <c r="R10988"/>
      <c r="S10988"/>
    </row>
    <row r="10989" spans="13:19" ht="13.95" customHeight="1">
      <c r="M10989"/>
      <c r="N10989"/>
      <c r="O10989"/>
      <c r="P10989"/>
      <c r="Q10989"/>
      <c r="R10989"/>
      <c r="S10989"/>
    </row>
    <row r="10990" spans="13:19" ht="13.95" customHeight="1">
      <c r="M10990"/>
      <c r="N10990"/>
      <c r="O10990"/>
      <c r="P10990"/>
      <c r="Q10990"/>
      <c r="R10990"/>
      <c r="S10990"/>
    </row>
    <row r="10991" spans="13:19" ht="13.95" customHeight="1">
      <c r="M10991"/>
      <c r="N10991"/>
      <c r="O10991"/>
      <c r="P10991"/>
      <c r="Q10991"/>
      <c r="R10991"/>
      <c r="S10991"/>
    </row>
    <row r="10992" spans="13:19" ht="13.95" customHeight="1">
      <c r="M10992"/>
      <c r="N10992"/>
      <c r="O10992"/>
      <c r="P10992"/>
      <c r="Q10992"/>
      <c r="R10992"/>
      <c r="S10992"/>
    </row>
    <row r="10993" spans="13:19" ht="13.95" customHeight="1">
      <c r="M10993"/>
      <c r="N10993"/>
      <c r="O10993"/>
      <c r="P10993"/>
      <c r="Q10993"/>
      <c r="R10993"/>
      <c r="S10993"/>
    </row>
    <row r="10994" spans="13:19" ht="13.95" customHeight="1">
      <c r="M10994"/>
      <c r="N10994"/>
      <c r="O10994"/>
      <c r="P10994"/>
      <c r="Q10994"/>
      <c r="R10994"/>
      <c r="S10994"/>
    </row>
    <row r="10995" spans="13:19" ht="13.95" customHeight="1">
      <c r="M10995"/>
      <c r="N10995"/>
      <c r="O10995"/>
      <c r="P10995"/>
      <c r="Q10995"/>
      <c r="R10995"/>
      <c r="S10995"/>
    </row>
    <row r="10996" spans="13:19" ht="13.95" customHeight="1">
      <c r="M10996"/>
      <c r="N10996"/>
      <c r="O10996"/>
      <c r="P10996"/>
      <c r="Q10996"/>
      <c r="R10996"/>
      <c r="S10996"/>
    </row>
    <row r="10997" spans="13:19" ht="13.95" customHeight="1">
      <c r="M10997"/>
      <c r="N10997"/>
      <c r="O10997"/>
      <c r="P10997"/>
      <c r="Q10997"/>
      <c r="R10997"/>
      <c r="S10997"/>
    </row>
    <row r="10998" spans="13:19" ht="13.95" customHeight="1">
      <c r="M10998"/>
      <c r="N10998"/>
      <c r="O10998"/>
      <c r="P10998"/>
      <c r="Q10998"/>
      <c r="R10998"/>
      <c r="S10998"/>
    </row>
    <row r="10999" spans="13:19" ht="13.95" customHeight="1">
      <c r="M10999"/>
      <c r="N10999"/>
      <c r="O10999"/>
      <c r="P10999"/>
      <c r="Q10999"/>
      <c r="R10999"/>
      <c r="S10999"/>
    </row>
    <row r="11000" spans="13:19" ht="13.95" customHeight="1">
      <c r="M11000"/>
      <c r="N11000"/>
      <c r="O11000"/>
      <c r="P11000"/>
      <c r="Q11000"/>
      <c r="R11000"/>
      <c r="S11000"/>
    </row>
    <row r="11001" spans="13:19" ht="13.95" customHeight="1">
      <c r="M11001"/>
      <c r="N11001"/>
      <c r="O11001"/>
      <c r="P11001"/>
      <c r="Q11001"/>
      <c r="R11001"/>
      <c r="S11001"/>
    </row>
    <row r="11002" spans="13:19" ht="13.95" customHeight="1">
      <c r="M11002"/>
      <c r="N11002"/>
      <c r="O11002"/>
      <c r="P11002"/>
      <c r="Q11002"/>
      <c r="R11002"/>
      <c r="S11002"/>
    </row>
    <row r="11003" spans="13:19" ht="13.95" customHeight="1">
      <c r="M11003"/>
      <c r="N11003"/>
      <c r="O11003"/>
      <c r="P11003"/>
      <c r="Q11003"/>
      <c r="R11003"/>
      <c r="S11003"/>
    </row>
    <row r="11004" spans="13:19" ht="13.95" customHeight="1">
      <c r="M11004"/>
      <c r="N11004"/>
      <c r="O11004"/>
      <c r="P11004"/>
      <c r="Q11004"/>
      <c r="R11004"/>
      <c r="S11004"/>
    </row>
    <row r="11005" spans="13:19" ht="13.95" customHeight="1">
      <c r="M11005"/>
      <c r="N11005"/>
      <c r="O11005"/>
      <c r="P11005"/>
      <c r="Q11005"/>
      <c r="R11005"/>
      <c r="S11005"/>
    </row>
    <row r="11006" spans="13:19" ht="13.95" customHeight="1">
      <c r="M11006"/>
      <c r="N11006"/>
      <c r="O11006"/>
      <c r="P11006"/>
      <c r="Q11006"/>
      <c r="R11006"/>
      <c r="S11006"/>
    </row>
    <row r="11007" spans="13:19" ht="13.95" customHeight="1">
      <c r="M11007"/>
      <c r="N11007"/>
      <c r="O11007"/>
      <c r="P11007"/>
      <c r="Q11007"/>
      <c r="R11007"/>
      <c r="S11007"/>
    </row>
    <row r="11008" spans="13:19" ht="13.95" customHeight="1">
      <c r="M11008"/>
      <c r="N11008"/>
      <c r="O11008"/>
      <c r="P11008"/>
      <c r="Q11008"/>
      <c r="R11008"/>
      <c r="S11008"/>
    </row>
    <row r="11009" spans="13:19" ht="13.95" customHeight="1">
      <c r="M11009"/>
      <c r="N11009"/>
      <c r="O11009"/>
      <c r="P11009"/>
      <c r="Q11009"/>
      <c r="R11009"/>
      <c r="S11009"/>
    </row>
    <row r="11010" spans="13:19" ht="13.95" customHeight="1">
      <c r="M11010"/>
      <c r="N11010"/>
      <c r="O11010"/>
      <c r="P11010"/>
      <c r="Q11010"/>
      <c r="R11010"/>
      <c r="S11010"/>
    </row>
    <row r="11011" spans="13:19" ht="13.95" customHeight="1">
      <c r="M11011"/>
      <c r="N11011"/>
      <c r="O11011"/>
      <c r="P11011"/>
      <c r="Q11011"/>
      <c r="R11011"/>
      <c r="S11011"/>
    </row>
    <row r="11012" spans="13:19" ht="13.95" customHeight="1">
      <c r="M11012"/>
      <c r="N11012"/>
      <c r="O11012"/>
      <c r="P11012"/>
      <c r="Q11012"/>
      <c r="R11012"/>
      <c r="S11012"/>
    </row>
    <row r="11013" spans="13:19" ht="13.95" customHeight="1">
      <c r="M11013"/>
      <c r="N11013"/>
      <c r="O11013"/>
      <c r="P11013"/>
      <c r="Q11013"/>
      <c r="R11013"/>
      <c r="S11013"/>
    </row>
    <row r="11014" spans="13:19" ht="13.95" customHeight="1">
      <c r="M11014"/>
      <c r="N11014"/>
      <c r="O11014"/>
      <c r="P11014"/>
      <c r="Q11014"/>
      <c r="R11014"/>
      <c r="S11014"/>
    </row>
    <row r="11015" spans="13:19" ht="13.95" customHeight="1">
      <c r="M11015"/>
      <c r="N11015"/>
      <c r="O11015"/>
      <c r="P11015"/>
      <c r="Q11015"/>
      <c r="R11015"/>
      <c r="S11015"/>
    </row>
    <row r="11016" spans="13:19" ht="13.95" customHeight="1">
      <c r="M11016"/>
      <c r="N11016"/>
      <c r="O11016"/>
      <c r="P11016"/>
      <c r="Q11016"/>
      <c r="R11016"/>
      <c r="S11016"/>
    </row>
    <row r="11017" spans="13:19" ht="13.95" customHeight="1">
      <c r="M11017"/>
      <c r="N11017"/>
      <c r="O11017"/>
      <c r="P11017"/>
      <c r="Q11017"/>
      <c r="R11017"/>
      <c r="S11017"/>
    </row>
    <row r="11018" spans="13:19" ht="13.95" customHeight="1">
      <c r="M11018"/>
      <c r="N11018"/>
      <c r="O11018"/>
      <c r="P11018"/>
      <c r="Q11018"/>
      <c r="R11018"/>
      <c r="S11018"/>
    </row>
    <row r="11019" spans="13:19" ht="13.95" customHeight="1">
      <c r="M11019"/>
      <c r="N11019"/>
      <c r="O11019"/>
      <c r="P11019"/>
      <c r="Q11019"/>
      <c r="R11019"/>
      <c r="S11019"/>
    </row>
    <row r="11020" spans="13:19" ht="13.95" customHeight="1">
      <c r="M11020"/>
      <c r="N11020"/>
      <c r="O11020"/>
      <c r="P11020"/>
      <c r="Q11020"/>
      <c r="R11020"/>
      <c r="S11020"/>
    </row>
    <row r="11021" spans="13:19" ht="13.95" customHeight="1">
      <c r="M11021"/>
      <c r="N11021"/>
      <c r="O11021"/>
      <c r="P11021"/>
      <c r="Q11021"/>
      <c r="R11021"/>
      <c r="S11021"/>
    </row>
    <row r="11022" spans="13:19" ht="13.95" customHeight="1">
      <c r="M11022"/>
      <c r="N11022"/>
      <c r="O11022"/>
      <c r="P11022"/>
      <c r="Q11022"/>
      <c r="R11022"/>
      <c r="S11022"/>
    </row>
    <row r="11023" spans="13:19" ht="13.95" customHeight="1">
      <c r="M11023"/>
      <c r="N11023"/>
      <c r="O11023"/>
      <c r="P11023"/>
      <c r="Q11023"/>
      <c r="R11023"/>
      <c r="S11023"/>
    </row>
    <row r="11024" spans="13:19" ht="13.95" customHeight="1">
      <c r="M11024"/>
      <c r="N11024"/>
      <c r="O11024"/>
      <c r="P11024"/>
      <c r="Q11024"/>
      <c r="R11024"/>
      <c r="S11024"/>
    </row>
    <row r="11025" spans="13:19" ht="13.95" customHeight="1">
      <c r="M11025"/>
      <c r="N11025"/>
      <c r="O11025"/>
      <c r="P11025"/>
      <c r="Q11025"/>
      <c r="R11025"/>
      <c r="S11025"/>
    </row>
    <row r="11026" spans="13:19" ht="13.95" customHeight="1">
      <c r="M11026"/>
      <c r="N11026"/>
      <c r="O11026"/>
      <c r="P11026"/>
      <c r="Q11026"/>
      <c r="R11026"/>
      <c r="S11026"/>
    </row>
    <row r="11027" spans="13:19" ht="13.95" customHeight="1">
      <c r="M11027"/>
      <c r="N11027"/>
      <c r="O11027"/>
      <c r="P11027"/>
      <c r="Q11027"/>
      <c r="R11027"/>
      <c r="S11027"/>
    </row>
    <row r="11028" spans="13:19" ht="13.95" customHeight="1">
      <c r="M11028"/>
      <c r="N11028"/>
      <c r="O11028"/>
      <c r="P11028"/>
      <c r="Q11028"/>
      <c r="R11028"/>
      <c r="S11028"/>
    </row>
    <row r="11029" spans="13:19" ht="13.95" customHeight="1">
      <c r="M11029"/>
      <c r="N11029"/>
      <c r="O11029"/>
      <c r="P11029"/>
      <c r="Q11029"/>
      <c r="R11029"/>
      <c r="S11029"/>
    </row>
    <row r="11030" spans="13:19" ht="13.95" customHeight="1">
      <c r="M11030"/>
      <c r="N11030"/>
      <c r="O11030"/>
      <c r="P11030"/>
      <c r="Q11030"/>
      <c r="R11030"/>
      <c r="S11030"/>
    </row>
    <row r="11031" spans="13:19" ht="13.95" customHeight="1">
      <c r="M11031"/>
      <c r="N11031"/>
      <c r="O11031"/>
      <c r="P11031"/>
      <c r="Q11031"/>
      <c r="R11031"/>
      <c r="S11031"/>
    </row>
    <row r="11032" spans="13:19" ht="13.95" customHeight="1">
      <c r="M11032"/>
      <c r="N11032"/>
      <c r="O11032"/>
      <c r="P11032"/>
      <c r="Q11032"/>
      <c r="R11032"/>
      <c r="S11032"/>
    </row>
    <row r="11033" spans="13:19" ht="13.95" customHeight="1">
      <c r="M11033"/>
      <c r="N11033"/>
      <c r="O11033"/>
      <c r="P11033"/>
      <c r="Q11033"/>
      <c r="R11033"/>
      <c r="S11033"/>
    </row>
    <row r="11034" spans="13:19" ht="13.95" customHeight="1">
      <c r="M11034"/>
      <c r="N11034"/>
      <c r="O11034"/>
      <c r="P11034"/>
      <c r="Q11034"/>
      <c r="R11034"/>
      <c r="S11034"/>
    </row>
    <row r="11035" spans="13:19" ht="13.95" customHeight="1">
      <c r="M11035"/>
      <c r="N11035"/>
      <c r="O11035"/>
      <c r="P11035"/>
      <c r="Q11035"/>
      <c r="R11035"/>
      <c r="S11035"/>
    </row>
    <row r="11036" spans="13:19" ht="13.95" customHeight="1">
      <c r="M11036"/>
      <c r="N11036"/>
      <c r="O11036"/>
      <c r="P11036"/>
      <c r="Q11036"/>
      <c r="R11036"/>
      <c r="S11036"/>
    </row>
    <row r="11037" spans="13:19" ht="13.95" customHeight="1">
      <c r="M11037"/>
      <c r="N11037"/>
      <c r="O11037"/>
      <c r="P11037"/>
      <c r="Q11037"/>
      <c r="R11037"/>
      <c r="S11037"/>
    </row>
    <row r="11038" spans="13:19" ht="13.95" customHeight="1">
      <c r="M11038"/>
      <c r="N11038"/>
      <c r="O11038"/>
      <c r="P11038"/>
      <c r="Q11038"/>
      <c r="R11038"/>
      <c r="S11038"/>
    </row>
    <row r="11039" spans="13:19" ht="13.95" customHeight="1">
      <c r="M11039"/>
      <c r="N11039"/>
      <c r="O11039"/>
      <c r="P11039"/>
      <c r="Q11039"/>
      <c r="R11039"/>
      <c r="S11039"/>
    </row>
    <row r="11040" spans="13:19" ht="13.95" customHeight="1">
      <c r="M11040"/>
      <c r="N11040"/>
      <c r="O11040"/>
      <c r="P11040"/>
      <c r="Q11040"/>
      <c r="R11040"/>
      <c r="S11040"/>
    </row>
    <row r="11041" spans="13:19" ht="13.95" customHeight="1">
      <c r="M11041"/>
      <c r="N11041"/>
      <c r="O11041"/>
      <c r="P11041"/>
      <c r="Q11041"/>
      <c r="R11041"/>
      <c r="S11041"/>
    </row>
    <row r="11042" spans="13:19" ht="13.95" customHeight="1">
      <c r="M11042"/>
      <c r="N11042"/>
      <c r="O11042"/>
      <c r="P11042"/>
      <c r="Q11042"/>
      <c r="R11042"/>
      <c r="S11042"/>
    </row>
    <row r="11043" spans="13:19" ht="13.95" customHeight="1">
      <c r="M11043"/>
      <c r="N11043"/>
      <c r="O11043"/>
      <c r="P11043"/>
      <c r="Q11043"/>
      <c r="R11043"/>
      <c r="S11043"/>
    </row>
    <row r="11044" spans="13:19" ht="13.95" customHeight="1">
      <c r="M11044"/>
      <c r="N11044"/>
      <c r="O11044"/>
      <c r="P11044"/>
      <c r="Q11044"/>
      <c r="R11044"/>
      <c r="S11044"/>
    </row>
    <row r="11045" spans="13:19" ht="13.95" customHeight="1">
      <c r="M11045"/>
      <c r="N11045"/>
      <c r="O11045"/>
      <c r="P11045"/>
      <c r="Q11045"/>
      <c r="R11045"/>
      <c r="S11045"/>
    </row>
    <row r="11046" spans="13:19" ht="13.95" customHeight="1">
      <c r="M11046"/>
      <c r="N11046"/>
      <c r="O11046"/>
      <c r="P11046"/>
      <c r="Q11046"/>
      <c r="R11046"/>
      <c r="S11046"/>
    </row>
    <row r="11047" spans="13:19" ht="13.95" customHeight="1">
      <c r="M11047"/>
      <c r="N11047"/>
      <c r="O11047"/>
      <c r="P11047"/>
      <c r="Q11047"/>
      <c r="R11047"/>
      <c r="S11047"/>
    </row>
    <row r="11048" spans="13:19" ht="13.95" customHeight="1">
      <c r="M11048"/>
      <c r="N11048"/>
      <c r="O11048"/>
      <c r="P11048"/>
      <c r="Q11048"/>
      <c r="R11048"/>
      <c r="S11048"/>
    </row>
    <row r="11049" spans="13:19" ht="13.95" customHeight="1">
      <c r="M11049"/>
      <c r="N11049"/>
      <c r="O11049"/>
      <c r="P11049"/>
      <c r="Q11049"/>
      <c r="R11049"/>
      <c r="S11049"/>
    </row>
    <row r="11050" spans="13:19" ht="13.95" customHeight="1">
      <c r="M11050"/>
      <c r="N11050"/>
      <c r="O11050"/>
      <c r="P11050"/>
      <c r="Q11050"/>
      <c r="R11050"/>
      <c r="S11050"/>
    </row>
    <row r="11051" spans="13:19" ht="13.95" customHeight="1">
      <c r="M11051"/>
      <c r="N11051"/>
      <c r="O11051"/>
      <c r="P11051"/>
      <c r="Q11051"/>
      <c r="R11051"/>
      <c r="S11051"/>
    </row>
    <row r="11052" spans="13:19" ht="13.95" customHeight="1">
      <c r="M11052"/>
      <c r="N11052"/>
      <c r="O11052"/>
      <c r="P11052"/>
      <c r="Q11052"/>
      <c r="R11052"/>
      <c r="S11052"/>
    </row>
    <row r="11053" spans="13:19" ht="13.95" customHeight="1">
      <c r="M11053"/>
      <c r="N11053"/>
      <c r="O11053"/>
      <c r="P11053"/>
      <c r="Q11053"/>
      <c r="R11053"/>
      <c r="S11053"/>
    </row>
    <row r="11054" spans="13:19" ht="13.95" customHeight="1">
      <c r="M11054"/>
      <c r="N11054"/>
      <c r="O11054"/>
      <c r="P11054"/>
      <c r="Q11054"/>
      <c r="R11054"/>
      <c r="S11054"/>
    </row>
    <row r="11055" spans="13:19" ht="13.95" customHeight="1">
      <c r="M11055"/>
      <c r="N11055"/>
      <c r="O11055"/>
      <c r="P11055"/>
      <c r="Q11055"/>
      <c r="R11055"/>
      <c r="S11055"/>
    </row>
    <row r="11056" spans="13:19" ht="13.95" customHeight="1">
      <c r="M11056"/>
      <c r="N11056"/>
      <c r="O11056"/>
      <c r="P11056"/>
      <c r="Q11056"/>
      <c r="R11056"/>
      <c r="S11056"/>
    </row>
    <row r="11057" spans="13:19" ht="13.95" customHeight="1">
      <c r="M11057"/>
      <c r="N11057"/>
      <c r="O11057"/>
      <c r="P11057"/>
      <c r="Q11057"/>
      <c r="R11057"/>
      <c r="S11057"/>
    </row>
    <row r="11058" spans="13:19" ht="13.95" customHeight="1">
      <c r="M11058"/>
      <c r="N11058"/>
      <c r="O11058"/>
      <c r="P11058"/>
      <c r="Q11058"/>
      <c r="R11058"/>
      <c r="S11058"/>
    </row>
    <row r="11059" spans="13:19" ht="13.95" customHeight="1">
      <c r="M11059"/>
      <c r="N11059"/>
      <c r="O11059"/>
      <c r="P11059"/>
      <c r="Q11059"/>
      <c r="R11059"/>
      <c r="S11059"/>
    </row>
    <row r="11060" spans="13:19" ht="13.95" customHeight="1">
      <c r="M11060"/>
      <c r="N11060"/>
      <c r="O11060"/>
      <c r="P11060"/>
      <c r="Q11060"/>
      <c r="R11060"/>
      <c r="S11060"/>
    </row>
    <row r="11061" spans="13:19" ht="13.95" customHeight="1">
      <c r="M11061"/>
      <c r="N11061"/>
      <c r="O11061"/>
      <c r="P11061"/>
      <c r="Q11061"/>
      <c r="R11061"/>
      <c r="S11061"/>
    </row>
    <row r="11062" spans="13:19" ht="13.95" customHeight="1">
      <c r="M11062"/>
      <c r="N11062"/>
      <c r="O11062"/>
      <c r="P11062"/>
      <c r="Q11062"/>
      <c r="R11062"/>
      <c r="S11062"/>
    </row>
    <row r="11063" spans="13:19" ht="13.95" customHeight="1">
      <c r="M11063"/>
      <c r="N11063"/>
      <c r="O11063"/>
      <c r="P11063"/>
      <c r="Q11063"/>
      <c r="R11063"/>
      <c r="S11063"/>
    </row>
    <row r="11064" spans="13:19" ht="13.95" customHeight="1">
      <c r="M11064"/>
      <c r="N11064"/>
      <c r="O11064"/>
      <c r="P11064"/>
      <c r="Q11064"/>
      <c r="R11064"/>
      <c r="S11064"/>
    </row>
    <row r="11065" spans="13:19" ht="13.95" customHeight="1">
      <c r="M11065"/>
      <c r="N11065"/>
      <c r="O11065"/>
      <c r="P11065"/>
      <c r="Q11065"/>
      <c r="R11065"/>
      <c r="S11065"/>
    </row>
    <row r="11066" spans="13:19" ht="13.95" customHeight="1">
      <c r="M11066"/>
      <c r="N11066"/>
      <c r="O11066"/>
      <c r="P11066"/>
      <c r="Q11066"/>
      <c r="R11066"/>
      <c r="S11066"/>
    </row>
    <row r="11067" spans="13:19" ht="13.95" customHeight="1">
      <c r="M11067"/>
      <c r="N11067"/>
      <c r="O11067"/>
      <c r="P11067"/>
      <c r="Q11067"/>
      <c r="R11067"/>
      <c r="S11067"/>
    </row>
    <row r="11068" spans="13:19" ht="13.95" customHeight="1">
      <c r="M11068"/>
      <c r="N11068"/>
      <c r="O11068"/>
      <c r="P11068"/>
      <c r="Q11068"/>
      <c r="R11068"/>
      <c r="S11068"/>
    </row>
    <row r="11069" spans="13:19" ht="13.95" customHeight="1">
      <c r="M11069"/>
      <c r="N11069"/>
      <c r="O11069"/>
      <c r="P11069"/>
      <c r="Q11069"/>
      <c r="R11069"/>
      <c r="S11069"/>
    </row>
    <row r="11070" spans="13:19" ht="13.95" customHeight="1">
      <c r="M11070"/>
      <c r="N11070"/>
      <c r="O11070"/>
      <c r="P11070"/>
      <c r="Q11070"/>
      <c r="R11070"/>
      <c r="S11070"/>
    </row>
    <row r="11071" spans="13:19" ht="13.95" customHeight="1">
      <c r="M11071"/>
      <c r="N11071"/>
      <c r="O11071"/>
      <c r="P11071"/>
      <c r="Q11071"/>
      <c r="R11071"/>
      <c r="S11071"/>
    </row>
    <row r="11072" spans="13:19" ht="13.95" customHeight="1">
      <c r="M11072"/>
      <c r="N11072"/>
      <c r="O11072"/>
      <c r="P11072"/>
      <c r="Q11072"/>
      <c r="R11072"/>
      <c r="S11072"/>
    </row>
    <row r="11073" spans="13:19" ht="13.95" customHeight="1">
      <c r="M11073"/>
      <c r="N11073"/>
      <c r="O11073"/>
      <c r="P11073"/>
      <c r="Q11073"/>
      <c r="R11073"/>
      <c r="S11073"/>
    </row>
    <row r="11074" spans="13:19" ht="13.95" customHeight="1">
      <c r="M11074"/>
      <c r="N11074"/>
      <c r="O11074"/>
      <c r="P11074"/>
      <c r="Q11074"/>
      <c r="R11074"/>
      <c r="S11074"/>
    </row>
    <row r="11075" spans="13:19" ht="13.95" customHeight="1">
      <c r="M11075"/>
      <c r="N11075"/>
      <c r="O11075"/>
      <c r="P11075"/>
      <c r="Q11075"/>
      <c r="R11075"/>
      <c r="S11075"/>
    </row>
    <row r="11076" spans="13:19" ht="13.95" customHeight="1">
      <c r="M11076"/>
      <c r="N11076"/>
      <c r="O11076"/>
      <c r="P11076"/>
      <c r="Q11076"/>
      <c r="R11076"/>
      <c r="S11076"/>
    </row>
    <row r="11077" spans="13:19" ht="13.95" customHeight="1">
      <c r="M11077"/>
      <c r="N11077"/>
      <c r="O11077"/>
      <c r="P11077"/>
      <c r="Q11077"/>
      <c r="R11077"/>
      <c r="S11077"/>
    </row>
    <row r="11078" spans="13:19" ht="13.95" customHeight="1">
      <c r="M11078"/>
      <c r="N11078"/>
      <c r="O11078"/>
      <c r="P11078"/>
      <c r="Q11078"/>
      <c r="R11078"/>
      <c r="S11078"/>
    </row>
    <row r="11079" spans="13:19" ht="13.95" customHeight="1">
      <c r="M11079"/>
      <c r="N11079"/>
      <c r="O11079"/>
      <c r="P11079"/>
      <c r="Q11079"/>
      <c r="R11079"/>
      <c r="S11079"/>
    </row>
    <row r="11080" spans="13:19" ht="13.95" customHeight="1">
      <c r="M11080"/>
      <c r="N11080"/>
      <c r="O11080"/>
      <c r="P11080"/>
      <c r="Q11080"/>
      <c r="R11080"/>
      <c r="S11080"/>
    </row>
    <row r="11081" spans="13:19" ht="13.95" customHeight="1">
      <c r="M11081"/>
      <c r="N11081"/>
      <c r="O11081"/>
      <c r="P11081"/>
      <c r="Q11081"/>
      <c r="R11081"/>
      <c r="S11081"/>
    </row>
    <row r="11082" spans="13:19" ht="13.95" customHeight="1">
      <c r="M11082"/>
      <c r="N11082"/>
      <c r="O11082"/>
      <c r="P11082"/>
      <c r="Q11082"/>
      <c r="R11082"/>
      <c r="S11082"/>
    </row>
    <row r="11083" spans="13:19" ht="13.95" customHeight="1">
      <c r="M11083"/>
      <c r="N11083"/>
      <c r="O11083"/>
      <c r="P11083"/>
      <c r="Q11083"/>
      <c r="R11083"/>
      <c r="S11083"/>
    </row>
    <row r="11084" spans="13:19" ht="13.95" customHeight="1">
      <c r="M11084"/>
      <c r="N11084"/>
      <c r="O11084"/>
      <c r="P11084"/>
      <c r="Q11084"/>
      <c r="R11084"/>
      <c r="S11084"/>
    </row>
    <row r="11085" spans="13:19" ht="13.95" customHeight="1">
      <c r="M11085"/>
      <c r="N11085"/>
      <c r="O11085"/>
      <c r="P11085"/>
      <c r="Q11085"/>
      <c r="R11085"/>
      <c r="S11085"/>
    </row>
    <row r="11086" spans="13:19" ht="13.95" customHeight="1">
      <c r="M11086"/>
      <c r="N11086"/>
      <c r="O11086"/>
      <c r="P11086"/>
      <c r="Q11086"/>
      <c r="R11086"/>
      <c r="S11086"/>
    </row>
    <row r="11087" spans="13:19" ht="13.95" customHeight="1">
      <c r="M11087"/>
      <c r="N11087"/>
      <c r="O11087"/>
      <c r="P11087"/>
      <c r="Q11087"/>
      <c r="R11087"/>
      <c r="S11087"/>
    </row>
    <row r="11088" spans="13:19" ht="13.95" customHeight="1">
      <c r="M11088"/>
      <c r="N11088"/>
      <c r="O11088"/>
      <c r="P11088"/>
      <c r="Q11088"/>
      <c r="R11088"/>
      <c r="S11088"/>
    </row>
    <row r="11089" spans="13:19" ht="13.95" customHeight="1">
      <c r="M11089"/>
      <c r="N11089"/>
      <c r="O11089"/>
      <c r="P11089"/>
      <c r="Q11089"/>
      <c r="R11089"/>
      <c r="S11089"/>
    </row>
    <row r="11090" spans="13:19" ht="13.95" customHeight="1">
      <c r="M11090"/>
      <c r="N11090"/>
      <c r="O11090"/>
      <c r="P11090"/>
      <c r="Q11090"/>
      <c r="R11090"/>
      <c r="S11090"/>
    </row>
    <row r="11091" spans="13:19" ht="13.95" customHeight="1">
      <c r="M11091"/>
      <c r="N11091"/>
      <c r="O11091"/>
      <c r="P11091"/>
      <c r="Q11091"/>
      <c r="R11091"/>
      <c r="S11091"/>
    </row>
    <row r="11092" spans="13:19" ht="13.95" customHeight="1">
      <c r="M11092"/>
      <c r="N11092"/>
      <c r="O11092"/>
      <c r="P11092"/>
      <c r="Q11092"/>
      <c r="R11092"/>
      <c r="S11092"/>
    </row>
    <row r="11093" spans="13:19" ht="13.95" customHeight="1">
      <c r="M11093"/>
      <c r="N11093"/>
      <c r="O11093"/>
      <c r="P11093"/>
      <c r="Q11093"/>
      <c r="R11093"/>
      <c r="S11093"/>
    </row>
    <row r="11094" spans="13:19" ht="13.95" customHeight="1">
      <c r="M11094"/>
      <c r="N11094"/>
      <c r="O11094"/>
      <c r="P11094"/>
      <c r="Q11094"/>
      <c r="R11094"/>
      <c r="S11094"/>
    </row>
    <row r="11095" spans="13:19" ht="13.95" customHeight="1">
      <c r="M11095"/>
      <c r="N11095"/>
      <c r="O11095"/>
      <c r="P11095"/>
      <c r="Q11095"/>
      <c r="R11095"/>
      <c r="S11095"/>
    </row>
    <row r="11096" spans="13:19" ht="13.95" customHeight="1">
      <c r="M11096"/>
      <c r="N11096"/>
      <c r="O11096"/>
      <c r="P11096"/>
      <c r="Q11096"/>
      <c r="R11096"/>
      <c r="S11096"/>
    </row>
    <row r="11097" spans="13:19" ht="13.95" customHeight="1">
      <c r="M11097"/>
      <c r="N11097"/>
      <c r="O11097"/>
      <c r="P11097"/>
      <c r="Q11097"/>
      <c r="R11097"/>
      <c r="S11097"/>
    </row>
    <row r="11098" spans="13:19" ht="13.95" customHeight="1">
      <c r="M11098"/>
      <c r="N11098"/>
      <c r="O11098"/>
      <c r="P11098"/>
      <c r="Q11098"/>
      <c r="R11098"/>
      <c r="S11098"/>
    </row>
    <row r="11099" spans="13:19" ht="13.95" customHeight="1">
      <c r="M11099"/>
      <c r="N11099"/>
      <c r="O11099"/>
      <c r="P11099"/>
      <c r="Q11099"/>
      <c r="R11099"/>
      <c r="S11099"/>
    </row>
    <row r="11100" spans="13:19" ht="13.95" customHeight="1">
      <c r="M11100"/>
      <c r="N11100"/>
      <c r="O11100"/>
      <c r="P11100"/>
      <c r="Q11100"/>
      <c r="R11100"/>
      <c r="S11100"/>
    </row>
    <row r="11101" spans="13:19" ht="13.95" customHeight="1">
      <c r="M11101"/>
      <c r="N11101"/>
      <c r="O11101"/>
      <c r="P11101"/>
      <c r="Q11101"/>
      <c r="R11101"/>
      <c r="S11101"/>
    </row>
    <row r="11102" spans="13:19" ht="13.95" customHeight="1">
      <c r="M11102"/>
      <c r="N11102"/>
      <c r="O11102"/>
      <c r="P11102"/>
      <c r="Q11102"/>
      <c r="R11102"/>
      <c r="S11102"/>
    </row>
    <row r="11103" spans="13:19" ht="13.95" customHeight="1">
      <c r="M11103"/>
      <c r="N11103"/>
      <c r="O11103"/>
      <c r="P11103"/>
      <c r="Q11103"/>
      <c r="R11103"/>
      <c r="S11103"/>
    </row>
    <row r="11104" spans="13:19" ht="13.95" customHeight="1">
      <c r="M11104"/>
      <c r="N11104"/>
      <c r="O11104"/>
      <c r="P11104"/>
      <c r="Q11104"/>
      <c r="R11104"/>
      <c r="S11104"/>
    </row>
    <row r="11105" spans="13:19" ht="13.95" customHeight="1">
      <c r="M11105"/>
      <c r="N11105"/>
      <c r="O11105"/>
      <c r="P11105"/>
      <c r="Q11105"/>
      <c r="R11105"/>
      <c r="S11105"/>
    </row>
    <row r="11106" spans="13:19" ht="13.95" customHeight="1">
      <c r="M11106"/>
      <c r="N11106"/>
      <c r="O11106"/>
      <c r="P11106"/>
      <c r="Q11106"/>
      <c r="R11106"/>
      <c r="S11106"/>
    </row>
    <row r="11107" spans="13:19" ht="13.95" customHeight="1">
      <c r="M11107"/>
      <c r="N11107"/>
      <c r="O11107"/>
      <c r="P11107"/>
      <c r="Q11107"/>
      <c r="R11107"/>
      <c r="S11107"/>
    </row>
    <row r="11108" spans="13:19" ht="13.95" customHeight="1">
      <c r="M11108"/>
      <c r="N11108"/>
      <c r="O11108"/>
      <c r="P11108"/>
      <c r="Q11108"/>
      <c r="R11108"/>
      <c r="S11108"/>
    </row>
    <row r="11109" spans="13:19" ht="13.95" customHeight="1">
      <c r="M11109"/>
      <c r="N11109"/>
      <c r="O11109"/>
      <c r="P11109"/>
      <c r="Q11109"/>
      <c r="R11109"/>
      <c r="S11109"/>
    </row>
    <row r="11110" spans="13:19" ht="13.95" customHeight="1">
      <c r="M11110"/>
      <c r="N11110"/>
      <c r="O11110"/>
      <c r="P11110"/>
      <c r="Q11110"/>
      <c r="R11110"/>
      <c r="S11110"/>
    </row>
    <row r="11111" spans="13:19" ht="13.95" customHeight="1">
      <c r="M11111"/>
      <c r="N11111"/>
      <c r="O11111"/>
      <c r="P11111"/>
      <c r="Q11111"/>
      <c r="R11111"/>
      <c r="S11111"/>
    </row>
    <row r="11112" spans="13:19" ht="13.95" customHeight="1">
      <c r="M11112"/>
      <c r="N11112"/>
      <c r="O11112"/>
      <c r="P11112"/>
      <c r="Q11112"/>
      <c r="R11112"/>
      <c r="S11112"/>
    </row>
    <row r="11113" spans="13:19" ht="13.95" customHeight="1">
      <c r="M11113"/>
      <c r="N11113"/>
      <c r="O11113"/>
      <c r="P11113"/>
      <c r="Q11113"/>
      <c r="R11113"/>
      <c r="S11113"/>
    </row>
    <row r="11114" spans="13:19" ht="13.95" customHeight="1">
      <c r="M11114"/>
      <c r="N11114"/>
      <c r="O11114"/>
      <c r="P11114"/>
      <c r="Q11114"/>
      <c r="R11114"/>
      <c r="S11114"/>
    </row>
    <row r="11115" spans="13:19" ht="13.95" customHeight="1">
      <c r="M11115"/>
      <c r="N11115"/>
      <c r="O11115"/>
      <c r="P11115"/>
      <c r="Q11115"/>
      <c r="R11115"/>
      <c r="S11115"/>
    </row>
    <row r="11116" spans="13:19" ht="13.95" customHeight="1">
      <c r="M11116"/>
      <c r="N11116"/>
      <c r="O11116"/>
      <c r="P11116"/>
      <c r="Q11116"/>
      <c r="R11116"/>
      <c r="S11116"/>
    </row>
    <row r="11117" spans="13:19" ht="13.95" customHeight="1">
      <c r="M11117"/>
      <c r="N11117"/>
      <c r="O11117"/>
      <c r="P11117"/>
      <c r="Q11117"/>
      <c r="R11117"/>
      <c r="S11117"/>
    </row>
    <row r="11118" spans="13:19" ht="13.95" customHeight="1">
      <c r="M11118"/>
      <c r="N11118"/>
      <c r="O11118"/>
      <c r="P11118"/>
      <c r="Q11118"/>
      <c r="R11118"/>
      <c r="S11118"/>
    </row>
    <row r="11119" spans="13:19" ht="13.95" customHeight="1">
      <c r="M11119"/>
      <c r="N11119"/>
      <c r="O11119"/>
      <c r="P11119"/>
      <c r="Q11119"/>
      <c r="R11119"/>
      <c r="S11119"/>
    </row>
    <row r="11120" spans="13:19" ht="13.95" customHeight="1">
      <c r="M11120"/>
      <c r="N11120"/>
      <c r="O11120"/>
      <c r="P11120"/>
      <c r="Q11120"/>
      <c r="R11120"/>
      <c r="S11120"/>
    </row>
    <row r="11121" spans="13:19" ht="13.95" customHeight="1">
      <c r="M11121"/>
      <c r="N11121"/>
      <c r="O11121"/>
      <c r="P11121"/>
      <c r="Q11121"/>
      <c r="R11121"/>
      <c r="S11121"/>
    </row>
    <row r="11122" spans="13:19" ht="13.95" customHeight="1">
      <c r="M11122"/>
      <c r="N11122"/>
      <c r="O11122"/>
      <c r="P11122"/>
      <c r="Q11122"/>
      <c r="R11122"/>
      <c r="S11122"/>
    </row>
    <row r="11123" spans="13:19" ht="13.95" customHeight="1">
      <c r="M11123"/>
      <c r="N11123"/>
      <c r="O11123"/>
      <c r="P11123"/>
      <c r="Q11123"/>
      <c r="R11123"/>
      <c r="S11123"/>
    </row>
    <row r="11124" spans="13:19" ht="13.95" customHeight="1">
      <c r="M11124"/>
      <c r="N11124"/>
      <c r="O11124"/>
      <c r="P11124"/>
      <c r="Q11124"/>
      <c r="R11124"/>
      <c r="S11124"/>
    </row>
    <row r="11125" spans="13:19" ht="13.95" customHeight="1">
      <c r="M11125"/>
      <c r="N11125"/>
      <c r="O11125"/>
      <c r="P11125"/>
      <c r="Q11125"/>
      <c r="R11125"/>
      <c r="S11125"/>
    </row>
    <row r="11126" spans="13:19" ht="13.95" customHeight="1">
      <c r="M11126"/>
      <c r="N11126"/>
      <c r="O11126"/>
      <c r="P11126"/>
      <c r="Q11126"/>
      <c r="R11126"/>
      <c r="S11126"/>
    </row>
    <row r="11127" spans="13:19" ht="13.95" customHeight="1">
      <c r="M11127"/>
      <c r="N11127"/>
      <c r="O11127"/>
      <c r="P11127"/>
      <c r="Q11127"/>
      <c r="R11127"/>
      <c r="S11127"/>
    </row>
    <row r="11128" spans="13:19" ht="13.95" customHeight="1">
      <c r="M11128"/>
      <c r="N11128"/>
      <c r="O11128"/>
      <c r="P11128"/>
      <c r="Q11128"/>
      <c r="R11128"/>
      <c r="S11128"/>
    </row>
    <row r="11129" spans="13:19" ht="13.95" customHeight="1">
      <c r="M11129"/>
      <c r="N11129"/>
      <c r="O11129"/>
      <c r="P11129"/>
      <c r="Q11129"/>
      <c r="R11129"/>
      <c r="S11129"/>
    </row>
    <row r="11130" spans="13:19" ht="13.95" customHeight="1">
      <c r="M11130"/>
      <c r="N11130"/>
      <c r="O11130"/>
      <c r="P11130"/>
      <c r="Q11130"/>
      <c r="R11130"/>
      <c r="S11130"/>
    </row>
    <row r="11131" spans="13:19" ht="13.95" customHeight="1">
      <c r="M11131"/>
      <c r="N11131"/>
      <c r="O11131"/>
      <c r="P11131"/>
      <c r="Q11131"/>
      <c r="R11131"/>
      <c r="S11131"/>
    </row>
    <row r="11132" spans="13:19" ht="13.95" customHeight="1">
      <c r="M11132"/>
      <c r="N11132"/>
      <c r="O11132"/>
      <c r="P11132"/>
      <c r="Q11132"/>
      <c r="R11132"/>
      <c r="S11132"/>
    </row>
    <row r="11133" spans="13:19" ht="13.95" customHeight="1">
      <c r="M11133"/>
      <c r="N11133"/>
      <c r="O11133"/>
      <c r="P11133"/>
      <c r="Q11133"/>
      <c r="R11133"/>
      <c r="S11133"/>
    </row>
    <row r="11134" spans="13:19" ht="13.95" customHeight="1">
      <c r="M11134"/>
      <c r="N11134"/>
      <c r="O11134"/>
      <c r="P11134"/>
      <c r="Q11134"/>
      <c r="R11134"/>
      <c r="S11134"/>
    </row>
    <row r="11135" spans="13:19" ht="13.95" customHeight="1">
      <c r="M11135"/>
      <c r="N11135"/>
      <c r="O11135"/>
      <c r="P11135"/>
      <c r="Q11135"/>
      <c r="R11135"/>
      <c r="S11135"/>
    </row>
    <row r="11136" spans="13:19" ht="13.95" customHeight="1">
      <c r="M11136"/>
      <c r="N11136"/>
      <c r="O11136"/>
      <c r="P11136"/>
      <c r="Q11136"/>
      <c r="R11136"/>
      <c r="S11136"/>
    </row>
    <row r="11137" spans="13:19" ht="13.95" customHeight="1">
      <c r="M11137"/>
      <c r="N11137"/>
      <c r="O11137"/>
      <c r="P11137"/>
      <c r="Q11137"/>
      <c r="R11137"/>
      <c r="S11137"/>
    </row>
    <row r="11138" spans="13:19" ht="13.95" customHeight="1">
      <c r="M11138"/>
      <c r="N11138"/>
      <c r="O11138"/>
      <c r="P11138"/>
      <c r="Q11138"/>
      <c r="R11138"/>
      <c r="S11138"/>
    </row>
    <row r="11139" spans="13:19" ht="13.95" customHeight="1">
      <c r="M11139"/>
      <c r="N11139"/>
      <c r="O11139"/>
      <c r="P11139"/>
      <c r="Q11139"/>
      <c r="R11139"/>
      <c r="S11139"/>
    </row>
    <row r="11140" spans="13:19" ht="13.95" customHeight="1">
      <c r="M11140"/>
      <c r="N11140"/>
      <c r="O11140"/>
      <c r="P11140"/>
      <c r="Q11140"/>
      <c r="R11140"/>
      <c r="S11140"/>
    </row>
    <row r="11141" spans="13:19" ht="13.95" customHeight="1">
      <c r="M11141"/>
      <c r="N11141"/>
      <c r="O11141"/>
      <c r="P11141"/>
      <c r="Q11141"/>
      <c r="R11141"/>
      <c r="S11141"/>
    </row>
    <row r="11142" spans="13:19" ht="13.95" customHeight="1">
      <c r="M11142"/>
      <c r="N11142"/>
      <c r="O11142"/>
      <c r="P11142"/>
      <c r="Q11142"/>
      <c r="R11142"/>
      <c r="S11142"/>
    </row>
    <row r="11143" spans="13:19" ht="13.95" customHeight="1">
      <c r="M11143"/>
      <c r="N11143"/>
      <c r="O11143"/>
      <c r="P11143"/>
      <c r="Q11143"/>
      <c r="R11143"/>
      <c r="S11143"/>
    </row>
    <row r="11144" spans="13:19" ht="13.95" customHeight="1">
      <c r="M11144"/>
      <c r="N11144"/>
      <c r="O11144"/>
      <c r="P11144"/>
      <c r="Q11144"/>
      <c r="R11144"/>
      <c r="S11144"/>
    </row>
    <row r="11145" spans="13:19" ht="13.95" customHeight="1">
      <c r="M11145"/>
      <c r="N11145"/>
      <c r="O11145"/>
      <c r="P11145"/>
      <c r="Q11145"/>
      <c r="R11145"/>
      <c r="S11145"/>
    </row>
    <row r="11146" spans="13:19" ht="13.95" customHeight="1">
      <c r="M11146"/>
      <c r="N11146"/>
      <c r="O11146"/>
      <c r="P11146"/>
      <c r="Q11146"/>
      <c r="R11146"/>
      <c r="S11146"/>
    </row>
    <row r="11147" spans="13:19" ht="13.95" customHeight="1">
      <c r="M11147"/>
      <c r="N11147"/>
      <c r="O11147"/>
      <c r="P11147"/>
      <c r="Q11147"/>
      <c r="R11147"/>
      <c r="S11147"/>
    </row>
    <row r="11148" spans="13:19" ht="13.95" customHeight="1">
      <c r="M11148"/>
      <c r="N11148"/>
      <c r="O11148"/>
      <c r="P11148"/>
      <c r="Q11148"/>
      <c r="R11148"/>
      <c r="S11148"/>
    </row>
    <row r="11149" spans="13:19" ht="13.95" customHeight="1">
      <c r="M11149"/>
      <c r="N11149"/>
      <c r="O11149"/>
      <c r="P11149"/>
      <c r="Q11149"/>
      <c r="R11149"/>
      <c r="S11149"/>
    </row>
    <row r="11150" spans="13:19" ht="13.95" customHeight="1">
      <c r="M11150"/>
      <c r="N11150"/>
      <c r="O11150"/>
      <c r="P11150"/>
      <c r="Q11150"/>
      <c r="R11150"/>
      <c r="S11150"/>
    </row>
    <row r="11151" spans="13:19" ht="13.95" customHeight="1">
      <c r="M11151"/>
      <c r="N11151"/>
      <c r="O11151"/>
      <c r="P11151"/>
      <c r="Q11151"/>
      <c r="R11151"/>
      <c r="S11151"/>
    </row>
    <row r="11152" spans="13:19" ht="13.95" customHeight="1">
      <c r="M11152"/>
      <c r="N11152"/>
      <c r="O11152"/>
      <c r="P11152"/>
      <c r="Q11152"/>
      <c r="R11152"/>
      <c r="S11152"/>
    </row>
    <row r="11153" spans="13:19" ht="13.95" customHeight="1">
      <c r="M11153"/>
      <c r="N11153"/>
      <c r="O11153"/>
      <c r="P11153"/>
      <c r="Q11153"/>
      <c r="R11153"/>
      <c r="S11153"/>
    </row>
    <row r="11154" spans="13:19" ht="13.95" customHeight="1">
      <c r="M11154"/>
      <c r="N11154"/>
      <c r="O11154"/>
      <c r="P11154"/>
      <c r="Q11154"/>
      <c r="R11154"/>
      <c r="S11154"/>
    </row>
    <row r="11155" spans="13:19" ht="13.95" customHeight="1">
      <c r="M11155"/>
      <c r="N11155"/>
      <c r="O11155"/>
      <c r="P11155"/>
      <c r="Q11155"/>
      <c r="R11155"/>
      <c r="S11155"/>
    </row>
    <row r="11156" spans="13:19" ht="13.95" customHeight="1">
      <c r="M11156"/>
      <c r="N11156"/>
      <c r="O11156"/>
      <c r="P11156"/>
      <c r="Q11156"/>
      <c r="R11156"/>
      <c r="S11156"/>
    </row>
    <row r="11157" spans="13:19" ht="13.95" customHeight="1">
      <c r="M11157"/>
      <c r="N11157"/>
      <c r="O11157"/>
      <c r="P11157"/>
      <c r="Q11157"/>
      <c r="R11157"/>
      <c r="S11157"/>
    </row>
    <row r="11158" spans="13:19" ht="13.95" customHeight="1">
      <c r="M11158"/>
      <c r="N11158"/>
      <c r="O11158"/>
      <c r="P11158"/>
      <c r="Q11158"/>
      <c r="R11158"/>
      <c r="S11158"/>
    </row>
    <row r="11159" spans="13:19" ht="13.95" customHeight="1">
      <c r="M11159"/>
      <c r="N11159"/>
      <c r="O11159"/>
      <c r="P11159"/>
      <c r="Q11159"/>
      <c r="R11159"/>
      <c r="S11159"/>
    </row>
    <row r="11160" spans="13:19" ht="13.95" customHeight="1">
      <c r="M11160"/>
      <c r="N11160"/>
      <c r="O11160"/>
      <c r="P11160"/>
      <c r="Q11160"/>
      <c r="R11160"/>
      <c r="S11160"/>
    </row>
    <row r="11161" spans="13:19" ht="13.95" customHeight="1">
      <c r="M11161"/>
      <c r="N11161"/>
      <c r="O11161"/>
      <c r="P11161"/>
      <c r="Q11161"/>
      <c r="R11161"/>
      <c r="S11161"/>
    </row>
    <row r="11162" spans="13:19" ht="13.95" customHeight="1">
      <c r="M11162"/>
      <c r="N11162"/>
      <c r="O11162"/>
      <c r="P11162"/>
      <c r="Q11162"/>
      <c r="R11162"/>
      <c r="S11162"/>
    </row>
    <row r="11163" spans="13:19" ht="13.95" customHeight="1">
      <c r="M11163"/>
      <c r="N11163"/>
      <c r="O11163"/>
      <c r="P11163"/>
      <c r="Q11163"/>
      <c r="R11163"/>
      <c r="S11163"/>
    </row>
    <row r="11164" spans="13:19" ht="13.95" customHeight="1">
      <c r="M11164"/>
      <c r="N11164"/>
      <c r="O11164"/>
      <c r="P11164"/>
      <c r="Q11164"/>
      <c r="R11164"/>
      <c r="S11164"/>
    </row>
    <row r="11165" spans="13:19" ht="13.95" customHeight="1">
      <c r="M11165"/>
      <c r="N11165"/>
      <c r="O11165"/>
      <c r="P11165"/>
      <c r="Q11165"/>
      <c r="R11165"/>
      <c r="S11165"/>
    </row>
    <row r="11166" spans="13:19" ht="13.95" customHeight="1">
      <c r="M11166"/>
      <c r="N11166"/>
      <c r="O11166"/>
      <c r="P11166"/>
      <c r="Q11166"/>
      <c r="R11166"/>
      <c r="S11166"/>
    </row>
    <row r="11167" spans="13:19" ht="13.95" customHeight="1">
      <c r="M11167"/>
      <c r="N11167"/>
      <c r="O11167"/>
      <c r="P11167"/>
      <c r="Q11167"/>
      <c r="R11167"/>
      <c r="S11167"/>
    </row>
    <row r="11168" spans="13:19" ht="13.95" customHeight="1">
      <c r="M11168"/>
      <c r="N11168"/>
      <c r="O11168"/>
      <c r="P11168"/>
      <c r="Q11168"/>
      <c r="R11168"/>
      <c r="S11168"/>
    </row>
    <row r="11169" spans="13:19" ht="13.95" customHeight="1">
      <c r="M11169"/>
      <c r="N11169"/>
      <c r="O11169"/>
      <c r="P11169"/>
      <c r="Q11169"/>
      <c r="R11169"/>
      <c r="S11169"/>
    </row>
    <row r="11170" spans="13:19" ht="13.95" customHeight="1">
      <c r="M11170"/>
      <c r="N11170"/>
      <c r="O11170"/>
      <c r="P11170"/>
      <c r="Q11170"/>
      <c r="R11170"/>
      <c r="S11170"/>
    </row>
    <row r="11171" spans="13:19" ht="13.95" customHeight="1">
      <c r="M11171"/>
      <c r="N11171"/>
      <c r="O11171"/>
      <c r="P11171"/>
      <c r="Q11171"/>
      <c r="R11171"/>
      <c r="S11171"/>
    </row>
    <row r="11172" spans="13:19" ht="13.95" customHeight="1">
      <c r="M11172"/>
      <c r="N11172"/>
      <c r="O11172"/>
      <c r="P11172"/>
      <c r="Q11172"/>
      <c r="R11172"/>
      <c r="S11172"/>
    </row>
    <row r="11173" spans="13:19" ht="13.95" customHeight="1">
      <c r="M11173"/>
      <c r="N11173"/>
      <c r="O11173"/>
      <c r="P11173"/>
      <c r="Q11173"/>
      <c r="R11173"/>
      <c r="S11173"/>
    </row>
    <row r="11174" spans="13:19" ht="13.95" customHeight="1">
      <c r="M11174"/>
      <c r="N11174"/>
      <c r="O11174"/>
      <c r="P11174"/>
      <c r="Q11174"/>
      <c r="R11174"/>
      <c r="S11174"/>
    </row>
    <row r="11175" spans="13:19" ht="13.95" customHeight="1">
      <c r="M11175"/>
      <c r="N11175"/>
      <c r="O11175"/>
      <c r="P11175"/>
      <c r="Q11175"/>
      <c r="R11175"/>
      <c r="S11175"/>
    </row>
    <row r="11176" spans="13:19" ht="13.95" customHeight="1">
      <c r="M11176"/>
      <c r="N11176"/>
      <c r="O11176"/>
      <c r="P11176"/>
      <c r="Q11176"/>
      <c r="R11176"/>
      <c r="S11176"/>
    </row>
    <row r="11177" spans="13:19" ht="13.95" customHeight="1">
      <c r="M11177"/>
      <c r="N11177"/>
      <c r="O11177"/>
      <c r="P11177"/>
      <c r="Q11177"/>
      <c r="R11177"/>
      <c r="S11177"/>
    </row>
    <row r="11178" spans="13:19" ht="13.95" customHeight="1">
      <c r="M11178"/>
      <c r="N11178"/>
      <c r="O11178"/>
      <c r="P11178"/>
      <c r="Q11178"/>
      <c r="R11178"/>
      <c r="S11178"/>
    </row>
    <row r="11179" spans="13:19" ht="13.95" customHeight="1">
      <c r="M11179"/>
      <c r="N11179"/>
      <c r="O11179"/>
      <c r="P11179"/>
      <c r="Q11179"/>
      <c r="R11179"/>
      <c r="S11179"/>
    </row>
    <row r="11180" spans="13:19" ht="13.95" customHeight="1">
      <c r="M11180"/>
      <c r="N11180"/>
      <c r="O11180"/>
      <c r="P11180"/>
      <c r="Q11180"/>
      <c r="R11180"/>
      <c r="S11180"/>
    </row>
    <row r="11181" spans="13:19" ht="13.95" customHeight="1">
      <c r="M11181"/>
      <c r="N11181"/>
      <c r="O11181"/>
      <c r="P11181"/>
      <c r="Q11181"/>
      <c r="R11181"/>
      <c r="S11181"/>
    </row>
    <row r="11182" spans="13:19" ht="13.95" customHeight="1">
      <c r="M11182"/>
      <c r="N11182"/>
      <c r="O11182"/>
      <c r="P11182"/>
      <c r="Q11182"/>
      <c r="R11182"/>
      <c r="S11182"/>
    </row>
    <row r="11183" spans="13:19" ht="13.95" customHeight="1">
      <c r="M11183"/>
      <c r="N11183"/>
      <c r="O11183"/>
      <c r="P11183"/>
      <c r="Q11183"/>
      <c r="R11183"/>
      <c r="S11183"/>
    </row>
    <row r="11184" spans="13:19" ht="13.95" customHeight="1">
      <c r="M11184"/>
      <c r="N11184"/>
      <c r="O11184"/>
      <c r="P11184"/>
      <c r="Q11184"/>
      <c r="R11184"/>
      <c r="S11184"/>
    </row>
    <row r="11185" spans="13:19" ht="13.95" customHeight="1">
      <c r="M11185"/>
      <c r="N11185"/>
      <c r="O11185"/>
      <c r="P11185"/>
      <c r="Q11185"/>
      <c r="R11185"/>
      <c r="S11185"/>
    </row>
    <row r="11186" spans="13:19" ht="13.95" customHeight="1">
      <c r="M11186"/>
      <c r="N11186"/>
      <c r="O11186"/>
      <c r="P11186"/>
      <c r="Q11186"/>
      <c r="R11186"/>
      <c r="S11186"/>
    </row>
    <row r="11187" spans="13:19" ht="13.95" customHeight="1">
      <c r="M11187"/>
      <c r="N11187"/>
      <c r="O11187"/>
      <c r="P11187"/>
      <c r="Q11187"/>
      <c r="R11187"/>
      <c r="S11187"/>
    </row>
    <row r="11188" spans="13:19" ht="13.95" customHeight="1">
      <c r="M11188"/>
      <c r="N11188"/>
      <c r="O11188"/>
      <c r="P11188"/>
      <c r="Q11188"/>
      <c r="R11188"/>
      <c r="S11188"/>
    </row>
    <row r="11189" spans="13:19" ht="13.95" customHeight="1">
      <c r="M11189"/>
      <c r="N11189"/>
      <c r="O11189"/>
      <c r="P11189"/>
      <c r="Q11189"/>
      <c r="R11189"/>
      <c r="S11189"/>
    </row>
    <row r="11190" spans="13:19" ht="13.95" customHeight="1">
      <c r="M11190"/>
      <c r="N11190"/>
      <c r="O11190"/>
      <c r="P11190"/>
      <c r="Q11190"/>
      <c r="R11190"/>
      <c r="S11190"/>
    </row>
    <row r="11191" spans="13:19" ht="13.95" customHeight="1">
      <c r="M11191"/>
      <c r="N11191"/>
      <c r="O11191"/>
      <c r="P11191"/>
      <c r="Q11191"/>
      <c r="R11191"/>
      <c r="S11191"/>
    </row>
    <row r="11192" spans="13:19" ht="13.95" customHeight="1">
      <c r="M11192"/>
      <c r="N11192"/>
      <c r="O11192"/>
      <c r="P11192"/>
      <c r="Q11192"/>
      <c r="R11192"/>
      <c r="S11192"/>
    </row>
    <row r="11193" spans="13:19" ht="13.95" customHeight="1">
      <c r="M11193"/>
      <c r="N11193"/>
      <c r="O11193"/>
      <c r="P11193"/>
      <c r="Q11193"/>
      <c r="R11193"/>
      <c r="S11193"/>
    </row>
    <row r="11194" spans="13:19" ht="13.95" customHeight="1">
      <c r="M11194"/>
      <c r="N11194"/>
      <c r="O11194"/>
      <c r="P11194"/>
      <c r="Q11194"/>
      <c r="R11194"/>
      <c r="S11194"/>
    </row>
    <row r="11195" spans="13:19" ht="13.95" customHeight="1">
      <c r="M11195"/>
      <c r="N11195"/>
      <c r="O11195"/>
      <c r="P11195"/>
      <c r="Q11195"/>
      <c r="R11195"/>
      <c r="S11195"/>
    </row>
    <row r="11196" spans="13:19" ht="13.95" customHeight="1">
      <c r="M11196"/>
      <c r="N11196"/>
      <c r="O11196"/>
      <c r="P11196"/>
      <c r="Q11196"/>
      <c r="R11196"/>
      <c r="S11196"/>
    </row>
    <row r="11197" spans="13:19" ht="13.95" customHeight="1">
      <c r="M11197"/>
      <c r="N11197"/>
      <c r="O11197"/>
      <c r="P11197"/>
      <c r="Q11197"/>
      <c r="R11197"/>
      <c r="S11197"/>
    </row>
    <row r="11198" spans="13:19" ht="13.95" customHeight="1">
      <c r="M11198"/>
      <c r="N11198"/>
      <c r="O11198"/>
      <c r="P11198"/>
      <c r="Q11198"/>
      <c r="R11198"/>
      <c r="S11198"/>
    </row>
    <row r="11199" spans="13:19" ht="13.95" customHeight="1">
      <c r="M11199"/>
      <c r="N11199"/>
      <c r="O11199"/>
      <c r="P11199"/>
      <c r="Q11199"/>
      <c r="R11199"/>
      <c r="S11199"/>
    </row>
    <row r="11200" spans="13:19" ht="13.95" customHeight="1">
      <c r="M11200"/>
      <c r="N11200"/>
      <c r="O11200"/>
      <c r="P11200"/>
      <c r="Q11200"/>
      <c r="R11200"/>
      <c r="S11200"/>
    </row>
    <row r="11201" spans="13:19" ht="13.95" customHeight="1">
      <c r="M11201"/>
      <c r="N11201"/>
      <c r="O11201"/>
      <c r="P11201"/>
      <c r="Q11201"/>
      <c r="R11201"/>
      <c r="S11201"/>
    </row>
    <row r="11202" spans="13:19" ht="13.95" customHeight="1">
      <c r="M11202"/>
      <c r="N11202"/>
      <c r="O11202"/>
      <c r="P11202"/>
      <c r="Q11202"/>
      <c r="R11202"/>
      <c r="S11202"/>
    </row>
    <row r="11203" spans="13:19" ht="13.95" customHeight="1">
      <c r="M11203"/>
      <c r="N11203"/>
      <c r="O11203"/>
      <c r="P11203"/>
      <c r="Q11203"/>
      <c r="R11203"/>
      <c r="S11203"/>
    </row>
    <row r="11204" spans="13:19" ht="13.95" customHeight="1">
      <c r="M11204"/>
      <c r="N11204"/>
      <c r="O11204"/>
      <c r="P11204"/>
      <c r="Q11204"/>
      <c r="R11204"/>
      <c r="S11204"/>
    </row>
    <row r="11205" spans="13:19" ht="13.95" customHeight="1">
      <c r="M11205"/>
      <c r="N11205"/>
      <c r="O11205"/>
      <c r="P11205"/>
      <c r="Q11205"/>
      <c r="R11205"/>
      <c r="S11205"/>
    </row>
    <row r="11206" spans="13:19" ht="13.95" customHeight="1">
      <c r="M11206"/>
      <c r="N11206"/>
      <c r="O11206"/>
      <c r="P11206"/>
      <c r="Q11206"/>
      <c r="R11206"/>
      <c r="S11206"/>
    </row>
    <row r="11207" spans="13:19" ht="13.95" customHeight="1">
      <c r="M11207"/>
      <c r="N11207"/>
      <c r="O11207"/>
      <c r="P11207"/>
      <c r="Q11207"/>
      <c r="R11207"/>
      <c r="S11207"/>
    </row>
    <row r="11208" spans="13:19" ht="13.95" customHeight="1">
      <c r="M11208"/>
      <c r="N11208"/>
      <c r="O11208"/>
      <c r="P11208"/>
      <c r="Q11208"/>
      <c r="R11208"/>
      <c r="S11208"/>
    </row>
    <row r="11209" spans="13:19" ht="13.95" customHeight="1">
      <c r="M11209"/>
      <c r="N11209"/>
      <c r="O11209"/>
      <c r="P11209"/>
      <c r="Q11209"/>
      <c r="R11209"/>
      <c r="S11209"/>
    </row>
    <row r="11210" spans="13:19" ht="13.95" customHeight="1">
      <c r="M11210"/>
      <c r="N11210"/>
      <c r="O11210"/>
      <c r="P11210"/>
      <c r="Q11210"/>
      <c r="R11210"/>
      <c r="S11210"/>
    </row>
    <row r="11211" spans="13:19" ht="13.95" customHeight="1">
      <c r="M11211"/>
      <c r="N11211"/>
      <c r="O11211"/>
      <c r="P11211"/>
      <c r="Q11211"/>
      <c r="R11211"/>
      <c r="S11211"/>
    </row>
    <row r="11212" spans="13:19" ht="13.95" customHeight="1">
      <c r="M11212"/>
      <c r="N11212"/>
      <c r="O11212"/>
      <c r="P11212"/>
      <c r="Q11212"/>
      <c r="R11212"/>
      <c r="S11212"/>
    </row>
    <row r="11213" spans="13:19" ht="13.95" customHeight="1">
      <c r="M11213"/>
      <c r="N11213"/>
      <c r="O11213"/>
      <c r="P11213"/>
      <c r="Q11213"/>
      <c r="R11213"/>
      <c r="S11213"/>
    </row>
    <row r="11214" spans="13:19" ht="13.95" customHeight="1">
      <c r="M11214"/>
      <c r="N11214"/>
      <c r="O11214"/>
      <c r="P11214"/>
      <c r="Q11214"/>
      <c r="R11214"/>
      <c r="S11214"/>
    </row>
    <row r="11215" spans="13:19" ht="13.95" customHeight="1">
      <c r="M11215"/>
      <c r="N11215"/>
      <c r="O11215"/>
      <c r="P11215"/>
      <c r="Q11215"/>
      <c r="R11215"/>
      <c r="S11215"/>
    </row>
    <row r="11216" spans="13:19" ht="13.95" customHeight="1">
      <c r="M11216"/>
      <c r="N11216"/>
      <c r="O11216"/>
      <c r="P11216"/>
      <c r="Q11216"/>
      <c r="R11216"/>
      <c r="S11216"/>
    </row>
    <row r="11217" spans="13:19" ht="13.95" customHeight="1">
      <c r="M11217"/>
      <c r="N11217"/>
      <c r="O11217"/>
      <c r="P11217"/>
      <c r="Q11217"/>
      <c r="R11217"/>
      <c r="S11217"/>
    </row>
    <row r="11218" spans="13:19" ht="13.95" customHeight="1">
      <c r="M11218"/>
      <c r="N11218"/>
      <c r="O11218"/>
      <c r="P11218"/>
      <c r="Q11218"/>
      <c r="R11218"/>
      <c r="S11218"/>
    </row>
    <row r="11219" spans="13:19" ht="13.95" customHeight="1">
      <c r="M11219"/>
      <c r="N11219"/>
      <c r="O11219"/>
      <c r="P11219"/>
      <c r="Q11219"/>
      <c r="R11219"/>
      <c r="S11219"/>
    </row>
    <row r="11220" spans="13:19" ht="13.95" customHeight="1">
      <c r="M11220"/>
      <c r="N11220"/>
      <c r="O11220"/>
      <c r="P11220"/>
      <c r="Q11220"/>
      <c r="R11220"/>
      <c r="S11220"/>
    </row>
    <row r="11221" spans="13:19" ht="13.95" customHeight="1">
      <c r="M11221"/>
      <c r="N11221"/>
      <c r="O11221"/>
      <c r="P11221"/>
      <c r="Q11221"/>
      <c r="R11221"/>
      <c r="S11221"/>
    </row>
    <row r="11222" spans="13:19" ht="13.95" customHeight="1">
      <c r="M11222"/>
      <c r="N11222"/>
      <c r="O11222"/>
      <c r="P11222"/>
      <c r="Q11222"/>
      <c r="R11222"/>
      <c r="S11222"/>
    </row>
    <row r="11223" spans="13:19" ht="13.95" customHeight="1">
      <c r="M11223"/>
      <c r="N11223"/>
      <c r="O11223"/>
      <c r="P11223"/>
      <c r="Q11223"/>
      <c r="R11223"/>
      <c r="S11223"/>
    </row>
    <row r="11224" spans="13:19" ht="13.95" customHeight="1">
      <c r="M11224"/>
      <c r="N11224"/>
      <c r="O11224"/>
      <c r="P11224"/>
      <c r="Q11224"/>
      <c r="R11224"/>
      <c r="S11224"/>
    </row>
    <row r="11225" spans="13:19" ht="13.95" customHeight="1">
      <c r="M11225"/>
      <c r="N11225"/>
      <c r="O11225"/>
      <c r="P11225"/>
      <c r="Q11225"/>
      <c r="R11225"/>
      <c r="S11225"/>
    </row>
    <row r="11226" spans="13:19" ht="13.95" customHeight="1">
      <c r="M11226"/>
      <c r="N11226"/>
      <c r="O11226"/>
      <c r="P11226"/>
      <c r="Q11226"/>
      <c r="R11226"/>
      <c r="S11226"/>
    </row>
    <row r="11227" spans="13:19" ht="13.95" customHeight="1">
      <c r="M11227"/>
      <c r="N11227"/>
      <c r="O11227"/>
      <c r="P11227"/>
      <c r="Q11227"/>
      <c r="R11227"/>
      <c r="S11227"/>
    </row>
    <row r="11228" spans="13:19" ht="13.95" customHeight="1">
      <c r="M11228"/>
      <c r="N11228"/>
      <c r="O11228"/>
      <c r="P11228"/>
      <c r="Q11228"/>
      <c r="R11228"/>
      <c r="S11228"/>
    </row>
    <row r="11229" spans="13:19" ht="13.95" customHeight="1">
      <c r="M11229"/>
      <c r="N11229"/>
      <c r="O11229"/>
      <c r="P11229"/>
      <c r="Q11229"/>
      <c r="R11229"/>
      <c r="S11229"/>
    </row>
    <row r="11230" spans="13:19" ht="13.95" customHeight="1">
      <c r="M11230"/>
      <c r="N11230"/>
      <c r="O11230"/>
      <c r="P11230"/>
      <c r="Q11230"/>
      <c r="R11230"/>
      <c r="S11230"/>
    </row>
    <row r="11231" spans="13:19" ht="13.95" customHeight="1">
      <c r="M11231"/>
      <c r="N11231"/>
      <c r="O11231"/>
      <c r="P11231"/>
      <c r="Q11231"/>
      <c r="R11231"/>
      <c r="S11231"/>
    </row>
    <row r="11232" spans="13:19" ht="13.95" customHeight="1">
      <c r="M11232"/>
      <c r="N11232"/>
      <c r="O11232"/>
      <c r="P11232"/>
      <c r="Q11232"/>
      <c r="R11232"/>
      <c r="S11232"/>
    </row>
    <row r="11233" spans="13:19" ht="13.95" customHeight="1">
      <c r="M11233"/>
      <c r="N11233"/>
      <c r="O11233"/>
      <c r="P11233"/>
      <c r="Q11233"/>
      <c r="R11233"/>
      <c r="S11233"/>
    </row>
    <row r="11234" spans="13:19" ht="13.95" customHeight="1">
      <c r="M11234"/>
      <c r="N11234"/>
      <c r="O11234"/>
      <c r="P11234"/>
      <c r="Q11234"/>
      <c r="R11234"/>
      <c r="S11234"/>
    </row>
    <row r="11235" spans="13:19" ht="13.95" customHeight="1">
      <c r="M11235"/>
      <c r="N11235"/>
      <c r="O11235"/>
      <c r="P11235"/>
      <c r="Q11235"/>
      <c r="R11235"/>
      <c r="S11235"/>
    </row>
    <row r="11236" spans="13:19" ht="13.95" customHeight="1">
      <c r="M11236"/>
      <c r="N11236"/>
      <c r="O11236"/>
      <c r="P11236"/>
      <c r="Q11236"/>
      <c r="R11236"/>
      <c r="S11236"/>
    </row>
    <row r="11237" spans="13:19" ht="13.95" customHeight="1">
      <c r="M11237"/>
      <c r="N11237"/>
      <c r="O11237"/>
      <c r="P11237"/>
      <c r="Q11237"/>
      <c r="R11237"/>
      <c r="S11237"/>
    </row>
    <row r="11238" spans="13:19" ht="13.95" customHeight="1">
      <c r="M11238"/>
      <c r="N11238"/>
      <c r="O11238"/>
      <c r="P11238"/>
      <c r="Q11238"/>
      <c r="R11238"/>
      <c r="S11238"/>
    </row>
    <row r="11239" spans="13:19" ht="13.95" customHeight="1">
      <c r="M11239"/>
      <c r="N11239"/>
      <c r="O11239"/>
      <c r="P11239"/>
      <c r="Q11239"/>
      <c r="R11239"/>
      <c r="S11239"/>
    </row>
    <row r="11240" spans="13:19" ht="13.95" customHeight="1">
      <c r="M11240"/>
      <c r="N11240"/>
      <c r="O11240"/>
      <c r="P11240"/>
      <c r="Q11240"/>
      <c r="R11240"/>
      <c r="S11240"/>
    </row>
    <row r="11241" spans="13:19" ht="13.95" customHeight="1">
      <c r="M11241"/>
      <c r="N11241"/>
      <c r="O11241"/>
      <c r="P11241"/>
      <c r="Q11241"/>
      <c r="R11241"/>
      <c r="S11241"/>
    </row>
    <row r="11242" spans="13:19" ht="13.95" customHeight="1">
      <c r="M11242"/>
      <c r="N11242"/>
      <c r="O11242"/>
      <c r="P11242"/>
      <c r="Q11242"/>
      <c r="R11242"/>
      <c r="S11242"/>
    </row>
    <row r="11243" spans="13:19" ht="13.95" customHeight="1">
      <c r="M11243"/>
      <c r="N11243"/>
      <c r="O11243"/>
      <c r="P11243"/>
      <c r="Q11243"/>
      <c r="R11243"/>
      <c r="S11243"/>
    </row>
    <row r="11244" spans="13:19" ht="13.95" customHeight="1">
      <c r="M11244"/>
      <c r="N11244"/>
      <c r="O11244"/>
      <c r="P11244"/>
      <c r="Q11244"/>
      <c r="R11244"/>
      <c r="S11244"/>
    </row>
    <row r="11245" spans="13:19" ht="13.95" customHeight="1">
      <c r="M11245"/>
      <c r="N11245"/>
      <c r="O11245"/>
      <c r="P11245"/>
      <c r="Q11245"/>
      <c r="R11245"/>
      <c r="S11245"/>
    </row>
    <row r="11246" spans="13:19" ht="13.95" customHeight="1">
      <c r="M11246"/>
      <c r="N11246"/>
      <c r="O11246"/>
      <c r="P11246"/>
      <c r="Q11246"/>
      <c r="R11246"/>
      <c r="S11246"/>
    </row>
    <row r="11247" spans="13:19" ht="13.95" customHeight="1">
      <c r="M11247"/>
      <c r="N11247"/>
      <c r="O11247"/>
      <c r="P11247"/>
      <c r="Q11247"/>
      <c r="R11247"/>
      <c r="S11247"/>
    </row>
    <row r="11248" spans="13:19" ht="13.95" customHeight="1">
      <c r="M11248"/>
      <c r="N11248"/>
      <c r="O11248"/>
      <c r="P11248"/>
      <c r="Q11248"/>
      <c r="R11248"/>
      <c r="S11248"/>
    </row>
    <row r="11249" spans="13:19" ht="13.95" customHeight="1">
      <c r="M11249"/>
      <c r="N11249"/>
      <c r="O11249"/>
      <c r="P11249"/>
      <c r="Q11249"/>
      <c r="R11249"/>
      <c r="S11249"/>
    </row>
    <row r="11250" spans="13:19" ht="13.95" customHeight="1">
      <c r="M11250"/>
      <c r="N11250"/>
      <c r="O11250"/>
      <c r="P11250"/>
      <c r="Q11250"/>
      <c r="R11250"/>
      <c r="S11250"/>
    </row>
    <row r="11251" spans="13:19" ht="13.95" customHeight="1">
      <c r="M11251"/>
      <c r="N11251"/>
      <c r="O11251"/>
      <c r="P11251"/>
      <c r="Q11251"/>
      <c r="R11251"/>
      <c r="S11251"/>
    </row>
    <row r="11252" spans="13:19" ht="13.95" customHeight="1">
      <c r="M11252"/>
      <c r="N11252"/>
      <c r="O11252"/>
      <c r="P11252"/>
      <c r="Q11252"/>
      <c r="R11252"/>
      <c r="S11252"/>
    </row>
    <row r="11253" spans="13:19" ht="13.95" customHeight="1">
      <c r="M11253"/>
      <c r="N11253"/>
      <c r="O11253"/>
      <c r="P11253"/>
      <c r="Q11253"/>
      <c r="R11253"/>
      <c r="S11253"/>
    </row>
    <row r="11254" spans="13:19" ht="13.95" customHeight="1">
      <c r="M11254"/>
      <c r="N11254"/>
      <c r="O11254"/>
      <c r="P11254"/>
      <c r="Q11254"/>
      <c r="R11254"/>
      <c r="S11254"/>
    </row>
    <row r="11255" spans="13:19" ht="13.95" customHeight="1">
      <c r="M11255"/>
      <c r="N11255"/>
      <c r="O11255"/>
      <c r="P11255"/>
      <c r="Q11255"/>
      <c r="R11255"/>
      <c r="S11255"/>
    </row>
    <row r="11256" spans="13:19" ht="13.95" customHeight="1">
      <c r="M11256"/>
      <c r="N11256"/>
      <c r="O11256"/>
      <c r="P11256"/>
      <c r="Q11256"/>
      <c r="R11256"/>
      <c r="S11256"/>
    </row>
    <row r="11257" spans="13:19" ht="13.95" customHeight="1">
      <c r="M11257"/>
      <c r="N11257"/>
      <c r="O11257"/>
      <c r="P11257"/>
      <c r="Q11257"/>
      <c r="R11257"/>
      <c r="S11257"/>
    </row>
    <row r="11258" spans="13:19" ht="13.95" customHeight="1">
      <c r="M11258"/>
      <c r="N11258"/>
      <c r="O11258"/>
      <c r="P11258"/>
      <c r="Q11258"/>
      <c r="R11258"/>
      <c r="S11258"/>
    </row>
    <row r="11259" spans="13:19" ht="13.95" customHeight="1">
      <c r="M11259"/>
      <c r="N11259"/>
      <c r="O11259"/>
      <c r="P11259"/>
      <c r="Q11259"/>
      <c r="R11259"/>
      <c r="S11259"/>
    </row>
    <row r="11260" spans="13:19" ht="13.95" customHeight="1">
      <c r="M11260"/>
      <c r="N11260"/>
      <c r="O11260"/>
      <c r="P11260"/>
      <c r="Q11260"/>
      <c r="R11260"/>
      <c r="S11260"/>
    </row>
    <row r="11261" spans="13:19" ht="13.95" customHeight="1">
      <c r="M11261"/>
      <c r="N11261"/>
      <c r="O11261"/>
      <c r="P11261"/>
      <c r="Q11261"/>
      <c r="R11261"/>
      <c r="S11261"/>
    </row>
    <row r="11262" spans="13:19" ht="13.95" customHeight="1">
      <c r="M11262"/>
      <c r="N11262"/>
      <c r="O11262"/>
      <c r="P11262"/>
      <c r="Q11262"/>
      <c r="R11262"/>
      <c r="S11262"/>
    </row>
    <row r="11263" spans="13:19" ht="13.95" customHeight="1">
      <c r="M11263"/>
      <c r="N11263"/>
      <c r="O11263"/>
      <c r="P11263"/>
      <c r="Q11263"/>
      <c r="R11263"/>
      <c r="S11263"/>
    </row>
    <row r="11264" spans="13:19" ht="13.95" customHeight="1">
      <c r="M11264"/>
      <c r="N11264"/>
      <c r="O11264"/>
      <c r="P11264"/>
      <c r="Q11264"/>
      <c r="R11264"/>
      <c r="S11264"/>
    </row>
    <row r="11265" spans="13:19" ht="13.95" customHeight="1">
      <c r="M11265"/>
      <c r="N11265"/>
      <c r="O11265"/>
      <c r="P11265"/>
      <c r="Q11265"/>
      <c r="R11265"/>
      <c r="S11265"/>
    </row>
    <row r="11266" spans="13:19" ht="13.95" customHeight="1">
      <c r="M11266"/>
      <c r="N11266"/>
      <c r="O11266"/>
      <c r="P11266"/>
      <c r="Q11266"/>
      <c r="R11266"/>
      <c r="S11266"/>
    </row>
    <row r="11267" spans="13:19" ht="13.95" customHeight="1">
      <c r="M11267"/>
      <c r="N11267"/>
      <c r="O11267"/>
      <c r="P11267"/>
      <c r="Q11267"/>
      <c r="R11267"/>
      <c r="S11267"/>
    </row>
    <row r="11268" spans="13:19" ht="13.95" customHeight="1">
      <c r="M11268"/>
      <c r="N11268"/>
      <c r="O11268"/>
      <c r="P11268"/>
      <c r="Q11268"/>
      <c r="R11268"/>
      <c r="S11268"/>
    </row>
    <row r="11269" spans="13:19" ht="13.95" customHeight="1">
      <c r="M11269"/>
      <c r="N11269"/>
      <c r="O11269"/>
      <c r="P11269"/>
      <c r="Q11269"/>
      <c r="R11269"/>
      <c r="S11269"/>
    </row>
    <row r="11270" spans="13:19" ht="13.95" customHeight="1">
      <c r="M11270"/>
      <c r="N11270"/>
      <c r="O11270"/>
      <c r="P11270"/>
      <c r="Q11270"/>
      <c r="R11270"/>
      <c r="S11270"/>
    </row>
    <row r="11271" spans="13:19" ht="13.95" customHeight="1">
      <c r="M11271"/>
      <c r="N11271"/>
      <c r="O11271"/>
      <c r="P11271"/>
      <c r="Q11271"/>
      <c r="R11271"/>
      <c r="S11271"/>
    </row>
    <row r="11272" spans="13:19" ht="13.95" customHeight="1">
      <c r="M11272"/>
      <c r="N11272"/>
      <c r="O11272"/>
      <c r="P11272"/>
      <c r="Q11272"/>
      <c r="R11272"/>
      <c r="S11272"/>
    </row>
    <row r="11273" spans="13:19" ht="13.95" customHeight="1">
      <c r="M11273"/>
      <c r="N11273"/>
      <c r="O11273"/>
      <c r="P11273"/>
      <c r="Q11273"/>
      <c r="R11273"/>
      <c r="S11273"/>
    </row>
    <row r="11274" spans="13:19" ht="13.95" customHeight="1">
      <c r="M11274"/>
      <c r="N11274"/>
      <c r="O11274"/>
      <c r="P11274"/>
      <c r="Q11274"/>
      <c r="R11274"/>
      <c r="S11274"/>
    </row>
    <row r="11275" spans="13:19" ht="13.95" customHeight="1">
      <c r="M11275"/>
      <c r="N11275"/>
      <c r="O11275"/>
      <c r="P11275"/>
      <c r="Q11275"/>
      <c r="R11275"/>
      <c r="S11275"/>
    </row>
    <row r="11276" spans="13:19" ht="13.95" customHeight="1">
      <c r="M11276"/>
      <c r="N11276"/>
      <c r="O11276"/>
      <c r="P11276"/>
      <c r="Q11276"/>
      <c r="R11276"/>
      <c r="S11276"/>
    </row>
    <row r="11277" spans="13:19" ht="13.95" customHeight="1">
      <c r="M11277"/>
      <c r="N11277"/>
      <c r="O11277"/>
      <c r="P11277"/>
      <c r="Q11277"/>
      <c r="R11277"/>
      <c r="S11277"/>
    </row>
    <row r="11278" spans="13:19" ht="13.95" customHeight="1">
      <c r="M11278"/>
      <c r="N11278"/>
      <c r="O11278"/>
      <c r="P11278"/>
      <c r="Q11278"/>
      <c r="R11278"/>
      <c r="S11278"/>
    </row>
    <row r="11279" spans="13:19" ht="13.95" customHeight="1">
      <c r="M11279"/>
      <c r="N11279"/>
      <c r="O11279"/>
      <c r="P11279"/>
      <c r="Q11279"/>
      <c r="R11279"/>
      <c r="S11279"/>
    </row>
    <row r="11280" spans="13:19" ht="13.95" customHeight="1">
      <c r="M11280"/>
      <c r="N11280"/>
      <c r="O11280"/>
      <c r="P11280"/>
      <c r="Q11280"/>
      <c r="R11280"/>
      <c r="S11280"/>
    </row>
    <row r="11281" spans="13:19" ht="13.95" customHeight="1">
      <c r="M11281"/>
      <c r="N11281"/>
      <c r="O11281"/>
      <c r="P11281"/>
      <c r="Q11281"/>
      <c r="R11281"/>
      <c r="S11281"/>
    </row>
    <row r="11282" spans="13:19" ht="13.95" customHeight="1">
      <c r="M11282"/>
      <c r="N11282"/>
      <c r="O11282"/>
      <c r="P11282"/>
      <c r="Q11282"/>
      <c r="R11282"/>
      <c r="S11282"/>
    </row>
    <row r="11283" spans="13:19" ht="13.95" customHeight="1">
      <c r="M11283"/>
      <c r="N11283"/>
      <c r="O11283"/>
      <c r="P11283"/>
      <c r="Q11283"/>
      <c r="R11283"/>
      <c r="S11283"/>
    </row>
    <row r="11284" spans="13:19" ht="13.95" customHeight="1">
      <c r="M11284"/>
      <c r="N11284"/>
      <c r="O11284"/>
      <c r="P11284"/>
      <c r="Q11284"/>
      <c r="R11284"/>
      <c r="S11284"/>
    </row>
    <row r="11285" spans="13:19" ht="13.95" customHeight="1">
      <c r="M11285"/>
      <c r="N11285"/>
      <c r="O11285"/>
      <c r="P11285"/>
      <c r="Q11285"/>
      <c r="R11285"/>
      <c r="S11285"/>
    </row>
    <row r="11286" spans="13:19" ht="13.95" customHeight="1">
      <c r="M11286"/>
      <c r="N11286"/>
      <c r="O11286"/>
      <c r="P11286"/>
      <c r="Q11286"/>
      <c r="R11286"/>
      <c r="S11286"/>
    </row>
    <row r="11287" spans="13:19" ht="13.95" customHeight="1">
      <c r="M11287"/>
      <c r="N11287"/>
      <c r="O11287"/>
      <c r="P11287"/>
      <c r="Q11287"/>
      <c r="R11287"/>
      <c r="S11287"/>
    </row>
    <row r="11288" spans="13:19" ht="13.95" customHeight="1">
      <c r="M11288"/>
      <c r="N11288"/>
      <c r="O11288"/>
      <c r="P11288"/>
      <c r="Q11288"/>
      <c r="R11288"/>
      <c r="S11288"/>
    </row>
    <row r="11289" spans="13:19" ht="13.95" customHeight="1">
      <c r="M11289"/>
      <c r="N11289"/>
      <c r="O11289"/>
      <c r="P11289"/>
      <c r="Q11289"/>
      <c r="R11289"/>
      <c r="S11289"/>
    </row>
    <row r="11290" spans="13:19" ht="13.95" customHeight="1">
      <c r="M11290"/>
      <c r="N11290"/>
      <c r="O11290"/>
      <c r="P11290"/>
      <c r="Q11290"/>
      <c r="R11290"/>
      <c r="S11290"/>
    </row>
    <row r="11291" spans="13:19" ht="13.95" customHeight="1">
      <c r="M11291"/>
      <c r="N11291"/>
      <c r="O11291"/>
      <c r="P11291"/>
      <c r="Q11291"/>
      <c r="R11291"/>
      <c r="S11291"/>
    </row>
    <row r="11292" spans="13:19" ht="13.95" customHeight="1">
      <c r="M11292"/>
      <c r="N11292"/>
      <c r="O11292"/>
      <c r="P11292"/>
      <c r="Q11292"/>
      <c r="R11292"/>
      <c r="S11292"/>
    </row>
    <row r="11293" spans="13:19" ht="13.95" customHeight="1">
      <c r="M11293"/>
      <c r="N11293"/>
      <c r="O11293"/>
      <c r="P11293"/>
      <c r="Q11293"/>
      <c r="R11293"/>
      <c r="S11293"/>
    </row>
    <row r="11294" spans="13:19" ht="13.95" customHeight="1">
      <c r="M11294"/>
      <c r="N11294"/>
      <c r="O11294"/>
      <c r="P11294"/>
      <c r="Q11294"/>
      <c r="R11294"/>
      <c r="S11294"/>
    </row>
    <row r="11295" spans="13:19" ht="13.95" customHeight="1">
      <c r="M11295"/>
      <c r="N11295"/>
      <c r="O11295"/>
      <c r="P11295"/>
      <c r="Q11295"/>
      <c r="R11295"/>
      <c r="S11295"/>
    </row>
    <row r="11296" spans="13:19" ht="13.95" customHeight="1">
      <c r="M11296"/>
      <c r="N11296"/>
      <c r="O11296"/>
      <c r="P11296"/>
      <c r="Q11296"/>
      <c r="R11296"/>
      <c r="S11296"/>
    </row>
    <row r="11297" spans="13:19" ht="13.95" customHeight="1">
      <c r="M11297"/>
      <c r="N11297"/>
      <c r="O11297"/>
      <c r="P11297"/>
      <c r="Q11297"/>
      <c r="R11297"/>
      <c r="S11297"/>
    </row>
    <row r="11298" spans="13:19" ht="13.95" customHeight="1">
      <c r="M11298"/>
      <c r="N11298"/>
      <c r="O11298"/>
      <c r="P11298"/>
      <c r="Q11298"/>
      <c r="R11298"/>
      <c r="S11298"/>
    </row>
    <row r="11299" spans="13:19" ht="13.95" customHeight="1">
      <c r="M11299"/>
      <c r="N11299"/>
      <c r="O11299"/>
      <c r="P11299"/>
      <c r="Q11299"/>
      <c r="R11299"/>
      <c r="S11299"/>
    </row>
    <row r="11300" spans="13:19" ht="13.95" customHeight="1">
      <c r="M11300"/>
      <c r="N11300"/>
      <c r="O11300"/>
      <c r="P11300"/>
      <c r="Q11300"/>
      <c r="R11300"/>
      <c r="S11300"/>
    </row>
    <row r="11301" spans="13:19" ht="13.95" customHeight="1">
      <c r="M11301"/>
      <c r="N11301"/>
      <c r="O11301"/>
      <c r="P11301"/>
      <c r="Q11301"/>
      <c r="R11301"/>
      <c r="S11301"/>
    </row>
    <row r="11302" spans="13:19" ht="13.95" customHeight="1">
      <c r="M11302"/>
      <c r="N11302"/>
      <c r="O11302"/>
      <c r="P11302"/>
      <c r="Q11302"/>
      <c r="R11302"/>
      <c r="S11302"/>
    </row>
    <row r="11303" spans="13:19" ht="13.95" customHeight="1">
      <c r="M11303"/>
      <c r="N11303"/>
      <c r="O11303"/>
      <c r="P11303"/>
      <c r="Q11303"/>
      <c r="R11303"/>
      <c r="S11303"/>
    </row>
    <row r="11304" spans="13:19" ht="13.95" customHeight="1">
      <c r="M11304"/>
      <c r="N11304"/>
      <c r="O11304"/>
      <c r="P11304"/>
      <c r="Q11304"/>
      <c r="R11304"/>
      <c r="S11304"/>
    </row>
    <row r="11305" spans="13:19" ht="13.95" customHeight="1">
      <c r="M11305"/>
      <c r="N11305"/>
      <c r="O11305"/>
      <c r="P11305"/>
      <c r="Q11305"/>
      <c r="R11305"/>
      <c r="S11305"/>
    </row>
    <row r="11306" spans="13:19" ht="13.95" customHeight="1">
      <c r="M11306"/>
      <c r="N11306"/>
      <c r="O11306"/>
      <c r="P11306"/>
      <c r="Q11306"/>
      <c r="R11306"/>
      <c r="S11306"/>
    </row>
    <row r="11307" spans="13:19" ht="13.95" customHeight="1">
      <c r="M11307"/>
      <c r="N11307"/>
      <c r="O11307"/>
      <c r="P11307"/>
      <c r="Q11307"/>
      <c r="R11307"/>
      <c r="S11307"/>
    </row>
    <row r="11308" spans="13:19" ht="13.95" customHeight="1">
      <c r="M11308"/>
      <c r="N11308"/>
      <c r="O11308"/>
      <c r="P11308"/>
      <c r="Q11308"/>
      <c r="R11308"/>
      <c r="S11308"/>
    </row>
    <row r="11309" spans="13:19" ht="13.95" customHeight="1">
      <c r="M11309"/>
      <c r="N11309"/>
      <c r="O11309"/>
      <c r="P11309"/>
      <c r="Q11309"/>
      <c r="R11309"/>
      <c r="S11309"/>
    </row>
    <row r="11310" spans="13:19" ht="13.95" customHeight="1">
      <c r="M11310"/>
      <c r="N11310"/>
      <c r="O11310"/>
      <c r="P11310"/>
      <c r="Q11310"/>
      <c r="R11310"/>
      <c r="S11310"/>
    </row>
    <row r="11311" spans="13:19" ht="13.95" customHeight="1">
      <c r="M11311"/>
      <c r="N11311"/>
      <c r="O11311"/>
      <c r="P11311"/>
      <c r="Q11311"/>
      <c r="R11311"/>
      <c r="S11311"/>
    </row>
    <row r="11312" spans="13:19" ht="13.95" customHeight="1">
      <c r="M11312"/>
      <c r="N11312"/>
      <c r="O11312"/>
      <c r="P11312"/>
      <c r="Q11312"/>
      <c r="R11312"/>
      <c r="S11312"/>
    </row>
    <row r="11313" spans="13:19" ht="13.95" customHeight="1">
      <c r="M11313"/>
      <c r="N11313"/>
      <c r="O11313"/>
      <c r="P11313"/>
      <c r="Q11313"/>
      <c r="R11313"/>
      <c r="S11313"/>
    </row>
    <row r="11314" spans="13:19" ht="13.95" customHeight="1">
      <c r="M11314"/>
      <c r="N11314"/>
      <c r="O11314"/>
      <c r="P11314"/>
      <c r="Q11314"/>
      <c r="R11314"/>
      <c r="S11314"/>
    </row>
    <row r="11315" spans="13:19" ht="13.95" customHeight="1">
      <c r="M11315"/>
      <c r="N11315"/>
      <c r="O11315"/>
      <c r="P11315"/>
      <c r="Q11315"/>
      <c r="R11315"/>
      <c r="S11315"/>
    </row>
    <row r="11316" spans="13:19" ht="13.95" customHeight="1">
      <c r="M11316"/>
      <c r="N11316"/>
      <c r="O11316"/>
      <c r="P11316"/>
      <c r="Q11316"/>
      <c r="R11316"/>
      <c r="S11316"/>
    </row>
    <row r="11317" spans="13:19" ht="13.95" customHeight="1">
      <c r="M11317"/>
      <c r="N11317"/>
      <c r="O11317"/>
      <c r="P11317"/>
      <c r="Q11317"/>
      <c r="R11317"/>
      <c r="S11317"/>
    </row>
    <row r="11318" spans="13:19" ht="13.95" customHeight="1">
      <c r="M11318"/>
      <c r="N11318"/>
      <c r="O11318"/>
      <c r="P11318"/>
      <c r="Q11318"/>
      <c r="R11318"/>
      <c r="S11318"/>
    </row>
    <row r="11319" spans="13:19" ht="13.95" customHeight="1">
      <c r="M11319"/>
      <c r="N11319"/>
      <c r="O11319"/>
      <c r="P11319"/>
      <c r="Q11319"/>
      <c r="R11319"/>
      <c r="S11319"/>
    </row>
    <row r="11320" spans="13:19" ht="13.95" customHeight="1">
      <c r="M11320"/>
      <c r="N11320"/>
      <c r="O11320"/>
      <c r="P11320"/>
      <c r="Q11320"/>
      <c r="R11320"/>
      <c r="S11320"/>
    </row>
    <row r="11321" spans="13:19" ht="13.95" customHeight="1">
      <c r="M11321"/>
      <c r="N11321"/>
      <c r="O11321"/>
      <c r="P11321"/>
      <c r="Q11321"/>
      <c r="R11321"/>
      <c r="S11321"/>
    </row>
    <row r="11322" spans="13:19" ht="13.95" customHeight="1">
      <c r="M11322"/>
      <c r="N11322"/>
      <c r="O11322"/>
      <c r="P11322"/>
      <c r="Q11322"/>
      <c r="R11322"/>
      <c r="S11322"/>
    </row>
    <row r="11323" spans="13:19" ht="13.95" customHeight="1">
      <c r="M11323"/>
      <c r="N11323"/>
      <c r="O11323"/>
      <c r="P11323"/>
      <c r="Q11323"/>
      <c r="R11323"/>
      <c r="S11323"/>
    </row>
    <row r="11324" spans="13:19" ht="13.95" customHeight="1">
      <c r="M11324"/>
      <c r="N11324"/>
      <c r="O11324"/>
      <c r="P11324"/>
      <c r="Q11324"/>
      <c r="R11324"/>
      <c r="S11324"/>
    </row>
    <row r="11325" spans="13:19" ht="13.95" customHeight="1">
      <c r="M11325"/>
      <c r="N11325"/>
      <c r="O11325"/>
      <c r="P11325"/>
      <c r="Q11325"/>
      <c r="R11325"/>
      <c r="S11325"/>
    </row>
    <row r="11326" spans="13:19" ht="13.95" customHeight="1">
      <c r="M11326"/>
      <c r="N11326"/>
      <c r="O11326"/>
      <c r="P11326"/>
      <c r="Q11326"/>
      <c r="R11326"/>
      <c r="S11326"/>
    </row>
    <row r="11327" spans="13:19" ht="13.95" customHeight="1">
      <c r="M11327"/>
      <c r="N11327"/>
      <c r="O11327"/>
      <c r="P11327"/>
      <c r="Q11327"/>
      <c r="R11327"/>
      <c r="S11327"/>
    </row>
    <row r="11328" spans="13:19" ht="13.95" customHeight="1">
      <c r="M11328"/>
      <c r="N11328"/>
      <c r="O11328"/>
      <c r="P11328"/>
      <c r="Q11328"/>
      <c r="R11328"/>
      <c r="S11328"/>
    </row>
    <row r="11329" spans="13:19" ht="13.95" customHeight="1">
      <c r="M11329"/>
      <c r="N11329"/>
      <c r="O11329"/>
      <c r="P11329"/>
      <c r="Q11329"/>
      <c r="R11329"/>
      <c r="S11329"/>
    </row>
    <row r="11330" spans="13:19" ht="13.95" customHeight="1">
      <c r="M11330"/>
      <c r="N11330"/>
      <c r="O11330"/>
      <c r="P11330"/>
      <c r="Q11330"/>
      <c r="R11330"/>
      <c r="S11330"/>
    </row>
    <row r="11331" spans="13:19" ht="13.95" customHeight="1">
      <c r="M11331"/>
      <c r="N11331"/>
      <c r="O11331"/>
      <c r="P11331"/>
      <c r="Q11331"/>
      <c r="R11331"/>
      <c r="S11331"/>
    </row>
    <row r="11332" spans="13:19" ht="13.95" customHeight="1">
      <c r="M11332"/>
      <c r="N11332"/>
      <c r="O11332"/>
      <c r="P11332"/>
      <c r="Q11332"/>
      <c r="R11332"/>
      <c r="S11332"/>
    </row>
    <row r="11333" spans="13:19" ht="13.95" customHeight="1">
      <c r="M11333"/>
      <c r="N11333"/>
      <c r="O11333"/>
      <c r="P11333"/>
      <c r="Q11333"/>
      <c r="R11333"/>
      <c r="S11333"/>
    </row>
    <row r="11334" spans="13:19" ht="13.95" customHeight="1">
      <c r="M11334"/>
      <c r="N11334"/>
      <c r="O11334"/>
      <c r="P11334"/>
      <c r="Q11334"/>
      <c r="R11334"/>
      <c r="S11334"/>
    </row>
    <row r="11335" spans="13:19" ht="13.95" customHeight="1">
      <c r="M11335"/>
      <c r="N11335"/>
      <c r="O11335"/>
      <c r="P11335"/>
      <c r="Q11335"/>
      <c r="R11335"/>
      <c r="S11335"/>
    </row>
    <row r="11336" spans="13:19" ht="13.95" customHeight="1">
      <c r="M11336"/>
      <c r="N11336"/>
      <c r="O11336"/>
      <c r="P11336"/>
      <c r="Q11336"/>
      <c r="R11336"/>
      <c r="S11336"/>
    </row>
    <row r="11337" spans="13:19" ht="13.95" customHeight="1">
      <c r="M11337"/>
      <c r="N11337"/>
      <c r="O11337"/>
      <c r="P11337"/>
      <c r="Q11337"/>
      <c r="R11337"/>
      <c r="S11337"/>
    </row>
    <row r="11338" spans="13:19" ht="13.95" customHeight="1">
      <c r="M11338"/>
      <c r="N11338"/>
      <c r="O11338"/>
      <c r="P11338"/>
      <c r="Q11338"/>
      <c r="R11338"/>
      <c r="S11338"/>
    </row>
    <row r="11339" spans="13:19" ht="13.95" customHeight="1">
      <c r="M11339"/>
      <c r="N11339"/>
      <c r="O11339"/>
      <c r="P11339"/>
      <c r="Q11339"/>
      <c r="R11339"/>
      <c r="S11339"/>
    </row>
    <row r="11340" spans="13:19" ht="13.95" customHeight="1">
      <c r="M11340"/>
      <c r="N11340"/>
      <c r="O11340"/>
      <c r="P11340"/>
      <c r="Q11340"/>
      <c r="R11340"/>
      <c r="S11340"/>
    </row>
    <row r="11341" spans="13:19" ht="13.95" customHeight="1">
      <c r="M11341"/>
      <c r="N11341"/>
      <c r="O11341"/>
      <c r="P11341"/>
      <c r="Q11341"/>
      <c r="R11341"/>
      <c r="S11341"/>
    </row>
    <row r="11342" spans="13:19" ht="13.95" customHeight="1">
      <c r="M11342"/>
      <c r="N11342"/>
      <c r="O11342"/>
      <c r="P11342"/>
      <c r="Q11342"/>
      <c r="R11342"/>
      <c r="S11342"/>
    </row>
    <row r="11343" spans="13:19" ht="13.95" customHeight="1">
      <c r="M11343"/>
      <c r="N11343"/>
      <c r="O11343"/>
      <c r="P11343"/>
      <c r="Q11343"/>
      <c r="R11343"/>
      <c r="S11343"/>
    </row>
    <row r="11344" spans="13:19" ht="13.95" customHeight="1">
      <c r="M11344"/>
      <c r="N11344"/>
      <c r="O11344"/>
      <c r="P11344"/>
      <c r="Q11344"/>
      <c r="R11344"/>
      <c r="S11344"/>
    </row>
    <row r="11345" spans="13:19" ht="13.95" customHeight="1">
      <c r="M11345"/>
      <c r="N11345"/>
      <c r="O11345"/>
      <c r="P11345"/>
      <c r="Q11345"/>
      <c r="R11345"/>
      <c r="S11345"/>
    </row>
    <row r="11346" spans="13:19" ht="13.95" customHeight="1">
      <c r="M11346"/>
      <c r="N11346"/>
      <c r="O11346"/>
      <c r="P11346"/>
      <c r="Q11346"/>
      <c r="R11346"/>
      <c r="S11346"/>
    </row>
    <row r="11347" spans="13:19" ht="13.95" customHeight="1">
      <c r="M11347"/>
      <c r="N11347"/>
      <c r="O11347"/>
      <c r="P11347"/>
      <c r="Q11347"/>
      <c r="R11347"/>
      <c r="S11347"/>
    </row>
    <row r="11348" spans="13:19" ht="13.95" customHeight="1">
      <c r="M11348"/>
      <c r="N11348"/>
      <c r="O11348"/>
      <c r="P11348"/>
      <c r="Q11348"/>
      <c r="R11348"/>
      <c r="S11348"/>
    </row>
    <row r="11349" spans="13:19" ht="13.95" customHeight="1">
      <c r="M11349"/>
      <c r="N11349"/>
      <c r="O11349"/>
      <c r="P11349"/>
      <c r="Q11349"/>
      <c r="R11349"/>
      <c r="S11349"/>
    </row>
    <row r="11350" spans="13:19" ht="13.95" customHeight="1">
      <c r="M11350"/>
      <c r="N11350"/>
      <c r="O11350"/>
      <c r="P11350"/>
      <c r="Q11350"/>
      <c r="R11350"/>
      <c r="S11350"/>
    </row>
    <row r="11351" spans="13:19" ht="13.95" customHeight="1">
      <c r="M11351"/>
      <c r="N11351"/>
      <c r="O11351"/>
      <c r="P11351"/>
      <c r="Q11351"/>
      <c r="R11351"/>
      <c r="S11351"/>
    </row>
    <row r="11352" spans="13:19" ht="13.95" customHeight="1">
      <c r="M11352"/>
      <c r="N11352"/>
      <c r="O11352"/>
      <c r="P11352"/>
      <c r="Q11352"/>
      <c r="R11352"/>
      <c r="S11352"/>
    </row>
    <row r="11353" spans="13:19" ht="13.95" customHeight="1">
      <c r="M11353"/>
      <c r="N11353"/>
      <c r="O11353"/>
      <c r="P11353"/>
      <c r="Q11353"/>
      <c r="R11353"/>
      <c r="S11353"/>
    </row>
    <row r="11354" spans="13:19" ht="13.95" customHeight="1">
      <c r="M11354"/>
      <c r="N11354"/>
      <c r="O11354"/>
      <c r="P11354"/>
      <c r="Q11354"/>
      <c r="R11354"/>
      <c r="S11354"/>
    </row>
    <row r="11355" spans="13:19" ht="13.95" customHeight="1">
      <c r="M11355"/>
      <c r="N11355"/>
      <c r="O11355"/>
      <c r="P11355"/>
      <c r="Q11355"/>
      <c r="R11355"/>
      <c r="S11355"/>
    </row>
    <row r="11356" spans="13:19" ht="13.95" customHeight="1">
      <c r="M11356"/>
      <c r="N11356"/>
      <c r="O11356"/>
      <c r="P11356"/>
      <c r="Q11356"/>
      <c r="R11356"/>
      <c r="S11356"/>
    </row>
    <row r="11357" spans="13:19" ht="13.95" customHeight="1">
      <c r="M11357"/>
      <c r="N11357"/>
      <c r="O11357"/>
      <c r="P11357"/>
      <c r="Q11357"/>
      <c r="R11357"/>
      <c r="S11357"/>
    </row>
    <row r="11358" spans="13:19" ht="13.95" customHeight="1">
      <c r="M11358"/>
      <c r="N11358"/>
      <c r="O11358"/>
      <c r="P11358"/>
      <c r="Q11358"/>
      <c r="R11358"/>
      <c r="S11358"/>
    </row>
    <row r="11359" spans="13:19" ht="13.95" customHeight="1">
      <c r="M11359"/>
      <c r="N11359"/>
      <c r="O11359"/>
      <c r="P11359"/>
      <c r="Q11359"/>
      <c r="R11359"/>
      <c r="S11359"/>
    </row>
    <row r="11360" spans="13:19" ht="13.95" customHeight="1">
      <c r="M11360"/>
      <c r="N11360"/>
      <c r="O11360"/>
      <c r="P11360"/>
      <c r="Q11360"/>
      <c r="R11360"/>
      <c r="S11360"/>
    </row>
    <row r="11361" spans="13:19" ht="13.95" customHeight="1">
      <c r="M11361"/>
      <c r="N11361"/>
      <c r="O11361"/>
      <c r="P11361"/>
      <c r="Q11361"/>
      <c r="R11361"/>
      <c r="S11361"/>
    </row>
    <row r="11362" spans="13:19" ht="13.95" customHeight="1">
      <c r="M11362"/>
      <c r="N11362"/>
      <c r="O11362"/>
      <c r="P11362"/>
      <c r="Q11362"/>
      <c r="R11362"/>
      <c r="S11362"/>
    </row>
    <row r="11363" spans="13:19" ht="13.95" customHeight="1">
      <c r="M11363"/>
      <c r="N11363"/>
      <c r="O11363"/>
      <c r="P11363"/>
      <c r="Q11363"/>
      <c r="R11363"/>
      <c r="S11363"/>
    </row>
    <row r="11364" spans="13:19" ht="13.95" customHeight="1">
      <c r="M11364"/>
      <c r="N11364"/>
      <c r="O11364"/>
      <c r="P11364"/>
      <c r="Q11364"/>
      <c r="R11364"/>
      <c r="S11364"/>
    </row>
    <row r="11365" spans="13:19" ht="13.95" customHeight="1">
      <c r="M11365"/>
      <c r="N11365"/>
      <c r="O11365"/>
      <c r="P11365"/>
      <c r="Q11365"/>
      <c r="R11365"/>
      <c r="S11365"/>
    </row>
    <row r="11366" spans="13:19" ht="13.95" customHeight="1">
      <c r="M11366"/>
      <c r="N11366"/>
      <c r="O11366"/>
      <c r="P11366"/>
      <c r="Q11366"/>
      <c r="R11366"/>
      <c r="S11366"/>
    </row>
    <row r="11367" spans="13:19" ht="13.95" customHeight="1">
      <c r="M11367"/>
      <c r="N11367"/>
      <c r="O11367"/>
      <c r="P11367"/>
      <c r="Q11367"/>
      <c r="R11367"/>
      <c r="S11367"/>
    </row>
    <row r="11368" spans="13:19" ht="13.95" customHeight="1">
      <c r="M11368"/>
      <c r="N11368"/>
      <c r="O11368"/>
      <c r="P11368"/>
      <c r="Q11368"/>
      <c r="R11368"/>
      <c r="S11368"/>
    </row>
    <row r="11369" spans="13:19" ht="13.95" customHeight="1">
      <c r="M11369"/>
      <c r="N11369"/>
      <c r="O11369"/>
      <c r="P11369"/>
      <c r="Q11369"/>
      <c r="R11369"/>
      <c r="S11369"/>
    </row>
    <row r="11370" spans="13:19" ht="13.95" customHeight="1">
      <c r="M11370"/>
      <c r="N11370"/>
      <c r="O11370"/>
      <c r="P11370"/>
      <c r="Q11370"/>
      <c r="R11370"/>
      <c r="S11370"/>
    </row>
    <row r="11371" spans="13:19" ht="13.95" customHeight="1">
      <c r="M11371"/>
      <c r="N11371"/>
      <c r="O11371"/>
      <c r="P11371"/>
      <c r="Q11371"/>
      <c r="R11371"/>
      <c r="S11371"/>
    </row>
    <row r="11372" spans="13:19" ht="13.95" customHeight="1">
      <c r="M11372"/>
      <c r="N11372"/>
      <c r="O11372"/>
      <c r="P11372"/>
      <c r="Q11372"/>
      <c r="R11372"/>
      <c r="S11372"/>
    </row>
    <row r="11373" spans="13:19" ht="13.95" customHeight="1">
      <c r="M11373"/>
      <c r="N11373"/>
      <c r="O11373"/>
      <c r="P11373"/>
      <c r="Q11373"/>
      <c r="R11373"/>
      <c r="S11373"/>
    </row>
    <row r="11374" spans="13:19" ht="13.95" customHeight="1">
      <c r="M11374"/>
      <c r="N11374"/>
      <c r="O11374"/>
      <c r="P11374"/>
      <c r="Q11374"/>
      <c r="R11374"/>
      <c r="S11374"/>
    </row>
    <row r="11375" spans="13:19" ht="13.95" customHeight="1">
      <c r="M11375"/>
      <c r="N11375"/>
      <c r="O11375"/>
      <c r="P11375"/>
      <c r="Q11375"/>
      <c r="R11375"/>
      <c r="S11375"/>
    </row>
    <row r="11376" spans="13:19" ht="13.95" customHeight="1">
      <c r="M11376"/>
      <c r="N11376"/>
      <c r="O11376"/>
      <c r="P11376"/>
      <c r="Q11376"/>
      <c r="R11376"/>
      <c r="S11376"/>
    </row>
    <row r="11377" spans="13:19" ht="13.95" customHeight="1">
      <c r="M11377"/>
      <c r="N11377"/>
      <c r="O11377"/>
      <c r="P11377"/>
      <c r="Q11377"/>
      <c r="R11377"/>
      <c r="S11377"/>
    </row>
    <row r="11378" spans="13:19" ht="13.95" customHeight="1">
      <c r="M11378"/>
      <c r="N11378"/>
      <c r="O11378"/>
      <c r="P11378"/>
      <c r="Q11378"/>
      <c r="R11378"/>
      <c r="S11378"/>
    </row>
    <row r="11379" spans="13:19" ht="13.95" customHeight="1">
      <c r="M11379"/>
      <c r="N11379"/>
      <c r="O11379"/>
      <c r="P11379"/>
      <c r="Q11379"/>
      <c r="R11379"/>
      <c r="S11379"/>
    </row>
    <row r="11380" spans="13:19" ht="13.95" customHeight="1">
      <c r="M11380"/>
      <c r="N11380"/>
      <c r="O11380"/>
      <c r="P11380"/>
      <c r="Q11380"/>
      <c r="R11380"/>
      <c r="S11380"/>
    </row>
    <row r="11381" spans="13:19" ht="13.95" customHeight="1">
      <c r="M11381"/>
      <c r="N11381"/>
      <c r="O11381"/>
      <c r="P11381"/>
      <c r="Q11381"/>
      <c r="R11381"/>
      <c r="S11381"/>
    </row>
    <row r="11382" spans="13:19" ht="13.95" customHeight="1">
      <c r="M11382"/>
      <c r="N11382"/>
      <c r="O11382"/>
      <c r="P11382"/>
      <c r="Q11382"/>
      <c r="R11382"/>
      <c r="S11382"/>
    </row>
    <row r="11383" spans="13:19" ht="13.95" customHeight="1">
      <c r="M11383"/>
      <c r="N11383"/>
      <c r="O11383"/>
      <c r="P11383"/>
      <c r="Q11383"/>
      <c r="R11383"/>
      <c r="S11383"/>
    </row>
    <row r="11384" spans="13:19" ht="13.95" customHeight="1">
      <c r="M11384"/>
      <c r="N11384"/>
      <c r="O11384"/>
      <c r="P11384"/>
      <c r="Q11384"/>
      <c r="R11384"/>
      <c r="S11384"/>
    </row>
    <row r="11385" spans="13:19" ht="13.95" customHeight="1">
      <c r="M11385"/>
      <c r="N11385"/>
      <c r="O11385"/>
      <c r="P11385"/>
      <c r="Q11385"/>
      <c r="R11385"/>
      <c r="S11385"/>
    </row>
    <row r="11386" spans="13:19" ht="13.95" customHeight="1">
      <c r="M11386"/>
      <c r="N11386"/>
      <c r="O11386"/>
      <c r="P11386"/>
      <c r="Q11386"/>
      <c r="R11386"/>
      <c r="S11386"/>
    </row>
    <row r="11387" spans="13:19" ht="13.95" customHeight="1">
      <c r="M11387"/>
      <c r="N11387"/>
      <c r="O11387"/>
      <c r="P11387"/>
      <c r="Q11387"/>
      <c r="R11387"/>
      <c r="S11387"/>
    </row>
    <row r="11388" spans="13:19" ht="13.95" customHeight="1">
      <c r="M11388"/>
      <c r="N11388"/>
      <c r="O11388"/>
      <c r="P11388"/>
      <c r="Q11388"/>
      <c r="R11388"/>
      <c r="S11388"/>
    </row>
    <row r="11389" spans="13:19" ht="13.95" customHeight="1">
      <c r="M11389"/>
      <c r="N11389"/>
      <c r="O11389"/>
      <c r="P11389"/>
      <c r="Q11389"/>
      <c r="R11389"/>
      <c r="S11389"/>
    </row>
    <row r="11390" spans="13:19" ht="13.95" customHeight="1">
      <c r="M11390"/>
      <c r="N11390"/>
      <c r="O11390"/>
      <c r="P11390"/>
      <c r="Q11390"/>
      <c r="R11390"/>
      <c r="S11390"/>
    </row>
    <row r="11391" spans="13:19" ht="13.95" customHeight="1">
      <c r="M11391"/>
      <c r="N11391"/>
      <c r="O11391"/>
      <c r="P11391"/>
      <c r="Q11391"/>
      <c r="R11391"/>
      <c r="S11391"/>
    </row>
    <row r="11392" spans="13:19" ht="13.95" customHeight="1">
      <c r="M11392"/>
      <c r="N11392"/>
      <c r="O11392"/>
      <c r="P11392"/>
      <c r="Q11392"/>
      <c r="R11392"/>
      <c r="S11392"/>
    </row>
    <row r="11393" spans="13:19" ht="13.95" customHeight="1">
      <c r="M11393"/>
      <c r="N11393"/>
      <c r="O11393"/>
      <c r="P11393"/>
      <c r="Q11393"/>
      <c r="R11393"/>
      <c r="S11393"/>
    </row>
    <row r="11394" spans="13:19" ht="13.95" customHeight="1">
      <c r="M11394"/>
      <c r="N11394"/>
      <c r="O11394"/>
      <c r="P11394"/>
      <c r="Q11394"/>
      <c r="R11394"/>
      <c r="S11394"/>
    </row>
    <row r="11395" spans="13:19" ht="13.95" customHeight="1">
      <c r="M11395"/>
      <c r="N11395"/>
      <c r="O11395"/>
      <c r="P11395"/>
      <c r="Q11395"/>
      <c r="R11395"/>
      <c r="S11395"/>
    </row>
    <row r="11396" spans="13:19" ht="13.95" customHeight="1">
      <c r="M11396"/>
      <c r="N11396"/>
      <c r="O11396"/>
      <c r="P11396"/>
      <c r="Q11396"/>
      <c r="R11396"/>
      <c r="S11396"/>
    </row>
    <row r="11397" spans="13:19" ht="13.95" customHeight="1">
      <c r="M11397"/>
      <c r="N11397"/>
      <c r="O11397"/>
      <c r="P11397"/>
      <c r="Q11397"/>
      <c r="R11397"/>
      <c r="S11397"/>
    </row>
    <row r="11398" spans="13:19" ht="13.95" customHeight="1">
      <c r="M11398"/>
      <c r="N11398"/>
      <c r="O11398"/>
      <c r="P11398"/>
      <c r="Q11398"/>
      <c r="R11398"/>
      <c r="S11398"/>
    </row>
    <row r="11399" spans="13:19" ht="13.95" customHeight="1">
      <c r="M11399"/>
      <c r="N11399"/>
      <c r="O11399"/>
      <c r="P11399"/>
      <c r="Q11399"/>
      <c r="R11399"/>
      <c r="S11399"/>
    </row>
    <row r="11400" spans="13:19" ht="13.95" customHeight="1">
      <c r="M11400"/>
      <c r="N11400"/>
      <c r="O11400"/>
      <c r="P11400"/>
      <c r="Q11400"/>
      <c r="R11400"/>
      <c r="S11400"/>
    </row>
    <row r="11401" spans="13:19" ht="13.95" customHeight="1">
      <c r="M11401"/>
      <c r="N11401"/>
      <c r="O11401"/>
      <c r="P11401"/>
      <c r="Q11401"/>
      <c r="R11401"/>
      <c r="S11401"/>
    </row>
    <row r="11402" spans="13:19" ht="13.95" customHeight="1">
      <c r="M11402"/>
      <c r="N11402"/>
      <c r="O11402"/>
      <c r="P11402"/>
      <c r="Q11402"/>
      <c r="R11402"/>
      <c r="S11402"/>
    </row>
    <row r="11403" spans="13:19" ht="13.95" customHeight="1">
      <c r="M11403"/>
      <c r="N11403"/>
      <c r="O11403"/>
      <c r="P11403"/>
      <c r="Q11403"/>
      <c r="R11403"/>
      <c r="S11403"/>
    </row>
    <row r="11404" spans="13:19" ht="13.95" customHeight="1">
      <c r="M11404"/>
      <c r="N11404"/>
      <c r="O11404"/>
      <c r="P11404"/>
      <c r="Q11404"/>
      <c r="R11404"/>
      <c r="S11404"/>
    </row>
    <row r="11405" spans="13:19" ht="13.95" customHeight="1">
      <c r="M11405"/>
      <c r="N11405"/>
      <c r="O11405"/>
      <c r="P11405"/>
      <c r="Q11405"/>
      <c r="R11405"/>
      <c r="S11405"/>
    </row>
    <row r="11406" spans="13:19" ht="13.95" customHeight="1">
      <c r="M11406"/>
      <c r="N11406"/>
      <c r="O11406"/>
      <c r="P11406"/>
      <c r="Q11406"/>
      <c r="R11406"/>
      <c r="S11406"/>
    </row>
    <row r="11407" spans="13:19" ht="13.95" customHeight="1">
      <c r="M11407"/>
      <c r="N11407"/>
      <c r="O11407"/>
      <c r="P11407"/>
      <c r="Q11407"/>
      <c r="R11407"/>
      <c r="S11407"/>
    </row>
    <row r="11408" spans="13:19" ht="13.95" customHeight="1">
      <c r="M11408"/>
      <c r="N11408"/>
      <c r="O11408"/>
      <c r="P11408"/>
      <c r="Q11408"/>
      <c r="R11408"/>
      <c r="S11408"/>
    </row>
    <row r="11409" spans="13:19" ht="13.95" customHeight="1">
      <c r="M11409"/>
      <c r="N11409"/>
      <c r="O11409"/>
      <c r="P11409"/>
      <c r="Q11409"/>
      <c r="R11409"/>
      <c r="S11409"/>
    </row>
    <row r="11410" spans="13:19" ht="13.95" customHeight="1">
      <c r="M11410"/>
      <c r="N11410"/>
      <c r="O11410"/>
      <c r="P11410"/>
      <c r="Q11410"/>
      <c r="R11410"/>
      <c r="S11410"/>
    </row>
    <row r="11411" spans="13:19" ht="13.95" customHeight="1">
      <c r="M11411"/>
      <c r="N11411"/>
      <c r="O11411"/>
      <c r="P11411"/>
      <c r="Q11411"/>
      <c r="R11411"/>
      <c r="S11411"/>
    </row>
    <row r="11412" spans="13:19" ht="13.95" customHeight="1">
      <c r="M11412"/>
      <c r="N11412"/>
      <c r="O11412"/>
      <c r="P11412"/>
      <c r="Q11412"/>
      <c r="R11412"/>
      <c r="S11412"/>
    </row>
    <row r="11413" spans="13:19" ht="13.95" customHeight="1">
      <c r="M11413"/>
      <c r="N11413"/>
      <c r="O11413"/>
      <c r="P11413"/>
      <c r="Q11413"/>
      <c r="R11413"/>
      <c r="S11413"/>
    </row>
    <row r="11414" spans="13:19" ht="13.95" customHeight="1">
      <c r="M11414"/>
      <c r="N11414"/>
      <c r="O11414"/>
      <c r="P11414"/>
      <c r="Q11414"/>
      <c r="R11414"/>
      <c r="S11414"/>
    </row>
    <row r="11415" spans="13:19" ht="13.95" customHeight="1">
      <c r="M11415"/>
      <c r="N11415"/>
      <c r="O11415"/>
      <c r="P11415"/>
      <c r="Q11415"/>
      <c r="R11415"/>
      <c r="S11415"/>
    </row>
    <row r="11416" spans="13:19" ht="13.95" customHeight="1">
      <c r="M11416"/>
      <c r="N11416"/>
      <c r="O11416"/>
      <c r="P11416"/>
      <c r="Q11416"/>
      <c r="R11416"/>
      <c r="S11416"/>
    </row>
    <row r="11417" spans="13:19" ht="13.95" customHeight="1">
      <c r="M11417"/>
      <c r="N11417"/>
      <c r="O11417"/>
      <c r="P11417"/>
      <c r="Q11417"/>
      <c r="R11417"/>
      <c r="S11417"/>
    </row>
    <row r="11418" spans="13:19" ht="13.95" customHeight="1">
      <c r="M11418"/>
      <c r="N11418"/>
      <c r="O11418"/>
      <c r="P11418"/>
      <c r="Q11418"/>
      <c r="R11418"/>
      <c r="S11418"/>
    </row>
    <row r="11419" spans="13:19" ht="13.95" customHeight="1">
      <c r="M11419"/>
      <c r="N11419"/>
      <c r="O11419"/>
      <c r="P11419"/>
      <c r="Q11419"/>
      <c r="R11419"/>
      <c r="S11419"/>
    </row>
    <row r="11420" spans="13:19" ht="13.95" customHeight="1">
      <c r="M11420"/>
      <c r="N11420"/>
      <c r="O11420"/>
      <c r="P11420"/>
      <c r="Q11420"/>
      <c r="R11420"/>
      <c r="S11420"/>
    </row>
    <row r="11421" spans="13:19" ht="13.95" customHeight="1">
      <c r="M11421"/>
      <c r="N11421"/>
      <c r="O11421"/>
      <c r="P11421"/>
      <c r="Q11421"/>
      <c r="R11421"/>
      <c r="S11421"/>
    </row>
    <row r="11422" spans="13:19" ht="13.95" customHeight="1">
      <c r="M11422"/>
      <c r="N11422"/>
      <c r="O11422"/>
      <c r="P11422"/>
      <c r="Q11422"/>
      <c r="R11422"/>
      <c r="S11422"/>
    </row>
    <row r="11423" spans="13:19" ht="13.95" customHeight="1">
      <c r="M11423"/>
      <c r="N11423"/>
      <c r="O11423"/>
      <c r="P11423"/>
      <c r="Q11423"/>
      <c r="R11423"/>
      <c r="S11423"/>
    </row>
    <row r="11424" spans="13:19" ht="13.95" customHeight="1">
      <c r="M11424"/>
      <c r="N11424"/>
      <c r="O11424"/>
      <c r="P11424"/>
      <c r="Q11424"/>
      <c r="R11424"/>
      <c r="S11424"/>
    </row>
    <row r="11425" spans="13:19" ht="13.95" customHeight="1">
      <c r="M11425"/>
      <c r="N11425"/>
      <c r="O11425"/>
      <c r="P11425"/>
      <c r="Q11425"/>
      <c r="R11425"/>
      <c r="S11425"/>
    </row>
    <row r="11426" spans="13:19" ht="13.95" customHeight="1">
      <c r="M11426"/>
      <c r="N11426"/>
      <c r="O11426"/>
      <c r="P11426"/>
      <c r="Q11426"/>
      <c r="R11426"/>
      <c r="S11426"/>
    </row>
    <row r="11427" spans="13:19" ht="13.95" customHeight="1">
      <c r="M11427"/>
      <c r="N11427"/>
      <c r="O11427"/>
      <c r="P11427"/>
      <c r="Q11427"/>
      <c r="R11427"/>
      <c r="S11427"/>
    </row>
    <row r="11428" spans="13:19" ht="13.95" customHeight="1">
      <c r="M11428"/>
      <c r="N11428"/>
      <c r="O11428"/>
      <c r="P11428"/>
      <c r="Q11428"/>
      <c r="R11428"/>
      <c r="S11428"/>
    </row>
    <row r="11429" spans="13:19" ht="13.95" customHeight="1">
      <c r="M11429"/>
      <c r="N11429"/>
      <c r="O11429"/>
      <c r="P11429"/>
      <c r="Q11429"/>
      <c r="R11429"/>
      <c r="S11429"/>
    </row>
    <row r="11430" spans="13:19" ht="13.95" customHeight="1">
      <c r="M11430"/>
      <c r="N11430"/>
      <c r="O11430"/>
      <c r="P11430"/>
      <c r="Q11430"/>
      <c r="R11430"/>
      <c r="S11430"/>
    </row>
    <row r="11431" spans="13:19" ht="13.95" customHeight="1">
      <c r="M11431"/>
      <c r="N11431"/>
      <c r="O11431"/>
      <c r="P11431"/>
      <c r="Q11431"/>
      <c r="R11431"/>
      <c r="S11431"/>
    </row>
    <row r="11432" spans="13:19" ht="13.95" customHeight="1">
      <c r="M11432"/>
      <c r="N11432"/>
      <c r="O11432"/>
      <c r="P11432"/>
      <c r="Q11432"/>
      <c r="R11432"/>
      <c r="S11432"/>
    </row>
    <row r="11433" spans="13:19" ht="13.95" customHeight="1">
      <c r="M11433"/>
      <c r="N11433"/>
      <c r="O11433"/>
      <c r="P11433"/>
      <c r="Q11433"/>
      <c r="R11433"/>
      <c r="S11433"/>
    </row>
    <row r="11434" spans="13:19" ht="13.95" customHeight="1">
      <c r="M11434"/>
      <c r="N11434"/>
      <c r="O11434"/>
      <c r="P11434"/>
      <c r="Q11434"/>
      <c r="R11434"/>
      <c r="S11434"/>
    </row>
    <row r="11435" spans="13:19" ht="13.95" customHeight="1">
      <c r="M11435"/>
      <c r="N11435"/>
      <c r="O11435"/>
      <c r="P11435"/>
      <c r="Q11435"/>
      <c r="R11435"/>
      <c r="S11435"/>
    </row>
    <row r="11436" spans="13:19" ht="13.95" customHeight="1">
      <c r="M11436"/>
      <c r="N11436"/>
      <c r="O11436"/>
      <c r="P11436"/>
      <c r="Q11436"/>
      <c r="R11436"/>
      <c r="S11436"/>
    </row>
    <row r="11437" spans="13:19" ht="13.95" customHeight="1">
      <c r="M11437"/>
      <c r="N11437"/>
      <c r="O11437"/>
      <c r="P11437"/>
      <c r="Q11437"/>
      <c r="R11437"/>
      <c r="S11437"/>
    </row>
    <row r="11438" spans="13:19" ht="13.95" customHeight="1">
      <c r="M11438"/>
      <c r="N11438"/>
      <c r="O11438"/>
      <c r="P11438"/>
      <c r="Q11438"/>
      <c r="R11438"/>
      <c r="S11438"/>
    </row>
    <row r="11439" spans="13:19" ht="13.95" customHeight="1">
      <c r="M11439"/>
      <c r="N11439"/>
      <c r="O11439"/>
      <c r="P11439"/>
      <c r="Q11439"/>
      <c r="R11439"/>
      <c r="S11439"/>
    </row>
    <row r="11440" spans="13:19" ht="13.95" customHeight="1">
      <c r="M11440"/>
      <c r="N11440"/>
      <c r="O11440"/>
      <c r="P11440"/>
      <c r="Q11440"/>
      <c r="R11440"/>
      <c r="S11440"/>
    </row>
    <row r="11441" spans="13:19" ht="13.95" customHeight="1">
      <c r="M11441"/>
      <c r="N11441"/>
      <c r="O11441"/>
      <c r="P11441"/>
      <c r="Q11441"/>
      <c r="R11441"/>
      <c r="S11441"/>
    </row>
    <row r="11442" spans="13:19" ht="13.95" customHeight="1">
      <c r="M11442"/>
      <c r="N11442"/>
      <c r="O11442"/>
      <c r="P11442"/>
      <c r="Q11442"/>
      <c r="R11442"/>
      <c r="S11442"/>
    </row>
    <row r="11443" spans="13:19" ht="13.95" customHeight="1">
      <c r="M11443"/>
      <c r="N11443"/>
      <c r="O11443"/>
      <c r="P11443"/>
      <c r="Q11443"/>
      <c r="R11443"/>
      <c r="S11443"/>
    </row>
    <row r="11444" spans="13:19" ht="13.95" customHeight="1">
      <c r="M11444"/>
      <c r="N11444"/>
      <c r="O11444"/>
      <c r="P11444"/>
      <c r="Q11444"/>
      <c r="R11444"/>
      <c r="S11444"/>
    </row>
    <row r="11445" spans="13:19" ht="13.95" customHeight="1">
      <c r="M11445"/>
      <c r="N11445"/>
      <c r="O11445"/>
      <c r="P11445"/>
      <c r="Q11445"/>
      <c r="R11445"/>
      <c r="S11445"/>
    </row>
    <row r="11446" spans="13:19" ht="13.95" customHeight="1">
      <c r="M11446"/>
      <c r="N11446"/>
      <c r="O11446"/>
      <c r="P11446"/>
      <c r="Q11446"/>
      <c r="R11446"/>
      <c r="S11446"/>
    </row>
    <row r="11447" spans="13:19" ht="13.95" customHeight="1">
      <c r="M11447"/>
      <c r="N11447"/>
      <c r="O11447"/>
      <c r="P11447"/>
      <c r="Q11447"/>
      <c r="R11447"/>
      <c r="S11447"/>
    </row>
    <row r="11448" spans="13:19" ht="13.95" customHeight="1">
      <c r="M11448"/>
      <c r="N11448"/>
      <c r="O11448"/>
      <c r="P11448"/>
      <c r="Q11448"/>
      <c r="R11448"/>
      <c r="S11448"/>
    </row>
    <row r="11449" spans="13:19" ht="13.95" customHeight="1">
      <c r="M11449"/>
      <c r="N11449"/>
      <c r="O11449"/>
      <c r="P11449"/>
      <c r="Q11449"/>
      <c r="R11449"/>
      <c r="S11449"/>
    </row>
    <row r="11450" spans="13:19" ht="13.95" customHeight="1">
      <c r="M11450"/>
      <c r="N11450"/>
      <c r="O11450"/>
      <c r="P11450"/>
      <c r="Q11450"/>
      <c r="R11450"/>
      <c r="S11450"/>
    </row>
    <row r="11451" spans="13:19" ht="13.95" customHeight="1">
      <c r="M11451"/>
      <c r="N11451"/>
      <c r="O11451"/>
      <c r="P11451"/>
      <c r="Q11451"/>
      <c r="R11451"/>
      <c r="S11451"/>
    </row>
    <row r="11452" spans="13:19" ht="13.95" customHeight="1">
      <c r="M11452"/>
      <c r="N11452"/>
      <c r="O11452"/>
      <c r="P11452"/>
      <c r="Q11452"/>
      <c r="R11452"/>
      <c r="S11452"/>
    </row>
    <row r="11453" spans="13:19" ht="13.95" customHeight="1">
      <c r="M11453"/>
      <c r="N11453"/>
      <c r="O11453"/>
      <c r="P11453"/>
      <c r="Q11453"/>
      <c r="R11453"/>
      <c r="S11453"/>
    </row>
    <row r="11454" spans="13:19" ht="13.95" customHeight="1">
      <c r="M11454"/>
      <c r="N11454"/>
      <c r="O11454"/>
      <c r="P11454"/>
      <c r="Q11454"/>
      <c r="R11454"/>
      <c r="S11454"/>
    </row>
    <row r="11455" spans="13:19" ht="13.95" customHeight="1">
      <c r="M11455"/>
      <c r="N11455"/>
      <c r="O11455"/>
      <c r="P11455"/>
      <c r="Q11455"/>
      <c r="R11455"/>
      <c r="S11455"/>
    </row>
    <row r="11456" spans="13:19" ht="13.95" customHeight="1">
      <c r="M11456"/>
      <c r="N11456"/>
      <c r="O11456"/>
      <c r="P11456"/>
      <c r="Q11456"/>
      <c r="R11456"/>
      <c r="S11456"/>
    </row>
    <row r="11457" spans="13:19" ht="13.95" customHeight="1">
      <c r="M11457"/>
      <c r="N11457"/>
      <c r="O11457"/>
      <c r="P11457"/>
      <c r="Q11457"/>
      <c r="R11457"/>
      <c r="S11457"/>
    </row>
    <row r="11458" spans="13:19" ht="13.95" customHeight="1">
      <c r="M11458"/>
      <c r="N11458"/>
      <c r="O11458"/>
      <c r="P11458"/>
      <c r="Q11458"/>
      <c r="R11458"/>
      <c r="S11458"/>
    </row>
    <row r="11459" spans="13:19" ht="13.95" customHeight="1">
      <c r="M11459"/>
      <c r="N11459"/>
      <c r="O11459"/>
      <c r="P11459"/>
      <c r="Q11459"/>
      <c r="R11459"/>
      <c r="S11459"/>
    </row>
    <row r="11460" spans="13:19" ht="13.95" customHeight="1">
      <c r="M11460"/>
      <c r="N11460"/>
      <c r="O11460"/>
      <c r="P11460"/>
      <c r="Q11460"/>
      <c r="R11460"/>
      <c r="S11460"/>
    </row>
    <row r="11461" spans="13:19" ht="13.95" customHeight="1">
      <c r="M11461"/>
      <c r="N11461"/>
      <c r="O11461"/>
      <c r="P11461"/>
      <c r="Q11461"/>
      <c r="R11461"/>
      <c r="S11461"/>
    </row>
    <row r="11462" spans="13:19" ht="13.95" customHeight="1">
      <c r="M11462"/>
      <c r="N11462"/>
      <c r="O11462"/>
      <c r="P11462"/>
      <c r="Q11462"/>
      <c r="R11462"/>
      <c r="S11462"/>
    </row>
    <row r="11463" spans="13:19" ht="13.95" customHeight="1">
      <c r="M11463"/>
      <c r="N11463"/>
      <c r="O11463"/>
      <c r="P11463"/>
      <c r="Q11463"/>
      <c r="R11463"/>
      <c r="S11463"/>
    </row>
    <row r="11464" spans="13:19" ht="13.95" customHeight="1">
      <c r="M11464"/>
      <c r="N11464"/>
      <c r="O11464"/>
      <c r="P11464"/>
      <c r="Q11464"/>
      <c r="R11464"/>
      <c r="S11464"/>
    </row>
    <row r="11465" spans="13:19" ht="13.95" customHeight="1">
      <c r="M11465"/>
      <c r="N11465"/>
      <c r="O11465"/>
      <c r="P11465"/>
      <c r="Q11465"/>
      <c r="R11465"/>
      <c r="S11465"/>
    </row>
    <row r="11466" spans="13:19" ht="13.95" customHeight="1">
      <c r="M11466"/>
      <c r="N11466"/>
      <c r="O11466"/>
      <c r="P11466"/>
      <c r="Q11466"/>
      <c r="R11466"/>
      <c r="S11466"/>
    </row>
    <row r="11467" spans="13:19" ht="13.95" customHeight="1">
      <c r="M11467"/>
      <c r="N11467"/>
      <c r="O11467"/>
      <c r="P11467"/>
      <c r="Q11467"/>
      <c r="R11467"/>
      <c r="S11467"/>
    </row>
    <row r="11468" spans="13:19" ht="13.95" customHeight="1">
      <c r="M11468"/>
      <c r="N11468"/>
      <c r="O11468"/>
      <c r="P11468"/>
      <c r="Q11468"/>
      <c r="R11468"/>
      <c r="S11468"/>
    </row>
    <row r="11469" spans="13:19" ht="13.95" customHeight="1">
      <c r="M11469"/>
      <c r="N11469"/>
      <c r="O11469"/>
      <c r="P11469"/>
      <c r="Q11469"/>
      <c r="R11469"/>
      <c r="S11469"/>
    </row>
    <row r="11470" spans="13:19" ht="13.95" customHeight="1">
      <c r="M11470"/>
      <c r="N11470"/>
      <c r="O11470"/>
      <c r="P11470"/>
      <c r="Q11470"/>
      <c r="R11470"/>
      <c r="S11470"/>
    </row>
    <row r="11471" spans="13:19" ht="13.95" customHeight="1">
      <c r="M11471"/>
      <c r="N11471"/>
      <c r="O11471"/>
      <c r="P11471"/>
      <c r="Q11471"/>
      <c r="R11471"/>
      <c r="S11471"/>
    </row>
    <row r="11472" spans="13:19" ht="13.95" customHeight="1">
      <c r="M11472"/>
      <c r="N11472"/>
      <c r="O11472"/>
      <c r="P11472"/>
      <c r="Q11472"/>
      <c r="R11472"/>
      <c r="S11472"/>
    </row>
    <row r="11473" spans="13:19" ht="13.95" customHeight="1">
      <c r="M11473"/>
      <c r="N11473"/>
      <c r="O11473"/>
      <c r="P11473"/>
      <c r="Q11473"/>
      <c r="R11473"/>
      <c r="S11473"/>
    </row>
    <row r="11474" spans="13:19" ht="13.95" customHeight="1">
      <c r="M11474"/>
      <c r="N11474"/>
      <c r="O11474"/>
      <c r="P11474"/>
      <c r="Q11474"/>
      <c r="R11474"/>
      <c r="S11474"/>
    </row>
    <row r="11475" spans="13:19" ht="13.95" customHeight="1">
      <c r="M11475"/>
      <c r="N11475"/>
      <c r="O11475"/>
      <c r="P11475"/>
      <c r="Q11475"/>
      <c r="R11475"/>
      <c r="S11475"/>
    </row>
    <row r="11476" spans="13:19" ht="13.95" customHeight="1">
      <c r="M11476"/>
      <c r="N11476"/>
      <c r="O11476"/>
      <c r="P11476"/>
      <c r="Q11476"/>
      <c r="R11476"/>
      <c r="S11476"/>
    </row>
    <row r="11477" spans="13:19" ht="13.95" customHeight="1">
      <c r="M11477"/>
      <c r="N11477"/>
      <c r="O11477"/>
      <c r="P11477"/>
      <c r="Q11477"/>
      <c r="R11477"/>
      <c r="S11477"/>
    </row>
    <row r="11478" spans="13:19" ht="13.95" customHeight="1">
      <c r="M11478"/>
      <c r="N11478"/>
      <c r="O11478"/>
      <c r="P11478"/>
      <c r="Q11478"/>
      <c r="R11478"/>
      <c r="S11478"/>
    </row>
    <row r="11479" spans="13:19" ht="13.95" customHeight="1">
      <c r="M11479"/>
      <c r="N11479"/>
      <c r="O11479"/>
      <c r="P11479"/>
      <c r="Q11479"/>
      <c r="R11479"/>
      <c r="S11479"/>
    </row>
    <row r="11480" spans="13:19" ht="13.95" customHeight="1">
      <c r="M11480"/>
      <c r="N11480"/>
      <c r="O11480"/>
      <c r="P11480"/>
      <c r="Q11480"/>
      <c r="R11480"/>
      <c r="S11480"/>
    </row>
    <row r="11481" spans="13:19" ht="13.95" customHeight="1">
      <c r="M11481"/>
      <c r="N11481"/>
      <c r="O11481"/>
      <c r="P11481"/>
      <c r="Q11481"/>
      <c r="R11481"/>
      <c r="S11481"/>
    </row>
    <row r="11482" spans="13:19" ht="13.95" customHeight="1">
      <c r="M11482"/>
      <c r="N11482"/>
      <c r="O11482"/>
      <c r="P11482"/>
      <c r="Q11482"/>
      <c r="R11482"/>
      <c r="S11482"/>
    </row>
    <row r="11483" spans="13:19" ht="13.95" customHeight="1">
      <c r="M11483"/>
      <c r="N11483"/>
      <c r="O11483"/>
      <c r="P11483"/>
      <c r="Q11483"/>
      <c r="R11483"/>
      <c r="S11483"/>
    </row>
    <row r="11484" spans="13:19" ht="13.95" customHeight="1">
      <c r="M11484"/>
      <c r="N11484"/>
      <c r="O11484"/>
      <c r="P11484"/>
      <c r="Q11484"/>
      <c r="R11484"/>
      <c r="S11484"/>
    </row>
    <row r="11485" spans="13:19" ht="13.95" customHeight="1">
      <c r="M11485"/>
      <c r="N11485"/>
      <c r="O11485"/>
      <c r="P11485"/>
      <c r="Q11485"/>
      <c r="R11485"/>
      <c r="S11485"/>
    </row>
    <row r="11486" spans="13:19" ht="13.95" customHeight="1">
      <c r="M11486"/>
      <c r="N11486"/>
      <c r="O11486"/>
      <c r="P11486"/>
      <c r="Q11486"/>
      <c r="R11486"/>
      <c r="S11486"/>
    </row>
    <row r="11487" spans="13:19" ht="13.95" customHeight="1">
      <c r="M11487"/>
      <c r="N11487"/>
      <c r="O11487"/>
      <c r="P11487"/>
      <c r="Q11487"/>
      <c r="R11487"/>
      <c r="S11487"/>
    </row>
    <row r="11488" spans="13:19" ht="13.95" customHeight="1">
      <c r="M11488"/>
      <c r="N11488"/>
      <c r="O11488"/>
      <c r="P11488"/>
      <c r="Q11488"/>
      <c r="R11488"/>
      <c r="S11488"/>
    </row>
    <row r="11489" spans="13:19" ht="13.95" customHeight="1">
      <c r="M11489"/>
      <c r="N11489"/>
      <c r="O11489"/>
      <c r="P11489"/>
      <c r="Q11489"/>
      <c r="R11489"/>
      <c r="S11489"/>
    </row>
    <row r="11490" spans="13:19" ht="13.95" customHeight="1">
      <c r="M11490"/>
      <c r="N11490"/>
      <c r="O11490"/>
      <c r="P11490"/>
      <c r="Q11490"/>
      <c r="R11490"/>
      <c r="S11490"/>
    </row>
    <row r="11491" spans="13:19" ht="13.95" customHeight="1">
      <c r="M11491"/>
      <c r="N11491"/>
      <c r="O11491"/>
      <c r="P11491"/>
      <c r="Q11491"/>
      <c r="R11491"/>
      <c r="S11491"/>
    </row>
    <row r="11492" spans="13:19" ht="13.95" customHeight="1">
      <c r="M11492"/>
      <c r="N11492"/>
      <c r="O11492"/>
      <c r="P11492"/>
      <c r="Q11492"/>
      <c r="R11492"/>
      <c r="S11492"/>
    </row>
    <row r="11493" spans="13:19" ht="13.95" customHeight="1">
      <c r="M11493"/>
      <c r="N11493"/>
      <c r="O11493"/>
      <c r="P11493"/>
      <c r="Q11493"/>
      <c r="R11493"/>
      <c r="S11493"/>
    </row>
    <row r="11494" spans="13:19" ht="13.95" customHeight="1">
      <c r="M11494"/>
      <c r="N11494"/>
      <c r="O11494"/>
      <c r="P11494"/>
      <c r="Q11494"/>
      <c r="R11494"/>
      <c r="S11494"/>
    </row>
    <row r="11495" spans="13:19" ht="13.95" customHeight="1">
      <c r="M11495"/>
      <c r="N11495"/>
      <c r="O11495"/>
      <c r="P11495"/>
      <c r="Q11495"/>
      <c r="R11495"/>
      <c r="S11495"/>
    </row>
    <row r="11496" spans="13:19" ht="13.95" customHeight="1">
      <c r="M11496"/>
      <c r="N11496"/>
      <c r="O11496"/>
      <c r="P11496"/>
      <c r="Q11496"/>
      <c r="R11496"/>
      <c r="S11496"/>
    </row>
    <row r="11497" spans="13:19" ht="13.95" customHeight="1">
      <c r="M11497"/>
      <c r="N11497"/>
      <c r="O11497"/>
      <c r="P11497"/>
      <c r="Q11497"/>
      <c r="R11497"/>
      <c r="S11497"/>
    </row>
    <row r="11498" spans="13:19" ht="13.95" customHeight="1">
      <c r="M11498"/>
      <c r="N11498"/>
      <c r="O11498"/>
      <c r="P11498"/>
      <c r="Q11498"/>
      <c r="R11498"/>
      <c r="S11498"/>
    </row>
    <row r="11499" spans="13:19" ht="13.95" customHeight="1">
      <c r="M11499"/>
      <c r="N11499"/>
      <c r="O11499"/>
      <c r="P11499"/>
      <c r="Q11499"/>
      <c r="R11499"/>
      <c r="S11499"/>
    </row>
    <row r="11500" spans="13:19" ht="13.95" customHeight="1">
      <c r="M11500"/>
      <c r="N11500"/>
      <c r="O11500"/>
      <c r="P11500"/>
      <c r="Q11500"/>
      <c r="R11500"/>
      <c r="S11500"/>
    </row>
    <row r="11501" spans="13:19" ht="13.95" customHeight="1">
      <c r="M11501"/>
      <c r="N11501"/>
      <c r="O11501"/>
      <c r="P11501"/>
      <c r="Q11501"/>
      <c r="R11501"/>
      <c r="S11501"/>
    </row>
    <row r="11502" spans="13:19" ht="13.95" customHeight="1">
      <c r="M11502"/>
      <c r="N11502"/>
      <c r="O11502"/>
      <c r="P11502"/>
      <c r="Q11502"/>
      <c r="R11502"/>
      <c r="S11502"/>
    </row>
    <row r="11503" spans="13:19" ht="13.95" customHeight="1">
      <c r="M11503"/>
      <c r="N11503"/>
      <c r="O11503"/>
      <c r="P11503"/>
      <c r="Q11503"/>
      <c r="R11503"/>
      <c r="S11503"/>
    </row>
    <row r="11504" spans="13:19" ht="13.95" customHeight="1">
      <c r="M11504"/>
      <c r="N11504"/>
      <c r="O11504"/>
      <c r="P11504"/>
      <c r="Q11504"/>
      <c r="R11504"/>
      <c r="S11504"/>
    </row>
    <row r="11505" spans="13:19" ht="13.95" customHeight="1">
      <c r="M11505"/>
      <c r="N11505"/>
      <c r="O11505"/>
      <c r="P11505"/>
      <c r="Q11505"/>
      <c r="R11505"/>
      <c r="S11505"/>
    </row>
    <row r="11506" spans="13:19" ht="13.95" customHeight="1">
      <c r="M11506"/>
      <c r="N11506"/>
      <c r="O11506"/>
      <c r="P11506"/>
      <c r="Q11506"/>
      <c r="R11506"/>
      <c r="S11506"/>
    </row>
    <row r="11507" spans="13:19" ht="13.95" customHeight="1">
      <c r="M11507"/>
      <c r="N11507"/>
      <c r="O11507"/>
      <c r="P11507"/>
      <c r="Q11507"/>
      <c r="R11507"/>
      <c r="S11507"/>
    </row>
    <row r="11508" spans="13:19" ht="13.95" customHeight="1">
      <c r="M11508"/>
      <c r="N11508"/>
      <c r="O11508"/>
      <c r="P11508"/>
      <c r="Q11508"/>
      <c r="R11508"/>
      <c r="S11508"/>
    </row>
    <row r="11509" spans="13:19" ht="13.95" customHeight="1">
      <c r="M11509"/>
      <c r="N11509"/>
      <c r="O11509"/>
      <c r="P11509"/>
      <c r="Q11509"/>
      <c r="R11509"/>
      <c r="S11509"/>
    </row>
    <row r="11510" spans="13:19" ht="13.95" customHeight="1">
      <c r="M11510"/>
      <c r="N11510"/>
      <c r="O11510"/>
      <c r="P11510"/>
      <c r="Q11510"/>
      <c r="R11510"/>
      <c r="S11510"/>
    </row>
    <row r="11511" spans="13:19" ht="13.95" customHeight="1">
      <c r="M11511"/>
      <c r="N11511"/>
      <c r="O11511"/>
      <c r="P11511"/>
      <c r="Q11511"/>
      <c r="R11511"/>
      <c r="S11511"/>
    </row>
    <row r="11512" spans="13:19" ht="13.95" customHeight="1">
      <c r="M11512"/>
      <c r="N11512"/>
      <c r="O11512"/>
      <c r="P11512"/>
      <c r="Q11512"/>
      <c r="R11512"/>
      <c r="S11512"/>
    </row>
    <row r="11513" spans="13:19" ht="13.95" customHeight="1">
      <c r="M11513"/>
      <c r="N11513"/>
      <c r="O11513"/>
      <c r="P11513"/>
      <c r="Q11513"/>
      <c r="R11513"/>
      <c r="S11513"/>
    </row>
    <row r="11514" spans="13:19" ht="13.95" customHeight="1">
      <c r="M11514"/>
      <c r="N11514"/>
      <c r="O11514"/>
      <c r="P11514"/>
      <c r="Q11514"/>
      <c r="R11514"/>
      <c r="S11514"/>
    </row>
    <row r="11515" spans="13:19" ht="13.95" customHeight="1">
      <c r="M11515"/>
      <c r="N11515"/>
      <c r="O11515"/>
      <c r="P11515"/>
      <c r="Q11515"/>
      <c r="R11515"/>
      <c r="S11515"/>
    </row>
    <row r="11516" spans="13:19" ht="13.95" customHeight="1">
      <c r="M11516"/>
      <c r="N11516"/>
      <c r="O11516"/>
      <c r="P11516"/>
      <c r="Q11516"/>
      <c r="R11516"/>
      <c r="S11516"/>
    </row>
    <row r="11517" spans="13:19" ht="13.95" customHeight="1">
      <c r="M11517"/>
      <c r="N11517"/>
      <c r="O11517"/>
      <c r="P11517"/>
      <c r="Q11517"/>
      <c r="R11517"/>
      <c r="S11517"/>
    </row>
    <row r="11518" spans="13:19" ht="13.95" customHeight="1">
      <c r="M11518"/>
      <c r="N11518"/>
      <c r="O11518"/>
      <c r="P11518"/>
      <c r="Q11518"/>
      <c r="R11518"/>
      <c r="S11518"/>
    </row>
    <row r="11519" spans="13:19" ht="13.95" customHeight="1">
      <c r="M11519"/>
      <c r="N11519"/>
      <c r="O11519"/>
      <c r="P11519"/>
      <c r="Q11519"/>
      <c r="R11519"/>
      <c r="S11519"/>
    </row>
    <row r="11520" spans="13:19" ht="13.95" customHeight="1">
      <c r="M11520"/>
      <c r="N11520"/>
      <c r="O11520"/>
      <c r="P11520"/>
      <c r="Q11520"/>
      <c r="R11520"/>
      <c r="S11520"/>
    </row>
    <row r="11521" spans="13:19" ht="13.95" customHeight="1">
      <c r="M11521"/>
      <c r="N11521"/>
      <c r="O11521"/>
      <c r="P11521"/>
      <c r="Q11521"/>
      <c r="R11521"/>
      <c r="S11521"/>
    </row>
    <row r="11522" spans="13:19" ht="13.95" customHeight="1">
      <c r="M11522"/>
      <c r="N11522"/>
      <c r="O11522"/>
      <c r="P11522"/>
      <c r="Q11522"/>
      <c r="R11522"/>
      <c r="S11522"/>
    </row>
    <row r="11523" spans="13:19" ht="13.95" customHeight="1">
      <c r="M11523"/>
      <c r="N11523"/>
      <c r="O11523"/>
      <c r="P11523"/>
      <c r="Q11523"/>
      <c r="R11523"/>
      <c r="S11523"/>
    </row>
    <row r="11524" spans="13:19" ht="13.95" customHeight="1">
      <c r="M11524"/>
      <c r="N11524"/>
      <c r="O11524"/>
      <c r="P11524"/>
      <c r="Q11524"/>
      <c r="R11524"/>
      <c r="S11524"/>
    </row>
    <row r="11525" spans="13:19" ht="13.95" customHeight="1">
      <c r="M11525"/>
      <c r="N11525"/>
      <c r="O11525"/>
      <c r="P11525"/>
      <c r="Q11525"/>
      <c r="R11525"/>
      <c r="S11525"/>
    </row>
    <row r="11526" spans="13:19" ht="13.95" customHeight="1">
      <c r="M11526"/>
      <c r="N11526"/>
      <c r="O11526"/>
      <c r="P11526"/>
      <c r="Q11526"/>
      <c r="R11526"/>
      <c r="S11526"/>
    </row>
    <row r="11527" spans="13:19" ht="13.95" customHeight="1">
      <c r="M11527"/>
      <c r="N11527"/>
      <c r="O11527"/>
      <c r="P11527"/>
      <c r="Q11527"/>
      <c r="R11527"/>
      <c r="S11527"/>
    </row>
    <row r="11528" spans="13:19" ht="13.95" customHeight="1">
      <c r="M11528"/>
      <c r="N11528"/>
      <c r="O11528"/>
      <c r="P11528"/>
      <c r="Q11528"/>
      <c r="R11528"/>
      <c r="S11528"/>
    </row>
    <row r="11529" spans="13:19" ht="13.95" customHeight="1">
      <c r="M11529"/>
      <c r="N11529"/>
      <c r="O11529"/>
      <c r="P11529"/>
      <c r="Q11529"/>
      <c r="R11529"/>
      <c r="S11529"/>
    </row>
    <row r="11530" spans="13:19" ht="13.95" customHeight="1">
      <c r="M11530"/>
      <c r="N11530"/>
      <c r="O11530"/>
      <c r="P11530"/>
      <c r="Q11530"/>
      <c r="R11530"/>
      <c r="S11530"/>
    </row>
    <row r="11531" spans="13:19" ht="13.95" customHeight="1">
      <c r="M11531"/>
      <c r="N11531"/>
      <c r="O11531"/>
      <c r="P11531"/>
      <c r="Q11531"/>
      <c r="R11531"/>
      <c r="S11531"/>
    </row>
    <row r="11532" spans="13:19" ht="13.95" customHeight="1">
      <c r="M11532"/>
      <c r="N11532"/>
      <c r="O11532"/>
      <c r="P11532"/>
      <c r="Q11532"/>
      <c r="R11532"/>
      <c r="S11532"/>
    </row>
    <row r="11533" spans="13:19" ht="13.95" customHeight="1">
      <c r="M11533"/>
      <c r="N11533"/>
      <c r="O11533"/>
      <c r="P11533"/>
      <c r="Q11533"/>
      <c r="R11533"/>
      <c r="S11533"/>
    </row>
    <row r="11534" spans="13:19" ht="13.95" customHeight="1">
      <c r="M11534"/>
      <c r="N11534"/>
      <c r="O11534"/>
      <c r="P11534"/>
      <c r="Q11534"/>
      <c r="R11534"/>
      <c r="S11534"/>
    </row>
    <row r="11535" spans="13:19" ht="13.95" customHeight="1">
      <c r="M11535"/>
      <c r="N11535"/>
      <c r="O11535"/>
      <c r="P11535"/>
      <c r="Q11535"/>
      <c r="R11535"/>
      <c r="S11535"/>
    </row>
    <row r="11536" spans="13:19" ht="13.95" customHeight="1">
      <c r="M11536"/>
      <c r="N11536"/>
      <c r="O11536"/>
      <c r="P11536"/>
      <c r="Q11536"/>
      <c r="R11536"/>
      <c r="S11536"/>
    </row>
    <row r="11537" spans="13:19" ht="13.95" customHeight="1">
      <c r="M11537"/>
      <c r="N11537"/>
      <c r="O11537"/>
      <c r="P11537"/>
      <c r="Q11537"/>
      <c r="R11537"/>
      <c r="S11537"/>
    </row>
    <row r="11538" spans="13:19" ht="13.95" customHeight="1">
      <c r="M11538"/>
      <c r="N11538"/>
      <c r="O11538"/>
      <c r="P11538"/>
      <c r="Q11538"/>
      <c r="R11538"/>
      <c r="S11538"/>
    </row>
    <row r="11539" spans="13:19" ht="13.95" customHeight="1">
      <c r="M11539"/>
      <c r="N11539"/>
      <c r="O11539"/>
      <c r="P11539"/>
      <c r="Q11539"/>
      <c r="R11539"/>
      <c r="S11539"/>
    </row>
    <row r="11540" spans="13:19" ht="13.95" customHeight="1">
      <c r="M11540"/>
      <c r="N11540"/>
      <c r="O11540"/>
      <c r="P11540"/>
      <c r="Q11540"/>
      <c r="R11540"/>
      <c r="S11540"/>
    </row>
    <row r="11541" spans="13:19" ht="13.95" customHeight="1">
      <c r="M11541"/>
      <c r="N11541"/>
      <c r="O11541"/>
      <c r="P11541"/>
      <c r="Q11541"/>
      <c r="R11541"/>
      <c r="S11541"/>
    </row>
    <row r="11542" spans="13:19" ht="13.95" customHeight="1">
      <c r="M11542"/>
      <c r="N11542"/>
      <c r="O11542"/>
      <c r="P11542"/>
      <c r="Q11542"/>
      <c r="R11542"/>
      <c r="S11542"/>
    </row>
    <row r="11543" spans="13:19" ht="13.95" customHeight="1">
      <c r="M11543"/>
      <c r="N11543"/>
      <c r="O11543"/>
      <c r="P11543"/>
      <c r="Q11543"/>
      <c r="R11543"/>
      <c r="S11543"/>
    </row>
    <row r="11544" spans="13:19" ht="13.95" customHeight="1">
      <c r="M11544"/>
      <c r="N11544"/>
      <c r="O11544"/>
      <c r="P11544"/>
      <c r="Q11544"/>
      <c r="R11544"/>
      <c r="S11544"/>
    </row>
    <row r="11545" spans="13:19" ht="13.95" customHeight="1">
      <c r="M11545"/>
      <c r="N11545"/>
      <c r="O11545"/>
      <c r="P11545"/>
      <c r="Q11545"/>
      <c r="R11545"/>
      <c r="S11545"/>
    </row>
    <row r="11546" spans="13:19" ht="13.95" customHeight="1">
      <c r="M11546"/>
      <c r="N11546"/>
      <c r="O11546"/>
      <c r="P11546"/>
      <c r="Q11546"/>
      <c r="R11546"/>
      <c r="S11546"/>
    </row>
    <row r="11547" spans="13:19" ht="13.95" customHeight="1">
      <c r="M11547"/>
      <c r="N11547"/>
      <c r="O11547"/>
      <c r="P11547"/>
      <c r="Q11547"/>
      <c r="R11547"/>
      <c r="S11547"/>
    </row>
    <row r="11548" spans="13:19" ht="13.95" customHeight="1">
      <c r="M11548"/>
      <c r="N11548"/>
      <c r="O11548"/>
      <c r="P11548"/>
      <c r="Q11548"/>
      <c r="R11548"/>
      <c r="S11548"/>
    </row>
    <row r="11549" spans="13:19" ht="13.95" customHeight="1">
      <c r="M11549"/>
      <c r="N11549"/>
      <c r="O11549"/>
      <c r="P11549"/>
      <c r="Q11549"/>
      <c r="R11549"/>
      <c r="S11549"/>
    </row>
    <row r="11550" spans="13:19" ht="13.95" customHeight="1">
      <c r="M11550"/>
      <c r="N11550"/>
      <c r="O11550"/>
      <c r="P11550"/>
      <c r="Q11550"/>
      <c r="R11550"/>
      <c r="S11550"/>
    </row>
    <row r="11551" spans="13:19" ht="13.95" customHeight="1">
      <c r="M11551"/>
      <c r="N11551"/>
      <c r="O11551"/>
      <c r="P11551"/>
      <c r="Q11551"/>
      <c r="R11551"/>
      <c r="S11551"/>
    </row>
    <row r="11552" spans="13:19" ht="13.95" customHeight="1">
      <c r="M11552"/>
      <c r="N11552"/>
      <c r="O11552"/>
      <c r="P11552"/>
      <c r="Q11552"/>
      <c r="R11552"/>
      <c r="S11552"/>
    </row>
    <row r="11553" spans="13:19" ht="13.95" customHeight="1">
      <c r="M11553"/>
      <c r="N11553"/>
      <c r="O11553"/>
      <c r="P11553"/>
      <c r="Q11553"/>
      <c r="R11553"/>
      <c r="S11553"/>
    </row>
    <row r="11554" spans="13:19" ht="13.95" customHeight="1">
      <c r="M11554"/>
      <c r="N11554"/>
      <c r="O11554"/>
      <c r="P11554"/>
      <c r="Q11554"/>
      <c r="R11554"/>
      <c r="S11554"/>
    </row>
    <row r="11555" spans="13:19" ht="13.95" customHeight="1">
      <c r="M11555"/>
      <c r="N11555"/>
      <c r="O11555"/>
      <c r="P11555"/>
      <c r="Q11555"/>
      <c r="R11555"/>
      <c r="S11555"/>
    </row>
    <row r="11556" spans="13:19" ht="13.95" customHeight="1">
      <c r="M11556"/>
      <c r="N11556"/>
      <c r="O11556"/>
      <c r="P11556"/>
      <c r="Q11556"/>
      <c r="R11556"/>
      <c r="S11556"/>
    </row>
    <row r="11557" spans="13:19" ht="13.95" customHeight="1">
      <c r="M11557"/>
      <c r="N11557"/>
      <c r="O11557"/>
      <c r="P11557"/>
      <c r="Q11557"/>
      <c r="R11557"/>
      <c r="S11557"/>
    </row>
    <row r="11558" spans="13:19" ht="13.95" customHeight="1">
      <c r="M11558"/>
      <c r="N11558"/>
      <c r="O11558"/>
      <c r="P11558"/>
      <c r="Q11558"/>
      <c r="R11558"/>
      <c r="S11558"/>
    </row>
    <row r="11559" spans="13:19" ht="13.95" customHeight="1">
      <c r="M11559"/>
      <c r="N11559"/>
      <c r="O11559"/>
      <c r="P11559"/>
      <c r="Q11559"/>
      <c r="R11559"/>
      <c r="S11559"/>
    </row>
    <row r="11560" spans="13:19" ht="13.95" customHeight="1">
      <c r="M11560"/>
      <c r="N11560"/>
      <c r="O11560"/>
      <c r="P11560"/>
      <c r="Q11560"/>
      <c r="R11560"/>
      <c r="S11560"/>
    </row>
    <row r="11561" spans="13:19" ht="13.95" customHeight="1">
      <c r="M11561"/>
      <c r="N11561"/>
      <c r="O11561"/>
      <c r="P11561"/>
      <c r="Q11561"/>
      <c r="R11561"/>
      <c r="S11561"/>
    </row>
    <row r="11562" spans="13:19" ht="13.95" customHeight="1">
      <c r="M11562"/>
      <c r="N11562"/>
      <c r="O11562"/>
      <c r="P11562"/>
      <c r="Q11562"/>
      <c r="R11562"/>
      <c r="S11562"/>
    </row>
    <row r="11563" spans="13:19" ht="13.95" customHeight="1">
      <c r="M11563"/>
      <c r="N11563"/>
      <c r="O11563"/>
      <c r="P11563"/>
      <c r="Q11563"/>
      <c r="R11563"/>
      <c r="S11563"/>
    </row>
    <row r="11564" spans="13:19" ht="13.95" customHeight="1">
      <c r="M11564"/>
      <c r="N11564"/>
      <c r="O11564"/>
      <c r="P11564"/>
      <c r="Q11564"/>
      <c r="R11564"/>
      <c r="S11564"/>
    </row>
    <row r="11565" spans="13:19" ht="13.95" customHeight="1">
      <c r="M11565"/>
      <c r="N11565"/>
      <c r="O11565"/>
      <c r="P11565"/>
      <c r="Q11565"/>
      <c r="R11565"/>
      <c r="S11565"/>
    </row>
    <row r="11566" spans="13:19" ht="13.95" customHeight="1">
      <c r="M11566"/>
      <c r="N11566"/>
      <c r="O11566"/>
      <c r="P11566"/>
      <c r="Q11566"/>
      <c r="R11566"/>
      <c r="S11566"/>
    </row>
    <row r="11567" spans="13:19" ht="13.95" customHeight="1">
      <c r="M11567"/>
      <c r="N11567"/>
      <c r="O11567"/>
      <c r="P11567"/>
      <c r="Q11567"/>
      <c r="R11567"/>
      <c r="S11567"/>
    </row>
    <row r="11568" spans="13:19" ht="13.95" customHeight="1">
      <c r="M11568"/>
      <c r="N11568"/>
      <c r="O11568"/>
      <c r="P11568"/>
      <c r="Q11568"/>
      <c r="R11568"/>
      <c r="S11568"/>
    </row>
    <row r="11569" spans="13:19" ht="13.95" customHeight="1">
      <c r="M11569"/>
      <c r="N11569"/>
      <c r="O11569"/>
      <c r="P11569"/>
      <c r="Q11569"/>
      <c r="R11569"/>
      <c r="S11569"/>
    </row>
    <row r="11570" spans="13:19" ht="13.95" customHeight="1">
      <c r="M11570"/>
      <c r="N11570"/>
      <c r="O11570"/>
      <c r="P11570"/>
      <c r="Q11570"/>
      <c r="R11570"/>
      <c r="S11570"/>
    </row>
    <row r="11571" spans="13:19" ht="13.95" customHeight="1">
      <c r="M11571"/>
      <c r="N11571"/>
      <c r="O11571"/>
      <c r="P11571"/>
      <c r="Q11571"/>
      <c r="R11571"/>
      <c r="S11571"/>
    </row>
    <row r="11572" spans="13:19" ht="13.95" customHeight="1">
      <c r="M11572"/>
      <c r="N11572"/>
      <c r="O11572"/>
      <c r="P11572"/>
      <c r="Q11572"/>
      <c r="R11572"/>
      <c r="S11572"/>
    </row>
    <row r="11573" spans="13:19" ht="13.95" customHeight="1">
      <c r="M11573"/>
      <c r="N11573"/>
      <c r="O11573"/>
      <c r="P11573"/>
      <c r="Q11573"/>
      <c r="R11573"/>
      <c r="S11573"/>
    </row>
    <row r="11574" spans="13:19" ht="13.95" customHeight="1">
      <c r="M11574"/>
      <c r="N11574"/>
      <c r="O11574"/>
      <c r="P11574"/>
      <c r="Q11574"/>
      <c r="R11574"/>
      <c r="S11574"/>
    </row>
    <row r="11575" spans="13:19" ht="13.95" customHeight="1">
      <c r="M11575"/>
      <c r="N11575"/>
      <c r="O11575"/>
      <c r="P11575"/>
      <c r="Q11575"/>
      <c r="R11575"/>
      <c r="S11575"/>
    </row>
    <row r="11576" spans="13:19" ht="13.95" customHeight="1">
      <c r="M11576"/>
      <c r="N11576"/>
      <c r="O11576"/>
      <c r="P11576"/>
      <c r="Q11576"/>
      <c r="R11576"/>
      <c r="S11576"/>
    </row>
    <row r="11577" spans="13:19" ht="13.95" customHeight="1">
      <c r="M11577"/>
      <c r="N11577"/>
      <c r="O11577"/>
      <c r="P11577"/>
      <c r="Q11577"/>
      <c r="R11577"/>
      <c r="S11577"/>
    </row>
    <row r="11578" spans="13:19" ht="13.95" customHeight="1">
      <c r="M11578"/>
      <c r="N11578"/>
      <c r="O11578"/>
      <c r="P11578"/>
      <c r="Q11578"/>
      <c r="R11578"/>
      <c r="S11578"/>
    </row>
    <row r="11579" spans="13:19" ht="13.95" customHeight="1">
      <c r="M11579"/>
      <c r="N11579"/>
      <c r="O11579"/>
      <c r="P11579"/>
      <c r="Q11579"/>
      <c r="R11579"/>
      <c r="S11579"/>
    </row>
    <row r="11580" spans="13:19" ht="13.95" customHeight="1">
      <c r="M11580"/>
      <c r="N11580"/>
      <c r="O11580"/>
      <c r="P11580"/>
      <c r="Q11580"/>
      <c r="R11580"/>
      <c r="S11580"/>
    </row>
    <row r="11581" spans="13:19" ht="13.95" customHeight="1">
      <c r="M11581"/>
      <c r="N11581"/>
      <c r="O11581"/>
      <c r="P11581"/>
      <c r="Q11581"/>
      <c r="R11581"/>
      <c r="S11581"/>
    </row>
    <row r="11582" spans="13:19" ht="13.95" customHeight="1">
      <c r="M11582"/>
      <c r="N11582"/>
      <c r="O11582"/>
      <c r="P11582"/>
      <c r="Q11582"/>
      <c r="R11582"/>
      <c r="S11582"/>
    </row>
    <row r="11583" spans="13:19" ht="13.95" customHeight="1">
      <c r="M11583"/>
      <c r="N11583"/>
      <c r="O11583"/>
      <c r="P11583"/>
      <c r="Q11583"/>
      <c r="R11583"/>
      <c r="S11583"/>
    </row>
    <row r="11584" spans="13:19" ht="13.95" customHeight="1">
      <c r="M11584"/>
      <c r="N11584"/>
      <c r="O11584"/>
      <c r="P11584"/>
      <c r="Q11584"/>
      <c r="R11584"/>
      <c r="S11584"/>
    </row>
    <row r="11585" spans="13:19" ht="13.95" customHeight="1">
      <c r="M11585"/>
      <c r="N11585"/>
      <c r="O11585"/>
      <c r="P11585"/>
      <c r="Q11585"/>
      <c r="R11585"/>
      <c r="S11585"/>
    </row>
    <row r="11586" spans="13:19" ht="13.95" customHeight="1">
      <c r="M11586"/>
      <c r="N11586"/>
      <c r="O11586"/>
      <c r="P11586"/>
      <c r="Q11586"/>
      <c r="R11586"/>
      <c r="S11586"/>
    </row>
    <row r="11587" spans="13:19" ht="13.95" customHeight="1">
      <c r="M11587"/>
      <c r="N11587"/>
      <c r="O11587"/>
      <c r="P11587"/>
      <c r="Q11587"/>
      <c r="R11587"/>
      <c r="S11587"/>
    </row>
    <row r="11588" spans="13:19" ht="13.95" customHeight="1">
      <c r="M11588"/>
      <c r="N11588"/>
      <c r="O11588"/>
      <c r="P11588"/>
      <c r="Q11588"/>
      <c r="R11588"/>
      <c r="S11588"/>
    </row>
    <row r="11589" spans="13:19" ht="13.95" customHeight="1">
      <c r="M11589"/>
      <c r="N11589"/>
      <c r="O11589"/>
      <c r="P11589"/>
      <c r="Q11589"/>
      <c r="R11589"/>
      <c r="S11589"/>
    </row>
    <row r="11590" spans="13:19" ht="13.95" customHeight="1">
      <c r="M11590"/>
      <c r="N11590"/>
      <c r="O11590"/>
      <c r="P11590"/>
      <c r="Q11590"/>
      <c r="R11590"/>
      <c r="S11590"/>
    </row>
    <row r="11591" spans="13:19" ht="13.95" customHeight="1">
      <c r="M11591"/>
      <c r="N11591"/>
      <c r="O11591"/>
      <c r="P11591"/>
      <c r="Q11591"/>
      <c r="R11591"/>
      <c r="S11591"/>
    </row>
    <row r="11592" spans="13:19" ht="13.95" customHeight="1">
      <c r="M11592"/>
      <c r="N11592"/>
      <c r="O11592"/>
      <c r="P11592"/>
      <c r="Q11592"/>
      <c r="R11592"/>
      <c r="S11592"/>
    </row>
    <row r="11593" spans="13:19" ht="13.95" customHeight="1">
      <c r="M11593"/>
      <c r="N11593"/>
      <c r="O11593"/>
      <c r="P11593"/>
      <c r="Q11593"/>
      <c r="R11593"/>
      <c r="S11593"/>
    </row>
    <row r="11594" spans="13:19" ht="13.95" customHeight="1">
      <c r="M11594"/>
      <c r="N11594"/>
      <c r="O11594"/>
      <c r="P11594"/>
      <c r="Q11594"/>
      <c r="R11594"/>
      <c r="S11594"/>
    </row>
    <row r="11595" spans="13:19" ht="13.95" customHeight="1">
      <c r="M11595"/>
      <c r="N11595"/>
      <c r="O11595"/>
      <c r="P11595"/>
      <c r="Q11595"/>
      <c r="R11595"/>
      <c r="S11595"/>
    </row>
    <row r="11596" spans="13:19" ht="13.95" customHeight="1">
      <c r="M11596"/>
      <c r="N11596"/>
      <c r="O11596"/>
      <c r="P11596"/>
      <c r="Q11596"/>
      <c r="R11596"/>
      <c r="S11596"/>
    </row>
    <row r="11597" spans="13:19" ht="13.95" customHeight="1">
      <c r="M11597"/>
      <c r="N11597"/>
      <c r="O11597"/>
      <c r="P11597"/>
      <c r="Q11597"/>
      <c r="R11597"/>
      <c r="S11597"/>
    </row>
    <row r="11598" spans="13:19" ht="13.95" customHeight="1">
      <c r="M11598"/>
      <c r="N11598"/>
      <c r="O11598"/>
      <c r="P11598"/>
      <c r="Q11598"/>
      <c r="R11598"/>
      <c r="S11598"/>
    </row>
    <row r="11599" spans="13:19" ht="13.95" customHeight="1">
      <c r="M11599"/>
      <c r="N11599"/>
      <c r="O11599"/>
      <c r="P11599"/>
      <c r="Q11599"/>
      <c r="R11599"/>
      <c r="S11599"/>
    </row>
    <row r="11600" spans="13:19" ht="13.95" customHeight="1">
      <c r="M11600"/>
      <c r="N11600"/>
      <c r="O11600"/>
      <c r="P11600"/>
      <c r="Q11600"/>
      <c r="R11600"/>
      <c r="S11600"/>
    </row>
    <row r="11601" spans="13:19" ht="13.95" customHeight="1">
      <c r="M11601"/>
      <c r="N11601"/>
      <c r="O11601"/>
      <c r="P11601"/>
      <c r="Q11601"/>
      <c r="R11601"/>
      <c r="S11601"/>
    </row>
    <row r="11602" spans="13:19" ht="13.95" customHeight="1">
      <c r="M11602"/>
      <c r="N11602"/>
      <c r="O11602"/>
      <c r="P11602"/>
      <c r="Q11602"/>
      <c r="R11602"/>
      <c r="S11602"/>
    </row>
    <row r="11603" spans="13:19" ht="13.95" customHeight="1">
      <c r="M11603"/>
      <c r="N11603"/>
      <c r="O11603"/>
      <c r="P11603"/>
      <c r="Q11603"/>
      <c r="R11603"/>
      <c r="S11603"/>
    </row>
    <row r="11604" spans="13:19" ht="13.95" customHeight="1">
      <c r="M11604"/>
      <c r="N11604"/>
      <c r="O11604"/>
      <c r="P11604"/>
      <c r="Q11604"/>
      <c r="R11604"/>
      <c r="S11604"/>
    </row>
    <row r="11605" spans="13:19" ht="13.95" customHeight="1">
      <c r="M11605"/>
      <c r="N11605"/>
      <c r="O11605"/>
      <c r="P11605"/>
      <c r="Q11605"/>
      <c r="R11605"/>
      <c r="S11605"/>
    </row>
    <row r="11606" spans="13:19" ht="13.95" customHeight="1">
      <c r="M11606"/>
      <c r="N11606"/>
      <c r="O11606"/>
      <c r="P11606"/>
      <c r="Q11606"/>
      <c r="R11606"/>
      <c r="S11606"/>
    </row>
    <row r="11607" spans="13:19" ht="13.95" customHeight="1">
      <c r="M11607"/>
      <c r="N11607"/>
      <c r="O11607"/>
      <c r="P11607"/>
      <c r="Q11607"/>
      <c r="R11607"/>
      <c r="S11607"/>
    </row>
    <row r="11608" spans="13:19" ht="13.95" customHeight="1">
      <c r="M11608"/>
      <c r="N11608"/>
      <c r="O11608"/>
      <c r="P11608"/>
      <c r="Q11608"/>
      <c r="R11608"/>
      <c r="S11608"/>
    </row>
    <row r="11609" spans="13:19" ht="13.95" customHeight="1">
      <c r="M11609"/>
      <c r="N11609"/>
      <c r="O11609"/>
      <c r="P11609"/>
      <c r="Q11609"/>
      <c r="R11609"/>
      <c r="S11609"/>
    </row>
    <row r="11610" spans="13:19" ht="13.95" customHeight="1">
      <c r="M11610"/>
      <c r="N11610"/>
      <c r="O11610"/>
      <c r="P11610"/>
      <c r="Q11610"/>
      <c r="R11610"/>
      <c r="S11610"/>
    </row>
    <row r="11611" spans="13:19" ht="13.95" customHeight="1">
      <c r="M11611"/>
      <c r="N11611"/>
      <c r="O11611"/>
      <c r="P11611"/>
      <c r="Q11611"/>
      <c r="R11611"/>
      <c r="S11611"/>
    </row>
    <row r="11612" spans="13:19" ht="13.95" customHeight="1">
      <c r="M11612"/>
      <c r="N11612"/>
      <c r="O11612"/>
      <c r="P11612"/>
      <c r="Q11612"/>
      <c r="R11612"/>
      <c r="S11612"/>
    </row>
    <row r="11613" spans="13:19" ht="13.95" customHeight="1">
      <c r="M11613"/>
      <c r="N11613"/>
      <c r="O11613"/>
      <c r="P11613"/>
      <c r="Q11613"/>
      <c r="R11613"/>
      <c r="S11613"/>
    </row>
    <row r="11614" spans="13:19" ht="13.95" customHeight="1">
      <c r="M11614"/>
      <c r="N11614"/>
      <c r="O11614"/>
      <c r="P11614"/>
      <c r="Q11614"/>
      <c r="R11614"/>
      <c r="S11614"/>
    </row>
    <row r="11615" spans="13:19" ht="13.95" customHeight="1">
      <c r="M11615"/>
      <c r="N11615"/>
      <c r="O11615"/>
      <c r="P11615"/>
      <c r="Q11615"/>
      <c r="R11615"/>
      <c r="S11615"/>
    </row>
    <row r="11616" spans="13:19" ht="13.95" customHeight="1">
      <c r="M11616"/>
      <c r="N11616"/>
      <c r="O11616"/>
      <c r="P11616"/>
      <c r="Q11616"/>
      <c r="R11616"/>
      <c r="S11616"/>
    </row>
    <row r="11617" spans="13:19" ht="13.95" customHeight="1">
      <c r="M11617"/>
      <c r="N11617"/>
      <c r="O11617"/>
      <c r="P11617"/>
      <c r="Q11617"/>
      <c r="R11617"/>
      <c r="S11617"/>
    </row>
    <row r="11618" spans="13:19" ht="13.95" customHeight="1">
      <c r="M11618"/>
      <c r="N11618"/>
      <c r="O11618"/>
      <c r="P11618"/>
      <c r="Q11618"/>
      <c r="R11618"/>
      <c r="S11618"/>
    </row>
    <row r="11619" spans="13:19" ht="13.95" customHeight="1">
      <c r="M11619"/>
      <c r="N11619"/>
      <c r="O11619"/>
      <c r="P11619"/>
      <c r="Q11619"/>
      <c r="R11619"/>
      <c r="S11619"/>
    </row>
    <row r="11620" spans="13:19" ht="13.95" customHeight="1">
      <c r="M11620"/>
      <c r="N11620"/>
      <c r="O11620"/>
      <c r="P11620"/>
      <c r="Q11620"/>
      <c r="R11620"/>
      <c r="S11620"/>
    </row>
    <row r="11621" spans="13:19" ht="13.95" customHeight="1">
      <c r="M11621"/>
      <c r="N11621"/>
      <c r="O11621"/>
      <c r="P11621"/>
      <c r="Q11621"/>
      <c r="R11621"/>
      <c r="S11621"/>
    </row>
    <row r="11622" spans="13:19" ht="13.95" customHeight="1">
      <c r="M11622"/>
      <c r="N11622"/>
      <c r="O11622"/>
      <c r="P11622"/>
      <c r="Q11622"/>
      <c r="R11622"/>
      <c r="S11622"/>
    </row>
    <row r="11623" spans="13:19" ht="13.95" customHeight="1">
      <c r="M11623"/>
      <c r="N11623"/>
      <c r="O11623"/>
      <c r="P11623"/>
      <c r="Q11623"/>
      <c r="R11623"/>
      <c r="S11623"/>
    </row>
    <row r="11624" spans="13:19" ht="13.95" customHeight="1">
      <c r="M11624"/>
      <c r="N11624"/>
      <c r="O11624"/>
      <c r="P11624"/>
      <c r="Q11624"/>
      <c r="R11624"/>
      <c r="S11624"/>
    </row>
    <row r="11625" spans="13:19" ht="13.95" customHeight="1">
      <c r="M11625"/>
      <c r="N11625"/>
      <c r="O11625"/>
      <c r="P11625"/>
      <c r="Q11625"/>
      <c r="R11625"/>
      <c r="S11625"/>
    </row>
    <row r="11626" spans="13:19" ht="13.95" customHeight="1">
      <c r="M11626"/>
      <c r="N11626"/>
      <c r="O11626"/>
      <c r="P11626"/>
      <c r="Q11626"/>
      <c r="R11626"/>
      <c r="S11626"/>
    </row>
    <row r="11627" spans="13:19" ht="13.95" customHeight="1">
      <c r="M11627"/>
      <c r="N11627"/>
      <c r="O11627"/>
      <c r="P11627"/>
      <c r="Q11627"/>
      <c r="R11627"/>
      <c r="S11627"/>
    </row>
    <row r="11628" spans="13:19" ht="13.95" customHeight="1">
      <c r="M11628"/>
      <c r="N11628"/>
      <c r="O11628"/>
      <c r="P11628"/>
      <c r="Q11628"/>
      <c r="R11628"/>
      <c r="S11628"/>
    </row>
    <row r="11629" spans="13:19" ht="13.95" customHeight="1">
      <c r="M11629"/>
      <c r="N11629"/>
      <c r="O11629"/>
      <c r="P11629"/>
      <c r="Q11629"/>
      <c r="R11629"/>
      <c r="S11629"/>
    </row>
    <row r="11630" spans="13:19" ht="13.95" customHeight="1">
      <c r="M11630"/>
      <c r="N11630"/>
      <c r="O11630"/>
      <c r="P11630"/>
      <c r="Q11630"/>
      <c r="R11630"/>
      <c r="S11630"/>
    </row>
    <row r="11631" spans="13:19" ht="13.95" customHeight="1">
      <c r="M11631"/>
      <c r="N11631"/>
      <c r="O11631"/>
      <c r="P11631"/>
      <c r="Q11631"/>
      <c r="R11631"/>
      <c r="S11631"/>
    </row>
    <row r="11632" spans="13:19" ht="13.95" customHeight="1">
      <c r="M11632"/>
      <c r="N11632"/>
      <c r="O11632"/>
      <c r="P11632"/>
      <c r="Q11632"/>
      <c r="R11632"/>
      <c r="S11632"/>
    </row>
    <row r="11633" spans="13:19" ht="13.95" customHeight="1">
      <c r="M11633"/>
      <c r="N11633"/>
      <c r="O11633"/>
      <c r="P11633"/>
      <c r="Q11633"/>
      <c r="R11633"/>
      <c r="S11633"/>
    </row>
    <row r="11634" spans="13:19" ht="13.95" customHeight="1">
      <c r="M11634"/>
      <c r="N11634"/>
      <c r="O11634"/>
      <c r="P11634"/>
      <c r="Q11634"/>
      <c r="R11634"/>
      <c r="S11634"/>
    </row>
    <row r="11635" spans="13:19" ht="13.95" customHeight="1">
      <c r="M11635"/>
      <c r="N11635"/>
      <c r="O11635"/>
      <c r="P11635"/>
      <c r="Q11635"/>
      <c r="R11635"/>
      <c r="S11635"/>
    </row>
    <row r="11636" spans="13:19" ht="13.95" customHeight="1">
      <c r="M11636"/>
      <c r="N11636"/>
      <c r="O11636"/>
      <c r="P11636"/>
      <c r="Q11636"/>
      <c r="R11636"/>
      <c r="S11636"/>
    </row>
    <row r="11637" spans="13:19" ht="13.95" customHeight="1">
      <c r="M11637"/>
      <c r="N11637"/>
      <c r="O11637"/>
      <c r="P11637"/>
      <c r="Q11637"/>
      <c r="R11637"/>
      <c r="S11637"/>
    </row>
    <row r="11638" spans="13:19" ht="13.95" customHeight="1">
      <c r="M11638"/>
      <c r="N11638"/>
      <c r="O11638"/>
      <c r="P11638"/>
      <c r="Q11638"/>
      <c r="R11638"/>
      <c r="S11638"/>
    </row>
    <row r="11639" spans="13:19" ht="13.95" customHeight="1">
      <c r="M11639"/>
      <c r="N11639"/>
      <c r="O11639"/>
      <c r="P11639"/>
      <c r="Q11639"/>
      <c r="R11639"/>
      <c r="S11639"/>
    </row>
    <row r="11640" spans="13:19" ht="13.95" customHeight="1">
      <c r="M11640"/>
      <c r="N11640"/>
      <c r="O11640"/>
      <c r="P11640"/>
      <c r="Q11640"/>
      <c r="R11640"/>
      <c r="S11640"/>
    </row>
    <row r="11641" spans="13:19" ht="13.95" customHeight="1">
      <c r="M11641"/>
      <c r="N11641"/>
      <c r="O11641"/>
      <c r="P11641"/>
      <c r="Q11641"/>
      <c r="R11641"/>
      <c r="S11641"/>
    </row>
    <row r="11642" spans="13:19" ht="13.95" customHeight="1">
      <c r="M11642"/>
      <c r="N11642"/>
      <c r="O11642"/>
      <c r="P11642"/>
      <c r="Q11642"/>
      <c r="R11642"/>
      <c r="S11642"/>
    </row>
    <row r="11643" spans="13:19" ht="13.95" customHeight="1">
      <c r="M11643"/>
      <c r="N11643"/>
      <c r="O11643"/>
      <c r="P11643"/>
      <c r="Q11643"/>
      <c r="R11643"/>
      <c r="S11643"/>
    </row>
    <row r="11644" spans="13:19" ht="13.95" customHeight="1">
      <c r="M11644"/>
      <c r="N11644"/>
      <c r="O11644"/>
      <c r="P11644"/>
      <c r="Q11644"/>
      <c r="R11644"/>
      <c r="S11644"/>
    </row>
    <row r="11645" spans="13:19" ht="13.95" customHeight="1">
      <c r="M11645"/>
      <c r="N11645"/>
      <c r="O11645"/>
      <c r="P11645"/>
      <c r="Q11645"/>
      <c r="R11645"/>
      <c r="S11645"/>
    </row>
    <row r="11646" spans="13:19" ht="13.95" customHeight="1">
      <c r="M11646"/>
      <c r="N11646"/>
      <c r="O11646"/>
      <c r="P11646"/>
      <c r="Q11646"/>
      <c r="R11646"/>
      <c r="S11646"/>
    </row>
    <row r="11647" spans="13:19" ht="13.95" customHeight="1">
      <c r="M11647"/>
      <c r="N11647"/>
      <c r="O11647"/>
      <c r="P11647"/>
      <c r="Q11647"/>
      <c r="R11647"/>
      <c r="S11647"/>
    </row>
    <row r="11648" spans="13:19" ht="13.95" customHeight="1">
      <c r="M11648"/>
      <c r="N11648"/>
      <c r="O11648"/>
      <c r="P11648"/>
      <c r="Q11648"/>
      <c r="R11648"/>
      <c r="S11648"/>
    </row>
    <row r="11649" spans="13:19" ht="13.95" customHeight="1">
      <c r="M11649"/>
      <c r="N11649"/>
      <c r="O11649"/>
      <c r="P11649"/>
      <c r="Q11649"/>
      <c r="R11649"/>
      <c r="S11649"/>
    </row>
    <row r="11650" spans="13:19" ht="13.95" customHeight="1">
      <c r="M11650"/>
      <c r="N11650"/>
      <c r="O11650"/>
      <c r="P11650"/>
      <c r="Q11650"/>
      <c r="R11650"/>
      <c r="S11650"/>
    </row>
    <row r="11651" spans="13:19" ht="13.95" customHeight="1">
      <c r="M11651"/>
      <c r="N11651"/>
      <c r="O11651"/>
      <c r="P11651"/>
      <c r="Q11651"/>
      <c r="R11651"/>
      <c r="S11651"/>
    </row>
    <row r="11652" spans="13:19" ht="13.95" customHeight="1">
      <c r="M11652"/>
      <c r="N11652"/>
      <c r="O11652"/>
      <c r="P11652"/>
      <c r="Q11652"/>
      <c r="R11652"/>
      <c r="S11652"/>
    </row>
    <row r="11653" spans="13:19" ht="13.95" customHeight="1">
      <c r="M11653"/>
      <c r="N11653"/>
      <c r="O11653"/>
      <c r="P11653"/>
      <c r="Q11653"/>
      <c r="R11653"/>
      <c r="S11653"/>
    </row>
    <row r="11654" spans="13:19" ht="13.95" customHeight="1">
      <c r="M11654"/>
      <c r="N11654"/>
      <c r="O11654"/>
      <c r="P11654"/>
      <c r="Q11654"/>
      <c r="R11654"/>
      <c r="S11654"/>
    </row>
    <row r="11655" spans="13:19" ht="13.95" customHeight="1">
      <c r="M11655"/>
      <c r="N11655"/>
      <c r="O11655"/>
      <c r="P11655"/>
      <c r="Q11655"/>
      <c r="R11655"/>
      <c r="S11655"/>
    </row>
    <row r="11656" spans="13:19" ht="13.95" customHeight="1">
      <c r="M11656"/>
      <c r="N11656"/>
      <c r="O11656"/>
      <c r="P11656"/>
      <c r="Q11656"/>
      <c r="R11656"/>
      <c r="S11656"/>
    </row>
    <row r="11657" spans="13:19" ht="13.95" customHeight="1">
      <c r="M11657"/>
      <c r="N11657"/>
      <c r="O11657"/>
      <c r="P11657"/>
      <c r="Q11657"/>
      <c r="R11657"/>
      <c r="S11657"/>
    </row>
    <row r="11658" spans="13:19" ht="13.95" customHeight="1">
      <c r="M11658"/>
      <c r="N11658"/>
      <c r="O11658"/>
      <c r="P11658"/>
      <c r="Q11658"/>
      <c r="R11658"/>
      <c r="S11658"/>
    </row>
    <row r="11659" spans="13:19" ht="13.95" customHeight="1">
      <c r="M11659"/>
      <c r="N11659"/>
      <c r="O11659"/>
      <c r="P11659"/>
      <c r="Q11659"/>
      <c r="R11659"/>
      <c r="S11659"/>
    </row>
    <row r="11660" spans="13:19" ht="13.95" customHeight="1">
      <c r="M11660"/>
      <c r="N11660"/>
      <c r="O11660"/>
      <c r="P11660"/>
      <c r="Q11660"/>
      <c r="R11660"/>
      <c r="S11660"/>
    </row>
    <row r="11661" spans="13:19" ht="13.95" customHeight="1">
      <c r="M11661"/>
      <c r="N11661"/>
      <c r="O11661"/>
      <c r="P11661"/>
      <c r="Q11661"/>
      <c r="R11661"/>
      <c r="S11661"/>
    </row>
    <row r="11662" spans="13:19" ht="13.95" customHeight="1">
      <c r="M11662"/>
      <c r="N11662"/>
      <c r="O11662"/>
      <c r="P11662"/>
      <c r="Q11662"/>
      <c r="R11662"/>
      <c r="S11662"/>
    </row>
    <row r="11663" spans="13:19" ht="13.95" customHeight="1">
      <c r="M11663"/>
      <c r="N11663"/>
      <c r="O11663"/>
      <c r="P11663"/>
      <c r="Q11663"/>
      <c r="R11663"/>
      <c r="S11663"/>
    </row>
    <row r="11664" spans="13:19" ht="13.95" customHeight="1">
      <c r="M11664"/>
      <c r="N11664"/>
      <c r="O11664"/>
      <c r="P11664"/>
      <c r="Q11664"/>
      <c r="R11664"/>
      <c r="S11664"/>
    </row>
    <row r="11665" spans="13:19" ht="13.95" customHeight="1">
      <c r="M11665"/>
      <c r="N11665"/>
      <c r="O11665"/>
      <c r="P11665"/>
      <c r="Q11665"/>
      <c r="R11665"/>
      <c r="S11665"/>
    </row>
    <row r="11666" spans="13:19" ht="13.95" customHeight="1">
      <c r="M11666"/>
      <c r="N11666"/>
      <c r="O11666"/>
      <c r="P11666"/>
      <c r="Q11666"/>
      <c r="R11666"/>
      <c r="S11666"/>
    </row>
    <row r="11667" spans="13:19" ht="13.95" customHeight="1">
      <c r="M11667"/>
      <c r="N11667"/>
      <c r="O11667"/>
      <c r="P11667"/>
      <c r="Q11667"/>
      <c r="R11667"/>
      <c r="S11667"/>
    </row>
    <row r="11668" spans="13:19" ht="13.95" customHeight="1">
      <c r="M11668"/>
      <c r="N11668"/>
      <c r="O11668"/>
      <c r="P11668"/>
      <c r="Q11668"/>
      <c r="R11668"/>
      <c r="S11668"/>
    </row>
    <row r="11669" spans="13:19" ht="13.95" customHeight="1">
      <c r="M11669"/>
      <c r="N11669"/>
      <c r="O11669"/>
      <c r="P11669"/>
      <c r="Q11669"/>
      <c r="R11669"/>
      <c r="S11669"/>
    </row>
    <row r="11670" spans="13:19" ht="13.95" customHeight="1">
      <c r="M11670"/>
      <c r="N11670"/>
      <c r="O11670"/>
      <c r="P11670"/>
      <c r="Q11670"/>
      <c r="R11670"/>
      <c r="S11670"/>
    </row>
    <row r="11671" spans="13:19" ht="13.95" customHeight="1">
      <c r="M11671"/>
      <c r="N11671"/>
      <c r="O11671"/>
      <c r="P11671"/>
      <c r="Q11671"/>
      <c r="R11671"/>
      <c r="S11671"/>
    </row>
    <row r="11672" spans="13:19" ht="13.95" customHeight="1">
      <c r="M11672"/>
      <c r="N11672"/>
      <c r="O11672"/>
      <c r="P11672"/>
      <c r="Q11672"/>
      <c r="R11672"/>
      <c r="S11672"/>
    </row>
    <row r="11673" spans="13:19" ht="13.95" customHeight="1">
      <c r="M11673"/>
      <c r="N11673"/>
      <c r="O11673"/>
      <c r="P11673"/>
      <c r="Q11673"/>
      <c r="R11673"/>
      <c r="S11673"/>
    </row>
    <row r="11674" spans="13:19" ht="13.95" customHeight="1">
      <c r="M11674"/>
      <c r="N11674"/>
      <c r="O11674"/>
      <c r="P11674"/>
      <c r="Q11674"/>
      <c r="R11674"/>
      <c r="S11674"/>
    </row>
    <row r="11675" spans="13:19" ht="13.95" customHeight="1">
      <c r="M11675"/>
      <c r="N11675"/>
      <c r="O11675"/>
      <c r="P11675"/>
      <c r="Q11675"/>
      <c r="R11675"/>
      <c r="S11675"/>
    </row>
    <row r="11676" spans="13:19" ht="13.95" customHeight="1">
      <c r="M11676"/>
      <c r="N11676"/>
      <c r="O11676"/>
      <c r="P11676"/>
      <c r="Q11676"/>
      <c r="R11676"/>
      <c r="S11676"/>
    </row>
    <row r="11677" spans="13:19" ht="13.95" customHeight="1">
      <c r="M11677"/>
      <c r="N11677"/>
      <c r="O11677"/>
      <c r="P11677"/>
      <c r="Q11677"/>
      <c r="R11677"/>
      <c r="S11677"/>
    </row>
    <row r="11678" spans="13:19" ht="13.95" customHeight="1">
      <c r="M11678"/>
      <c r="N11678"/>
      <c r="O11678"/>
      <c r="P11678"/>
      <c r="Q11678"/>
      <c r="R11678"/>
      <c r="S11678"/>
    </row>
    <row r="11679" spans="13:19" ht="13.95" customHeight="1">
      <c r="M11679"/>
      <c r="N11679"/>
      <c r="O11679"/>
      <c r="P11679"/>
      <c r="Q11679"/>
      <c r="R11679"/>
      <c r="S11679"/>
    </row>
    <row r="11680" spans="13:19" ht="13.95" customHeight="1">
      <c r="M11680"/>
      <c r="N11680"/>
      <c r="O11680"/>
      <c r="P11680"/>
      <c r="Q11680"/>
      <c r="R11680"/>
      <c r="S11680"/>
    </row>
    <row r="11681" spans="13:19" ht="13.95" customHeight="1">
      <c r="M11681"/>
      <c r="N11681"/>
      <c r="O11681"/>
      <c r="P11681"/>
      <c r="Q11681"/>
      <c r="R11681"/>
      <c r="S11681"/>
    </row>
    <row r="11682" spans="13:19" ht="13.95" customHeight="1">
      <c r="M11682"/>
      <c r="N11682"/>
      <c r="O11682"/>
      <c r="P11682"/>
      <c r="Q11682"/>
      <c r="R11682"/>
      <c r="S11682"/>
    </row>
    <row r="11683" spans="13:19" ht="13.95" customHeight="1">
      <c r="M11683"/>
      <c r="N11683"/>
      <c r="O11683"/>
      <c r="P11683"/>
      <c r="Q11683"/>
      <c r="R11683"/>
      <c r="S11683"/>
    </row>
    <row r="11684" spans="13:19" ht="13.95" customHeight="1">
      <c r="M11684"/>
      <c r="N11684"/>
      <c r="O11684"/>
      <c r="P11684"/>
      <c r="Q11684"/>
      <c r="R11684"/>
      <c r="S11684"/>
    </row>
    <row r="11685" spans="13:19" ht="13.95" customHeight="1">
      <c r="M11685"/>
      <c r="N11685"/>
      <c r="O11685"/>
      <c r="P11685"/>
      <c r="Q11685"/>
      <c r="R11685"/>
      <c r="S11685"/>
    </row>
    <row r="11686" spans="13:19" ht="13.95" customHeight="1">
      <c r="M11686"/>
      <c r="N11686"/>
      <c r="O11686"/>
      <c r="P11686"/>
      <c r="Q11686"/>
      <c r="R11686"/>
      <c r="S11686"/>
    </row>
    <row r="11687" spans="13:19" ht="13.95" customHeight="1">
      <c r="M11687"/>
      <c r="N11687"/>
      <c r="O11687"/>
      <c r="P11687"/>
      <c r="Q11687"/>
      <c r="R11687"/>
      <c r="S11687"/>
    </row>
    <row r="11688" spans="13:19" ht="13.95" customHeight="1">
      <c r="M11688"/>
      <c r="N11688"/>
      <c r="O11688"/>
      <c r="P11688"/>
      <c r="Q11688"/>
      <c r="R11688"/>
      <c r="S11688"/>
    </row>
    <row r="11689" spans="13:19" ht="13.95" customHeight="1">
      <c r="M11689"/>
      <c r="N11689"/>
      <c r="O11689"/>
      <c r="P11689"/>
      <c r="Q11689"/>
      <c r="R11689"/>
      <c r="S11689"/>
    </row>
    <row r="11690" spans="13:19" ht="13.95" customHeight="1">
      <c r="M11690"/>
      <c r="N11690"/>
      <c r="O11690"/>
      <c r="P11690"/>
      <c r="Q11690"/>
      <c r="R11690"/>
      <c r="S11690"/>
    </row>
    <row r="11691" spans="13:19" ht="13.95" customHeight="1">
      <c r="M11691"/>
      <c r="N11691"/>
      <c r="O11691"/>
      <c r="P11691"/>
      <c r="Q11691"/>
      <c r="R11691"/>
      <c r="S11691"/>
    </row>
    <row r="11692" spans="13:19" ht="13.95" customHeight="1">
      <c r="M11692"/>
      <c r="N11692"/>
      <c r="O11692"/>
      <c r="P11692"/>
      <c r="Q11692"/>
      <c r="R11692"/>
      <c r="S11692"/>
    </row>
    <row r="11693" spans="13:19" ht="13.95" customHeight="1">
      <c r="M11693"/>
      <c r="N11693"/>
      <c r="O11693"/>
      <c r="P11693"/>
      <c r="Q11693"/>
      <c r="R11693"/>
      <c r="S11693"/>
    </row>
    <row r="11694" spans="13:19" ht="13.95" customHeight="1">
      <c r="M11694"/>
      <c r="N11694"/>
      <c r="O11694"/>
      <c r="P11694"/>
      <c r="Q11694"/>
      <c r="R11694"/>
      <c r="S11694"/>
    </row>
    <row r="11695" spans="13:19" ht="13.95" customHeight="1">
      <c r="M11695"/>
      <c r="N11695"/>
      <c r="O11695"/>
      <c r="P11695"/>
      <c r="Q11695"/>
      <c r="R11695"/>
      <c r="S11695"/>
    </row>
    <row r="11696" spans="13:19" ht="13.95" customHeight="1">
      <c r="M11696"/>
      <c r="N11696"/>
      <c r="O11696"/>
      <c r="P11696"/>
      <c r="Q11696"/>
      <c r="R11696"/>
      <c r="S11696"/>
    </row>
    <row r="11697" spans="13:19" ht="13.95" customHeight="1">
      <c r="M11697"/>
      <c r="N11697"/>
      <c r="O11697"/>
      <c r="P11697"/>
      <c r="Q11697"/>
      <c r="R11697"/>
      <c r="S11697"/>
    </row>
    <row r="11698" spans="13:19" ht="13.95" customHeight="1">
      <c r="M11698"/>
      <c r="N11698"/>
      <c r="O11698"/>
      <c r="P11698"/>
      <c r="Q11698"/>
      <c r="R11698"/>
      <c r="S11698"/>
    </row>
    <row r="11699" spans="13:19" ht="13.95" customHeight="1">
      <c r="M11699"/>
      <c r="N11699"/>
      <c r="O11699"/>
      <c r="P11699"/>
      <c r="Q11699"/>
      <c r="R11699"/>
      <c r="S11699"/>
    </row>
    <row r="11700" spans="13:19" ht="13.95" customHeight="1">
      <c r="M11700"/>
      <c r="N11700"/>
      <c r="O11700"/>
      <c r="P11700"/>
      <c r="Q11700"/>
      <c r="R11700"/>
      <c r="S11700"/>
    </row>
    <row r="11701" spans="13:19" ht="13.95" customHeight="1">
      <c r="M11701"/>
      <c r="N11701"/>
      <c r="O11701"/>
      <c r="P11701"/>
      <c r="Q11701"/>
      <c r="R11701"/>
      <c r="S11701"/>
    </row>
    <row r="11702" spans="13:19" ht="13.95" customHeight="1">
      <c r="M11702"/>
      <c r="N11702"/>
      <c r="O11702"/>
      <c r="P11702"/>
      <c r="Q11702"/>
      <c r="R11702"/>
      <c r="S11702"/>
    </row>
    <row r="11703" spans="13:19" ht="13.95" customHeight="1">
      <c r="M11703"/>
      <c r="N11703"/>
      <c r="O11703"/>
      <c r="P11703"/>
      <c r="Q11703"/>
      <c r="R11703"/>
      <c r="S11703"/>
    </row>
    <row r="11704" spans="13:19" ht="13.95" customHeight="1">
      <c r="M11704"/>
      <c r="N11704"/>
      <c r="O11704"/>
      <c r="P11704"/>
      <c r="Q11704"/>
      <c r="R11704"/>
      <c r="S11704"/>
    </row>
    <row r="11705" spans="13:19" ht="13.95" customHeight="1">
      <c r="M11705"/>
      <c r="N11705"/>
      <c r="O11705"/>
      <c r="P11705"/>
      <c r="Q11705"/>
      <c r="R11705"/>
      <c r="S11705"/>
    </row>
    <row r="11706" spans="13:19" ht="13.95" customHeight="1">
      <c r="M11706"/>
      <c r="N11706"/>
      <c r="O11706"/>
      <c r="P11706"/>
      <c r="Q11706"/>
      <c r="R11706"/>
      <c r="S11706"/>
    </row>
    <row r="11707" spans="13:19" ht="13.95" customHeight="1">
      <c r="M11707"/>
      <c r="N11707"/>
      <c r="O11707"/>
      <c r="P11707"/>
      <c r="Q11707"/>
      <c r="R11707"/>
      <c r="S11707"/>
    </row>
    <row r="11708" spans="13:19" ht="13.95" customHeight="1">
      <c r="M11708"/>
      <c r="N11708"/>
      <c r="O11708"/>
      <c r="P11708"/>
      <c r="Q11708"/>
      <c r="R11708"/>
      <c r="S11708"/>
    </row>
    <row r="11709" spans="13:19" ht="13.95" customHeight="1">
      <c r="M11709"/>
      <c r="N11709"/>
      <c r="O11709"/>
      <c r="P11709"/>
      <c r="Q11709"/>
      <c r="R11709"/>
      <c r="S11709"/>
    </row>
    <row r="11710" spans="13:19" ht="13.95" customHeight="1">
      <c r="M11710"/>
      <c r="N11710"/>
      <c r="O11710"/>
      <c r="P11710"/>
      <c r="Q11710"/>
      <c r="R11710"/>
      <c r="S11710"/>
    </row>
    <row r="11711" spans="13:19" ht="13.95" customHeight="1">
      <c r="M11711"/>
      <c r="N11711"/>
      <c r="O11711"/>
      <c r="P11711"/>
      <c r="Q11711"/>
      <c r="R11711"/>
      <c r="S11711"/>
    </row>
    <row r="11712" spans="13:19" ht="13.95" customHeight="1">
      <c r="M11712"/>
      <c r="N11712"/>
      <c r="O11712"/>
      <c r="P11712"/>
      <c r="Q11712"/>
      <c r="R11712"/>
      <c r="S11712"/>
    </row>
    <row r="11713" spans="13:19" ht="13.95" customHeight="1">
      <c r="M11713"/>
      <c r="N11713"/>
      <c r="O11713"/>
      <c r="P11713"/>
      <c r="Q11713"/>
      <c r="R11713"/>
      <c r="S11713"/>
    </row>
    <row r="11714" spans="13:19" ht="13.95" customHeight="1">
      <c r="M11714"/>
      <c r="N11714"/>
      <c r="O11714"/>
      <c r="P11714"/>
      <c r="Q11714"/>
      <c r="R11714"/>
      <c r="S11714"/>
    </row>
    <row r="11715" spans="13:19" ht="13.95" customHeight="1">
      <c r="M11715"/>
      <c r="N11715"/>
      <c r="O11715"/>
      <c r="P11715"/>
      <c r="Q11715"/>
      <c r="R11715"/>
      <c r="S11715"/>
    </row>
    <row r="11716" spans="13:19" ht="13.95" customHeight="1">
      <c r="M11716"/>
      <c r="N11716"/>
      <c r="O11716"/>
      <c r="P11716"/>
      <c r="Q11716"/>
      <c r="R11716"/>
      <c r="S11716"/>
    </row>
    <row r="11717" spans="13:19" ht="13.95" customHeight="1">
      <c r="M11717"/>
      <c r="N11717"/>
      <c r="O11717"/>
      <c r="P11717"/>
      <c r="Q11717"/>
      <c r="R11717"/>
      <c r="S11717"/>
    </row>
    <row r="11718" spans="13:19" ht="13.95" customHeight="1">
      <c r="M11718"/>
      <c r="N11718"/>
      <c r="O11718"/>
      <c r="P11718"/>
      <c r="Q11718"/>
      <c r="R11718"/>
      <c r="S11718"/>
    </row>
    <row r="11719" spans="13:19" ht="13.95" customHeight="1">
      <c r="M11719"/>
      <c r="N11719"/>
      <c r="O11719"/>
      <c r="P11719"/>
      <c r="Q11719"/>
      <c r="R11719"/>
      <c r="S11719"/>
    </row>
    <row r="11720" spans="13:19" ht="13.95" customHeight="1">
      <c r="M11720"/>
      <c r="N11720"/>
      <c r="O11720"/>
      <c r="P11720"/>
      <c r="Q11720"/>
      <c r="R11720"/>
      <c r="S11720"/>
    </row>
    <row r="11721" spans="13:19" ht="13.95" customHeight="1">
      <c r="M11721"/>
      <c r="N11721"/>
      <c r="O11721"/>
      <c r="P11721"/>
      <c r="Q11721"/>
      <c r="R11721"/>
      <c r="S11721"/>
    </row>
    <row r="11722" spans="13:19" ht="13.95" customHeight="1">
      <c r="M11722"/>
      <c r="N11722"/>
      <c r="O11722"/>
      <c r="P11722"/>
      <c r="Q11722"/>
      <c r="R11722"/>
      <c r="S11722"/>
    </row>
    <row r="11723" spans="13:19" ht="13.95" customHeight="1">
      <c r="M11723"/>
      <c r="N11723"/>
      <c r="O11723"/>
      <c r="P11723"/>
      <c r="Q11723"/>
      <c r="R11723"/>
      <c r="S11723"/>
    </row>
    <row r="11724" spans="13:19" ht="13.95" customHeight="1">
      <c r="M11724"/>
      <c r="N11724"/>
      <c r="O11724"/>
      <c r="P11724"/>
      <c r="Q11724"/>
      <c r="R11724"/>
      <c r="S11724"/>
    </row>
    <row r="11725" spans="13:19" ht="13.95" customHeight="1">
      <c r="M11725"/>
      <c r="N11725"/>
      <c r="O11725"/>
      <c r="P11725"/>
      <c r="Q11725"/>
      <c r="R11725"/>
      <c r="S11725"/>
    </row>
    <row r="11726" spans="13:19" ht="13.95" customHeight="1">
      <c r="M11726"/>
      <c r="N11726"/>
      <c r="O11726"/>
      <c r="P11726"/>
      <c r="Q11726"/>
      <c r="R11726"/>
      <c r="S11726"/>
    </row>
    <row r="11727" spans="13:19" ht="13.95" customHeight="1">
      <c r="M11727"/>
      <c r="N11727"/>
      <c r="O11727"/>
      <c r="P11727"/>
      <c r="Q11727"/>
      <c r="R11727"/>
      <c r="S11727"/>
    </row>
    <row r="11728" spans="13:19" ht="13.95" customHeight="1">
      <c r="M11728"/>
      <c r="N11728"/>
      <c r="O11728"/>
      <c r="P11728"/>
      <c r="Q11728"/>
      <c r="R11728"/>
      <c r="S11728"/>
    </row>
    <row r="11729" spans="13:19" ht="13.95" customHeight="1">
      <c r="M11729"/>
      <c r="N11729"/>
      <c r="O11729"/>
      <c r="P11729"/>
      <c r="Q11729"/>
      <c r="R11729"/>
      <c r="S11729"/>
    </row>
    <row r="11730" spans="13:19" ht="13.95" customHeight="1">
      <c r="M11730"/>
      <c r="N11730"/>
      <c r="O11730"/>
      <c r="P11730"/>
      <c r="Q11730"/>
      <c r="R11730"/>
      <c r="S11730"/>
    </row>
    <row r="11731" spans="13:19" ht="13.95" customHeight="1">
      <c r="M11731"/>
      <c r="N11731"/>
      <c r="O11731"/>
      <c r="P11731"/>
      <c r="Q11731"/>
      <c r="R11731"/>
      <c r="S11731"/>
    </row>
    <row r="11732" spans="13:19" ht="13.95" customHeight="1">
      <c r="M11732"/>
      <c r="N11732"/>
      <c r="O11732"/>
      <c r="P11732"/>
      <c r="Q11732"/>
      <c r="R11732"/>
      <c r="S11732"/>
    </row>
    <row r="11733" spans="13:19" ht="13.95" customHeight="1">
      <c r="M11733"/>
      <c r="N11733"/>
      <c r="O11733"/>
      <c r="P11733"/>
      <c r="Q11733"/>
      <c r="R11733"/>
      <c r="S11733"/>
    </row>
    <row r="11734" spans="13:19" ht="13.95" customHeight="1">
      <c r="M11734"/>
      <c r="N11734"/>
      <c r="O11734"/>
      <c r="P11734"/>
      <c r="Q11734"/>
      <c r="R11734"/>
      <c r="S11734"/>
    </row>
    <row r="11735" spans="13:19" ht="13.95" customHeight="1">
      <c r="M11735"/>
      <c r="N11735"/>
      <c r="O11735"/>
      <c r="P11735"/>
      <c r="Q11735"/>
      <c r="R11735"/>
      <c r="S11735"/>
    </row>
    <row r="11736" spans="13:19" ht="13.95" customHeight="1">
      <c r="M11736"/>
      <c r="N11736"/>
      <c r="O11736"/>
      <c r="P11736"/>
      <c r="Q11736"/>
      <c r="R11736"/>
      <c r="S11736"/>
    </row>
    <row r="11737" spans="13:19" ht="13.95" customHeight="1">
      <c r="M11737"/>
      <c r="N11737"/>
      <c r="O11737"/>
      <c r="P11737"/>
      <c r="Q11737"/>
      <c r="R11737"/>
      <c r="S11737"/>
    </row>
    <row r="11738" spans="13:19" ht="13.95" customHeight="1">
      <c r="M11738"/>
      <c r="N11738"/>
      <c r="O11738"/>
      <c r="P11738"/>
      <c r="Q11738"/>
      <c r="R11738"/>
      <c r="S11738"/>
    </row>
    <row r="11739" spans="13:19" ht="13.95" customHeight="1">
      <c r="M11739"/>
      <c r="N11739"/>
      <c r="O11739"/>
      <c r="P11739"/>
      <c r="Q11739"/>
      <c r="R11739"/>
      <c r="S11739"/>
    </row>
    <row r="11740" spans="13:19" ht="13.95" customHeight="1">
      <c r="M11740"/>
      <c r="N11740"/>
      <c r="O11740"/>
      <c r="P11740"/>
      <c r="Q11740"/>
      <c r="R11740"/>
      <c r="S11740"/>
    </row>
    <row r="11741" spans="13:19" ht="13.95" customHeight="1">
      <c r="M11741"/>
      <c r="N11741"/>
      <c r="O11741"/>
      <c r="P11741"/>
      <c r="Q11741"/>
      <c r="R11741"/>
      <c r="S11741"/>
    </row>
    <row r="11742" spans="13:19" ht="13.95" customHeight="1">
      <c r="M11742"/>
      <c r="N11742"/>
      <c r="O11742"/>
      <c r="P11742"/>
      <c r="Q11742"/>
      <c r="R11742"/>
      <c r="S11742"/>
    </row>
    <row r="11743" spans="13:19" ht="13.95" customHeight="1">
      <c r="M11743"/>
      <c r="N11743"/>
      <c r="O11743"/>
      <c r="P11743"/>
      <c r="Q11743"/>
      <c r="R11743"/>
      <c r="S11743"/>
    </row>
    <row r="11744" spans="13:19" ht="13.95" customHeight="1">
      <c r="M11744"/>
      <c r="N11744"/>
      <c r="O11744"/>
      <c r="P11744"/>
      <c r="Q11744"/>
      <c r="R11744"/>
      <c r="S11744"/>
    </row>
    <row r="11745" spans="13:19" ht="13.95" customHeight="1">
      <c r="M11745"/>
      <c r="N11745"/>
      <c r="O11745"/>
      <c r="P11745"/>
      <c r="Q11745"/>
      <c r="R11745"/>
      <c r="S11745"/>
    </row>
    <row r="11746" spans="13:19" ht="13.95" customHeight="1">
      <c r="M11746"/>
      <c r="N11746"/>
      <c r="O11746"/>
      <c r="P11746"/>
      <c r="Q11746"/>
      <c r="R11746"/>
      <c r="S11746"/>
    </row>
    <row r="11747" spans="13:19" ht="13.95" customHeight="1">
      <c r="M11747"/>
      <c r="N11747"/>
      <c r="O11747"/>
      <c r="P11747"/>
      <c r="Q11747"/>
      <c r="R11747"/>
      <c r="S11747"/>
    </row>
    <row r="11748" spans="13:19" ht="13.95" customHeight="1">
      <c r="M11748"/>
      <c r="N11748"/>
      <c r="O11748"/>
      <c r="P11748"/>
      <c r="Q11748"/>
      <c r="R11748"/>
      <c r="S11748"/>
    </row>
    <row r="11749" spans="13:19" ht="13.95" customHeight="1">
      <c r="M11749"/>
      <c r="N11749"/>
      <c r="O11749"/>
      <c r="P11749"/>
      <c r="Q11749"/>
      <c r="R11749"/>
      <c r="S11749"/>
    </row>
    <row r="11750" spans="13:19" ht="13.95" customHeight="1">
      <c r="M11750"/>
      <c r="N11750"/>
      <c r="O11750"/>
      <c r="P11750"/>
      <c r="Q11750"/>
      <c r="R11750"/>
      <c r="S11750"/>
    </row>
    <row r="11751" spans="13:19" ht="13.95" customHeight="1">
      <c r="M11751"/>
      <c r="N11751"/>
      <c r="O11751"/>
      <c r="P11751"/>
      <c r="Q11751"/>
      <c r="R11751"/>
      <c r="S11751"/>
    </row>
    <row r="11752" spans="13:19" ht="13.95" customHeight="1">
      <c r="M11752"/>
      <c r="N11752"/>
      <c r="O11752"/>
      <c r="P11752"/>
      <c r="Q11752"/>
      <c r="R11752"/>
      <c r="S11752"/>
    </row>
    <row r="11753" spans="13:19" ht="13.95" customHeight="1">
      <c r="M11753"/>
      <c r="N11753"/>
      <c r="O11753"/>
      <c r="P11753"/>
      <c r="Q11753"/>
      <c r="R11753"/>
      <c r="S11753"/>
    </row>
    <row r="11754" spans="13:19" ht="13.95" customHeight="1">
      <c r="M11754"/>
      <c r="N11754"/>
      <c r="O11754"/>
      <c r="P11754"/>
      <c r="Q11754"/>
      <c r="R11754"/>
      <c r="S11754"/>
    </row>
    <row r="11755" spans="13:19" ht="13.95" customHeight="1">
      <c r="M11755"/>
      <c r="N11755"/>
      <c r="O11755"/>
      <c r="P11755"/>
      <c r="Q11755"/>
      <c r="R11755"/>
      <c r="S11755"/>
    </row>
    <row r="11756" spans="13:19" ht="13.95" customHeight="1">
      <c r="M11756"/>
      <c r="N11756"/>
      <c r="O11756"/>
      <c r="P11756"/>
      <c r="Q11756"/>
      <c r="R11756"/>
      <c r="S11756"/>
    </row>
    <row r="11757" spans="13:19" ht="13.95" customHeight="1">
      <c r="M11757"/>
      <c r="N11757"/>
      <c r="O11757"/>
      <c r="P11757"/>
      <c r="Q11757"/>
      <c r="R11757"/>
      <c r="S11757"/>
    </row>
    <row r="11758" spans="13:19" ht="13.95" customHeight="1">
      <c r="M11758"/>
      <c r="N11758"/>
      <c r="O11758"/>
      <c r="P11758"/>
      <c r="Q11758"/>
      <c r="R11758"/>
      <c r="S11758"/>
    </row>
    <row r="11759" spans="13:19" ht="13.95" customHeight="1">
      <c r="M11759"/>
      <c r="N11759"/>
      <c r="O11759"/>
      <c r="P11759"/>
      <c r="Q11759"/>
      <c r="R11759"/>
      <c r="S11759"/>
    </row>
    <row r="11760" spans="13:19" ht="13.95" customHeight="1">
      <c r="M11760"/>
      <c r="N11760"/>
      <c r="O11760"/>
      <c r="P11760"/>
      <c r="Q11760"/>
      <c r="R11760"/>
      <c r="S11760"/>
    </row>
    <row r="11761" spans="13:19" ht="13.95" customHeight="1">
      <c r="M11761"/>
      <c r="N11761"/>
      <c r="O11761"/>
      <c r="P11761"/>
      <c r="Q11761"/>
      <c r="R11761"/>
      <c r="S11761"/>
    </row>
    <row r="11762" spans="13:19" ht="13.95" customHeight="1">
      <c r="M11762"/>
      <c r="N11762"/>
      <c r="O11762"/>
      <c r="P11762"/>
      <c r="Q11762"/>
      <c r="R11762"/>
      <c r="S11762"/>
    </row>
    <row r="11763" spans="13:19" ht="13.95" customHeight="1">
      <c r="M11763"/>
      <c r="N11763"/>
      <c r="O11763"/>
      <c r="P11763"/>
      <c r="Q11763"/>
      <c r="R11763"/>
      <c r="S11763"/>
    </row>
    <row r="11764" spans="13:19" ht="13.95" customHeight="1">
      <c r="M11764"/>
      <c r="N11764"/>
      <c r="O11764"/>
      <c r="P11764"/>
      <c r="Q11764"/>
      <c r="R11764"/>
      <c r="S11764"/>
    </row>
    <row r="11765" spans="13:19" ht="13.95" customHeight="1">
      <c r="M11765"/>
      <c r="N11765"/>
      <c r="O11765"/>
      <c r="P11765"/>
      <c r="Q11765"/>
      <c r="R11765"/>
      <c r="S11765"/>
    </row>
    <row r="11766" spans="13:19" ht="13.95" customHeight="1">
      <c r="M11766"/>
      <c r="N11766"/>
      <c r="O11766"/>
      <c r="P11766"/>
      <c r="Q11766"/>
      <c r="R11766"/>
      <c r="S11766"/>
    </row>
    <row r="11767" spans="13:19" ht="13.95" customHeight="1">
      <c r="M11767"/>
      <c r="N11767"/>
      <c r="O11767"/>
      <c r="P11767"/>
      <c r="Q11767"/>
      <c r="R11767"/>
      <c r="S11767"/>
    </row>
    <row r="11768" spans="13:19" ht="13.95" customHeight="1">
      <c r="M11768"/>
      <c r="N11768"/>
      <c r="O11768"/>
      <c r="P11768"/>
      <c r="Q11768"/>
      <c r="R11768"/>
      <c r="S11768"/>
    </row>
    <row r="11769" spans="13:19" ht="13.95" customHeight="1">
      <c r="M11769"/>
      <c r="N11769"/>
      <c r="O11769"/>
      <c r="P11769"/>
      <c r="Q11769"/>
      <c r="R11769"/>
      <c r="S11769"/>
    </row>
    <row r="11770" spans="13:19" ht="13.95" customHeight="1">
      <c r="M11770"/>
      <c r="N11770"/>
      <c r="O11770"/>
      <c r="P11770"/>
      <c r="Q11770"/>
      <c r="R11770"/>
      <c r="S11770"/>
    </row>
    <row r="11771" spans="13:19" ht="13.95" customHeight="1">
      <c r="M11771"/>
      <c r="N11771"/>
      <c r="O11771"/>
      <c r="P11771"/>
      <c r="Q11771"/>
      <c r="R11771"/>
      <c r="S11771"/>
    </row>
    <row r="11772" spans="13:19" ht="13.95" customHeight="1">
      <c r="M11772"/>
      <c r="N11772"/>
      <c r="O11772"/>
      <c r="P11772"/>
      <c r="Q11772"/>
      <c r="R11772"/>
      <c r="S11772"/>
    </row>
    <row r="11773" spans="13:19" ht="13.95" customHeight="1">
      <c r="M11773"/>
      <c r="N11773"/>
      <c r="O11773"/>
      <c r="P11773"/>
      <c r="Q11773"/>
      <c r="R11773"/>
      <c r="S11773"/>
    </row>
    <row r="11774" spans="13:19" ht="13.95" customHeight="1">
      <c r="M11774"/>
      <c r="N11774"/>
      <c r="O11774"/>
      <c r="P11774"/>
      <c r="Q11774"/>
      <c r="R11774"/>
      <c r="S11774"/>
    </row>
    <row r="11775" spans="13:19" ht="13.95" customHeight="1">
      <c r="M11775"/>
      <c r="N11775"/>
      <c r="O11775"/>
      <c r="P11775"/>
      <c r="Q11775"/>
      <c r="R11775"/>
      <c r="S11775"/>
    </row>
    <row r="11776" spans="13:19" ht="13.95" customHeight="1">
      <c r="M11776"/>
      <c r="N11776"/>
      <c r="O11776"/>
      <c r="P11776"/>
      <c r="Q11776"/>
      <c r="R11776"/>
      <c r="S11776"/>
    </row>
    <row r="11777" spans="13:19" ht="13.95" customHeight="1">
      <c r="M11777"/>
      <c r="N11777"/>
      <c r="O11777"/>
      <c r="P11777"/>
      <c r="Q11777"/>
      <c r="R11777"/>
      <c r="S11777"/>
    </row>
    <row r="11778" spans="13:19" ht="13.95" customHeight="1">
      <c r="M11778"/>
      <c r="N11778"/>
      <c r="O11778"/>
      <c r="P11778"/>
      <c r="Q11778"/>
      <c r="R11778"/>
      <c r="S11778"/>
    </row>
    <row r="11779" spans="13:19" ht="13.95" customHeight="1">
      <c r="M11779"/>
      <c r="N11779"/>
      <c r="O11779"/>
      <c r="P11779"/>
      <c r="Q11779"/>
      <c r="R11779"/>
      <c r="S11779"/>
    </row>
    <row r="11780" spans="13:19" ht="13.95" customHeight="1">
      <c r="M11780"/>
      <c r="N11780"/>
      <c r="O11780"/>
      <c r="P11780"/>
      <c r="Q11780"/>
      <c r="R11780"/>
      <c r="S11780"/>
    </row>
    <row r="11781" spans="13:19" ht="13.95" customHeight="1">
      <c r="M11781"/>
      <c r="N11781"/>
      <c r="O11781"/>
      <c r="P11781"/>
      <c r="Q11781"/>
      <c r="R11781"/>
      <c r="S11781"/>
    </row>
    <row r="11782" spans="13:19" ht="13.95" customHeight="1">
      <c r="M11782"/>
      <c r="N11782"/>
      <c r="O11782"/>
      <c r="P11782"/>
      <c r="Q11782"/>
      <c r="R11782"/>
      <c r="S11782"/>
    </row>
    <row r="11783" spans="13:19" ht="13.95" customHeight="1">
      <c r="M11783"/>
      <c r="N11783"/>
      <c r="O11783"/>
      <c r="P11783"/>
      <c r="Q11783"/>
      <c r="R11783"/>
      <c r="S11783"/>
    </row>
    <row r="11784" spans="13:19" ht="13.95" customHeight="1">
      <c r="M11784"/>
      <c r="N11784"/>
      <c r="O11784"/>
      <c r="P11784"/>
      <c r="Q11784"/>
      <c r="R11784"/>
      <c r="S11784"/>
    </row>
    <row r="11785" spans="13:19" ht="13.95" customHeight="1">
      <c r="M11785"/>
      <c r="N11785"/>
      <c r="O11785"/>
      <c r="P11785"/>
      <c r="Q11785"/>
      <c r="R11785"/>
      <c r="S11785"/>
    </row>
    <row r="11786" spans="13:19" ht="13.95" customHeight="1">
      <c r="M11786"/>
      <c r="N11786"/>
      <c r="O11786"/>
      <c r="P11786"/>
      <c r="Q11786"/>
      <c r="R11786"/>
      <c r="S11786"/>
    </row>
    <row r="11787" spans="13:19" ht="13.95" customHeight="1">
      <c r="M11787"/>
      <c r="N11787"/>
      <c r="O11787"/>
      <c r="P11787"/>
      <c r="Q11787"/>
      <c r="R11787"/>
      <c r="S11787"/>
    </row>
    <row r="11788" spans="13:19" ht="13.95" customHeight="1">
      <c r="M11788"/>
      <c r="N11788"/>
      <c r="O11788"/>
      <c r="P11788"/>
      <c r="Q11788"/>
      <c r="R11788"/>
      <c r="S11788"/>
    </row>
    <row r="11789" spans="13:19" ht="13.95" customHeight="1">
      <c r="M11789"/>
      <c r="N11789"/>
      <c r="O11789"/>
      <c r="P11789"/>
      <c r="Q11789"/>
      <c r="R11789"/>
      <c r="S11789"/>
    </row>
    <row r="11790" spans="13:19" ht="13.95" customHeight="1">
      <c r="M11790"/>
      <c r="N11790"/>
      <c r="O11790"/>
      <c r="P11790"/>
      <c r="Q11790"/>
      <c r="R11790"/>
      <c r="S11790"/>
    </row>
    <row r="11791" spans="13:19" ht="13.95" customHeight="1">
      <c r="M11791"/>
      <c r="N11791"/>
      <c r="O11791"/>
      <c r="P11791"/>
      <c r="Q11791"/>
      <c r="R11791"/>
      <c r="S11791"/>
    </row>
    <row r="11792" spans="13:19" ht="13.95" customHeight="1">
      <c r="M11792"/>
      <c r="N11792"/>
      <c r="O11792"/>
      <c r="P11792"/>
      <c r="Q11792"/>
      <c r="R11792"/>
      <c r="S11792"/>
    </row>
    <row r="11793" spans="13:19" ht="13.95" customHeight="1">
      <c r="M11793"/>
      <c r="N11793"/>
      <c r="O11793"/>
      <c r="P11793"/>
      <c r="Q11793"/>
      <c r="R11793"/>
      <c r="S11793"/>
    </row>
    <row r="11794" spans="13:19" ht="13.95" customHeight="1">
      <c r="M11794"/>
      <c r="N11794"/>
      <c r="O11794"/>
      <c r="P11794"/>
      <c r="Q11794"/>
      <c r="R11794"/>
      <c r="S11794"/>
    </row>
    <row r="11795" spans="13:19" ht="13.95" customHeight="1">
      <c r="M11795"/>
      <c r="N11795"/>
      <c r="O11795"/>
      <c r="P11795"/>
      <c r="Q11795"/>
      <c r="R11795"/>
      <c r="S11795"/>
    </row>
    <row r="11796" spans="13:19" ht="13.95" customHeight="1">
      <c r="M11796"/>
      <c r="N11796"/>
      <c r="O11796"/>
      <c r="P11796"/>
      <c r="Q11796"/>
      <c r="R11796"/>
      <c r="S11796"/>
    </row>
    <row r="11797" spans="13:19" ht="13.95" customHeight="1">
      <c r="M11797"/>
      <c r="N11797"/>
      <c r="O11797"/>
      <c r="P11797"/>
      <c r="Q11797"/>
      <c r="R11797"/>
      <c r="S11797"/>
    </row>
    <row r="11798" spans="13:19" ht="13.95" customHeight="1">
      <c r="M11798"/>
      <c r="N11798"/>
      <c r="O11798"/>
      <c r="P11798"/>
      <c r="Q11798"/>
      <c r="R11798"/>
      <c r="S11798"/>
    </row>
    <row r="11799" spans="13:19" ht="13.95" customHeight="1">
      <c r="M11799"/>
      <c r="N11799"/>
      <c r="O11799"/>
      <c r="P11799"/>
      <c r="Q11799"/>
      <c r="R11799"/>
      <c r="S11799"/>
    </row>
    <row r="11800" spans="13:19" ht="13.95" customHeight="1">
      <c r="M11800"/>
      <c r="N11800"/>
      <c r="O11800"/>
      <c r="P11800"/>
      <c r="Q11800"/>
      <c r="R11800"/>
      <c r="S11800"/>
    </row>
    <row r="11801" spans="13:19" ht="13.95" customHeight="1">
      <c r="M11801"/>
      <c r="N11801"/>
      <c r="O11801"/>
      <c r="P11801"/>
      <c r="Q11801"/>
      <c r="R11801"/>
      <c r="S11801"/>
    </row>
    <row r="11802" spans="13:19" ht="13.95" customHeight="1">
      <c r="M11802"/>
      <c r="N11802"/>
      <c r="O11802"/>
      <c r="P11802"/>
      <c r="Q11802"/>
      <c r="R11802"/>
      <c r="S11802"/>
    </row>
    <row r="11803" spans="13:19" ht="13.95" customHeight="1">
      <c r="M11803"/>
      <c r="N11803"/>
      <c r="O11803"/>
      <c r="P11803"/>
      <c r="Q11803"/>
      <c r="R11803"/>
      <c r="S11803"/>
    </row>
    <row r="11804" spans="13:19" ht="13.95" customHeight="1">
      <c r="M11804"/>
      <c r="N11804"/>
      <c r="O11804"/>
      <c r="P11804"/>
      <c r="Q11804"/>
      <c r="R11804"/>
      <c r="S11804"/>
    </row>
    <row r="11805" spans="13:19" ht="13.95" customHeight="1">
      <c r="M11805"/>
      <c r="N11805"/>
      <c r="O11805"/>
      <c r="P11805"/>
      <c r="Q11805"/>
      <c r="R11805"/>
      <c r="S11805"/>
    </row>
    <row r="11806" spans="13:19" ht="13.95" customHeight="1">
      <c r="M11806"/>
      <c r="N11806"/>
      <c r="O11806"/>
      <c r="P11806"/>
      <c r="Q11806"/>
      <c r="R11806"/>
      <c r="S11806"/>
    </row>
    <row r="11807" spans="13:19" ht="13.95" customHeight="1">
      <c r="M11807"/>
      <c r="N11807"/>
      <c r="O11807"/>
      <c r="P11807"/>
      <c r="Q11807"/>
      <c r="R11807"/>
      <c r="S11807"/>
    </row>
    <row r="11808" spans="13:19" ht="13.95" customHeight="1">
      <c r="M11808"/>
      <c r="N11808"/>
      <c r="O11808"/>
      <c r="P11808"/>
      <c r="Q11808"/>
      <c r="R11808"/>
      <c r="S11808"/>
    </row>
    <row r="11809" spans="13:19" ht="13.95" customHeight="1">
      <c r="M11809"/>
      <c r="N11809"/>
      <c r="O11809"/>
      <c r="P11809"/>
      <c r="Q11809"/>
      <c r="R11809"/>
      <c r="S11809"/>
    </row>
    <row r="11810" spans="13:19" ht="13.95" customHeight="1">
      <c r="M11810"/>
      <c r="N11810"/>
      <c r="O11810"/>
      <c r="P11810"/>
      <c r="Q11810"/>
      <c r="R11810"/>
      <c r="S11810"/>
    </row>
    <row r="11811" spans="13:19" ht="13.95" customHeight="1">
      <c r="M11811"/>
      <c r="N11811"/>
      <c r="O11811"/>
      <c r="P11811"/>
      <c r="Q11811"/>
      <c r="R11811"/>
      <c r="S11811"/>
    </row>
    <row r="11812" spans="13:19" ht="13.95" customHeight="1">
      <c r="M11812"/>
      <c r="N11812"/>
      <c r="O11812"/>
      <c r="P11812"/>
      <c r="Q11812"/>
      <c r="R11812"/>
      <c r="S11812"/>
    </row>
    <row r="11813" spans="13:19" ht="13.95" customHeight="1">
      <c r="M11813"/>
      <c r="N11813"/>
      <c r="O11813"/>
      <c r="P11813"/>
      <c r="Q11813"/>
      <c r="R11813"/>
      <c r="S11813"/>
    </row>
    <row r="11814" spans="13:19" ht="13.95" customHeight="1">
      <c r="M11814"/>
      <c r="N11814"/>
      <c r="O11814"/>
      <c r="P11814"/>
      <c r="Q11814"/>
      <c r="R11814"/>
      <c r="S11814"/>
    </row>
    <row r="11815" spans="13:19" ht="13.95" customHeight="1">
      <c r="M11815"/>
      <c r="N11815"/>
      <c r="O11815"/>
      <c r="P11815"/>
      <c r="Q11815"/>
      <c r="R11815"/>
      <c r="S11815"/>
    </row>
    <row r="11816" spans="13:19" ht="13.95" customHeight="1">
      <c r="M11816"/>
      <c r="N11816"/>
      <c r="O11816"/>
      <c r="P11816"/>
      <c r="Q11816"/>
      <c r="R11816"/>
      <c r="S11816"/>
    </row>
    <row r="11817" spans="13:19" ht="13.95" customHeight="1">
      <c r="M11817"/>
      <c r="N11817"/>
      <c r="O11817"/>
      <c r="P11817"/>
      <c r="Q11817"/>
      <c r="R11817"/>
      <c r="S11817"/>
    </row>
    <row r="11818" spans="13:19" ht="13.95" customHeight="1">
      <c r="M11818"/>
      <c r="N11818"/>
      <c r="O11818"/>
      <c r="P11818"/>
      <c r="Q11818"/>
      <c r="R11818"/>
      <c r="S11818"/>
    </row>
    <row r="11819" spans="13:19" ht="13.95" customHeight="1">
      <c r="M11819"/>
      <c r="N11819"/>
      <c r="O11819"/>
      <c r="P11819"/>
      <c r="Q11819"/>
      <c r="R11819"/>
      <c r="S11819"/>
    </row>
    <row r="11820" spans="13:19" ht="13.95" customHeight="1">
      <c r="M11820"/>
      <c r="N11820"/>
      <c r="O11820"/>
      <c r="P11820"/>
      <c r="Q11820"/>
      <c r="R11820"/>
      <c r="S11820"/>
    </row>
    <row r="11821" spans="13:19" ht="13.95" customHeight="1">
      <c r="M11821"/>
      <c r="N11821"/>
      <c r="O11821"/>
      <c r="P11821"/>
      <c r="Q11821"/>
      <c r="R11821"/>
      <c r="S11821"/>
    </row>
    <row r="11822" spans="13:19" ht="13.95" customHeight="1">
      <c r="M11822"/>
      <c r="N11822"/>
      <c r="O11822"/>
      <c r="P11822"/>
      <c r="Q11822"/>
      <c r="R11822"/>
      <c r="S11822"/>
    </row>
    <row r="11823" spans="13:19" ht="13.95" customHeight="1">
      <c r="M11823"/>
      <c r="N11823"/>
      <c r="O11823"/>
      <c r="P11823"/>
      <c r="Q11823"/>
      <c r="R11823"/>
      <c r="S11823"/>
    </row>
    <row r="11824" spans="13:19" ht="13.95" customHeight="1">
      <c r="M11824"/>
      <c r="N11824"/>
      <c r="O11824"/>
      <c r="P11824"/>
      <c r="Q11824"/>
      <c r="R11824"/>
      <c r="S11824"/>
    </row>
    <row r="11825" spans="13:19" ht="13.95" customHeight="1">
      <c r="M11825"/>
      <c r="N11825"/>
      <c r="O11825"/>
      <c r="P11825"/>
      <c r="Q11825"/>
      <c r="R11825"/>
      <c r="S11825"/>
    </row>
    <row r="11826" spans="13:19" ht="13.95" customHeight="1">
      <c r="M11826"/>
      <c r="N11826"/>
      <c r="O11826"/>
      <c r="P11826"/>
      <c r="Q11826"/>
      <c r="R11826"/>
      <c r="S11826"/>
    </row>
    <row r="11827" spans="13:19" ht="13.95" customHeight="1">
      <c r="M11827"/>
      <c r="N11827"/>
      <c r="O11827"/>
      <c r="P11827"/>
      <c r="Q11827"/>
      <c r="R11827"/>
      <c r="S11827"/>
    </row>
    <row r="11828" spans="13:19" ht="13.95" customHeight="1">
      <c r="M11828"/>
      <c r="N11828"/>
      <c r="O11828"/>
      <c r="P11828"/>
      <c r="Q11828"/>
      <c r="R11828"/>
      <c r="S11828"/>
    </row>
    <row r="11829" spans="13:19" ht="13.95" customHeight="1">
      <c r="M11829"/>
      <c r="N11829"/>
      <c r="O11829"/>
      <c r="P11829"/>
      <c r="Q11829"/>
      <c r="R11829"/>
      <c r="S11829"/>
    </row>
    <row r="11830" spans="13:19" ht="13.95" customHeight="1">
      <c r="M11830"/>
      <c r="N11830"/>
      <c r="O11830"/>
      <c r="P11830"/>
      <c r="Q11830"/>
      <c r="R11830"/>
      <c r="S11830"/>
    </row>
    <row r="11831" spans="13:19" ht="13.95" customHeight="1">
      <c r="M11831"/>
      <c r="N11831"/>
      <c r="O11831"/>
      <c r="P11831"/>
      <c r="Q11831"/>
      <c r="R11831"/>
      <c r="S11831"/>
    </row>
    <row r="11832" spans="13:19" ht="13.95" customHeight="1">
      <c r="M11832"/>
      <c r="N11832"/>
      <c r="O11832"/>
      <c r="P11832"/>
      <c r="Q11832"/>
      <c r="R11832"/>
      <c r="S11832"/>
    </row>
    <row r="11833" spans="13:19" ht="13.95" customHeight="1">
      <c r="M11833"/>
      <c r="N11833"/>
      <c r="O11833"/>
      <c r="P11833"/>
      <c r="Q11833"/>
      <c r="R11833"/>
      <c r="S11833"/>
    </row>
    <row r="11834" spans="13:19" ht="13.95" customHeight="1">
      <c r="M11834"/>
      <c r="N11834"/>
      <c r="O11834"/>
      <c r="P11834"/>
      <c r="Q11834"/>
      <c r="R11834"/>
      <c r="S11834"/>
    </row>
    <row r="11835" spans="13:19" ht="13.95" customHeight="1">
      <c r="M11835"/>
      <c r="N11835"/>
      <c r="O11835"/>
      <c r="P11835"/>
      <c r="Q11835"/>
      <c r="R11835"/>
      <c r="S11835"/>
    </row>
    <row r="11836" spans="13:19" ht="13.95" customHeight="1">
      <c r="M11836"/>
      <c r="N11836"/>
      <c r="O11836"/>
      <c r="P11836"/>
      <c r="Q11836"/>
      <c r="R11836"/>
      <c r="S11836"/>
    </row>
    <row r="11837" spans="13:19" ht="13.95" customHeight="1">
      <c r="M11837"/>
      <c r="N11837"/>
      <c r="O11837"/>
      <c r="P11837"/>
      <c r="Q11837"/>
      <c r="R11837"/>
      <c r="S11837"/>
    </row>
    <row r="11838" spans="13:19" ht="13.95" customHeight="1">
      <c r="M11838"/>
      <c r="N11838"/>
      <c r="O11838"/>
      <c r="P11838"/>
      <c r="Q11838"/>
      <c r="R11838"/>
      <c r="S11838"/>
    </row>
    <row r="11839" spans="13:19" ht="13.95" customHeight="1">
      <c r="M11839"/>
      <c r="N11839"/>
      <c r="O11839"/>
      <c r="P11839"/>
      <c r="Q11839"/>
      <c r="R11839"/>
      <c r="S11839"/>
    </row>
    <row r="11840" spans="13:19" ht="13.95" customHeight="1">
      <c r="M11840"/>
      <c r="N11840"/>
      <c r="O11840"/>
      <c r="P11840"/>
      <c r="Q11840"/>
      <c r="R11840"/>
      <c r="S11840"/>
    </row>
    <row r="11841" spans="13:19" ht="13.95" customHeight="1">
      <c r="M11841"/>
      <c r="N11841"/>
      <c r="O11841"/>
      <c r="P11841"/>
      <c r="Q11841"/>
      <c r="R11841"/>
      <c r="S11841"/>
    </row>
    <row r="11842" spans="13:19" ht="13.95" customHeight="1">
      <c r="M11842"/>
      <c r="N11842"/>
      <c r="O11842"/>
      <c r="P11842"/>
      <c r="Q11842"/>
      <c r="R11842"/>
      <c r="S11842"/>
    </row>
    <row r="11843" spans="13:19" ht="13.95" customHeight="1">
      <c r="M11843"/>
      <c r="N11843"/>
      <c r="O11843"/>
      <c r="P11843"/>
      <c r="Q11843"/>
      <c r="R11843"/>
      <c r="S11843"/>
    </row>
    <row r="11844" spans="13:19" ht="13.95" customHeight="1">
      <c r="M11844"/>
      <c r="N11844"/>
      <c r="O11844"/>
      <c r="P11844"/>
      <c r="Q11844"/>
      <c r="R11844"/>
      <c r="S11844"/>
    </row>
    <row r="11845" spans="13:19" ht="13.95" customHeight="1">
      <c r="M11845"/>
      <c r="N11845"/>
      <c r="O11845"/>
      <c r="P11845"/>
      <c r="Q11845"/>
      <c r="R11845"/>
      <c r="S11845"/>
    </row>
    <row r="11846" spans="13:19" ht="13.95" customHeight="1">
      <c r="M11846"/>
      <c r="N11846"/>
      <c r="O11846"/>
      <c r="P11846"/>
      <c r="Q11846"/>
      <c r="R11846"/>
      <c r="S11846"/>
    </row>
    <row r="11847" spans="13:19" ht="13.95" customHeight="1">
      <c r="M11847"/>
      <c r="N11847"/>
      <c r="O11847"/>
      <c r="P11847"/>
      <c r="Q11847"/>
      <c r="R11847"/>
      <c r="S11847"/>
    </row>
    <row r="11848" spans="13:19" ht="13.95" customHeight="1">
      <c r="M11848"/>
      <c r="N11848"/>
      <c r="O11848"/>
      <c r="P11848"/>
      <c r="Q11848"/>
      <c r="R11848"/>
      <c r="S11848"/>
    </row>
    <row r="11849" spans="13:19" ht="13.95" customHeight="1">
      <c r="M11849"/>
      <c r="N11849"/>
      <c r="O11849"/>
      <c r="P11849"/>
      <c r="Q11849"/>
      <c r="R11849"/>
      <c r="S11849"/>
    </row>
    <row r="11850" spans="13:19" ht="13.95" customHeight="1">
      <c r="M11850"/>
      <c r="N11850"/>
      <c r="O11850"/>
      <c r="P11850"/>
      <c r="Q11850"/>
      <c r="R11850"/>
      <c r="S11850"/>
    </row>
    <row r="11851" spans="13:19" ht="13.95" customHeight="1">
      <c r="M11851"/>
      <c r="N11851"/>
      <c r="O11851"/>
      <c r="P11851"/>
      <c r="Q11851"/>
      <c r="R11851"/>
      <c r="S11851"/>
    </row>
    <row r="11852" spans="13:19" ht="13.95" customHeight="1">
      <c r="M11852"/>
      <c r="N11852"/>
      <c r="O11852"/>
      <c r="P11852"/>
      <c r="Q11852"/>
      <c r="R11852"/>
      <c r="S11852"/>
    </row>
    <row r="11853" spans="13:19" ht="13.95" customHeight="1">
      <c r="M11853"/>
      <c r="N11853"/>
      <c r="O11853"/>
      <c r="P11853"/>
      <c r="Q11853"/>
      <c r="R11853"/>
      <c r="S11853"/>
    </row>
    <row r="11854" spans="13:19" ht="13.95" customHeight="1">
      <c r="M11854"/>
      <c r="N11854"/>
      <c r="O11854"/>
      <c r="P11854"/>
      <c r="Q11854"/>
      <c r="R11854"/>
      <c r="S11854"/>
    </row>
    <row r="11855" spans="13:19" ht="13.95" customHeight="1">
      <c r="M11855"/>
      <c r="N11855"/>
      <c r="O11855"/>
      <c r="P11855"/>
      <c r="Q11855"/>
      <c r="R11855"/>
      <c r="S11855"/>
    </row>
    <row r="11856" spans="13:19" ht="13.95" customHeight="1">
      <c r="M11856"/>
      <c r="N11856"/>
      <c r="O11856"/>
      <c r="P11856"/>
      <c r="Q11856"/>
      <c r="R11856"/>
      <c r="S11856"/>
    </row>
    <row r="11857" spans="13:19" ht="13.95" customHeight="1">
      <c r="M11857"/>
      <c r="N11857"/>
      <c r="O11857"/>
      <c r="P11857"/>
      <c r="Q11857"/>
      <c r="R11857"/>
      <c r="S11857"/>
    </row>
    <row r="11858" spans="13:19" ht="13.95" customHeight="1">
      <c r="M11858"/>
      <c r="N11858"/>
      <c r="O11858"/>
      <c r="P11858"/>
      <c r="Q11858"/>
      <c r="R11858"/>
      <c r="S11858"/>
    </row>
    <row r="11859" spans="13:19" ht="13.95" customHeight="1">
      <c r="M11859"/>
      <c r="N11859"/>
      <c r="O11859"/>
      <c r="P11859"/>
      <c r="Q11859"/>
      <c r="R11859"/>
      <c r="S11859"/>
    </row>
    <row r="11860" spans="13:19" ht="13.95" customHeight="1">
      <c r="M11860"/>
      <c r="N11860"/>
      <c r="O11860"/>
      <c r="P11860"/>
      <c r="Q11860"/>
      <c r="R11860"/>
      <c r="S11860"/>
    </row>
    <row r="11861" spans="13:19" ht="13.95" customHeight="1">
      <c r="M11861"/>
      <c r="N11861"/>
      <c r="O11861"/>
      <c r="P11861"/>
      <c r="Q11861"/>
      <c r="R11861"/>
      <c r="S11861"/>
    </row>
    <row r="11862" spans="13:19" ht="13.95" customHeight="1">
      <c r="M11862"/>
      <c r="N11862"/>
      <c r="O11862"/>
      <c r="P11862"/>
      <c r="Q11862"/>
      <c r="R11862"/>
      <c r="S11862"/>
    </row>
    <row r="11863" spans="13:19" ht="13.95" customHeight="1">
      <c r="M11863"/>
      <c r="N11863"/>
      <c r="O11863"/>
      <c r="P11863"/>
      <c r="Q11863"/>
      <c r="R11863"/>
      <c r="S11863"/>
    </row>
    <row r="11864" spans="13:19" ht="13.95" customHeight="1">
      <c r="M11864"/>
      <c r="N11864"/>
      <c r="O11864"/>
      <c r="P11864"/>
      <c r="Q11864"/>
      <c r="R11864"/>
      <c r="S11864"/>
    </row>
    <row r="11865" spans="13:19" ht="13.95" customHeight="1">
      <c r="M11865"/>
      <c r="N11865"/>
      <c r="O11865"/>
      <c r="P11865"/>
      <c r="Q11865"/>
      <c r="R11865"/>
      <c r="S11865"/>
    </row>
    <row r="11866" spans="13:19" ht="13.95" customHeight="1">
      <c r="M11866"/>
      <c r="N11866"/>
      <c r="O11866"/>
      <c r="P11866"/>
      <c r="Q11866"/>
      <c r="R11866"/>
      <c r="S11866"/>
    </row>
    <row r="11867" spans="13:19" ht="13.95" customHeight="1">
      <c r="M11867"/>
      <c r="N11867"/>
      <c r="O11867"/>
      <c r="P11867"/>
      <c r="Q11867"/>
      <c r="R11867"/>
      <c r="S11867"/>
    </row>
    <row r="11868" spans="13:19" ht="13.95" customHeight="1">
      <c r="M11868"/>
      <c r="N11868"/>
      <c r="O11868"/>
      <c r="P11868"/>
      <c r="Q11868"/>
      <c r="R11868"/>
      <c r="S11868"/>
    </row>
    <row r="11869" spans="13:19" ht="13.95" customHeight="1">
      <c r="M11869"/>
      <c r="N11869"/>
      <c r="O11869"/>
      <c r="P11869"/>
      <c r="Q11869"/>
      <c r="R11869"/>
      <c r="S11869"/>
    </row>
    <row r="11870" spans="13:19" ht="13.95" customHeight="1">
      <c r="M11870"/>
      <c r="N11870"/>
      <c r="O11870"/>
      <c r="P11870"/>
      <c r="Q11870"/>
      <c r="R11870"/>
      <c r="S11870"/>
    </row>
    <row r="11871" spans="13:19" ht="13.95" customHeight="1">
      <c r="M11871"/>
      <c r="N11871"/>
      <c r="O11871"/>
      <c r="P11871"/>
      <c r="Q11871"/>
      <c r="R11871"/>
      <c r="S11871"/>
    </row>
    <row r="11872" spans="13:19" ht="13.95" customHeight="1">
      <c r="M11872"/>
      <c r="N11872"/>
      <c r="O11872"/>
      <c r="P11872"/>
      <c r="Q11872"/>
      <c r="R11872"/>
      <c r="S11872"/>
    </row>
    <row r="11873" spans="13:19" ht="13.95" customHeight="1">
      <c r="M11873"/>
      <c r="N11873"/>
      <c r="O11873"/>
      <c r="P11873"/>
      <c r="Q11873"/>
      <c r="R11873"/>
      <c r="S11873"/>
    </row>
    <row r="11874" spans="13:19" ht="13.95" customHeight="1">
      <c r="M11874"/>
      <c r="N11874"/>
      <c r="O11874"/>
      <c r="P11874"/>
      <c r="Q11874"/>
      <c r="R11874"/>
      <c r="S11874"/>
    </row>
    <row r="11875" spans="13:19" ht="13.95" customHeight="1">
      <c r="M11875"/>
      <c r="N11875"/>
      <c r="O11875"/>
      <c r="P11875"/>
      <c r="Q11875"/>
      <c r="R11875"/>
      <c r="S11875"/>
    </row>
    <row r="11876" spans="13:19" ht="13.95" customHeight="1">
      <c r="M11876"/>
      <c r="N11876"/>
      <c r="O11876"/>
      <c r="P11876"/>
      <c r="Q11876"/>
      <c r="R11876"/>
      <c r="S11876"/>
    </row>
    <row r="11877" spans="13:19" ht="13.95" customHeight="1">
      <c r="M11877"/>
      <c r="N11877"/>
      <c r="O11877"/>
      <c r="P11877"/>
      <c r="Q11877"/>
      <c r="R11877"/>
      <c r="S11877"/>
    </row>
    <row r="11878" spans="13:19" ht="13.95" customHeight="1">
      <c r="M11878"/>
      <c r="N11878"/>
      <c r="O11878"/>
      <c r="P11878"/>
      <c r="Q11878"/>
      <c r="R11878"/>
      <c r="S11878"/>
    </row>
    <row r="11879" spans="13:19" ht="13.95" customHeight="1">
      <c r="M11879"/>
      <c r="N11879"/>
      <c r="O11879"/>
      <c r="P11879"/>
      <c r="Q11879"/>
      <c r="R11879"/>
      <c r="S11879"/>
    </row>
    <row r="11880" spans="13:19" ht="13.95" customHeight="1">
      <c r="M11880"/>
      <c r="N11880"/>
      <c r="O11880"/>
      <c r="P11880"/>
      <c r="Q11880"/>
      <c r="R11880"/>
      <c r="S11880"/>
    </row>
    <row r="11881" spans="13:19" ht="13.95" customHeight="1">
      <c r="M11881"/>
      <c r="N11881"/>
      <c r="O11881"/>
      <c r="P11881"/>
      <c r="Q11881"/>
      <c r="R11881"/>
      <c r="S11881"/>
    </row>
    <row r="11882" spans="13:19" ht="13.95" customHeight="1">
      <c r="M11882"/>
      <c r="N11882"/>
      <c r="O11882"/>
      <c r="P11882"/>
      <c r="Q11882"/>
      <c r="R11882"/>
      <c r="S11882"/>
    </row>
    <row r="11883" spans="13:19" ht="13.95" customHeight="1">
      <c r="M11883"/>
      <c r="N11883"/>
      <c r="O11883"/>
      <c r="P11883"/>
      <c r="Q11883"/>
      <c r="R11883"/>
      <c r="S11883"/>
    </row>
    <row r="11884" spans="13:19" ht="13.95" customHeight="1">
      <c r="M11884"/>
      <c r="N11884"/>
      <c r="O11884"/>
      <c r="P11884"/>
      <c r="Q11884"/>
      <c r="R11884"/>
      <c r="S11884"/>
    </row>
    <row r="11885" spans="13:19" ht="13.95" customHeight="1">
      <c r="M11885"/>
      <c r="N11885"/>
      <c r="O11885"/>
      <c r="P11885"/>
      <c r="Q11885"/>
      <c r="R11885"/>
      <c r="S11885"/>
    </row>
    <row r="11886" spans="13:19" ht="13.95" customHeight="1">
      <c r="M11886"/>
      <c r="N11886"/>
      <c r="O11886"/>
      <c r="P11886"/>
      <c r="Q11886"/>
      <c r="R11886"/>
      <c r="S11886"/>
    </row>
    <row r="11887" spans="13:19" ht="13.95" customHeight="1">
      <c r="M11887"/>
      <c r="N11887"/>
      <c r="O11887"/>
      <c r="P11887"/>
      <c r="Q11887"/>
      <c r="R11887"/>
      <c r="S11887"/>
    </row>
    <row r="11888" spans="13:19" ht="13.95" customHeight="1">
      <c r="M11888"/>
      <c r="N11888"/>
      <c r="O11888"/>
      <c r="P11888"/>
      <c r="Q11888"/>
      <c r="R11888"/>
      <c r="S11888"/>
    </row>
    <row r="11889" spans="13:19" ht="13.95" customHeight="1">
      <c r="M11889"/>
      <c r="N11889"/>
      <c r="O11889"/>
      <c r="P11889"/>
      <c r="Q11889"/>
      <c r="R11889"/>
      <c r="S11889"/>
    </row>
    <row r="11890" spans="13:19" ht="13.95" customHeight="1">
      <c r="M11890"/>
      <c r="N11890"/>
      <c r="O11890"/>
      <c r="P11890"/>
      <c r="Q11890"/>
      <c r="R11890"/>
      <c r="S11890"/>
    </row>
    <row r="11891" spans="13:19" ht="13.95" customHeight="1">
      <c r="M11891"/>
      <c r="N11891"/>
      <c r="O11891"/>
      <c r="P11891"/>
      <c r="Q11891"/>
      <c r="R11891"/>
      <c r="S11891"/>
    </row>
    <row r="11892" spans="13:19" ht="13.95" customHeight="1">
      <c r="M11892"/>
      <c r="N11892"/>
      <c r="O11892"/>
      <c r="P11892"/>
      <c r="Q11892"/>
      <c r="R11892"/>
      <c r="S11892"/>
    </row>
    <row r="11893" spans="13:19" ht="13.95" customHeight="1">
      <c r="M11893"/>
      <c r="N11893"/>
      <c r="O11893"/>
      <c r="P11893"/>
      <c r="Q11893"/>
      <c r="R11893"/>
      <c r="S11893"/>
    </row>
    <row r="11894" spans="13:19" ht="13.95" customHeight="1">
      <c r="M11894"/>
      <c r="N11894"/>
      <c r="O11894"/>
      <c r="P11894"/>
      <c r="Q11894"/>
      <c r="R11894"/>
      <c r="S11894"/>
    </row>
    <row r="11895" spans="13:19" ht="13.95" customHeight="1">
      <c r="M11895"/>
      <c r="N11895"/>
      <c r="O11895"/>
      <c r="P11895"/>
      <c r="Q11895"/>
      <c r="R11895"/>
      <c r="S11895"/>
    </row>
    <row r="11896" spans="13:19" ht="13.95" customHeight="1">
      <c r="M11896"/>
      <c r="N11896"/>
      <c r="O11896"/>
      <c r="P11896"/>
      <c r="Q11896"/>
      <c r="R11896"/>
      <c r="S11896"/>
    </row>
    <row r="11897" spans="13:19" ht="13.95" customHeight="1">
      <c r="M11897"/>
      <c r="N11897"/>
      <c r="O11897"/>
      <c r="P11897"/>
      <c r="Q11897"/>
      <c r="R11897"/>
      <c r="S11897"/>
    </row>
    <row r="11898" spans="13:19" ht="13.95" customHeight="1">
      <c r="M11898"/>
      <c r="N11898"/>
      <c r="O11898"/>
      <c r="P11898"/>
      <c r="Q11898"/>
      <c r="R11898"/>
      <c r="S11898"/>
    </row>
    <row r="11899" spans="13:19" ht="13.95" customHeight="1">
      <c r="M11899"/>
      <c r="N11899"/>
      <c r="O11899"/>
      <c r="P11899"/>
      <c r="Q11899"/>
      <c r="R11899"/>
      <c r="S11899"/>
    </row>
    <row r="11900" spans="13:19" ht="13.95" customHeight="1">
      <c r="M11900"/>
      <c r="N11900"/>
      <c r="O11900"/>
      <c r="P11900"/>
      <c r="Q11900"/>
      <c r="R11900"/>
      <c r="S11900"/>
    </row>
    <row r="11901" spans="13:19" ht="13.95" customHeight="1">
      <c r="M11901"/>
      <c r="N11901"/>
      <c r="O11901"/>
      <c r="P11901"/>
      <c r="Q11901"/>
      <c r="R11901"/>
      <c r="S11901"/>
    </row>
    <row r="11902" spans="13:19" ht="13.95" customHeight="1">
      <c r="M11902"/>
      <c r="N11902"/>
      <c r="O11902"/>
      <c r="P11902"/>
      <c r="Q11902"/>
      <c r="R11902"/>
      <c r="S11902"/>
    </row>
    <row r="11903" spans="13:19" ht="13.95" customHeight="1">
      <c r="M11903"/>
      <c r="N11903"/>
      <c r="O11903"/>
      <c r="P11903"/>
      <c r="Q11903"/>
      <c r="R11903"/>
      <c r="S11903"/>
    </row>
    <row r="11904" spans="13:19" ht="13.95" customHeight="1">
      <c r="M11904"/>
      <c r="N11904"/>
      <c r="O11904"/>
      <c r="P11904"/>
      <c r="Q11904"/>
      <c r="R11904"/>
      <c r="S11904"/>
    </row>
    <row r="11905" spans="13:19" ht="13.95" customHeight="1">
      <c r="M11905"/>
      <c r="N11905"/>
      <c r="O11905"/>
      <c r="P11905"/>
      <c r="Q11905"/>
      <c r="R11905"/>
      <c r="S11905"/>
    </row>
    <row r="11906" spans="13:19" ht="13.95" customHeight="1">
      <c r="M11906"/>
      <c r="N11906"/>
      <c r="O11906"/>
      <c r="P11906"/>
      <c r="Q11906"/>
      <c r="R11906"/>
      <c r="S11906"/>
    </row>
    <row r="11907" spans="13:19" ht="13.95" customHeight="1">
      <c r="M11907"/>
      <c r="N11907"/>
      <c r="O11907"/>
      <c r="P11907"/>
      <c r="Q11907"/>
      <c r="R11907"/>
      <c r="S11907"/>
    </row>
    <row r="11908" spans="13:19" ht="13.95" customHeight="1">
      <c r="M11908"/>
      <c r="N11908"/>
      <c r="O11908"/>
      <c r="P11908"/>
      <c r="Q11908"/>
      <c r="R11908"/>
      <c r="S11908"/>
    </row>
    <row r="11909" spans="13:19" ht="13.95" customHeight="1">
      <c r="M11909"/>
      <c r="N11909"/>
      <c r="O11909"/>
      <c r="P11909"/>
      <c r="Q11909"/>
      <c r="R11909"/>
      <c r="S11909"/>
    </row>
    <row r="11910" spans="13:19" ht="13.95" customHeight="1">
      <c r="M11910"/>
      <c r="N11910"/>
      <c r="O11910"/>
      <c r="P11910"/>
      <c r="Q11910"/>
      <c r="R11910"/>
      <c r="S11910"/>
    </row>
    <row r="11911" spans="13:19" ht="13.95" customHeight="1">
      <c r="M11911"/>
      <c r="N11911"/>
      <c r="O11911"/>
      <c r="P11911"/>
      <c r="Q11911"/>
      <c r="R11911"/>
      <c r="S11911"/>
    </row>
    <row r="11912" spans="13:19" ht="13.95" customHeight="1">
      <c r="M11912"/>
      <c r="N11912"/>
      <c r="O11912"/>
      <c r="P11912"/>
      <c r="Q11912"/>
      <c r="R11912"/>
      <c r="S11912"/>
    </row>
    <row r="11913" spans="13:19" ht="13.95" customHeight="1">
      <c r="M11913"/>
      <c r="N11913"/>
      <c r="O11913"/>
      <c r="P11913"/>
      <c r="Q11913"/>
      <c r="R11913"/>
      <c r="S11913"/>
    </row>
    <row r="11914" spans="13:19" ht="13.95" customHeight="1">
      <c r="M11914"/>
      <c r="N11914"/>
      <c r="O11914"/>
      <c r="P11914"/>
      <c r="Q11914"/>
      <c r="R11914"/>
      <c r="S11914"/>
    </row>
    <row r="11915" spans="13:19" ht="13.95" customHeight="1">
      <c r="M11915"/>
      <c r="N11915"/>
      <c r="O11915"/>
      <c r="P11915"/>
      <c r="Q11915"/>
      <c r="R11915"/>
      <c r="S11915"/>
    </row>
    <row r="11916" spans="13:19" ht="13.95" customHeight="1">
      <c r="M11916"/>
      <c r="N11916"/>
      <c r="O11916"/>
      <c r="P11916"/>
      <c r="Q11916"/>
      <c r="R11916"/>
      <c r="S11916"/>
    </row>
    <row r="11917" spans="13:19" ht="13.95" customHeight="1">
      <c r="M11917"/>
      <c r="N11917"/>
      <c r="O11917"/>
      <c r="P11917"/>
      <c r="Q11917"/>
      <c r="R11917"/>
      <c r="S11917"/>
    </row>
    <row r="11918" spans="13:19" ht="13.95" customHeight="1">
      <c r="M11918"/>
      <c r="N11918"/>
      <c r="O11918"/>
      <c r="P11918"/>
      <c r="Q11918"/>
      <c r="R11918"/>
      <c r="S11918"/>
    </row>
    <row r="11919" spans="13:19" ht="13.95" customHeight="1">
      <c r="M11919"/>
      <c r="N11919"/>
      <c r="O11919"/>
      <c r="P11919"/>
      <c r="Q11919"/>
      <c r="R11919"/>
      <c r="S11919"/>
    </row>
    <row r="11920" spans="13:19" ht="13.95" customHeight="1">
      <c r="M11920"/>
      <c r="N11920"/>
      <c r="O11920"/>
      <c r="P11920"/>
      <c r="Q11920"/>
      <c r="R11920"/>
      <c r="S11920"/>
    </row>
    <row r="11921" spans="13:19" ht="13.95" customHeight="1">
      <c r="M11921"/>
      <c r="N11921"/>
      <c r="O11921"/>
      <c r="P11921"/>
      <c r="Q11921"/>
      <c r="R11921"/>
      <c r="S11921"/>
    </row>
    <row r="11922" spans="13:19" ht="13.95" customHeight="1">
      <c r="M11922"/>
      <c r="N11922"/>
      <c r="O11922"/>
      <c r="P11922"/>
      <c r="Q11922"/>
      <c r="R11922"/>
      <c r="S11922"/>
    </row>
    <row r="11923" spans="13:19" ht="13.95" customHeight="1">
      <c r="M11923"/>
      <c r="N11923"/>
      <c r="O11923"/>
      <c r="P11923"/>
      <c r="Q11923"/>
      <c r="R11923"/>
      <c r="S11923"/>
    </row>
    <row r="11924" spans="13:19" ht="13.95" customHeight="1">
      <c r="M11924"/>
      <c r="N11924"/>
      <c r="O11924"/>
      <c r="P11924"/>
      <c r="Q11924"/>
      <c r="R11924"/>
      <c r="S11924"/>
    </row>
    <row r="11925" spans="13:19" ht="13.95" customHeight="1">
      <c r="M11925"/>
      <c r="N11925"/>
      <c r="O11925"/>
      <c r="P11925"/>
      <c r="Q11925"/>
      <c r="R11925"/>
      <c r="S11925"/>
    </row>
    <row r="11926" spans="13:19" ht="13.95" customHeight="1">
      <c r="M11926"/>
      <c r="N11926"/>
      <c r="O11926"/>
      <c r="P11926"/>
      <c r="Q11926"/>
      <c r="R11926"/>
      <c r="S11926"/>
    </row>
    <row r="11927" spans="13:19" ht="13.95" customHeight="1">
      <c r="M11927"/>
      <c r="N11927"/>
      <c r="O11927"/>
      <c r="P11927"/>
      <c r="Q11927"/>
      <c r="R11927"/>
      <c r="S11927"/>
    </row>
    <row r="11928" spans="13:19" ht="13.95" customHeight="1">
      <c r="M11928"/>
      <c r="N11928"/>
      <c r="O11928"/>
      <c r="P11928"/>
      <c r="Q11928"/>
      <c r="R11928"/>
      <c r="S11928"/>
    </row>
    <row r="11929" spans="13:19" ht="13.95" customHeight="1">
      <c r="M11929"/>
      <c r="N11929"/>
      <c r="O11929"/>
      <c r="P11929"/>
      <c r="Q11929"/>
      <c r="R11929"/>
      <c r="S11929"/>
    </row>
    <row r="11930" spans="13:19" ht="13.95" customHeight="1">
      <c r="M11930"/>
      <c r="N11930"/>
      <c r="O11930"/>
      <c r="P11930"/>
      <c r="Q11930"/>
      <c r="R11930"/>
      <c r="S11930"/>
    </row>
    <row r="11931" spans="13:19" ht="13.95" customHeight="1">
      <c r="M11931"/>
      <c r="N11931"/>
      <c r="O11931"/>
      <c r="P11931"/>
      <c r="Q11931"/>
      <c r="R11931"/>
      <c r="S11931"/>
    </row>
    <row r="11932" spans="13:19" ht="13.95" customHeight="1">
      <c r="M11932"/>
      <c r="N11932"/>
      <c r="O11932"/>
      <c r="P11932"/>
      <c r="Q11932"/>
      <c r="R11932"/>
      <c r="S11932"/>
    </row>
    <row r="11933" spans="13:19" ht="13.95" customHeight="1">
      <c r="M11933"/>
      <c r="N11933"/>
      <c r="O11933"/>
      <c r="P11933"/>
      <c r="Q11933"/>
      <c r="R11933"/>
      <c r="S11933"/>
    </row>
    <row r="11934" spans="13:19" ht="13.95" customHeight="1">
      <c r="M11934"/>
      <c r="N11934"/>
      <c r="O11934"/>
      <c r="P11934"/>
      <c r="Q11934"/>
      <c r="R11934"/>
      <c r="S11934"/>
    </row>
    <row r="11935" spans="13:19" ht="13.95" customHeight="1">
      <c r="M11935"/>
      <c r="N11935"/>
      <c r="O11935"/>
      <c r="P11935"/>
      <c r="Q11935"/>
      <c r="R11935"/>
      <c r="S11935"/>
    </row>
    <row r="11936" spans="13:19" ht="13.95" customHeight="1">
      <c r="M11936"/>
      <c r="N11936"/>
      <c r="O11936"/>
      <c r="P11936"/>
      <c r="Q11936"/>
      <c r="R11936"/>
      <c r="S11936"/>
    </row>
    <row r="11937" spans="13:19" ht="13.95" customHeight="1">
      <c r="M11937"/>
      <c r="N11937"/>
      <c r="O11937"/>
      <c r="P11937"/>
      <c r="Q11937"/>
      <c r="R11937"/>
      <c r="S11937"/>
    </row>
    <row r="11938" spans="13:19" ht="13.95" customHeight="1">
      <c r="M11938"/>
      <c r="N11938"/>
      <c r="O11938"/>
      <c r="P11938"/>
      <c r="Q11938"/>
      <c r="R11938"/>
      <c r="S11938"/>
    </row>
    <row r="11939" spans="13:19" ht="13.95" customHeight="1">
      <c r="M11939"/>
      <c r="N11939"/>
      <c r="O11939"/>
      <c r="P11939"/>
      <c r="Q11939"/>
      <c r="R11939"/>
      <c r="S11939"/>
    </row>
    <row r="11940" spans="13:19" ht="13.95" customHeight="1">
      <c r="M11940"/>
      <c r="N11940"/>
      <c r="O11940"/>
      <c r="P11940"/>
      <c r="Q11940"/>
      <c r="R11940"/>
      <c r="S11940"/>
    </row>
    <row r="11941" spans="13:19" ht="13.95" customHeight="1">
      <c r="M11941"/>
      <c r="N11941"/>
      <c r="O11941"/>
      <c r="P11941"/>
      <c r="Q11941"/>
      <c r="R11941"/>
      <c r="S11941"/>
    </row>
    <row r="11942" spans="13:19" ht="13.95" customHeight="1">
      <c r="M11942"/>
      <c r="N11942"/>
      <c r="O11942"/>
      <c r="P11942"/>
      <c r="Q11942"/>
      <c r="R11942"/>
      <c r="S11942"/>
    </row>
    <row r="11943" spans="13:19" ht="13.95" customHeight="1">
      <c r="M11943"/>
      <c r="N11943"/>
      <c r="O11943"/>
      <c r="P11943"/>
      <c r="Q11943"/>
      <c r="R11943"/>
      <c r="S11943"/>
    </row>
    <row r="11944" spans="13:19" ht="13.95" customHeight="1">
      <c r="M11944"/>
      <c r="N11944"/>
      <c r="O11944"/>
      <c r="P11944"/>
      <c r="Q11944"/>
      <c r="R11944"/>
      <c r="S11944"/>
    </row>
    <row r="11945" spans="13:19" ht="13.95" customHeight="1">
      <c r="M11945"/>
      <c r="N11945"/>
      <c r="O11945"/>
      <c r="P11945"/>
      <c r="Q11945"/>
      <c r="R11945"/>
      <c r="S11945"/>
    </row>
    <row r="11946" spans="13:19" ht="13.95" customHeight="1">
      <c r="M11946"/>
      <c r="N11946"/>
      <c r="O11946"/>
      <c r="P11946"/>
      <c r="Q11946"/>
      <c r="R11946"/>
      <c r="S11946"/>
    </row>
    <row r="11947" spans="13:19" ht="13.95" customHeight="1">
      <c r="M11947"/>
      <c r="N11947"/>
      <c r="O11947"/>
      <c r="P11947"/>
      <c r="Q11947"/>
      <c r="R11947"/>
      <c r="S11947"/>
    </row>
    <row r="11948" spans="13:19" ht="13.95" customHeight="1">
      <c r="M11948"/>
      <c r="N11948"/>
      <c r="O11948"/>
      <c r="P11948"/>
      <c r="Q11948"/>
      <c r="R11948"/>
      <c r="S11948"/>
    </row>
    <row r="11949" spans="13:19" ht="13.95" customHeight="1">
      <c r="M11949"/>
      <c r="N11949"/>
      <c r="O11949"/>
      <c r="P11949"/>
      <c r="Q11949"/>
      <c r="R11949"/>
      <c r="S11949"/>
    </row>
    <row r="11950" spans="13:19" ht="13.95" customHeight="1">
      <c r="M11950"/>
      <c r="N11950"/>
      <c r="O11950"/>
      <c r="P11950"/>
      <c r="Q11950"/>
      <c r="R11950"/>
      <c r="S11950"/>
    </row>
    <row r="11951" spans="13:19" ht="13.95" customHeight="1">
      <c r="M11951"/>
      <c r="N11951"/>
      <c r="O11951"/>
      <c r="P11951"/>
      <c r="Q11951"/>
      <c r="R11951"/>
      <c r="S11951"/>
    </row>
    <row r="11952" spans="13:19" ht="13.95" customHeight="1">
      <c r="M11952"/>
      <c r="N11952"/>
      <c r="O11952"/>
      <c r="P11952"/>
      <c r="Q11952"/>
      <c r="R11952"/>
      <c r="S11952"/>
    </row>
    <row r="11953" spans="13:19" ht="13.95" customHeight="1">
      <c r="M11953"/>
      <c r="N11953"/>
      <c r="O11953"/>
      <c r="P11953"/>
      <c r="Q11953"/>
      <c r="R11953"/>
      <c r="S11953"/>
    </row>
    <row r="11954" spans="13:19" ht="13.95" customHeight="1">
      <c r="M11954"/>
      <c r="N11954"/>
      <c r="O11954"/>
      <c r="P11954"/>
      <c r="Q11954"/>
      <c r="R11954"/>
      <c r="S11954"/>
    </row>
    <row r="11955" spans="13:19" ht="13.95" customHeight="1">
      <c r="M11955"/>
      <c r="N11955"/>
      <c r="O11955"/>
      <c r="P11955"/>
      <c r="Q11955"/>
      <c r="R11955"/>
      <c r="S11955"/>
    </row>
    <row r="11956" spans="13:19" ht="13.95" customHeight="1">
      <c r="M11956"/>
      <c r="N11956"/>
      <c r="O11956"/>
      <c r="P11956"/>
      <c r="Q11956"/>
      <c r="R11956"/>
      <c r="S11956"/>
    </row>
    <row r="11957" spans="13:19" ht="13.95" customHeight="1">
      <c r="M11957"/>
      <c r="N11957"/>
      <c r="O11957"/>
      <c r="P11957"/>
      <c r="Q11957"/>
      <c r="R11957"/>
      <c r="S11957"/>
    </row>
    <row r="11958" spans="13:19" ht="13.95" customHeight="1">
      <c r="M11958"/>
      <c r="N11958"/>
      <c r="O11958"/>
      <c r="P11958"/>
      <c r="Q11958"/>
      <c r="R11958"/>
      <c r="S11958"/>
    </row>
    <row r="11959" spans="13:19" ht="13.95" customHeight="1">
      <c r="M11959"/>
      <c r="N11959"/>
      <c r="O11959"/>
      <c r="P11959"/>
      <c r="Q11959"/>
      <c r="R11959"/>
      <c r="S11959"/>
    </row>
    <row r="11960" spans="13:19" ht="13.95" customHeight="1">
      <c r="M11960"/>
      <c r="N11960"/>
      <c r="O11960"/>
      <c r="P11960"/>
      <c r="Q11960"/>
      <c r="R11960"/>
      <c r="S11960"/>
    </row>
    <row r="11961" spans="13:19" ht="13.95" customHeight="1">
      <c r="M11961"/>
      <c r="N11961"/>
      <c r="O11961"/>
      <c r="P11961"/>
      <c r="Q11961"/>
      <c r="R11961"/>
      <c r="S11961"/>
    </row>
    <row r="11962" spans="13:19" ht="13.95" customHeight="1">
      <c r="M11962"/>
      <c r="N11962"/>
      <c r="O11962"/>
      <c r="P11962"/>
      <c r="Q11962"/>
      <c r="R11962"/>
      <c r="S11962"/>
    </row>
    <row r="11963" spans="13:19" ht="13.95" customHeight="1">
      <c r="M11963"/>
      <c r="N11963"/>
      <c r="O11963"/>
      <c r="P11963"/>
      <c r="Q11963"/>
      <c r="R11963"/>
      <c r="S11963"/>
    </row>
    <row r="11964" spans="13:19" ht="13.95" customHeight="1">
      <c r="M11964"/>
      <c r="N11964"/>
      <c r="O11964"/>
      <c r="P11964"/>
      <c r="Q11964"/>
      <c r="R11964"/>
      <c r="S11964"/>
    </row>
    <row r="11965" spans="13:19" ht="13.95" customHeight="1">
      <c r="M11965"/>
      <c r="N11965"/>
      <c r="O11965"/>
      <c r="P11965"/>
      <c r="Q11965"/>
      <c r="R11965"/>
      <c r="S11965"/>
    </row>
    <row r="11966" spans="13:19" ht="13.95" customHeight="1">
      <c r="M11966"/>
      <c r="N11966"/>
      <c r="O11966"/>
      <c r="P11966"/>
      <c r="Q11966"/>
      <c r="R11966"/>
      <c r="S11966"/>
    </row>
    <row r="11967" spans="13:19" ht="13.95" customHeight="1">
      <c r="M11967"/>
      <c r="N11967"/>
      <c r="O11967"/>
      <c r="P11967"/>
      <c r="Q11967"/>
      <c r="R11967"/>
      <c r="S11967"/>
    </row>
    <row r="11968" spans="13:19" ht="13.95" customHeight="1">
      <c r="M11968"/>
      <c r="N11968"/>
      <c r="O11968"/>
      <c r="P11968"/>
      <c r="Q11968"/>
      <c r="R11968"/>
      <c r="S11968"/>
    </row>
    <row r="11969" spans="13:19" ht="13.95" customHeight="1">
      <c r="M11969"/>
      <c r="N11969"/>
      <c r="O11969"/>
      <c r="P11969"/>
      <c r="Q11969"/>
      <c r="R11969"/>
      <c r="S11969"/>
    </row>
    <row r="11970" spans="13:19" ht="13.95" customHeight="1">
      <c r="M11970"/>
      <c r="N11970"/>
      <c r="O11970"/>
      <c r="P11970"/>
      <c r="Q11970"/>
      <c r="R11970"/>
      <c r="S11970"/>
    </row>
    <row r="11971" spans="13:19" ht="13.95" customHeight="1">
      <c r="M11971"/>
      <c r="N11971"/>
      <c r="O11971"/>
      <c r="P11971"/>
      <c r="Q11971"/>
      <c r="R11971"/>
      <c r="S11971"/>
    </row>
    <row r="11972" spans="13:19" ht="13.95" customHeight="1">
      <c r="M11972"/>
      <c r="N11972"/>
      <c r="O11972"/>
      <c r="P11972"/>
      <c r="Q11972"/>
      <c r="R11972"/>
      <c r="S11972"/>
    </row>
    <row r="11973" spans="13:19" ht="13.95" customHeight="1">
      <c r="M11973"/>
      <c r="N11973"/>
      <c r="O11973"/>
      <c r="P11973"/>
      <c r="Q11973"/>
      <c r="R11973"/>
      <c r="S11973"/>
    </row>
    <row r="11974" spans="13:19" ht="13.95" customHeight="1">
      <c r="M11974"/>
      <c r="N11974"/>
      <c r="O11974"/>
      <c r="P11974"/>
      <c r="Q11974"/>
      <c r="R11974"/>
      <c r="S11974"/>
    </row>
    <row r="11975" spans="13:19" ht="13.95" customHeight="1">
      <c r="M11975"/>
      <c r="N11975"/>
      <c r="O11975"/>
      <c r="P11975"/>
      <c r="Q11975"/>
      <c r="R11975"/>
      <c r="S11975"/>
    </row>
    <row r="11976" spans="13:19" ht="13.95" customHeight="1">
      <c r="M11976"/>
      <c r="N11976"/>
      <c r="O11976"/>
      <c r="P11976"/>
      <c r="Q11976"/>
      <c r="R11976"/>
      <c r="S11976"/>
    </row>
    <row r="11977" spans="13:19" ht="13.95" customHeight="1">
      <c r="M11977"/>
      <c r="N11977"/>
      <c r="O11977"/>
      <c r="P11977"/>
      <c r="Q11977"/>
      <c r="R11977"/>
      <c r="S11977"/>
    </row>
    <row r="11978" spans="13:19" ht="13.95" customHeight="1">
      <c r="M11978"/>
      <c r="N11978"/>
      <c r="O11978"/>
      <c r="P11978"/>
      <c r="Q11978"/>
      <c r="R11978"/>
      <c r="S11978"/>
    </row>
    <row r="11979" spans="13:19" ht="13.95" customHeight="1">
      <c r="M11979"/>
      <c r="N11979"/>
      <c r="O11979"/>
      <c r="P11979"/>
      <c r="Q11979"/>
      <c r="R11979"/>
      <c r="S11979"/>
    </row>
    <row r="11980" spans="13:19" ht="13.95" customHeight="1">
      <c r="M11980"/>
      <c r="N11980"/>
      <c r="O11980"/>
      <c r="P11980"/>
      <c r="Q11980"/>
      <c r="R11980"/>
      <c r="S11980"/>
    </row>
    <row r="11981" spans="13:19" ht="13.95" customHeight="1">
      <c r="M11981"/>
      <c r="N11981"/>
      <c r="O11981"/>
      <c r="P11981"/>
      <c r="Q11981"/>
      <c r="R11981"/>
      <c r="S11981"/>
    </row>
    <row r="11982" spans="13:19" ht="13.95" customHeight="1">
      <c r="M11982"/>
      <c r="N11982"/>
      <c r="O11982"/>
      <c r="P11982"/>
      <c r="Q11982"/>
      <c r="R11982"/>
      <c r="S11982"/>
    </row>
    <row r="11983" spans="13:19" ht="13.95" customHeight="1">
      <c r="M11983"/>
      <c r="N11983"/>
      <c r="O11983"/>
      <c r="P11983"/>
      <c r="Q11983"/>
      <c r="R11983"/>
      <c r="S11983"/>
    </row>
    <row r="11984" spans="13:19" ht="13.95" customHeight="1">
      <c r="M11984"/>
      <c r="N11984"/>
      <c r="O11984"/>
      <c r="P11984"/>
      <c r="Q11984"/>
      <c r="R11984"/>
      <c r="S11984"/>
    </row>
    <row r="11985" spans="13:19" ht="13.95" customHeight="1">
      <c r="M11985"/>
      <c r="N11985"/>
      <c r="O11985"/>
      <c r="P11985"/>
      <c r="Q11985"/>
      <c r="R11985"/>
      <c r="S11985"/>
    </row>
    <row r="11986" spans="13:19" ht="13.95" customHeight="1">
      <c r="M11986"/>
      <c r="N11986"/>
      <c r="O11986"/>
      <c r="P11986"/>
      <c r="Q11986"/>
      <c r="R11986"/>
      <c r="S11986"/>
    </row>
    <row r="11987" spans="13:19" ht="13.95" customHeight="1">
      <c r="M11987"/>
      <c r="N11987"/>
      <c r="O11987"/>
      <c r="P11987"/>
      <c r="Q11987"/>
      <c r="R11987"/>
      <c r="S11987"/>
    </row>
    <row r="11988" spans="13:19" ht="13.95" customHeight="1">
      <c r="M11988"/>
      <c r="N11988"/>
      <c r="O11988"/>
      <c r="P11988"/>
      <c r="Q11988"/>
      <c r="R11988"/>
      <c r="S11988"/>
    </row>
    <row r="11989" spans="13:19" ht="13.95" customHeight="1">
      <c r="M11989"/>
      <c r="N11989"/>
      <c r="O11989"/>
      <c r="P11989"/>
      <c r="Q11989"/>
      <c r="R11989"/>
      <c r="S11989"/>
    </row>
    <row r="11990" spans="13:19" ht="13.95" customHeight="1">
      <c r="M11990"/>
      <c r="N11990"/>
      <c r="O11990"/>
      <c r="P11990"/>
      <c r="Q11990"/>
      <c r="R11990"/>
      <c r="S11990"/>
    </row>
    <row r="11991" spans="13:19" ht="13.95" customHeight="1">
      <c r="M11991"/>
      <c r="N11991"/>
      <c r="O11991"/>
      <c r="P11991"/>
      <c r="Q11991"/>
      <c r="R11991"/>
      <c r="S11991"/>
    </row>
    <row r="11992" spans="13:19" ht="13.95" customHeight="1">
      <c r="M11992"/>
      <c r="N11992"/>
      <c r="O11992"/>
      <c r="P11992"/>
      <c r="Q11992"/>
      <c r="R11992"/>
      <c r="S11992"/>
    </row>
    <row r="11993" spans="13:19" ht="13.95" customHeight="1">
      <c r="M11993"/>
      <c r="N11993"/>
      <c r="O11993"/>
      <c r="P11993"/>
      <c r="Q11993"/>
      <c r="R11993"/>
      <c r="S11993"/>
    </row>
    <row r="11994" spans="13:19" ht="13.95" customHeight="1">
      <c r="M11994"/>
      <c r="N11994"/>
      <c r="O11994"/>
      <c r="P11994"/>
      <c r="Q11994"/>
      <c r="R11994"/>
      <c r="S11994"/>
    </row>
    <row r="11995" spans="13:19" ht="13.95" customHeight="1">
      <c r="M11995"/>
      <c r="N11995"/>
      <c r="O11995"/>
      <c r="P11995"/>
      <c r="Q11995"/>
      <c r="R11995"/>
      <c r="S11995"/>
    </row>
    <row r="11996" spans="13:19" ht="13.95" customHeight="1">
      <c r="M11996"/>
      <c r="N11996"/>
      <c r="O11996"/>
      <c r="P11996"/>
      <c r="Q11996"/>
      <c r="R11996"/>
      <c r="S11996"/>
    </row>
    <row r="11997" spans="13:19" ht="13.95" customHeight="1">
      <c r="M11997"/>
      <c r="N11997"/>
      <c r="O11997"/>
      <c r="P11997"/>
      <c r="Q11997"/>
      <c r="R11997"/>
      <c r="S11997"/>
    </row>
    <row r="11998" spans="13:19" ht="13.95" customHeight="1">
      <c r="M11998"/>
      <c r="N11998"/>
      <c r="O11998"/>
      <c r="P11998"/>
      <c r="Q11998"/>
      <c r="R11998"/>
      <c r="S11998"/>
    </row>
    <row r="11999" spans="13:19" ht="13.95" customHeight="1">
      <c r="M11999"/>
      <c r="N11999"/>
      <c r="O11999"/>
      <c r="P11999"/>
      <c r="Q11999"/>
      <c r="R11999"/>
      <c r="S11999"/>
    </row>
    <row r="12000" spans="13:19" ht="13.95" customHeight="1">
      <c r="M12000"/>
      <c r="N12000"/>
      <c r="O12000"/>
      <c r="P12000"/>
      <c r="Q12000"/>
      <c r="R12000"/>
      <c r="S12000"/>
    </row>
    <row r="12001" spans="13:19" ht="13.95" customHeight="1">
      <c r="M12001"/>
      <c r="N12001"/>
      <c r="O12001"/>
      <c r="P12001"/>
      <c r="Q12001"/>
      <c r="R12001"/>
      <c r="S12001"/>
    </row>
    <row r="12002" spans="13:19" ht="13.95" customHeight="1">
      <c r="M12002"/>
      <c r="N12002"/>
      <c r="O12002"/>
      <c r="P12002"/>
      <c r="Q12002"/>
      <c r="R12002"/>
      <c r="S12002"/>
    </row>
    <row r="12003" spans="13:19" ht="13.95" customHeight="1">
      <c r="M12003"/>
      <c r="N12003"/>
      <c r="O12003"/>
      <c r="P12003"/>
      <c r="Q12003"/>
      <c r="R12003"/>
      <c r="S12003"/>
    </row>
    <row r="12004" spans="13:19" ht="13.95" customHeight="1">
      <c r="M12004"/>
      <c r="N12004"/>
      <c r="O12004"/>
      <c r="P12004"/>
      <c r="Q12004"/>
      <c r="R12004"/>
      <c r="S12004"/>
    </row>
    <row r="12005" spans="13:19" ht="13.95" customHeight="1">
      <c r="M12005"/>
      <c r="N12005"/>
      <c r="O12005"/>
      <c r="P12005"/>
      <c r="Q12005"/>
      <c r="R12005"/>
      <c r="S12005"/>
    </row>
    <row r="12006" spans="13:19" ht="13.95" customHeight="1">
      <c r="M12006"/>
      <c r="N12006"/>
      <c r="O12006"/>
      <c r="P12006"/>
      <c r="Q12006"/>
      <c r="R12006"/>
      <c r="S12006"/>
    </row>
    <row r="12007" spans="13:19" ht="13.95" customHeight="1">
      <c r="M12007"/>
      <c r="N12007"/>
      <c r="O12007"/>
      <c r="P12007"/>
      <c r="Q12007"/>
      <c r="R12007"/>
      <c r="S12007"/>
    </row>
    <row r="12008" spans="13:19" ht="13.95" customHeight="1">
      <c r="M12008"/>
      <c r="N12008"/>
      <c r="O12008"/>
      <c r="P12008"/>
      <c r="Q12008"/>
      <c r="R12008"/>
      <c r="S12008"/>
    </row>
    <row r="12009" spans="13:19" ht="13.95" customHeight="1">
      <c r="M12009"/>
      <c r="N12009"/>
      <c r="O12009"/>
      <c r="P12009"/>
      <c r="Q12009"/>
      <c r="R12009"/>
      <c r="S12009"/>
    </row>
    <row r="12010" spans="13:19" ht="13.95" customHeight="1">
      <c r="M12010"/>
      <c r="N12010"/>
      <c r="O12010"/>
      <c r="P12010"/>
      <c r="Q12010"/>
      <c r="R12010"/>
      <c r="S12010"/>
    </row>
    <row r="12011" spans="13:19" ht="13.95" customHeight="1">
      <c r="M12011"/>
      <c r="N12011"/>
      <c r="O12011"/>
      <c r="P12011"/>
      <c r="Q12011"/>
      <c r="R12011"/>
      <c r="S12011"/>
    </row>
    <row r="12012" spans="13:19" ht="13.95" customHeight="1">
      <c r="M12012"/>
      <c r="N12012"/>
      <c r="O12012"/>
      <c r="P12012"/>
      <c r="Q12012"/>
      <c r="R12012"/>
      <c r="S12012"/>
    </row>
    <row r="12013" spans="13:19" ht="13.95" customHeight="1">
      <c r="M12013"/>
      <c r="N12013"/>
      <c r="O12013"/>
      <c r="P12013"/>
      <c r="Q12013"/>
      <c r="R12013"/>
      <c r="S12013"/>
    </row>
    <row r="12014" spans="13:19" ht="13.95" customHeight="1">
      <c r="M12014"/>
      <c r="N12014"/>
      <c r="O12014"/>
      <c r="P12014"/>
      <c r="Q12014"/>
      <c r="R12014"/>
      <c r="S12014"/>
    </row>
    <row r="12015" spans="13:19" ht="13.95" customHeight="1">
      <c r="M12015"/>
      <c r="N12015"/>
      <c r="O12015"/>
      <c r="P12015"/>
      <c r="Q12015"/>
      <c r="R12015"/>
      <c r="S12015"/>
    </row>
    <row r="12016" spans="13:19" ht="13.95" customHeight="1">
      <c r="M12016"/>
      <c r="N12016"/>
      <c r="O12016"/>
      <c r="P12016"/>
      <c r="Q12016"/>
      <c r="R12016"/>
      <c r="S12016"/>
    </row>
    <row r="12017" spans="13:19" ht="13.95" customHeight="1">
      <c r="M12017"/>
      <c r="N12017"/>
      <c r="O12017"/>
      <c r="P12017"/>
      <c r="Q12017"/>
      <c r="R12017"/>
      <c r="S12017"/>
    </row>
    <row r="12018" spans="13:19" ht="13.95" customHeight="1">
      <c r="M12018"/>
      <c r="N12018"/>
      <c r="O12018"/>
      <c r="P12018"/>
      <c r="Q12018"/>
      <c r="R12018"/>
      <c r="S12018"/>
    </row>
    <row r="12019" spans="13:19" ht="13.95" customHeight="1">
      <c r="M12019"/>
      <c r="N12019"/>
      <c r="O12019"/>
      <c r="P12019"/>
      <c r="Q12019"/>
      <c r="R12019"/>
      <c r="S12019"/>
    </row>
    <row r="12020" spans="13:19" ht="13.95" customHeight="1">
      <c r="M12020"/>
      <c r="N12020"/>
      <c r="O12020"/>
      <c r="P12020"/>
      <c r="Q12020"/>
      <c r="R12020"/>
      <c r="S12020"/>
    </row>
    <row r="12021" spans="13:19" ht="13.95" customHeight="1">
      <c r="M12021"/>
      <c r="N12021"/>
      <c r="O12021"/>
      <c r="P12021"/>
      <c r="Q12021"/>
      <c r="R12021"/>
      <c r="S12021"/>
    </row>
    <row r="12022" spans="13:19" ht="13.95" customHeight="1">
      <c r="M12022"/>
      <c r="N12022"/>
      <c r="O12022"/>
      <c r="P12022"/>
      <c r="Q12022"/>
      <c r="R12022"/>
      <c r="S12022"/>
    </row>
    <row r="12023" spans="13:19" ht="13.95" customHeight="1">
      <c r="M12023"/>
      <c r="N12023"/>
      <c r="O12023"/>
      <c r="P12023"/>
      <c r="Q12023"/>
      <c r="R12023"/>
      <c r="S12023"/>
    </row>
    <row r="12024" spans="13:19" ht="13.95" customHeight="1">
      <c r="M12024"/>
      <c r="N12024"/>
      <c r="O12024"/>
      <c r="P12024"/>
      <c r="Q12024"/>
      <c r="R12024"/>
      <c r="S12024"/>
    </row>
    <row r="12025" spans="13:19" ht="13.95" customHeight="1">
      <c r="M12025"/>
      <c r="N12025"/>
      <c r="O12025"/>
      <c r="P12025"/>
      <c r="Q12025"/>
      <c r="R12025"/>
      <c r="S12025"/>
    </row>
    <row r="12026" spans="13:19" ht="13.95" customHeight="1">
      <c r="M12026"/>
      <c r="N12026"/>
      <c r="O12026"/>
      <c r="P12026"/>
      <c r="Q12026"/>
      <c r="R12026"/>
      <c r="S12026"/>
    </row>
    <row r="12027" spans="13:19" ht="13.95" customHeight="1">
      <c r="M12027"/>
      <c r="N12027"/>
      <c r="O12027"/>
      <c r="P12027"/>
      <c r="Q12027"/>
      <c r="R12027"/>
      <c r="S12027"/>
    </row>
    <row r="12028" spans="13:19" ht="13.95" customHeight="1">
      <c r="M12028"/>
      <c r="N12028"/>
      <c r="O12028"/>
      <c r="P12028"/>
      <c r="Q12028"/>
      <c r="R12028"/>
      <c r="S12028"/>
    </row>
    <row r="12029" spans="13:19" ht="13.95" customHeight="1">
      <c r="M12029"/>
      <c r="N12029"/>
      <c r="O12029"/>
      <c r="P12029"/>
      <c r="Q12029"/>
      <c r="R12029"/>
      <c r="S12029"/>
    </row>
    <row r="12030" spans="13:19" ht="13.95" customHeight="1">
      <c r="M12030"/>
      <c r="N12030"/>
      <c r="O12030"/>
      <c r="P12030"/>
      <c r="Q12030"/>
      <c r="R12030"/>
      <c r="S12030"/>
    </row>
    <row r="12031" spans="13:19" ht="13.95" customHeight="1">
      <c r="M12031"/>
      <c r="N12031"/>
      <c r="O12031"/>
      <c r="P12031"/>
      <c r="Q12031"/>
      <c r="R12031"/>
      <c r="S12031"/>
    </row>
    <row r="12032" spans="13:19" ht="13.95" customHeight="1">
      <c r="M12032"/>
      <c r="N12032"/>
      <c r="O12032"/>
      <c r="P12032"/>
      <c r="Q12032"/>
      <c r="R12032"/>
      <c r="S12032"/>
    </row>
    <row r="12033" spans="13:19" ht="13.95" customHeight="1">
      <c r="M12033"/>
      <c r="N12033"/>
      <c r="O12033"/>
      <c r="P12033"/>
      <c r="Q12033"/>
      <c r="R12033"/>
      <c r="S12033"/>
    </row>
    <row r="12034" spans="13:19" ht="13.95" customHeight="1">
      <c r="M12034"/>
      <c r="N12034"/>
      <c r="O12034"/>
      <c r="P12034"/>
      <c r="Q12034"/>
      <c r="R12034"/>
      <c r="S12034"/>
    </row>
    <row r="12035" spans="13:19" ht="13.95" customHeight="1">
      <c r="M12035"/>
      <c r="N12035"/>
      <c r="O12035"/>
      <c r="P12035"/>
      <c r="Q12035"/>
      <c r="R12035"/>
      <c r="S12035"/>
    </row>
    <row r="12036" spans="13:19" ht="13.95" customHeight="1">
      <c r="M12036"/>
      <c r="N12036"/>
      <c r="O12036"/>
      <c r="P12036"/>
      <c r="Q12036"/>
      <c r="R12036"/>
      <c r="S12036"/>
    </row>
    <row r="12037" spans="13:19" ht="13.95" customHeight="1">
      <c r="M12037"/>
      <c r="N12037"/>
      <c r="O12037"/>
      <c r="P12037"/>
      <c r="Q12037"/>
      <c r="R12037"/>
      <c r="S12037"/>
    </row>
    <row r="12038" spans="13:19" ht="13.95" customHeight="1">
      <c r="M12038"/>
      <c r="N12038"/>
      <c r="O12038"/>
      <c r="P12038"/>
      <c r="Q12038"/>
      <c r="R12038"/>
      <c r="S12038"/>
    </row>
    <row r="12039" spans="13:19" ht="13.95" customHeight="1">
      <c r="M12039"/>
      <c r="N12039"/>
      <c r="O12039"/>
      <c r="P12039"/>
      <c r="Q12039"/>
      <c r="R12039"/>
      <c r="S12039"/>
    </row>
    <row r="12040" spans="13:19" ht="13.95" customHeight="1">
      <c r="M12040"/>
      <c r="N12040"/>
      <c r="O12040"/>
      <c r="P12040"/>
      <c r="Q12040"/>
      <c r="R12040"/>
      <c r="S12040"/>
    </row>
    <row r="12041" spans="13:19" ht="13.95" customHeight="1">
      <c r="M12041"/>
      <c r="N12041"/>
      <c r="O12041"/>
      <c r="P12041"/>
      <c r="Q12041"/>
      <c r="R12041"/>
      <c r="S12041"/>
    </row>
    <row r="12042" spans="13:19" ht="13.95" customHeight="1">
      <c r="M12042"/>
      <c r="N12042"/>
      <c r="O12042"/>
      <c r="P12042"/>
      <c r="Q12042"/>
      <c r="R12042"/>
      <c r="S12042"/>
    </row>
    <row r="12043" spans="13:19" ht="13.95" customHeight="1">
      <c r="M12043"/>
      <c r="N12043"/>
      <c r="O12043"/>
      <c r="P12043"/>
      <c r="Q12043"/>
      <c r="R12043"/>
      <c r="S12043"/>
    </row>
    <row r="12044" spans="13:19" ht="13.95" customHeight="1">
      <c r="M12044"/>
      <c r="N12044"/>
      <c r="O12044"/>
      <c r="P12044"/>
      <c r="Q12044"/>
      <c r="R12044"/>
      <c r="S12044"/>
    </row>
    <row r="12045" spans="13:19" ht="13.95" customHeight="1">
      <c r="M12045"/>
      <c r="N12045"/>
      <c r="O12045"/>
      <c r="P12045"/>
      <c r="Q12045"/>
      <c r="R12045"/>
      <c r="S12045"/>
    </row>
    <row r="12046" spans="13:19" ht="13.95" customHeight="1">
      <c r="M12046"/>
      <c r="N12046"/>
      <c r="O12046"/>
      <c r="P12046"/>
      <c r="Q12046"/>
      <c r="R12046"/>
      <c r="S12046"/>
    </row>
    <row r="12047" spans="13:19" ht="13.95" customHeight="1">
      <c r="M12047"/>
      <c r="N12047"/>
      <c r="O12047"/>
      <c r="P12047"/>
      <c r="Q12047"/>
      <c r="R12047"/>
      <c r="S12047"/>
    </row>
    <row r="12048" spans="13:19" ht="13.95" customHeight="1">
      <c r="M12048"/>
      <c r="N12048"/>
      <c r="O12048"/>
      <c r="P12048"/>
      <c r="Q12048"/>
      <c r="R12048"/>
      <c r="S12048"/>
    </row>
    <row r="12049" spans="13:19" ht="13.95" customHeight="1">
      <c r="M12049"/>
      <c r="N12049"/>
      <c r="O12049"/>
      <c r="P12049"/>
      <c r="Q12049"/>
      <c r="R12049"/>
      <c r="S12049"/>
    </row>
    <row r="12050" spans="13:19" ht="13.95" customHeight="1">
      <c r="M12050"/>
      <c r="N12050"/>
      <c r="O12050"/>
      <c r="P12050"/>
      <c r="Q12050"/>
      <c r="R12050"/>
      <c r="S12050"/>
    </row>
    <row r="12051" spans="13:19" ht="13.95" customHeight="1">
      <c r="M12051"/>
      <c r="N12051"/>
      <c r="O12051"/>
      <c r="P12051"/>
      <c r="Q12051"/>
      <c r="R12051"/>
      <c r="S12051"/>
    </row>
    <row r="12052" spans="13:19" ht="13.95" customHeight="1">
      <c r="M12052"/>
      <c r="N12052"/>
      <c r="O12052"/>
      <c r="P12052"/>
      <c r="Q12052"/>
      <c r="R12052"/>
      <c r="S12052"/>
    </row>
    <row r="12053" spans="13:19" ht="13.95" customHeight="1">
      <c r="M12053"/>
      <c r="N12053"/>
      <c r="O12053"/>
      <c r="P12053"/>
      <c r="Q12053"/>
      <c r="R12053"/>
      <c r="S12053"/>
    </row>
    <row r="12054" spans="13:19" ht="13.95" customHeight="1">
      <c r="M12054"/>
      <c r="N12054"/>
      <c r="O12054"/>
      <c r="P12054"/>
      <c r="Q12054"/>
      <c r="R12054"/>
      <c r="S12054"/>
    </row>
    <row r="12055" spans="13:19" ht="13.95" customHeight="1">
      <c r="M12055"/>
      <c r="N12055"/>
      <c r="O12055"/>
      <c r="P12055"/>
      <c r="Q12055"/>
      <c r="R12055"/>
      <c r="S12055"/>
    </row>
    <row r="12056" spans="13:19" ht="13.95" customHeight="1">
      <c r="M12056"/>
      <c r="N12056"/>
      <c r="O12056"/>
      <c r="P12056"/>
      <c r="Q12056"/>
      <c r="R12056"/>
      <c r="S12056"/>
    </row>
    <row r="12057" spans="13:19" ht="13.95" customHeight="1">
      <c r="M12057"/>
      <c r="N12057"/>
      <c r="O12057"/>
      <c r="P12057"/>
      <c r="Q12057"/>
      <c r="R12057"/>
      <c r="S12057"/>
    </row>
    <row r="12058" spans="13:19" ht="13.95" customHeight="1">
      <c r="M12058"/>
      <c r="N12058"/>
      <c r="O12058"/>
      <c r="P12058"/>
      <c r="Q12058"/>
      <c r="R12058"/>
      <c r="S12058"/>
    </row>
    <row r="12059" spans="13:19" ht="13.95" customHeight="1">
      <c r="M12059"/>
      <c r="N12059"/>
      <c r="O12059"/>
      <c r="P12059"/>
      <c r="Q12059"/>
      <c r="R12059"/>
      <c r="S12059"/>
    </row>
    <row r="12060" spans="13:19" ht="13.95" customHeight="1">
      <c r="M12060"/>
      <c r="N12060"/>
      <c r="O12060"/>
      <c r="P12060"/>
      <c r="Q12060"/>
      <c r="R12060"/>
      <c r="S12060"/>
    </row>
    <row r="12061" spans="13:19" ht="13.95" customHeight="1">
      <c r="M12061"/>
      <c r="N12061"/>
      <c r="O12061"/>
      <c r="P12061"/>
      <c r="Q12061"/>
      <c r="R12061"/>
      <c r="S12061"/>
    </row>
    <row r="12062" spans="13:19" ht="13.95" customHeight="1">
      <c r="M12062"/>
      <c r="N12062"/>
      <c r="O12062"/>
      <c r="P12062"/>
      <c r="Q12062"/>
      <c r="R12062"/>
      <c r="S12062"/>
    </row>
    <row r="12063" spans="13:19" ht="13.95" customHeight="1">
      <c r="M12063"/>
      <c r="N12063"/>
      <c r="O12063"/>
      <c r="P12063"/>
      <c r="Q12063"/>
      <c r="R12063"/>
      <c r="S12063"/>
    </row>
    <row r="12064" spans="13:19" ht="13.95" customHeight="1">
      <c r="M12064"/>
      <c r="N12064"/>
      <c r="O12064"/>
      <c r="P12064"/>
      <c r="Q12064"/>
      <c r="R12064"/>
      <c r="S12064"/>
    </row>
    <row r="12065" spans="13:19" ht="13.95" customHeight="1">
      <c r="M12065"/>
      <c r="N12065"/>
      <c r="O12065"/>
      <c r="P12065"/>
      <c r="Q12065"/>
      <c r="R12065"/>
      <c r="S12065"/>
    </row>
    <row r="12066" spans="13:19" ht="13.95" customHeight="1">
      <c r="M12066"/>
      <c r="N12066"/>
      <c r="O12066"/>
      <c r="P12066"/>
      <c r="Q12066"/>
      <c r="R12066"/>
      <c r="S12066"/>
    </row>
    <row r="12067" spans="13:19" ht="13.95" customHeight="1">
      <c r="M12067"/>
      <c r="N12067"/>
      <c r="O12067"/>
      <c r="P12067"/>
      <c r="Q12067"/>
      <c r="R12067"/>
      <c r="S12067"/>
    </row>
    <row r="12068" spans="13:19" ht="13.95" customHeight="1">
      <c r="M12068"/>
      <c r="N12068"/>
      <c r="O12068"/>
      <c r="P12068"/>
      <c r="Q12068"/>
      <c r="R12068"/>
      <c r="S12068"/>
    </row>
    <row r="12069" spans="13:19" ht="13.95" customHeight="1">
      <c r="M12069"/>
      <c r="N12069"/>
      <c r="O12069"/>
      <c r="P12069"/>
      <c r="Q12069"/>
      <c r="R12069"/>
      <c r="S12069"/>
    </row>
    <row r="12070" spans="13:19" ht="13.95" customHeight="1">
      <c r="M12070"/>
      <c r="N12070"/>
      <c r="O12070"/>
      <c r="P12070"/>
      <c r="Q12070"/>
      <c r="R12070"/>
      <c r="S12070"/>
    </row>
    <row r="12071" spans="13:19" ht="13.95" customHeight="1">
      <c r="M12071"/>
      <c r="N12071"/>
      <c r="O12071"/>
      <c r="P12071"/>
      <c r="Q12071"/>
      <c r="R12071"/>
      <c r="S12071"/>
    </row>
    <row r="12072" spans="13:19" ht="13.95" customHeight="1">
      <c r="M12072"/>
      <c r="N12072"/>
      <c r="O12072"/>
      <c r="P12072"/>
      <c r="Q12072"/>
      <c r="R12072"/>
      <c r="S12072"/>
    </row>
    <row r="12073" spans="13:19" ht="13.95" customHeight="1">
      <c r="M12073"/>
      <c r="N12073"/>
      <c r="O12073"/>
      <c r="P12073"/>
      <c r="Q12073"/>
      <c r="R12073"/>
      <c r="S12073"/>
    </row>
    <row r="12074" spans="13:19" ht="13.95" customHeight="1">
      <c r="M12074"/>
      <c r="N12074"/>
      <c r="O12074"/>
      <c r="P12074"/>
      <c r="Q12074"/>
      <c r="R12074"/>
      <c r="S12074"/>
    </row>
    <row r="12075" spans="13:19" ht="13.95" customHeight="1">
      <c r="M12075"/>
      <c r="N12075"/>
      <c r="O12075"/>
      <c r="P12075"/>
      <c r="Q12075"/>
      <c r="R12075"/>
      <c r="S12075"/>
    </row>
    <row r="12076" spans="13:19" ht="13.95" customHeight="1">
      <c r="M12076"/>
      <c r="N12076"/>
      <c r="O12076"/>
      <c r="P12076"/>
      <c r="Q12076"/>
      <c r="R12076"/>
      <c r="S12076"/>
    </row>
    <row r="12077" spans="13:19" ht="13.95" customHeight="1">
      <c r="M12077"/>
      <c r="N12077"/>
      <c r="O12077"/>
      <c r="P12077"/>
      <c r="Q12077"/>
      <c r="R12077"/>
      <c r="S12077"/>
    </row>
    <row r="12078" spans="13:19" ht="13.95" customHeight="1">
      <c r="M12078"/>
      <c r="N12078"/>
      <c r="O12078"/>
      <c r="P12078"/>
      <c r="Q12078"/>
      <c r="R12078"/>
      <c r="S12078"/>
    </row>
    <row r="12079" spans="13:19" ht="13.95" customHeight="1">
      <c r="M12079"/>
      <c r="N12079"/>
      <c r="O12079"/>
      <c r="P12079"/>
      <c r="Q12079"/>
      <c r="R12079"/>
      <c r="S12079"/>
    </row>
    <row r="12080" spans="13:19" ht="13.95" customHeight="1">
      <c r="M12080"/>
      <c r="N12080"/>
      <c r="O12080"/>
      <c r="P12080"/>
      <c r="Q12080"/>
      <c r="R12080"/>
      <c r="S12080"/>
    </row>
    <row r="12081" spans="13:19" ht="13.95" customHeight="1">
      <c r="M12081"/>
      <c r="N12081"/>
      <c r="O12081"/>
      <c r="P12081"/>
      <c r="Q12081"/>
      <c r="R12081"/>
      <c r="S12081"/>
    </row>
    <row r="12082" spans="13:19" ht="13.95" customHeight="1">
      <c r="M12082"/>
      <c r="N12082"/>
      <c r="O12082"/>
      <c r="P12082"/>
      <c r="Q12082"/>
      <c r="R12082"/>
      <c r="S12082"/>
    </row>
    <row r="12083" spans="13:19" ht="13.95" customHeight="1">
      <c r="M12083"/>
      <c r="N12083"/>
      <c r="O12083"/>
      <c r="P12083"/>
      <c r="Q12083"/>
      <c r="R12083"/>
      <c r="S12083"/>
    </row>
    <row r="12084" spans="13:19" ht="13.95" customHeight="1">
      <c r="M12084"/>
      <c r="N12084"/>
      <c r="O12084"/>
      <c r="P12084"/>
      <c r="Q12084"/>
      <c r="R12084"/>
      <c r="S12084"/>
    </row>
    <row r="12085" spans="13:19" ht="13.95" customHeight="1">
      <c r="M12085"/>
      <c r="N12085"/>
      <c r="O12085"/>
      <c r="P12085"/>
      <c r="Q12085"/>
      <c r="R12085"/>
      <c r="S12085"/>
    </row>
    <row r="12086" spans="13:19" ht="13.95" customHeight="1">
      <c r="M12086"/>
      <c r="N12086"/>
      <c r="O12086"/>
      <c r="P12086"/>
      <c r="Q12086"/>
      <c r="R12086"/>
      <c r="S12086"/>
    </row>
    <row r="12087" spans="13:19" ht="13.95" customHeight="1">
      <c r="M12087"/>
      <c r="N12087"/>
      <c r="O12087"/>
      <c r="P12087"/>
      <c r="Q12087"/>
      <c r="R12087"/>
      <c r="S12087"/>
    </row>
    <row r="12088" spans="13:19" ht="13.95" customHeight="1">
      <c r="M12088"/>
      <c r="N12088"/>
      <c r="O12088"/>
      <c r="P12088"/>
      <c r="Q12088"/>
      <c r="R12088"/>
      <c r="S12088"/>
    </row>
    <row r="12089" spans="13:19" ht="13.95" customHeight="1">
      <c r="M12089"/>
      <c r="N12089"/>
      <c r="O12089"/>
      <c r="P12089"/>
      <c r="Q12089"/>
      <c r="R12089"/>
      <c r="S12089"/>
    </row>
    <row r="12090" spans="13:19" ht="13.95" customHeight="1">
      <c r="M12090"/>
      <c r="N12090"/>
      <c r="O12090"/>
      <c r="P12090"/>
      <c r="Q12090"/>
      <c r="R12090"/>
      <c r="S12090"/>
    </row>
    <row r="12091" spans="13:19" ht="13.95" customHeight="1">
      <c r="M12091"/>
      <c r="N12091"/>
      <c r="O12091"/>
      <c r="P12091"/>
      <c r="Q12091"/>
      <c r="R12091"/>
      <c r="S12091"/>
    </row>
    <row r="12092" spans="13:19" ht="13.95" customHeight="1">
      <c r="M12092"/>
      <c r="N12092"/>
      <c r="O12092"/>
      <c r="P12092"/>
      <c r="Q12092"/>
      <c r="R12092"/>
      <c r="S12092"/>
    </row>
    <row r="12093" spans="13:19" ht="13.95" customHeight="1">
      <c r="M12093"/>
      <c r="N12093"/>
      <c r="O12093"/>
      <c r="P12093"/>
      <c r="Q12093"/>
      <c r="R12093"/>
      <c r="S12093"/>
    </row>
    <row r="12094" spans="13:19" ht="13.95" customHeight="1">
      <c r="M12094"/>
      <c r="N12094"/>
      <c r="O12094"/>
      <c r="P12094"/>
      <c r="Q12094"/>
      <c r="R12094"/>
      <c r="S12094"/>
    </row>
    <row r="12095" spans="13:19" ht="13.95" customHeight="1">
      <c r="M12095"/>
      <c r="N12095"/>
      <c r="O12095"/>
      <c r="P12095"/>
      <c r="Q12095"/>
      <c r="R12095"/>
      <c r="S12095"/>
    </row>
    <row r="12096" spans="13:19" ht="13.95" customHeight="1">
      <c r="M12096"/>
      <c r="N12096"/>
      <c r="O12096"/>
      <c r="P12096"/>
      <c r="Q12096"/>
      <c r="R12096"/>
      <c r="S12096"/>
    </row>
    <row r="12097" spans="13:19" ht="13.95" customHeight="1">
      <c r="M12097"/>
      <c r="N12097"/>
      <c r="O12097"/>
      <c r="P12097"/>
      <c r="Q12097"/>
      <c r="R12097"/>
      <c r="S12097"/>
    </row>
    <row r="12098" spans="13:19" ht="13.95" customHeight="1">
      <c r="M12098"/>
      <c r="N12098"/>
      <c r="O12098"/>
      <c r="P12098"/>
      <c r="Q12098"/>
      <c r="R12098"/>
      <c r="S12098"/>
    </row>
    <row r="12099" spans="13:19" ht="13.95" customHeight="1">
      <c r="M12099"/>
      <c r="N12099"/>
      <c r="O12099"/>
      <c r="P12099"/>
      <c r="Q12099"/>
      <c r="R12099"/>
      <c r="S12099"/>
    </row>
    <row r="12100" spans="13:19" ht="13.95" customHeight="1">
      <c r="M12100"/>
      <c r="N12100"/>
      <c r="O12100"/>
      <c r="P12100"/>
      <c r="Q12100"/>
      <c r="R12100"/>
      <c r="S12100"/>
    </row>
    <row r="12101" spans="13:19" ht="13.95" customHeight="1">
      <c r="M12101"/>
      <c r="N12101"/>
      <c r="O12101"/>
      <c r="P12101"/>
      <c r="Q12101"/>
      <c r="R12101"/>
      <c r="S12101"/>
    </row>
    <row r="12102" spans="13:19" ht="13.95" customHeight="1">
      <c r="M12102"/>
      <c r="N12102"/>
      <c r="O12102"/>
      <c r="P12102"/>
      <c r="Q12102"/>
      <c r="R12102"/>
      <c r="S12102"/>
    </row>
    <row r="12103" spans="13:19" ht="13.95" customHeight="1">
      <c r="M12103"/>
      <c r="N12103"/>
      <c r="O12103"/>
      <c r="P12103"/>
      <c r="Q12103"/>
      <c r="R12103"/>
      <c r="S12103"/>
    </row>
    <row r="12104" spans="13:19" ht="13.95" customHeight="1">
      <c r="M12104"/>
      <c r="N12104"/>
      <c r="O12104"/>
      <c r="P12104"/>
      <c r="Q12104"/>
      <c r="R12104"/>
      <c r="S12104"/>
    </row>
    <row r="12105" spans="13:19" ht="13.95" customHeight="1">
      <c r="M12105"/>
      <c r="N12105"/>
      <c r="O12105"/>
      <c r="P12105"/>
      <c r="Q12105"/>
      <c r="R12105"/>
      <c r="S12105"/>
    </row>
    <row r="12106" spans="13:19" ht="13.95" customHeight="1">
      <c r="M12106"/>
      <c r="N12106"/>
      <c r="O12106"/>
      <c r="P12106"/>
      <c r="Q12106"/>
      <c r="R12106"/>
      <c r="S12106"/>
    </row>
    <row r="12107" spans="13:19" ht="13.95" customHeight="1">
      <c r="M12107"/>
      <c r="N12107"/>
      <c r="O12107"/>
      <c r="P12107"/>
      <c r="Q12107"/>
      <c r="R12107"/>
      <c r="S12107"/>
    </row>
    <row r="12108" spans="13:19" ht="13.95" customHeight="1">
      <c r="M12108"/>
      <c r="N12108"/>
      <c r="O12108"/>
      <c r="P12108"/>
      <c r="Q12108"/>
      <c r="R12108"/>
      <c r="S12108"/>
    </row>
    <row r="12109" spans="13:19" ht="13.95" customHeight="1">
      <c r="M12109"/>
      <c r="N12109"/>
      <c r="O12109"/>
      <c r="P12109"/>
      <c r="Q12109"/>
      <c r="R12109"/>
      <c r="S12109"/>
    </row>
    <row r="12110" spans="13:19" ht="13.95" customHeight="1">
      <c r="M12110"/>
      <c r="N12110"/>
      <c r="O12110"/>
      <c r="P12110"/>
      <c r="Q12110"/>
      <c r="R12110"/>
      <c r="S12110"/>
    </row>
    <row r="12111" spans="13:19" ht="13.95" customHeight="1">
      <c r="M12111"/>
      <c r="N12111"/>
      <c r="O12111"/>
      <c r="P12111"/>
      <c r="Q12111"/>
      <c r="R12111"/>
      <c r="S12111"/>
    </row>
    <row r="12112" spans="13:19" ht="13.95" customHeight="1">
      <c r="M12112"/>
      <c r="N12112"/>
      <c r="O12112"/>
      <c r="P12112"/>
      <c r="Q12112"/>
      <c r="R12112"/>
      <c r="S12112"/>
    </row>
    <row r="12113" spans="13:19" ht="13.95" customHeight="1">
      <c r="M12113"/>
      <c r="N12113"/>
      <c r="O12113"/>
      <c r="P12113"/>
      <c r="Q12113"/>
      <c r="R12113"/>
      <c r="S12113"/>
    </row>
    <row r="12114" spans="13:19" ht="13.95" customHeight="1">
      <c r="M12114"/>
      <c r="N12114"/>
      <c r="O12114"/>
      <c r="P12114"/>
      <c r="Q12114"/>
      <c r="R12114"/>
      <c r="S12114"/>
    </row>
    <row r="12115" spans="13:19" ht="13.95" customHeight="1">
      <c r="M12115"/>
      <c r="N12115"/>
      <c r="O12115"/>
      <c r="P12115"/>
      <c r="Q12115"/>
      <c r="R12115"/>
      <c r="S12115"/>
    </row>
    <row r="12116" spans="13:19" ht="13.95" customHeight="1">
      <c r="M12116"/>
      <c r="N12116"/>
      <c r="O12116"/>
      <c r="P12116"/>
      <c r="Q12116"/>
      <c r="R12116"/>
      <c r="S12116"/>
    </row>
    <row r="12117" spans="13:19" ht="13.95" customHeight="1">
      <c r="M12117"/>
      <c r="N12117"/>
      <c r="O12117"/>
      <c r="P12117"/>
      <c r="Q12117"/>
      <c r="R12117"/>
      <c r="S12117"/>
    </row>
    <row r="12118" spans="13:19" ht="13.95" customHeight="1">
      <c r="M12118"/>
      <c r="N12118"/>
      <c r="O12118"/>
      <c r="P12118"/>
      <c r="Q12118"/>
      <c r="R12118"/>
      <c r="S12118"/>
    </row>
    <row r="12119" spans="13:19" ht="13.95" customHeight="1">
      <c r="M12119"/>
      <c r="N12119"/>
      <c r="O12119"/>
      <c r="P12119"/>
      <c r="Q12119"/>
      <c r="R12119"/>
      <c r="S12119"/>
    </row>
    <row r="12120" spans="13:19" ht="13.95" customHeight="1">
      <c r="M12120"/>
      <c r="N12120"/>
      <c r="O12120"/>
      <c r="P12120"/>
      <c r="Q12120"/>
      <c r="R12120"/>
      <c r="S12120"/>
    </row>
    <row r="12121" spans="13:19" ht="13.95" customHeight="1">
      <c r="M12121"/>
      <c r="N12121"/>
      <c r="O12121"/>
      <c r="P12121"/>
      <c r="Q12121"/>
      <c r="R12121"/>
      <c r="S12121"/>
    </row>
    <row r="12122" spans="13:19" ht="13.95" customHeight="1">
      <c r="M12122"/>
      <c r="N12122"/>
      <c r="O12122"/>
      <c r="P12122"/>
      <c r="Q12122"/>
      <c r="R12122"/>
      <c r="S12122"/>
    </row>
    <row r="12123" spans="13:19" ht="13.95" customHeight="1">
      <c r="M12123"/>
      <c r="N12123"/>
      <c r="O12123"/>
      <c r="P12123"/>
      <c r="Q12123"/>
      <c r="R12123"/>
      <c r="S12123"/>
    </row>
    <row r="12124" spans="13:19" ht="13.95" customHeight="1">
      <c r="M12124"/>
      <c r="N12124"/>
      <c r="O12124"/>
      <c r="P12124"/>
      <c r="Q12124"/>
      <c r="R12124"/>
      <c r="S12124"/>
    </row>
    <row r="12125" spans="13:19" ht="13.95" customHeight="1">
      <c r="M12125"/>
      <c r="N12125"/>
      <c r="O12125"/>
      <c r="P12125"/>
      <c r="Q12125"/>
      <c r="R12125"/>
      <c r="S12125"/>
    </row>
    <row r="12126" spans="13:19" ht="13.95" customHeight="1">
      <c r="M12126"/>
      <c r="N12126"/>
      <c r="O12126"/>
      <c r="P12126"/>
      <c r="Q12126"/>
      <c r="R12126"/>
      <c r="S12126"/>
    </row>
    <row r="12127" spans="13:19" ht="13.95" customHeight="1">
      <c r="M12127"/>
      <c r="N12127"/>
      <c r="O12127"/>
      <c r="P12127"/>
      <c r="Q12127"/>
      <c r="R12127"/>
      <c r="S12127"/>
    </row>
    <row r="12128" spans="13:19" ht="13.95" customHeight="1">
      <c r="M12128"/>
      <c r="N12128"/>
      <c r="O12128"/>
      <c r="P12128"/>
      <c r="Q12128"/>
      <c r="R12128"/>
      <c r="S12128"/>
    </row>
    <row r="12129" spans="13:19" ht="13.95" customHeight="1">
      <c r="M12129"/>
      <c r="N12129"/>
      <c r="O12129"/>
      <c r="P12129"/>
      <c r="Q12129"/>
      <c r="R12129"/>
      <c r="S12129"/>
    </row>
    <row r="12130" spans="13:19" ht="13.95" customHeight="1">
      <c r="M12130"/>
      <c r="N12130"/>
      <c r="O12130"/>
      <c r="P12130"/>
      <c r="Q12130"/>
      <c r="R12130"/>
      <c r="S12130"/>
    </row>
    <row r="12131" spans="13:19" ht="13.95" customHeight="1">
      <c r="M12131"/>
      <c r="N12131"/>
      <c r="O12131"/>
      <c r="P12131"/>
      <c r="Q12131"/>
      <c r="R12131"/>
      <c r="S12131"/>
    </row>
    <row r="12132" spans="13:19" ht="13.95" customHeight="1">
      <c r="M12132"/>
      <c r="N12132"/>
      <c r="O12132"/>
      <c r="P12132"/>
      <c r="Q12132"/>
      <c r="R12132"/>
      <c r="S12132"/>
    </row>
    <row r="12133" spans="13:19" ht="13.95" customHeight="1">
      <c r="M12133"/>
      <c r="N12133"/>
      <c r="O12133"/>
      <c r="P12133"/>
      <c r="Q12133"/>
      <c r="R12133"/>
      <c r="S12133"/>
    </row>
    <row r="12134" spans="13:19" ht="13.95" customHeight="1">
      <c r="M12134"/>
      <c r="N12134"/>
      <c r="O12134"/>
      <c r="P12134"/>
      <c r="Q12134"/>
      <c r="R12134"/>
      <c r="S12134"/>
    </row>
    <row r="12135" spans="13:19" ht="13.95" customHeight="1">
      <c r="M12135"/>
      <c r="N12135"/>
      <c r="O12135"/>
      <c r="P12135"/>
      <c r="Q12135"/>
      <c r="R12135"/>
      <c r="S12135"/>
    </row>
    <row r="12136" spans="13:19" ht="13.95" customHeight="1">
      <c r="M12136"/>
      <c r="N12136"/>
      <c r="O12136"/>
      <c r="P12136"/>
      <c r="Q12136"/>
      <c r="R12136"/>
      <c r="S12136"/>
    </row>
    <row r="12137" spans="13:19" ht="13.95" customHeight="1">
      <c r="M12137"/>
      <c r="N12137"/>
      <c r="O12137"/>
      <c r="P12137"/>
      <c r="Q12137"/>
      <c r="R12137"/>
      <c r="S12137"/>
    </row>
    <row r="12138" spans="13:19" ht="13.95" customHeight="1">
      <c r="M12138"/>
      <c r="N12138"/>
      <c r="O12138"/>
      <c r="P12138"/>
      <c r="Q12138"/>
      <c r="R12138"/>
      <c r="S12138"/>
    </row>
    <row r="12139" spans="13:19" ht="13.95" customHeight="1">
      <c r="M12139"/>
      <c r="N12139"/>
      <c r="O12139"/>
      <c r="P12139"/>
      <c r="Q12139"/>
      <c r="R12139"/>
      <c r="S12139"/>
    </row>
    <row r="12140" spans="13:19" ht="13.95" customHeight="1">
      <c r="M12140"/>
      <c r="N12140"/>
      <c r="O12140"/>
      <c r="P12140"/>
      <c r="Q12140"/>
      <c r="R12140"/>
      <c r="S12140"/>
    </row>
    <row r="12141" spans="13:19" ht="13.95" customHeight="1">
      <c r="M12141"/>
      <c r="N12141"/>
      <c r="O12141"/>
      <c r="P12141"/>
      <c r="Q12141"/>
      <c r="R12141"/>
      <c r="S12141"/>
    </row>
    <row r="12142" spans="13:19" ht="13.95" customHeight="1">
      <c r="M12142"/>
      <c r="N12142"/>
      <c r="O12142"/>
      <c r="P12142"/>
      <c r="Q12142"/>
      <c r="R12142"/>
      <c r="S12142"/>
    </row>
    <row r="12143" spans="13:19" ht="13.95" customHeight="1">
      <c r="M12143"/>
      <c r="N12143"/>
      <c r="O12143"/>
      <c r="P12143"/>
      <c r="Q12143"/>
      <c r="R12143"/>
      <c r="S12143"/>
    </row>
    <row r="12144" spans="13:19" ht="13.95" customHeight="1">
      <c r="M12144"/>
      <c r="N12144"/>
      <c r="O12144"/>
      <c r="P12144"/>
      <c r="Q12144"/>
      <c r="R12144"/>
      <c r="S12144"/>
    </row>
    <row r="12145" spans="13:19" ht="13.95" customHeight="1">
      <c r="M12145"/>
      <c r="N12145"/>
      <c r="O12145"/>
      <c r="P12145"/>
      <c r="Q12145"/>
      <c r="R12145"/>
      <c r="S12145"/>
    </row>
    <row r="12146" spans="13:19" ht="13.95" customHeight="1">
      <c r="M12146"/>
      <c r="N12146"/>
      <c r="O12146"/>
      <c r="P12146"/>
      <c r="Q12146"/>
      <c r="R12146"/>
      <c r="S12146"/>
    </row>
    <row r="12147" spans="13:19" ht="13.95" customHeight="1">
      <c r="M12147"/>
      <c r="N12147"/>
      <c r="O12147"/>
      <c r="P12147"/>
      <c r="Q12147"/>
      <c r="R12147"/>
      <c r="S12147"/>
    </row>
    <row r="12148" spans="13:19" ht="13.95" customHeight="1">
      <c r="M12148"/>
      <c r="N12148"/>
      <c r="O12148"/>
      <c r="P12148"/>
      <c r="Q12148"/>
      <c r="R12148"/>
      <c r="S12148"/>
    </row>
    <row r="12149" spans="13:19" ht="13.95" customHeight="1">
      <c r="M12149"/>
      <c r="N12149"/>
      <c r="O12149"/>
      <c r="P12149"/>
      <c r="Q12149"/>
      <c r="R12149"/>
      <c r="S12149"/>
    </row>
    <row r="12150" spans="13:19" ht="13.95" customHeight="1">
      <c r="M12150"/>
      <c r="N12150"/>
      <c r="O12150"/>
      <c r="P12150"/>
      <c r="Q12150"/>
      <c r="R12150"/>
      <c r="S12150"/>
    </row>
    <row r="12151" spans="13:19" ht="13.95" customHeight="1">
      <c r="M12151"/>
      <c r="N12151"/>
      <c r="O12151"/>
      <c r="P12151"/>
      <c r="Q12151"/>
      <c r="R12151"/>
      <c r="S12151"/>
    </row>
    <row r="12152" spans="13:19" ht="13.95" customHeight="1">
      <c r="M12152"/>
      <c r="N12152"/>
      <c r="O12152"/>
      <c r="P12152"/>
      <c r="Q12152"/>
      <c r="R12152"/>
      <c r="S12152"/>
    </row>
    <row r="12153" spans="13:19" ht="13.95" customHeight="1">
      <c r="M12153"/>
      <c r="N12153"/>
      <c r="O12153"/>
      <c r="P12153"/>
      <c r="Q12153"/>
      <c r="R12153"/>
      <c r="S12153"/>
    </row>
    <row r="12154" spans="13:19" ht="13.95" customHeight="1">
      <c r="M12154"/>
      <c r="N12154"/>
      <c r="O12154"/>
      <c r="P12154"/>
      <c r="Q12154"/>
      <c r="R12154"/>
      <c r="S12154"/>
    </row>
    <row r="12155" spans="13:19" ht="13.95" customHeight="1">
      <c r="M12155"/>
      <c r="N12155"/>
      <c r="O12155"/>
      <c r="P12155"/>
      <c r="Q12155"/>
      <c r="R12155"/>
      <c r="S12155"/>
    </row>
    <row r="12156" spans="13:19" ht="13.95" customHeight="1">
      <c r="M12156"/>
      <c r="N12156"/>
      <c r="O12156"/>
      <c r="P12156"/>
      <c r="Q12156"/>
      <c r="R12156"/>
      <c r="S12156"/>
    </row>
    <row r="12157" spans="13:19" ht="13.95" customHeight="1">
      <c r="M12157"/>
      <c r="N12157"/>
      <c r="O12157"/>
      <c r="P12157"/>
      <c r="Q12157"/>
      <c r="R12157"/>
      <c r="S12157"/>
    </row>
    <row r="12158" spans="13:19" ht="13.95" customHeight="1">
      <c r="M12158"/>
      <c r="N12158"/>
      <c r="O12158"/>
      <c r="P12158"/>
      <c r="Q12158"/>
      <c r="R12158"/>
      <c r="S12158"/>
    </row>
    <row r="12159" spans="13:19" ht="13.95" customHeight="1">
      <c r="M12159"/>
      <c r="N12159"/>
      <c r="O12159"/>
      <c r="P12159"/>
      <c r="Q12159"/>
      <c r="R12159"/>
      <c r="S12159"/>
    </row>
    <row r="12160" spans="13:19" ht="13.95" customHeight="1">
      <c r="M12160"/>
      <c r="N12160"/>
      <c r="O12160"/>
      <c r="P12160"/>
      <c r="Q12160"/>
      <c r="R12160"/>
      <c r="S12160"/>
    </row>
    <row r="12161" spans="13:19" ht="13.95" customHeight="1">
      <c r="M12161"/>
      <c r="N12161"/>
      <c r="O12161"/>
      <c r="P12161"/>
      <c r="Q12161"/>
      <c r="R12161"/>
      <c r="S12161"/>
    </row>
    <row r="12162" spans="13:19" ht="13.95" customHeight="1">
      <c r="M12162"/>
      <c r="N12162"/>
      <c r="O12162"/>
      <c r="P12162"/>
      <c r="Q12162"/>
      <c r="R12162"/>
      <c r="S12162"/>
    </row>
    <row r="12163" spans="13:19" ht="13.95" customHeight="1">
      <c r="M12163"/>
      <c r="N12163"/>
      <c r="O12163"/>
      <c r="P12163"/>
      <c r="Q12163"/>
      <c r="R12163"/>
      <c r="S12163"/>
    </row>
    <row r="12164" spans="13:19" ht="13.95" customHeight="1">
      <c r="M12164"/>
      <c r="N12164"/>
      <c r="O12164"/>
      <c r="P12164"/>
      <c r="Q12164"/>
      <c r="R12164"/>
      <c r="S12164"/>
    </row>
    <row r="12165" spans="13:19" ht="13.95" customHeight="1">
      <c r="M12165"/>
      <c r="N12165"/>
      <c r="O12165"/>
      <c r="P12165"/>
      <c r="Q12165"/>
      <c r="R12165"/>
      <c r="S12165"/>
    </row>
    <row r="12166" spans="13:19" ht="13.95" customHeight="1">
      <c r="M12166"/>
      <c r="N12166"/>
      <c r="O12166"/>
      <c r="P12166"/>
      <c r="Q12166"/>
      <c r="R12166"/>
      <c r="S12166"/>
    </row>
    <row r="12167" spans="13:19" ht="13.95" customHeight="1">
      <c r="M12167"/>
      <c r="N12167"/>
      <c r="O12167"/>
      <c r="P12167"/>
      <c r="Q12167"/>
      <c r="R12167"/>
      <c r="S12167"/>
    </row>
    <row r="12168" spans="13:19" ht="13.95" customHeight="1">
      <c r="M12168"/>
      <c r="N12168"/>
      <c r="O12168"/>
      <c r="P12168"/>
      <c r="Q12168"/>
      <c r="R12168"/>
      <c r="S12168"/>
    </row>
    <row r="12169" spans="13:19" ht="13.95" customHeight="1">
      <c r="M12169"/>
      <c r="N12169"/>
      <c r="O12169"/>
      <c r="P12169"/>
      <c r="Q12169"/>
      <c r="R12169"/>
      <c r="S12169"/>
    </row>
    <row r="12170" spans="13:19" ht="13.95" customHeight="1">
      <c r="M12170"/>
      <c r="N12170"/>
      <c r="O12170"/>
      <c r="P12170"/>
      <c r="Q12170"/>
      <c r="R12170"/>
      <c r="S12170"/>
    </row>
    <row r="12171" spans="13:19" ht="13.95" customHeight="1">
      <c r="M12171"/>
      <c r="N12171"/>
      <c r="O12171"/>
      <c r="P12171"/>
      <c r="Q12171"/>
      <c r="R12171"/>
      <c r="S12171"/>
    </row>
    <row r="12172" spans="13:19" ht="13.95" customHeight="1">
      <c r="M12172"/>
      <c r="N12172"/>
      <c r="O12172"/>
      <c r="P12172"/>
      <c r="Q12172"/>
      <c r="R12172"/>
      <c r="S12172"/>
    </row>
    <row r="12173" spans="13:19" ht="13.95" customHeight="1">
      <c r="M12173"/>
      <c r="N12173"/>
      <c r="O12173"/>
      <c r="P12173"/>
      <c r="Q12173"/>
      <c r="R12173"/>
      <c r="S12173"/>
    </row>
    <row r="12174" spans="13:19" ht="13.95" customHeight="1">
      <c r="M12174"/>
      <c r="N12174"/>
      <c r="O12174"/>
      <c r="P12174"/>
      <c r="Q12174"/>
      <c r="R12174"/>
      <c r="S12174"/>
    </row>
    <row r="12175" spans="13:19" ht="13.95" customHeight="1">
      <c r="M12175"/>
      <c r="N12175"/>
      <c r="O12175"/>
      <c r="P12175"/>
      <c r="Q12175"/>
      <c r="R12175"/>
      <c r="S12175"/>
    </row>
    <row r="12176" spans="13:19" ht="13.95" customHeight="1">
      <c r="M12176"/>
      <c r="N12176"/>
      <c r="O12176"/>
      <c r="P12176"/>
      <c r="Q12176"/>
      <c r="R12176"/>
      <c r="S12176"/>
    </row>
    <row r="12177" spans="13:19" ht="13.95" customHeight="1">
      <c r="M12177"/>
      <c r="N12177"/>
      <c r="O12177"/>
      <c r="P12177"/>
      <c r="Q12177"/>
      <c r="R12177"/>
      <c r="S12177"/>
    </row>
    <row r="12178" spans="13:19" ht="13.95" customHeight="1">
      <c r="M12178"/>
      <c r="N12178"/>
      <c r="O12178"/>
      <c r="P12178"/>
      <c r="Q12178"/>
      <c r="R12178"/>
      <c r="S12178"/>
    </row>
    <row r="12179" spans="13:19" ht="13.95" customHeight="1">
      <c r="M12179"/>
      <c r="N12179"/>
      <c r="O12179"/>
      <c r="P12179"/>
      <c r="Q12179"/>
      <c r="R12179"/>
      <c r="S12179"/>
    </row>
    <row r="12180" spans="13:19" ht="13.95" customHeight="1">
      <c r="M12180"/>
      <c r="N12180"/>
      <c r="O12180"/>
      <c r="P12180"/>
      <c r="Q12180"/>
      <c r="R12180"/>
      <c r="S12180"/>
    </row>
    <row r="12181" spans="13:19" ht="13.95" customHeight="1">
      <c r="M12181"/>
      <c r="N12181"/>
      <c r="O12181"/>
      <c r="P12181"/>
      <c r="Q12181"/>
      <c r="R12181"/>
      <c r="S12181"/>
    </row>
    <row r="12182" spans="13:19" ht="13.95" customHeight="1">
      <c r="M12182"/>
      <c r="N12182"/>
      <c r="O12182"/>
      <c r="P12182"/>
      <c r="Q12182"/>
      <c r="R12182"/>
      <c r="S12182"/>
    </row>
    <row r="12183" spans="13:19" ht="13.95" customHeight="1">
      <c r="M12183"/>
      <c r="N12183"/>
      <c r="O12183"/>
      <c r="P12183"/>
      <c r="Q12183"/>
      <c r="R12183"/>
      <c r="S12183"/>
    </row>
    <row r="12184" spans="13:19" ht="13.95" customHeight="1">
      <c r="M12184"/>
      <c r="N12184"/>
      <c r="O12184"/>
      <c r="P12184"/>
      <c r="Q12184"/>
      <c r="R12184"/>
      <c r="S12184"/>
    </row>
    <row r="12185" spans="13:19" ht="13.95" customHeight="1">
      <c r="M12185"/>
      <c r="N12185"/>
      <c r="O12185"/>
      <c r="P12185"/>
      <c r="Q12185"/>
      <c r="R12185"/>
      <c r="S12185"/>
    </row>
    <row r="12186" spans="13:19" ht="13.95" customHeight="1">
      <c r="M12186"/>
      <c r="N12186"/>
      <c r="O12186"/>
      <c r="P12186"/>
      <c r="Q12186"/>
      <c r="R12186"/>
      <c r="S12186"/>
    </row>
    <row r="12187" spans="13:19" ht="13.95" customHeight="1">
      <c r="M12187"/>
      <c r="N12187"/>
      <c r="O12187"/>
      <c r="P12187"/>
      <c r="Q12187"/>
      <c r="R12187"/>
      <c r="S12187"/>
    </row>
    <row r="12188" spans="13:19" ht="13.95" customHeight="1">
      <c r="M12188"/>
      <c r="N12188"/>
      <c r="O12188"/>
      <c r="P12188"/>
      <c r="Q12188"/>
      <c r="R12188"/>
      <c r="S12188"/>
    </row>
    <row r="12189" spans="13:19" ht="13.95" customHeight="1">
      <c r="M12189"/>
      <c r="N12189"/>
      <c r="O12189"/>
      <c r="P12189"/>
      <c r="Q12189"/>
      <c r="R12189"/>
      <c r="S12189"/>
    </row>
    <row r="12190" spans="13:19" ht="13.95" customHeight="1">
      <c r="M12190"/>
      <c r="N12190"/>
      <c r="O12190"/>
      <c r="P12190"/>
      <c r="Q12190"/>
      <c r="R12190"/>
      <c r="S12190"/>
    </row>
    <row r="12191" spans="13:19" ht="13.95" customHeight="1">
      <c r="M12191"/>
      <c r="N12191"/>
      <c r="O12191"/>
      <c r="P12191"/>
      <c r="Q12191"/>
      <c r="R12191"/>
      <c r="S12191"/>
    </row>
    <row r="12192" spans="13:19" ht="13.95" customHeight="1">
      <c r="M12192"/>
      <c r="N12192"/>
      <c r="O12192"/>
      <c r="P12192"/>
      <c r="Q12192"/>
      <c r="R12192"/>
      <c r="S12192"/>
    </row>
    <row r="12193" spans="13:19" ht="13.95" customHeight="1">
      <c r="M12193"/>
      <c r="N12193"/>
      <c r="O12193"/>
      <c r="P12193"/>
      <c r="Q12193"/>
      <c r="R12193"/>
      <c r="S12193"/>
    </row>
    <row r="12194" spans="13:19" ht="13.95" customHeight="1">
      <c r="M12194"/>
      <c r="N12194"/>
      <c r="O12194"/>
      <c r="P12194"/>
      <c r="Q12194"/>
      <c r="R12194"/>
      <c r="S12194"/>
    </row>
    <row r="12195" spans="13:19" ht="13.95" customHeight="1">
      <c r="M12195"/>
      <c r="N12195"/>
      <c r="O12195"/>
      <c r="P12195"/>
      <c r="Q12195"/>
      <c r="R12195"/>
      <c r="S12195"/>
    </row>
    <row r="12196" spans="13:19" ht="13.95" customHeight="1">
      <c r="M12196"/>
      <c r="N12196"/>
      <c r="O12196"/>
      <c r="P12196"/>
      <c r="Q12196"/>
      <c r="R12196"/>
      <c r="S12196"/>
    </row>
    <row r="12197" spans="13:19" ht="13.95" customHeight="1">
      <c r="M12197"/>
      <c r="N12197"/>
      <c r="O12197"/>
      <c r="P12197"/>
      <c r="Q12197"/>
      <c r="R12197"/>
      <c r="S12197"/>
    </row>
    <row r="12198" spans="13:19" ht="13.95" customHeight="1">
      <c r="M12198"/>
      <c r="N12198"/>
      <c r="O12198"/>
      <c r="P12198"/>
      <c r="Q12198"/>
      <c r="R12198"/>
      <c r="S12198"/>
    </row>
    <row r="12199" spans="13:19" ht="13.95" customHeight="1">
      <c r="M12199"/>
      <c r="N12199"/>
      <c r="O12199"/>
      <c r="P12199"/>
      <c r="Q12199"/>
      <c r="R12199"/>
      <c r="S12199"/>
    </row>
    <row r="12200" spans="13:19" ht="13.95" customHeight="1">
      <c r="M12200"/>
      <c r="N12200"/>
      <c r="O12200"/>
      <c r="P12200"/>
      <c r="Q12200"/>
      <c r="R12200"/>
      <c r="S12200"/>
    </row>
    <row r="12201" spans="13:19" ht="13.95" customHeight="1">
      <c r="M12201"/>
      <c r="N12201"/>
      <c r="O12201"/>
      <c r="P12201"/>
      <c r="Q12201"/>
      <c r="R12201"/>
      <c r="S12201"/>
    </row>
    <row r="12202" spans="13:19" ht="13.95" customHeight="1">
      <c r="M12202"/>
      <c r="N12202"/>
      <c r="O12202"/>
      <c r="P12202"/>
      <c r="Q12202"/>
      <c r="R12202"/>
      <c r="S12202"/>
    </row>
    <row r="12203" spans="13:19" ht="13.95" customHeight="1">
      <c r="M12203"/>
      <c r="N12203"/>
      <c r="O12203"/>
      <c r="P12203"/>
      <c r="Q12203"/>
      <c r="R12203"/>
      <c r="S12203"/>
    </row>
    <row r="12204" spans="13:19" ht="13.95" customHeight="1">
      <c r="M12204"/>
      <c r="N12204"/>
      <c r="O12204"/>
      <c r="P12204"/>
      <c r="Q12204"/>
      <c r="R12204"/>
      <c r="S12204"/>
    </row>
    <row r="12205" spans="13:19" ht="13.95" customHeight="1">
      <c r="M12205"/>
      <c r="N12205"/>
      <c r="O12205"/>
      <c r="P12205"/>
      <c r="Q12205"/>
      <c r="R12205"/>
      <c r="S12205"/>
    </row>
    <row r="12206" spans="13:19" ht="13.95" customHeight="1">
      <c r="M12206"/>
      <c r="N12206"/>
      <c r="O12206"/>
      <c r="P12206"/>
      <c r="Q12206"/>
      <c r="R12206"/>
      <c r="S12206"/>
    </row>
    <row r="12207" spans="13:19" ht="13.95" customHeight="1">
      <c r="M12207"/>
      <c r="N12207"/>
      <c r="O12207"/>
      <c r="P12207"/>
      <c r="Q12207"/>
      <c r="R12207"/>
      <c r="S12207"/>
    </row>
    <row r="12208" spans="13:19" ht="13.95" customHeight="1">
      <c r="M12208"/>
      <c r="N12208"/>
      <c r="O12208"/>
      <c r="P12208"/>
      <c r="Q12208"/>
      <c r="R12208"/>
      <c r="S12208"/>
    </row>
    <row r="12209" spans="13:19" ht="13.95" customHeight="1">
      <c r="M12209"/>
      <c r="N12209"/>
      <c r="O12209"/>
      <c r="P12209"/>
      <c r="Q12209"/>
      <c r="R12209"/>
      <c r="S12209"/>
    </row>
    <row r="12210" spans="13:19" ht="13.95" customHeight="1">
      <c r="M12210"/>
      <c r="N12210"/>
      <c r="O12210"/>
      <c r="P12210"/>
      <c r="Q12210"/>
      <c r="R12210"/>
      <c r="S12210"/>
    </row>
    <row r="12211" spans="13:19" ht="13.95" customHeight="1">
      <c r="M12211"/>
      <c r="N12211"/>
      <c r="O12211"/>
      <c r="P12211"/>
      <c r="Q12211"/>
      <c r="R12211"/>
      <c r="S12211"/>
    </row>
    <row r="12212" spans="13:19" ht="13.95" customHeight="1">
      <c r="M12212"/>
      <c r="N12212"/>
      <c r="O12212"/>
      <c r="P12212"/>
      <c r="Q12212"/>
      <c r="R12212"/>
      <c r="S12212"/>
    </row>
    <row r="12213" spans="13:19" ht="13.95" customHeight="1">
      <c r="M12213"/>
      <c r="N12213"/>
      <c r="O12213"/>
      <c r="P12213"/>
      <c r="Q12213"/>
      <c r="R12213"/>
      <c r="S12213"/>
    </row>
    <row r="12214" spans="13:19" ht="13.95" customHeight="1">
      <c r="M12214"/>
      <c r="N12214"/>
      <c r="O12214"/>
      <c r="P12214"/>
      <c r="Q12214"/>
      <c r="R12214"/>
      <c r="S12214"/>
    </row>
    <row r="12215" spans="13:19" ht="13.95" customHeight="1">
      <c r="M12215"/>
      <c r="N12215"/>
      <c r="O12215"/>
      <c r="P12215"/>
      <c r="Q12215"/>
      <c r="R12215"/>
      <c r="S12215"/>
    </row>
    <row r="12216" spans="13:19" ht="13.95" customHeight="1">
      <c r="M12216"/>
      <c r="N12216"/>
      <c r="O12216"/>
      <c r="P12216"/>
      <c r="Q12216"/>
      <c r="R12216"/>
      <c r="S12216"/>
    </row>
    <row r="12217" spans="13:19" ht="13.95" customHeight="1">
      <c r="M12217"/>
      <c r="N12217"/>
      <c r="O12217"/>
      <c r="P12217"/>
      <c r="Q12217"/>
      <c r="R12217"/>
      <c r="S12217"/>
    </row>
    <row r="12218" spans="13:19" ht="13.95" customHeight="1">
      <c r="M12218"/>
      <c r="N12218"/>
      <c r="O12218"/>
      <c r="P12218"/>
      <c r="Q12218"/>
      <c r="R12218"/>
      <c r="S12218"/>
    </row>
    <row r="12219" spans="13:19" ht="13.95" customHeight="1">
      <c r="M12219"/>
      <c r="N12219"/>
      <c r="O12219"/>
      <c r="P12219"/>
      <c r="Q12219"/>
      <c r="R12219"/>
      <c r="S12219"/>
    </row>
    <row r="12220" spans="13:19" ht="13.95" customHeight="1">
      <c r="M12220"/>
      <c r="N12220"/>
      <c r="O12220"/>
      <c r="P12220"/>
      <c r="Q12220"/>
      <c r="R12220"/>
      <c r="S12220"/>
    </row>
    <row r="12221" spans="13:19" ht="13.95" customHeight="1">
      <c r="M12221"/>
      <c r="N12221"/>
      <c r="O12221"/>
      <c r="P12221"/>
      <c r="Q12221"/>
      <c r="R12221"/>
      <c r="S12221"/>
    </row>
    <row r="12222" spans="13:19" ht="13.95" customHeight="1">
      <c r="M12222"/>
      <c r="N12222"/>
      <c r="O12222"/>
      <c r="P12222"/>
      <c r="Q12222"/>
      <c r="R12222"/>
      <c r="S12222"/>
    </row>
    <row r="12223" spans="13:19" ht="13.95" customHeight="1">
      <c r="M12223"/>
      <c r="N12223"/>
      <c r="O12223"/>
      <c r="P12223"/>
      <c r="Q12223"/>
      <c r="R12223"/>
      <c r="S12223"/>
    </row>
    <row r="12224" spans="13:19" ht="13.95" customHeight="1">
      <c r="M12224"/>
      <c r="N12224"/>
      <c r="O12224"/>
      <c r="P12224"/>
      <c r="Q12224"/>
      <c r="R12224"/>
      <c r="S12224"/>
    </row>
    <row r="12225" spans="13:19" ht="13.95" customHeight="1">
      <c r="M12225"/>
      <c r="N12225"/>
      <c r="O12225"/>
      <c r="P12225"/>
      <c r="Q12225"/>
      <c r="R12225"/>
      <c r="S12225"/>
    </row>
    <row r="12226" spans="13:19" ht="13.95" customHeight="1">
      <c r="M12226"/>
      <c r="N12226"/>
      <c r="O12226"/>
      <c r="P12226"/>
      <c r="Q12226"/>
      <c r="R12226"/>
      <c r="S12226"/>
    </row>
    <row r="12227" spans="13:19" ht="13.95" customHeight="1">
      <c r="M12227"/>
      <c r="N12227"/>
      <c r="O12227"/>
      <c r="P12227"/>
      <c r="Q12227"/>
      <c r="R12227"/>
      <c r="S12227"/>
    </row>
    <row r="12228" spans="13:19" ht="13.95" customHeight="1">
      <c r="M12228"/>
      <c r="N12228"/>
      <c r="O12228"/>
      <c r="P12228"/>
      <c r="Q12228"/>
      <c r="R12228"/>
      <c r="S12228"/>
    </row>
    <row r="12229" spans="13:19" ht="13.95" customHeight="1">
      <c r="M12229"/>
      <c r="N12229"/>
      <c r="O12229"/>
      <c r="P12229"/>
      <c r="Q12229"/>
      <c r="R12229"/>
      <c r="S12229"/>
    </row>
    <row r="12230" spans="13:19" ht="13.95" customHeight="1">
      <c r="M12230"/>
      <c r="N12230"/>
      <c r="O12230"/>
      <c r="P12230"/>
      <c r="Q12230"/>
      <c r="R12230"/>
      <c r="S12230"/>
    </row>
    <row r="12231" spans="13:19" ht="13.95" customHeight="1">
      <c r="M12231"/>
      <c r="N12231"/>
      <c r="O12231"/>
      <c r="P12231"/>
      <c r="Q12231"/>
      <c r="R12231"/>
      <c r="S12231"/>
    </row>
    <row r="12232" spans="13:19" ht="13.95" customHeight="1">
      <c r="M12232"/>
      <c r="N12232"/>
      <c r="O12232"/>
      <c r="P12232"/>
      <c r="Q12232"/>
      <c r="R12232"/>
      <c r="S12232"/>
    </row>
    <row r="12233" spans="13:19" ht="13.95" customHeight="1">
      <c r="M12233"/>
      <c r="N12233"/>
      <c r="O12233"/>
      <c r="P12233"/>
      <c r="Q12233"/>
      <c r="R12233"/>
      <c r="S12233"/>
    </row>
    <row r="12234" spans="13:19" ht="13.95" customHeight="1">
      <c r="M12234"/>
      <c r="N12234"/>
      <c r="O12234"/>
      <c r="P12234"/>
      <c r="Q12234"/>
      <c r="R12234"/>
      <c r="S12234"/>
    </row>
    <row r="12235" spans="13:19" ht="13.95" customHeight="1">
      <c r="M12235"/>
      <c r="N12235"/>
      <c r="O12235"/>
      <c r="P12235"/>
      <c r="Q12235"/>
      <c r="R12235"/>
      <c r="S12235"/>
    </row>
    <row r="12236" spans="13:19" ht="13.95" customHeight="1">
      <c r="M12236"/>
      <c r="N12236"/>
      <c r="O12236"/>
      <c r="P12236"/>
      <c r="Q12236"/>
      <c r="R12236"/>
      <c r="S12236"/>
    </row>
    <row r="12237" spans="13:19" ht="13.95" customHeight="1">
      <c r="M12237"/>
      <c r="N12237"/>
      <c r="O12237"/>
      <c r="P12237"/>
      <c r="Q12237"/>
      <c r="R12237"/>
      <c r="S12237"/>
    </row>
    <row r="12238" spans="13:19" ht="13.95" customHeight="1">
      <c r="M12238"/>
      <c r="N12238"/>
      <c r="O12238"/>
      <c r="P12238"/>
      <c r="Q12238"/>
      <c r="R12238"/>
      <c r="S12238"/>
    </row>
    <row r="12239" spans="13:19" ht="13.95" customHeight="1">
      <c r="M12239"/>
      <c r="N12239"/>
      <c r="O12239"/>
      <c r="P12239"/>
      <c r="Q12239"/>
      <c r="R12239"/>
      <c r="S12239"/>
    </row>
    <row r="12240" spans="13:19" ht="13.95" customHeight="1">
      <c r="M12240"/>
      <c r="N12240"/>
      <c r="O12240"/>
      <c r="P12240"/>
      <c r="Q12240"/>
      <c r="R12240"/>
      <c r="S12240"/>
    </row>
    <row r="12241" spans="13:19" ht="13.95" customHeight="1">
      <c r="M12241"/>
      <c r="N12241"/>
      <c r="O12241"/>
      <c r="P12241"/>
      <c r="Q12241"/>
      <c r="R12241"/>
      <c r="S12241"/>
    </row>
    <row r="12242" spans="13:19" ht="13.95" customHeight="1">
      <c r="M12242"/>
      <c r="N12242"/>
      <c r="O12242"/>
      <c r="P12242"/>
      <c r="Q12242"/>
      <c r="R12242"/>
      <c r="S12242"/>
    </row>
    <row r="12243" spans="13:19" ht="13.95" customHeight="1">
      <c r="M12243"/>
      <c r="N12243"/>
      <c r="O12243"/>
      <c r="P12243"/>
      <c r="Q12243"/>
      <c r="R12243"/>
      <c r="S12243"/>
    </row>
    <row r="12244" spans="13:19" ht="13.95" customHeight="1">
      <c r="M12244"/>
      <c r="N12244"/>
      <c r="O12244"/>
      <c r="P12244"/>
      <c r="Q12244"/>
      <c r="R12244"/>
      <c r="S12244"/>
    </row>
    <row r="12245" spans="13:19" ht="13.95" customHeight="1">
      <c r="M12245"/>
      <c r="N12245"/>
      <c r="O12245"/>
      <c r="P12245"/>
      <c r="Q12245"/>
      <c r="R12245"/>
      <c r="S12245"/>
    </row>
    <row r="12246" spans="13:19" ht="13.95" customHeight="1">
      <c r="M12246"/>
      <c r="N12246"/>
      <c r="O12246"/>
      <c r="P12246"/>
      <c r="Q12246"/>
      <c r="R12246"/>
      <c r="S12246"/>
    </row>
    <row r="12247" spans="13:19" ht="13.95" customHeight="1">
      <c r="M12247"/>
      <c r="N12247"/>
      <c r="O12247"/>
      <c r="P12247"/>
      <c r="Q12247"/>
      <c r="R12247"/>
      <c r="S12247"/>
    </row>
    <row r="12248" spans="13:19" ht="13.95" customHeight="1">
      <c r="M12248"/>
      <c r="N12248"/>
      <c r="O12248"/>
      <c r="P12248"/>
      <c r="Q12248"/>
      <c r="R12248"/>
      <c r="S12248"/>
    </row>
    <row r="12249" spans="13:19" ht="13.95" customHeight="1">
      <c r="M12249"/>
      <c r="N12249"/>
      <c r="O12249"/>
      <c r="P12249"/>
      <c r="Q12249"/>
      <c r="R12249"/>
      <c r="S12249"/>
    </row>
    <row r="12250" spans="13:19" ht="13.95" customHeight="1">
      <c r="M12250"/>
      <c r="N12250"/>
      <c r="O12250"/>
      <c r="P12250"/>
      <c r="Q12250"/>
      <c r="R12250"/>
      <c r="S12250"/>
    </row>
    <row r="12251" spans="13:19" ht="13.95" customHeight="1">
      <c r="M12251"/>
      <c r="N12251"/>
      <c r="O12251"/>
      <c r="P12251"/>
      <c r="Q12251"/>
      <c r="R12251"/>
      <c r="S12251"/>
    </row>
    <row r="12252" spans="13:19" ht="13.95" customHeight="1">
      <c r="M12252"/>
      <c r="N12252"/>
      <c r="O12252"/>
      <c r="P12252"/>
      <c r="Q12252"/>
      <c r="R12252"/>
      <c r="S12252"/>
    </row>
    <row r="12253" spans="13:19" ht="13.95" customHeight="1">
      <c r="M12253"/>
      <c r="N12253"/>
      <c r="O12253"/>
      <c r="P12253"/>
      <c r="Q12253"/>
      <c r="R12253"/>
      <c r="S12253"/>
    </row>
    <row r="12254" spans="13:19" ht="13.95" customHeight="1">
      <c r="M12254"/>
      <c r="N12254"/>
      <c r="O12254"/>
      <c r="P12254"/>
      <c r="Q12254"/>
      <c r="R12254"/>
      <c r="S12254"/>
    </row>
    <row r="12255" spans="13:19" ht="13.95" customHeight="1">
      <c r="M12255"/>
      <c r="N12255"/>
      <c r="O12255"/>
      <c r="P12255"/>
      <c r="Q12255"/>
      <c r="R12255"/>
      <c r="S12255"/>
    </row>
    <row r="12256" spans="13:19" ht="13.95" customHeight="1">
      <c r="M12256"/>
      <c r="N12256"/>
      <c r="O12256"/>
      <c r="P12256"/>
      <c r="Q12256"/>
      <c r="R12256"/>
      <c r="S12256"/>
    </row>
    <row r="12257" spans="13:19" ht="13.95" customHeight="1">
      <c r="M12257"/>
      <c r="N12257"/>
      <c r="O12257"/>
      <c r="P12257"/>
      <c r="Q12257"/>
      <c r="R12257"/>
      <c r="S12257"/>
    </row>
    <row r="12258" spans="13:19" ht="13.95" customHeight="1">
      <c r="M12258"/>
      <c r="N12258"/>
      <c r="O12258"/>
      <c r="P12258"/>
      <c r="Q12258"/>
      <c r="R12258"/>
      <c r="S12258"/>
    </row>
    <row r="12259" spans="13:19" ht="13.95" customHeight="1">
      <c r="M12259"/>
      <c r="N12259"/>
      <c r="O12259"/>
      <c r="P12259"/>
      <c r="Q12259"/>
      <c r="R12259"/>
      <c r="S12259"/>
    </row>
    <row r="12260" spans="13:19" ht="13.95" customHeight="1">
      <c r="M12260"/>
      <c r="N12260"/>
      <c r="O12260"/>
      <c r="P12260"/>
      <c r="Q12260"/>
      <c r="R12260"/>
      <c r="S12260"/>
    </row>
    <row r="12261" spans="13:19" ht="13.95" customHeight="1">
      <c r="M12261"/>
      <c r="N12261"/>
      <c r="O12261"/>
      <c r="P12261"/>
      <c r="Q12261"/>
      <c r="R12261"/>
      <c r="S12261"/>
    </row>
    <row r="12262" spans="13:19" ht="13.95" customHeight="1">
      <c r="M12262"/>
      <c r="N12262"/>
      <c r="O12262"/>
      <c r="P12262"/>
      <c r="Q12262"/>
      <c r="R12262"/>
      <c r="S12262"/>
    </row>
    <row r="12263" spans="13:19" ht="13.95" customHeight="1">
      <c r="M12263"/>
      <c r="N12263"/>
      <c r="O12263"/>
      <c r="P12263"/>
      <c r="Q12263"/>
      <c r="R12263"/>
      <c r="S12263"/>
    </row>
    <row r="12264" spans="13:19" ht="13.95" customHeight="1">
      <c r="M12264"/>
      <c r="N12264"/>
      <c r="O12264"/>
      <c r="P12264"/>
      <c r="Q12264"/>
      <c r="R12264"/>
      <c r="S12264"/>
    </row>
    <row r="12265" spans="13:19" ht="13.95" customHeight="1">
      <c r="M12265"/>
      <c r="N12265"/>
      <c r="O12265"/>
      <c r="P12265"/>
      <c r="Q12265"/>
      <c r="R12265"/>
      <c r="S12265"/>
    </row>
    <row r="12266" spans="13:19" ht="13.95" customHeight="1">
      <c r="M12266"/>
      <c r="N12266"/>
      <c r="O12266"/>
      <c r="P12266"/>
      <c r="Q12266"/>
      <c r="R12266"/>
      <c r="S12266"/>
    </row>
    <row r="12267" spans="13:19" ht="13.95" customHeight="1">
      <c r="M12267"/>
      <c r="N12267"/>
      <c r="O12267"/>
      <c r="P12267"/>
      <c r="Q12267"/>
      <c r="R12267"/>
      <c r="S12267"/>
    </row>
    <row r="12268" spans="13:19" ht="13.95" customHeight="1">
      <c r="M12268"/>
      <c r="N12268"/>
      <c r="O12268"/>
      <c r="P12268"/>
      <c r="Q12268"/>
      <c r="R12268"/>
      <c r="S12268"/>
    </row>
    <row r="12269" spans="13:19" ht="13.95" customHeight="1">
      <c r="M12269"/>
      <c r="N12269"/>
      <c r="O12269"/>
      <c r="P12269"/>
      <c r="Q12269"/>
      <c r="R12269"/>
      <c r="S12269"/>
    </row>
    <row r="12270" spans="13:19" ht="13.95" customHeight="1">
      <c r="M12270"/>
      <c r="N12270"/>
      <c r="O12270"/>
      <c r="P12270"/>
      <c r="Q12270"/>
      <c r="R12270"/>
      <c r="S12270"/>
    </row>
    <row r="12271" spans="13:19" ht="13.95" customHeight="1">
      <c r="M12271"/>
      <c r="N12271"/>
      <c r="O12271"/>
      <c r="P12271"/>
      <c r="Q12271"/>
      <c r="R12271"/>
      <c r="S12271"/>
    </row>
    <row r="12272" spans="13:19" ht="13.95" customHeight="1">
      <c r="M12272"/>
      <c r="N12272"/>
      <c r="O12272"/>
      <c r="P12272"/>
      <c r="Q12272"/>
      <c r="R12272"/>
      <c r="S12272"/>
    </row>
    <row r="12273" spans="13:19" ht="13.95" customHeight="1">
      <c r="M12273"/>
      <c r="N12273"/>
      <c r="O12273"/>
      <c r="P12273"/>
      <c r="Q12273"/>
      <c r="R12273"/>
      <c r="S12273"/>
    </row>
    <row r="12274" spans="13:19" ht="13.95" customHeight="1">
      <c r="M12274"/>
      <c r="N12274"/>
      <c r="O12274"/>
      <c r="P12274"/>
      <c r="Q12274"/>
      <c r="R12274"/>
      <c r="S12274"/>
    </row>
    <row r="12275" spans="13:19" ht="13.95" customHeight="1">
      <c r="M12275"/>
      <c r="N12275"/>
      <c r="O12275"/>
      <c r="P12275"/>
      <c r="Q12275"/>
      <c r="R12275"/>
      <c r="S12275"/>
    </row>
    <row r="12276" spans="13:19" ht="13.95" customHeight="1">
      <c r="M12276"/>
      <c r="N12276"/>
      <c r="O12276"/>
      <c r="P12276"/>
      <c r="Q12276"/>
      <c r="R12276"/>
      <c r="S12276"/>
    </row>
    <row r="12277" spans="13:19" ht="13.95" customHeight="1">
      <c r="M12277"/>
      <c r="N12277"/>
      <c r="O12277"/>
      <c r="P12277"/>
      <c r="Q12277"/>
      <c r="R12277"/>
      <c r="S12277"/>
    </row>
    <row r="12278" spans="13:19" ht="13.95" customHeight="1">
      <c r="M12278"/>
      <c r="N12278"/>
      <c r="O12278"/>
      <c r="P12278"/>
      <c r="Q12278"/>
      <c r="R12278"/>
      <c r="S12278"/>
    </row>
    <row r="12279" spans="13:19" ht="13.95" customHeight="1">
      <c r="M12279"/>
      <c r="N12279"/>
      <c r="O12279"/>
      <c r="P12279"/>
      <c r="Q12279"/>
      <c r="R12279"/>
      <c r="S12279"/>
    </row>
    <row r="12280" spans="13:19" ht="13.95" customHeight="1">
      <c r="M12280"/>
      <c r="N12280"/>
      <c r="O12280"/>
      <c r="P12280"/>
      <c r="Q12280"/>
      <c r="R12280"/>
      <c r="S12280"/>
    </row>
    <row r="12281" spans="13:19" ht="13.95" customHeight="1">
      <c r="M12281"/>
      <c r="N12281"/>
      <c r="O12281"/>
      <c r="P12281"/>
      <c r="Q12281"/>
      <c r="R12281"/>
      <c r="S12281"/>
    </row>
    <row r="12282" spans="13:19" ht="13.95" customHeight="1">
      <c r="M12282"/>
      <c r="N12282"/>
      <c r="O12282"/>
      <c r="P12282"/>
      <c r="Q12282"/>
      <c r="R12282"/>
      <c r="S12282"/>
    </row>
    <row r="12283" spans="13:19" ht="13.95" customHeight="1">
      <c r="M12283"/>
      <c r="N12283"/>
      <c r="O12283"/>
      <c r="P12283"/>
      <c r="Q12283"/>
      <c r="R12283"/>
      <c r="S12283"/>
    </row>
    <row r="12284" spans="13:19" ht="13.95" customHeight="1">
      <c r="M12284"/>
      <c r="N12284"/>
      <c r="O12284"/>
      <c r="P12284"/>
      <c r="Q12284"/>
      <c r="R12284"/>
      <c r="S12284"/>
    </row>
    <row r="12285" spans="13:19" ht="13.95" customHeight="1">
      <c r="M12285"/>
      <c r="N12285"/>
      <c r="O12285"/>
      <c r="P12285"/>
      <c r="Q12285"/>
      <c r="R12285"/>
      <c r="S12285"/>
    </row>
    <row r="12286" spans="13:19" ht="13.95" customHeight="1">
      <c r="M12286"/>
      <c r="N12286"/>
      <c r="O12286"/>
      <c r="P12286"/>
      <c r="Q12286"/>
      <c r="R12286"/>
      <c r="S12286"/>
    </row>
    <row r="12287" spans="13:19" ht="13.95" customHeight="1">
      <c r="M12287"/>
      <c r="N12287"/>
      <c r="O12287"/>
      <c r="P12287"/>
      <c r="Q12287"/>
      <c r="R12287"/>
      <c r="S12287"/>
    </row>
    <row r="12288" spans="13:19" ht="13.95" customHeight="1">
      <c r="M12288"/>
      <c r="N12288"/>
      <c r="O12288"/>
      <c r="P12288"/>
      <c r="Q12288"/>
      <c r="R12288"/>
      <c r="S12288"/>
    </row>
    <row r="12289" spans="13:19" ht="13.95" customHeight="1">
      <c r="M12289"/>
      <c r="N12289"/>
      <c r="O12289"/>
      <c r="P12289"/>
      <c r="Q12289"/>
      <c r="R12289"/>
      <c r="S12289"/>
    </row>
    <row r="12290" spans="13:19" ht="13.95" customHeight="1">
      <c r="M12290"/>
      <c r="N12290"/>
      <c r="O12290"/>
      <c r="P12290"/>
      <c r="Q12290"/>
      <c r="R12290"/>
      <c r="S12290"/>
    </row>
    <row r="12291" spans="13:19" ht="13.95" customHeight="1">
      <c r="M12291"/>
      <c r="N12291"/>
      <c r="O12291"/>
      <c r="P12291"/>
      <c r="Q12291"/>
      <c r="R12291"/>
      <c r="S12291"/>
    </row>
    <row r="12292" spans="13:19" ht="13.95" customHeight="1">
      <c r="M12292"/>
      <c r="N12292"/>
      <c r="O12292"/>
      <c r="P12292"/>
      <c r="Q12292"/>
      <c r="R12292"/>
      <c r="S12292"/>
    </row>
    <row r="12293" spans="13:19" ht="13.95" customHeight="1">
      <c r="M12293"/>
      <c r="N12293"/>
      <c r="O12293"/>
      <c r="P12293"/>
      <c r="Q12293"/>
      <c r="R12293"/>
      <c r="S12293"/>
    </row>
    <row r="12294" spans="13:19" ht="13.95" customHeight="1">
      <c r="M12294"/>
      <c r="N12294"/>
      <c r="O12294"/>
      <c r="P12294"/>
      <c r="Q12294"/>
      <c r="R12294"/>
      <c r="S12294"/>
    </row>
    <row r="12295" spans="13:19" ht="13.95" customHeight="1">
      <c r="M12295"/>
      <c r="N12295"/>
      <c r="O12295"/>
      <c r="P12295"/>
      <c r="Q12295"/>
      <c r="R12295"/>
      <c r="S12295"/>
    </row>
    <row r="12296" spans="13:19" ht="13.95" customHeight="1">
      <c r="M12296"/>
      <c r="N12296"/>
      <c r="O12296"/>
      <c r="P12296"/>
      <c r="Q12296"/>
      <c r="R12296"/>
      <c r="S12296"/>
    </row>
    <row r="12297" spans="13:19" ht="13.95" customHeight="1">
      <c r="M12297"/>
      <c r="N12297"/>
      <c r="O12297"/>
      <c r="P12297"/>
      <c r="Q12297"/>
      <c r="R12297"/>
      <c r="S12297"/>
    </row>
    <row r="12298" spans="13:19" ht="13.95" customHeight="1">
      <c r="M12298"/>
      <c r="N12298"/>
      <c r="O12298"/>
      <c r="P12298"/>
      <c r="Q12298"/>
      <c r="R12298"/>
      <c r="S12298"/>
    </row>
    <row r="12299" spans="13:19" ht="13.95" customHeight="1">
      <c r="M12299"/>
      <c r="N12299"/>
      <c r="O12299"/>
      <c r="P12299"/>
      <c r="Q12299"/>
      <c r="R12299"/>
      <c r="S12299"/>
    </row>
    <row r="12300" spans="13:19" ht="13.95" customHeight="1">
      <c r="M12300"/>
      <c r="N12300"/>
      <c r="O12300"/>
      <c r="P12300"/>
      <c r="Q12300"/>
      <c r="R12300"/>
      <c r="S12300"/>
    </row>
    <row r="12301" spans="13:19" ht="13.95" customHeight="1">
      <c r="M12301"/>
      <c r="N12301"/>
      <c r="O12301"/>
      <c r="P12301"/>
      <c r="Q12301"/>
      <c r="R12301"/>
      <c r="S12301"/>
    </row>
    <row r="12302" spans="13:19" ht="13.95" customHeight="1">
      <c r="M12302"/>
      <c r="N12302"/>
      <c r="O12302"/>
      <c r="P12302"/>
      <c r="Q12302"/>
      <c r="R12302"/>
      <c r="S12302"/>
    </row>
    <row r="12303" spans="13:19" ht="13.95" customHeight="1">
      <c r="M12303"/>
      <c r="N12303"/>
      <c r="O12303"/>
      <c r="P12303"/>
      <c r="Q12303"/>
      <c r="R12303"/>
      <c r="S12303"/>
    </row>
    <row r="12304" spans="13:19" ht="13.95" customHeight="1">
      <c r="M12304"/>
      <c r="N12304"/>
      <c r="O12304"/>
      <c r="P12304"/>
      <c r="Q12304"/>
      <c r="R12304"/>
      <c r="S12304"/>
    </row>
    <row r="12305" spans="13:19" ht="13.95" customHeight="1">
      <c r="M12305"/>
      <c r="N12305"/>
      <c r="O12305"/>
      <c r="P12305"/>
      <c r="Q12305"/>
      <c r="R12305"/>
      <c r="S12305"/>
    </row>
    <row r="12306" spans="13:19" ht="13.95" customHeight="1">
      <c r="M12306"/>
      <c r="N12306"/>
      <c r="O12306"/>
      <c r="P12306"/>
      <c r="Q12306"/>
      <c r="R12306"/>
      <c r="S12306"/>
    </row>
    <row r="12307" spans="13:19" ht="13.95" customHeight="1">
      <c r="M12307"/>
      <c r="N12307"/>
      <c r="O12307"/>
      <c r="P12307"/>
      <c r="Q12307"/>
      <c r="R12307"/>
      <c r="S12307"/>
    </row>
    <row r="12308" spans="13:19" ht="13.95" customHeight="1">
      <c r="M12308"/>
      <c r="N12308"/>
      <c r="O12308"/>
      <c r="P12308"/>
      <c r="Q12308"/>
      <c r="R12308"/>
      <c r="S12308"/>
    </row>
    <row r="12309" spans="13:19" ht="13.95" customHeight="1">
      <c r="M12309"/>
      <c r="N12309"/>
      <c r="O12309"/>
      <c r="P12309"/>
      <c r="Q12309"/>
      <c r="R12309"/>
      <c r="S12309"/>
    </row>
    <row r="12310" spans="13:19" ht="13.95" customHeight="1">
      <c r="M12310"/>
      <c r="N12310"/>
      <c r="O12310"/>
      <c r="P12310"/>
      <c r="Q12310"/>
      <c r="R12310"/>
      <c r="S12310"/>
    </row>
    <row r="12311" spans="13:19" ht="13.95" customHeight="1">
      <c r="M12311"/>
      <c r="N12311"/>
      <c r="O12311"/>
      <c r="P12311"/>
      <c r="Q12311"/>
      <c r="R12311"/>
      <c r="S12311"/>
    </row>
    <row r="12312" spans="13:19" ht="13.95" customHeight="1">
      <c r="M12312"/>
      <c r="N12312"/>
      <c r="O12312"/>
      <c r="P12312"/>
      <c r="Q12312"/>
      <c r="R12312"/>
      <c r="S12312"/>
    </row>
    <row r="12313" spans="13:19" ht="13.95" customHeight="1">
      <c r="M12313"/>
      <c r="N12313"/>
      <c r="O12313"/>
      <c r="P12313"/>
      <c r="Q12313"/>
      <c r="R12313"/>
      <c r="S12313"/>
    </row>
    <row r="12314" spans="13:19" ht="13.95" customHeight="1">
      <c r="M12314"/>
      <c r="N12314"/>
      <c r="O12314"/>
      <c r="P12314"/>
      <c r="Q12314"/>
      <c r="R12314"/>
      <c r="S12314"/>
    </row>
    <row r="12315" spans="13:19" ht="13.95" customHeight="1">
      <c r="M12315"/>
      <c r="N12315"/>
      <c r="O12315"/>
      <c r="P12315"/>
      <c r="Q12315"/>
      <c r="R12315"/>
      <c r="S12315"/>
    </row>
    <row r="12316" spans="13:19" ht="13.95" customHeight="1">
      <c r="M12316"/>
      <c r="N12316"/>
      <c r="O12316"/>
      <c r="P12316"/>
      <c r="Q12316"/>
      <c r="R12316"/>
      <c r="S12316"/>
    </row>
    <row r="12317" spans="13:19" ht="13.95" customHeight="1">
      <c r="M12317"/>
      <c r="N12317"/>
      <c r="O12317"/>
      <c r="P12317"/>
      <c r="Q12317"/>
      <c r="R12317"/>
      <c r="S12317"/>
    </row>
    <row r="12318" spans="13:19" ht="13.95" customHeight="1">
      <c r="M12318"/>
      <c r="N12318"/>
      <c r="O12318"/>
      <c r="P12318"/>
      <c r="Q12318"/>
      <c r="R12318"/>
      <c r="S12318"/>
    </row>
    <row r="12319" spans="13:19" ht="13.95" customHeight="1">
      <c r="M12319"/>
      <c r="N12319"/>
      <c r="O12319"/>
      <c r="P12319"/>
      <c r="Q12319"/>
      <c r="R12319"/>
      <c r="S12319"/>
    </row>
    <row r="12320" spans="13:19" ht="13.95" customHeight="1">
      <c r="M12320"/>
      <c r="N12320"/>
      <c r="O12320"/>
      <c r="P12320"/>
      <c r="Q12320"/>
      <c r="R12320"/>
      <c r="S12320"/>
    </row>
    <row r="12321" spans="13:19" ht="13.95" customHeight="1">
      <c r="M12321"/>
      <c r="N12321"/>
      <c r="O12321"/>
      <c r="P12321"/>
      <c r="Q12321"/>
      <c r="R12321"/>
      <c r="S12321"/>
    </row>
    <row r="12322" spans="13:19" ht="13.95" customHeight="1">
      <c r="M12322"/>
      <c r="N12322"/>
      <c r="O12322"/>
      <c r="P12322"/>
      <c r="Q12322"/>
      <c r="R12322"/>
      <c r="S12322"/>
    </row>
    <row r="12323" spans="13:19" ht="13.95" customHeight="1">
      <c r="M12323"/>
      <c r="N12323"/>
      <c r="O12323"/>
      <c r="P12323"/>
      <c r="Q12323"/>
      <c r="R12323"/>
      <c r="S12323"/>
    </row>
    <row r="12324" spans="13:19" ht="13.95" customHeight="1">
      <c r="M12324"/>
      <c r="N12324"/>
      <c r="O12324"/>
      <c r="P12324"/>
      <c r="Q12324"/>
      <c r="R12324"/>
      <c r="S12324"/>
    </row>
    <row r="12325" spans="13:19" ht="13.95" customHeight="1">
      <c r="M12325"/>
      <c r="N12325"/>
      <c r="O12325"/>
      <c r="P12325"/>
      <c r="Q12325"/>
      <c r="R12325"/>
      <c r="S12325"/>
    </row>
    <row r="12326" spans="13:19" ht="13.95" customHeight="1">
      <c r="M12326"/>
      <c r="N12326"/>
      <c r="O12326"/>
      <c r="P12326"/>
      <c r="Q12326"/>
      <c r="R12326"/>
      <c r="S12326"/>
    </row>
    <row r="12327" spans="13:19" ht="13.95" customHeight="1">
      <c r="M12327"/>
      <c r="N12327"/>
      <c r="O12327"/>
      <c r="P12327"/>
      <c r="Q12327"/>
      <c r="R12327"/>
      <c r="S12327"/>
    </row>
    <row r="12328" spans="13:19" ht="13.95" customHeight="1">
      <c r="M12328"/>
      <c r="N12328"/>
      <c r="O12328"/>
      <c r="P12328"/>
      <c r="Q12328"/>
      <c r="R12328"/>
      <c r="S12328"/>
    </row>
    <row r="12329" spans="13:19" ht="13.95" customHeight="1">
      <c r="M12329"/>
      <c r="N12329"/>
      <c r="O12329"/>
      <c r="P12329"/>
      <c r="Q12329"/>
      <c r="R12329"/>
      <c r="S12329"/>
    </row>
    <row r="12330" spans="13:19" ht="13.95" customHeight="1">
      <c r="M12330"/>
      <c r="N12330"/>
      <c r="O12330"/>
      <c r="P12330"/>
      <c r="Q12330"/>
      <c r="R12330"/>
      <c r="S12330"/>
    </row>
    <row r="12331" spans="13:19" ht="13.95" customHeight="1">
      <c r="M12331"/>
      <c r="N12331"/>
      <c r="O12331"/>
      <c r="P12331"/>
      <c r="Q12331"/>
      <c r="R12331"/>
      <c r="S12331"/>
    </row>
    <row r="12332" spans="13:19" ht="13.95" customHeight="1">
      <c r="M12332"/>
      <c r="N12332"/>
      <c r="O12332"/>
      <c r="P12332"/>
      <c r="Q12332"/>
      <c r="R12332"/>
      <c r="S12332"/>
    </row>
    <row r="12333" spans="13:19" ht="13.95" customHeight="1">
      <c r="M12333"/>
      <c r="N12333"/>
      <c r="O12333"/>
      <c r="P12333"/>
      <c r="Q12333"/>
      <c r="R12333"/>
      <c r="S12333"/>
    </row>
    <row r="12334" spans="13:19" ht="13.95" customHeight="1">
      <c r="M12334"/>
      <c r="N12334"/>
      <c r="O12334"/>
      <c r="P12334"/>
      <c r="Q12334"/>
      <c r="R12334"/>
      <c r="S12334"/>
    </row>
    <row r="12335" spans="13:19" ht="13.95" customHeight="1">
      <c r="M12335"/>
      <c r="N12335"/>
      <c r="O12335"/>
      <c r="P12335"/>
      <c r="Q12335"/>
      <c r="R12335"/>
      <c r="S12335"/>
    </row>
    <row r="12336" spans="13:19" ht="13.95" customHeight="1">
      <c r="M12336"/>
      <c r="N12336"/>
      <c r="O12336"/>
      <c r="P12336"/>
      <c r="Q12336"/>
      <c r="R12336"/>
      <c r="S12336"/>
    </row>
    <row r="12337" spans="13:19" ht="13.95" customHeight="1">
      <c r="M12337"/>
      <c r="N12337"/>
      <c r="O12337"/>
      <c r="P12337"/>
      <c r="Q12337"/>
      <c r="R12337"/>
      <c r="S12337"/>
    </row>
    <row r="12338" spans="13:19" ht="13.95" customHeight="1">
      <c r="M12338"/>
      <c r="N12338"/>
      <c r="O12338"/>
      <c r="P12338"/>
      <c r="Q12338"/>
      <c r="R12338"/>
      <c r="S12338"/>
    </row>
    <row r="12339" spans="13:19" ht="13.95" customHeight="1">
      <c r="M12339"/>
      <c r="N12339"/>
      <c r="O12339"/>
      <c r="P12339"/>
      <c r="Q12339"/>
      <c r="R12339"/>
      <c r="S12339"/>
    </row>
    <row r="12340" spans="13:19" ht="13.95" customHeight="1">
      <c r="M12340"/>
      <c r="N12340"/>
      <c r="O12340"/>
      <c r="P12340"/>
      <c r="Q12340"/>
      <c r="R12340"/>
      <c r="S12340"/>
    </row>
    <row r="12341" spans="13:19" ht="13.95" customHeight="1">
      <c r="M12341"/>
      <c r="N12341"/>
      <c r="O12341"/>
      <c r="P12341"/>
      <c r="Q12341"/>
      <c r="R12341"/>
      <c r="S12341"/>
    </row>
    <row r="12342" spans="13:19" ht="13.95" customHeight="1">
      <c r="M12342"/>
      <c r="N12342"/>
      <c r="O12342"/>
      <c r="P12342"/>
      <c r="Q12342"/>
      <c r="R12342"/>
      <c r="S12342"/>
    </row>
    <row r="12343" spans="13:19" ht="13.95" customHeight="1">
      <c r="M12343"/>
      <c r="N12343"/>
      <c r="O12343"/>
      <c r="P12343"/>
      <c r="Q12343"/>
      <c r="R12343"/>
      <c r="S12343"/>
    </row>
    <row r="12344" spans="13:19" ht="13.95" customHeight="1">
      <c r="M12344"/>
      <c r="N12344"/>
      <c r="O12344"/>
      <c r="P12344"/>
      <c r="Q12344"/>
      <c r="R12344"/>
      <c r="S12344"/>
    </row>
    <row r="12345" spans="13:19" ht="13.95" customHeight="1">
      <c r="M12345"/>
      <c r="N12345"/>
      <c r="O12345"/>
      <c r="P12345"/>
      <c r="Q12345"/>
      <c r="R12345"/>
      <c r="S12345"/>
    </row>
    <row r="12346" spans="13:19" ht="13.95" customHeight="1">
      <c r="M12346"/>
      <c r="N12346"/>
      <c r="O12346"/>
      <c r="P12346"/>
      <c r="Q12346"/>
      <c r="R12346"/>
      <c r="S12346"/>
    </row>
    <row r="12347" spans="13:19" ht="13.95" customHeight="1">
      <c r="M12347"/>
      <c r="N12347"/>
      <c r="O12347"/>
      <c r="P12347"/>
      <c r="Q12347"/>
      <c r="R12347"/>
      <c r="S12347"/>
    </row>
    <row r="12348" spans="13:19" ht="13.95" customHeight="1">
      <c r="M12348"/>
      <c r="N12348"/>
      <c r="O12348"/>
      <c r="P12348"/>
      <c r="Q12348"/>
      <c r="R12348"/>
      <c r="S12348"/>
    </row>
    <row r="12349" spans="13:19" ht="13.95" customHeight="1">
      <c r="M12349"/>
      <c r="N12349"/>
      <c r="O12349"/>
      <c r="P12349"/>
      <c r="Q12349"/>
      <c r="R12349"/>
      <c r="S12349"/>
    </row>
    <row r="12350" spans="13:19" ht="13.95" customHeight="1">
      <c r="M12350"/>
      <c r="N12350"/>
      <c r="O12350"/>
      <c r="P12350"/>
      <c r="Q12350"/>
      <c r="R12350"/>
      <c r="S12350"/>
    </row>
    <row r="12351" spans="13:19" ht="13.95" customHeight="1">
      <c r="M12351"/>
      <c r="N12351"/>
      <c r="O12351"/>
      <c r="P12351"/>
      <c r="Q12351"/>
      <c r="R12351"/>
      <c r="S12351"/>
    </row>
    <row r="12352" spans="13:19" ht="13.95" customHeight="1">
      <c r="M12352"/>
      <c r="N12352"/>
      <c r="O12352"/>
      <c r="P12352"/>
      <c r="Q12352"/>
      <c r="R12352"/>
      <c r="S12352"/>
    </row>
    <row r="12353" spans="13:19" ht="13.95" customHeight="1">
      <c r="M12353"/>
      <c r="N12353"/>
      <c r="O12353"/>
      <c r="P12353"/>
      <c r="Q12353"/>
      <c r="R12353"/>
      <c r="S12353"/>
    </row>
    <row r="12354" spans="13:19" ht="13.95" customHeight="1">
      <c r="M12354"/>
      <c r="N12354"/>
      <c r="O12354"/>
      <c r="P12354"/>
      <c r="Q12354"/>
      <c r="R12354"/>
      <c r="S12354"/>
    </row>
    <row r="12355" spans="13:19" ht="13.95" customHeight="1">
      <c r="M12355"/>
      <c r="N12355"/>
      <c r="O12355"/>
      <c r="P12355"/>
      <c r="Q12355"/>
      <c r="R12355"/>
      <c r="S12355"/>
    </row>
    <row r="12356" spans="13:19" ht="13.95" customHeight="1">
      <c r="M12356"/>
      <c r="N12356"/>
      <c r="O12356"/>
      <c r="P12356"/>
      <c r="Q12356"/>
      <c r="R12356"/>
      <c r="S12356"/>
    </row>
    <row r="12357" spans="13:19" ht="13.95" customHeight="1">
      <c r="M12357"/>
      <c r="N12357"/>
      <c r="O12357"/>
      <c r="P12357"/>
      <c r="Q12357"/>
      <c r="R12357"/>
      <c r="S12357"/>
    </row>
    <row r="12358" spans="13:19" ht="13.95" customHeight="1">
      <c r="M12358"/>
      <c r="N12358"/>
      <c r="O12358"/>
      <c r="P12358"/>
      <c r="Q12358"/>
      <c r="R12358"/>
      <c r="S12358"/>
    </row>
    <row r="12359" spans="13:19" ht="13.95" customHeight="1">
      <c r="M12359"/>
      <c r="N12359"/>
      <c r="O12359"/>
      <c r="P12359"/>
      <c r="Q12359"/>
      <c r="R12359"/>
      <c r="S12359"/>
    </row>
    <row r="12360" spans="13:19" ht="13.95" customHeight="1">
      <c r="M12360"/>
      <c r="N12360"/>
      <c r="O12360"/>
      <c r="P12360"/>
      <c r="Q12360"/>
      <c r="R12360"/>
      <c r="S12360"/>
    </row>
    <row r="12361" spans="13:19" ht="13.95" customHeight="1">
      <c r="M12361"/>
      <c r="N12361"/>
      <c r="O12361"/>
      <c r="P12361"/>
      <c r="Q12361"/>
      <c r="R12361"/>
      <c r="S12361"/>
    </row>
    <row r="12362" spans="13:19" ht="13.95" customHeight="1">
      <c r="M12362"/>
      <c r="N12362"/>
      <c r="O12362"/>
      <c r="P12362"/>
      <c r="Q12362"/>
      <c r="R12362"/>
      <c r="S12362"/>
    </row>
    <row r="12363" spans="13:19" ht="13.95" customHeight="1">
      <c r="M12363"/>
      <c r="N12363"/>
      <c r="O12363"/>
      <c r="P12363"/>
      <c r="Q12363"/>
      <c r="R12363"/>
      <c r="S12363"/>
    </row>
    <row r="12364" spans="13:19" ht="13.95" customHeight="1">
      <c r="M12364"/>
      <c r="N12364"/>
      <c r="O12364"/>
      <c r="P12364"/>
      <c r="Q12364"/>
      <c r="R12364"/>
      <c r="S12364"/>
    </row>
    <row r="12365" spans="13:19" ht="13.95" customHeight="1">
      <c r="M12365"/>
      <c r="N12365"/>
      <c r="O12365"/>
      <c r="P12365"/>
      <c r="Q12365"/>
      <c r="R12365"/>
      <c r="S12365"/>
    </row>
    <row r="12366" spans="13:19" ht="13.95" customHeight="1">
      <c r="M12366"/>
      <c r="N12366"/>
      <c r="O12366"/>
      <c r="P12366"/>
      <c r="Q12366"/>
      <c r="R12366"/>
      <c r="S12366"/>
    </row>
    <row r="12367" spans="13:19" ht="13.95" customHeight="1">
      <c r="M12367"/>
      <c r="N12367"/>
      <c r="O12367"/>
      <c r="P12367"/>
      <c r="Q12367"/>
      <c r="R12367"/>
      <c r="S12367"/>
    </row>
    <row r="12368" spans="13:19" ht="13.95" customHeight="1">
      <c r="M12368"/>
      <c r="N12368"/>
      <c r="O12368"/>
      <c r="P12368"/>
      <c r="Q12368"/>
      <c r="R12368"/>
      <c r="S12368"/>
    </row>
    <row r="12369" spans="13:19" ht="13.95" customHeight="1">
      <c r="M12369"/>
      <c r="N12369"/>
      <c r="O12369"/>
      <c r="P12369"/>
      <c r="Q12369"/>
      <c r="R12369"/>
      <c r="S12369"/>
    </row>
    <row r="12370" spans="13:19" ht="13.95" customHeight="1">
      <c r="M12370"/>
      <c r="N12370"/>
      <c r="O12370"/>
      <c r="P12370"/>
      <c r="Q12370"/>
      <c r="R12370"/>
      <c r="S12370"/>
    </row>
    <row r="12371" spans="13:19" ht="13.95" customHeight="1">
      <c r="M12371"/>
      <c r="N12371"/>
      <c r="O12371"/>
      <c r="P12371"/>
      <c r="Q12371"/>
      <c r="R12371"/>
      <c r="S12371"/>
    </row>
    <row r="12372" spans="13:19" ht="13.95" customHeight="1">
      <c r="M12372"/>
      <c r="N12372"/>
      <c r="O12372"/>
      <c r="P12372"/>
      <c r="Q12372"/>
      <c r="R12372"/>
      <c r="S12372"/>
    </row>
    <row r="12373" spans="13:19" ht="13.95" customHeight="1">
      <c r="M12373"/>
      <c r="N12373"/>
      <c r="O12373"/>
      <c r="P12373"/>
      <c r="Q12373"/>
      <c r="R12373"/>
      <c r="S12373"/>
    </row>
    <row r="12374" spans="13:19" ht="13.95" customHeight="1">
      <c r="M12374"/>
      <c r="N12374"/>
      <c r="O12374"/>
      <c r="P12374"/>
      <c r="Q12374"/>
      <c r="R12374"/>
      <c r="S12374"/>
    </row>
    <row r="12375" spans="13:19" ht="13.95" customHeight="1">
      <c r="M12375"/>
      <c r="N12375"/>
      <c r="O12375"/>
      <c r="P12375"/>
      <c r="Q12375"/>
      <c r="R12375"/>
      <c r="S12375"/>
    </row>
    <row r="12376" spans="13:19" ht="13.95" customHeight="1">
      <c r="M12376"/>
      <c r="N12376"/>
      <c r="O12376"/>
      <c r="P12376"/>
      <c r="Q12376"/>
      <c r="R12376"/>
      <c r="S12376"/>
    </row>
    <row r="12377" spans="13:19" ht="13.95" customHeight="1">
      <c r="M12377"/>
      <c r="N12377"/>
      <c r="O12377"/>
      <c r="P12377"/>
      <c r="Q12377"/>
      <c r="R12377"/>
      <c r="S12377"/>
    </row>
    <row r="12378" spans="13:19" ht="13.95" customHeight="1">
      <c r="M12378"/>
      <c r="N12378"/>
      <c r="O12378"/>
      <c r="P12378"/>
      <c r="Q12378"/>
      <c r="R12378"/>
      <c r="S12378"/>
    </row>
    <row r="12379" spans="13:19" ht="13.95" customHeight="1">
      <c r="M12379"/>
      <c r="N12379"/>
      <c r="O12379"/>
      <c r="P12379"/>
      <c r="Q12379"/>
      <c r="R12379"/>
      <c r="S12379"/>
    </row>
    <row r="12380" spans="13:19" ht="13.95" customHeight="1">
      <c r="M12380"/>
      <c r="N12380"/>
      <c r="O12380"/>
      <c r="P12380"/>
      <c r="Q12380"/>
      <c r="R12380"/>
      <c r="S12380"/>
    </row>
    <row r="12381" spans="13:19" ht="13.95" customHeight="1">
      <c r="M12381"/>
      <c r="N12381"/>
      <c r="O12381"/>
      <c r="P12381"/>
      <c r="Q12381"/>
      <c r="R12381"/>
      <c r="S12381"/>
    </row>
    <row r="12382" spans="13:19" ht="13.95" customHeight="1">
      <c r="M12382"/>
      <c r="N12382"/>
      <c r="O12382"/>
      <c r="P12382"/>
      <c r="Q12382"/>
      <c r="R12382"/>
      <c r="S12382"/>
    </row>
    <row r="12383" spans="13:19" ht="13.95" customHeight="1">
      <c r="M12383"/>
      <c r="N12383"/>
      <c r="O12383"/>
      <c r="P12383"/>
      <c r="Q12383"/>
      <c r="R12383"/>
      <c r="S12383"/>
    </row>
    <row r="12384" spans="13:19" ht="13.95" customHeight="1">
      <c r="M12384"/>
      <c r="N12384"/>
      <c r="O12384"/>
      <c r="P12384"/>
      <c r="Q12384"/>
      <c r="R12384"/>
      <c r="S12384"/>
    </row>
    <row r="12385" spans="13:19" ht="13.95" customHeight="1">
      <c r="M12385"/>
      <c r="N12385"/>
      <c r="O12385"/>
      <c r="P12385"/>
      <c r="Q12385"/>
      <c r="R12385"/>
      <c r="S12385"/>
    </row>
    <row r="12386" spans="13:19" ht="13.95" customHeight="1">
      <c r="M12386"/>
      <c r="N12386"/>
      <c r="O12386"/>
      <c r="P12386"/>
      <c r="Q12386"/>
      <c r="R12386"/>
      <c r="S12386"/>
    </row>
    <row r="12387" spans="13:19" ht="13.95" customHeight="1">
      <c r="M12387"/>
      <c r="N12387"/>
      <c r="O12387"/>
      <c r="P12387"/>
      <c r="Q12387"/>
      <c r="R12387"/>
      <c r="S12387"/>
    </row>
    <row r="12388" spans="13:19" ht="13.95" customHeight="1">
      <c r="M12388"/>
      <c r="N12388"/>
      <c r="O12388"/>
      <c r="P12388"/>
      <c r="Q12388"/>
      <c r="R12388"/>
      <c r="S12388"/>
    </row>
    <row r="12389" spans="13:19" ht="13.95" customHeight="1">
      <c r="M12389"/>
      <c r="N12389"/>
      <c r="O12389"/>
      <c r="P12389"/>
      <c r="Q12389"/>
      <c r="R12389"/>
      <c r="S12389"/>
    </row>
    <row r="12390" spans="13:19" ht="13.95" customHeight="1">
      <c r="M12390"/>
      <c r="N12390"/>
      <c r="O12390"/>
      <c r="P12390"/>
      <c r="Q12390"/>
      <c r="R12390"/>
      <c r="S12390"/>
    </row>
    <row r="12391" spans="13:19" ht="13.95" customHeight="1">
      <c r="M12391"/>
      <c r="N12391"/>
      <c r="O12391"/>
      <c r="P12391"/>
      <c r="Q12391"/>
      <c r="R12391"/>
      <c r="S12391"/>
    </row>
    <row r="12392" spans="13:19" ht="13.95" customHeight="1">
      <c r="M12392"/>
      <c r="N12392"/>
      <c r="O12392"/>
      <c r="P12392"/>
      <c r="Q12392"/>
      <c r="R12392"/>
      <c r="S12392"/>
    </row>
    <row r="12393" spans="13:19" ht="13.95" customHeight="1">
      <c r="M12393"/>
      <c r="N12393"/>
      <c r="O12393"/>
      <c r="P12393"/>
      <c r="Q12393"/>
      <c r="R12393"/>
      <c r="S12393"/>
    </row>
    <row r="12394" spans="13:19" ht="13.95" customHeight="1">
      <c r="M12394"/>
      <c r="N12394"/>
      <c r="O12394"/>
      <c r="P12394"/>
      <c r="Q12394"/>
      <c r="R12394"/>
      <c r="S12394"/>
    </row>
    <row r="12395" spans="13:19" ht="13.95" customHeight="1">
      <c r="M12395"/>
      <c r="N12395"/>
      <c r="O12395"/>
      <c r="P12395"/>
      <c r="Q12395"/>
      <c r="R12395"/>
      <c r="S12395"/>
    </row>
    <row r="12396" spans="13:19" ht="13.95" customHeight="1">
      <c r="M12396"/>
      <c r="N12396"/>
      <c r="O12396"/>
      <c r="P12396"/>
      <c r="Q12396"/>
      <c r="R12396"/>
      <c r="S12396"/>
    </row>
    <row r="12397" spans="13:19" ht="13.95" customHeight="1">
      <c r="M12397"/>
      <c r="N12397"/>
      <c r="O12397"/>
      <c r="P12397"/>
      <c r="Q12397"/>
      <c r="R12397"/>
      <c r="S12397"/>
    </row>
    <row r="12398" spans="13:19" ht="13.95" customHeight="1">
      <c r="M12398"/>
      <c r="N12398"/>
      <c r="O12398"/>
      <c r="P12398"/>
      <c r="Q12398"/>
      <c r="R12398"/>
      <c r="S12398"/>
    </row>
    <row r="12399" spans="13:19" ht="13.95" customHeight="1">
      <c r="M12399"/>
      <c r="N12399"/>
      <c r="O12399"/>
      <c r="P12399"/>
      <c r="Q12399"/>
      <c r="R12399"/>
      <c r="S12399"/>
    </row>
    <row r="12400" spans="13:19" ht="13.95" customHeight="1">
      <c r="M12400"/>
      <c r="N12400"/>
      <c r="O12400"/>
      <c r="P12400"/>
      <c r="Q12400"/>
      <c r="R12400"/>
      <c r="S12400"/>
    </row>
    <row r="12401" spans="13:19" ht="13.95" customHeight="1">
      <c r="M12401"/>
      <c r="N12401"/>
      <c r="O12401"/>
      <c r="P12401"/>
      <c r="Q12401"/>
      <c r="R12401"/>
      <c r="S12401"/>
    </row>
    <row r="12402" spans="13:19" ht="13.95" customHeight="1">
      <c r="M12402"/>
      <c r="N12402"/>
      <c r="O12402"/>
      <c r="P12402"/>
      <c r="Q12402"/>
      <c r="R12402"/>
      <c r="S12402"/>
    </row>
    <row r="12403" spans="13:19" ht="13.95" customHeight="1">
      <c r="M12403"/>
      <c r="N12403"/>
      <c r="O12403"/>
      <c r="P12403"/>
      <c r="Q12403"/>
      <c r="R12403"/>
      <c r="S12403"/>
    </row>
    <row r="12404" spans="13:19" ht="13.95" customHeight="1">
      <c r="M12404"/>
      <c r="N12404"/>
      <c r="O12404"/>
      <c r="P12404"/>
      <c r="Q12404"/>
      <c r="R12404"/>
      <c r="S12404"/>
    </row>
    <row r="12405" spans="13:19" ht="13.95" customHeight="1">
      <c r="M12405"/>
      <c r="N12405"/>
      <c r="O12405"/>
      <c r="P12405"/>
      <c r="Q12405"/>
      <c r="R12405"/>
      <c r="S12405"/>
    </row>
    <row r="12406" spans="13:19" ht="13.95" customHeight="1">
      <c r="M12406"/>
      <c r="N12406"/>
      <c r="O12406"/>
      <c r="P12406"/>
      <c r="Q12406"/>
      <c r="R12406"/>
      <c r="S12406"/>
    </row>
    <row r="12407" spans="13:19" ht="13.95" customHeight="1">
      <c r="M12407"/>
      <c r="N12407"/>
      <c r="O12407"/>
      <c r="P12407"/>
      <c r="Q12407"/>
      <c r="R12407"/>
      <c r="S12407"/>
    </row>
    <row r="12408" spans="13:19" ht="13.95" customHeight="1">
      <c r="M12408"/>
      <c r="N12408"/>
      <c r="O12408"/>
      <c r="P12408"/>
      <c r="Q12408"/>
      <c r="R12408"/>
      <c r="S12408"/>
    </row>
    <row r="12409" spans="13:19" ht="13.95" customHeight="1">
      <c r="M12409"/>
      <c r="N12409"/>
      <c r="O12409"/>
      <c r="P12409"/>
      <c r="Q12409"/>
      <c r="R12409"/>
      <c r="S12409"/>
    </row>
    <row r="12410" spans="13:19" ht="13.95" customHeight="1">
      <c r="M12410"/>
      <c r="N12410"/>
      <c r="O12410"/>
      <c r="P12410"/>
      <c r="Q12410"/>
      <c r="R12410"/>
      <c r="S12410"/>
    </row>
    <row r="12411" spans="13:19" ht="13.95" customHeight="1">
      <c r="M12411"/>
      <c r="N12411"/>
      <c r="O12411"/>
      <c r="P12411"/>
      <c r="Q12411"/>
      <c r="R12411"/>
      <c r="S12411"/>
    </row>
    <row r="12412" spans="13:19" ht="13.95" customHeight="1">
      <c r="M12412"/>
      <c r="N12412"/>
      <c r="O12412"/>
      <c r="P12412"/>
      <c r="Q12412"/>
      <c r="R12412"/>
      <c r="S12412"/>
    </row>
    <row r="12413" spans="13:19" ht="13.95" customHeight="1">
      <c r="M12413"/>
      <c r="N12413"/>
      <c r="O12413"/>
      <c r="P12413"/>
      <c r="Q12413"/>
      <c r="R12413"/>
      <c r="S12413"/>
    </row>
    <row r="12414" spans="13:19" ht="13.95" customHeight="1">
      <c r="M12414"/>
      <c r="N12414"/>
      <c r="O12414"/>
      <c r="P12414"/>
      <c r="Q12414"/>
      <c r="R12414"/>
      <c r="S12414"/>
    </row>
    <row r="12415" spans="13:19" ht="13.95" customHeight="1">
      <c r="M12415"/>
      <c r="N12415"/>
      <c r="O12415"/>
      <c r="P12415"/>
      <c r="Q12415"/>
      <c r="R12415"/>
      <c r="S12415"/>
    </row>
    <row r="12416" spans="13:19" ht="13.95" customHeight="1">
      <c r="M12416"/>
      <c r="N12416"/>
      <c r="O12416"/>
      <c r="P12416"/>
      <c r="Q12416"/>
      <c r="R12416"/>
      <c r="S12416"/>
    </row>
    <row r="12417" spans="13:19" ht="13.95" customHeight="1">
      <c r="M12417"/>
      <c r="N12417"/>
      <c r="O12417"/>
      <c r="P12417"/>
      <c r="Q12417"/>
      <c r="R12417"/>
      <c r="S12417"/>
    </row>
    <row r="12418" spans="13:19" ht="13.95" customHeight="1">
      <c r="M12418"/>
      <c r="N12418"/>
      <c r="O12418"/>
      <c r="P12418"/>
      <c r="Q12418"/>
      <c r="R12418"/>
      <c r="S12418"/>
    </row>
    <row r="12419" spans="13:19" ht="13.95" customHeight="1">
      <c r="M12419"/>
      <c r="N12419"/>
      <c r="O12419"/>
      <c r="P12419"/>
      <c r="Q12419"/>
      <c r="R12419"/>
      <c r="S12419"/>
    </row>
    <row r="12420" spans="13:19" ht="13.95" customHeight="1">
      <c r="M12420"/>
      <c r="N12420"/>
      <c r="O12420"/>
      <c r="P12420"/>
      <c r="Q12420"/>
      <c r="R12420"/>
      <c r="S12420"/>
    </row>
    <row r="12421" spans="13:19" ht="13.95" customHeight="1">
      <c r="M12421"/>
      <c r="N12421"/>
      <c r="O12421"/>
      <c r="P12421"/>
      <c r="Q12421"/>
      <c r="R12421"/>
      <c r="S12421"/>
    </row>
    <row r="12422" spans="13:19" ht="13.95" customHeight="1">
      <c r="M12422"/>
      <c r="N12422"/>
      <c r="O12422"/>
      <c r="P12422"/>
      <c r="Q12422"/>
      <c r="R12422"/>
      <c r="S12422"/>
    </row>
    <row r="12423" spans="13:19" ht="13.95" customHeight="1">
      <c r="M12423"/>
      <c r="N12423"/>
      <c r="O12423"/>
      <c r="P12423"/>
      <c r="Q12423"/>
      <c r="R12423"/>
      <c r="S12423"/>
    </row>
    <row r="12424" spans="13:19" ht="13.95" customHeight="1">
      <c r="M12424"/>
      <c r="N12424"/>
      <c r="O12424"/>
      <c r="P12424"/>
      <c r="Q12424"/>
      <c r="R12424"/>
      <c r="S12424"/>
    </row>
    <row r="12425" spans="13:19" ht="13.95" customHeight="1">
      <c r="M12425"/>
      <c r="N12425"/>
      <c r="O12425"/>
      <c r="P12425"/>
      <c r="Q12425"/>
      <c r="R12425"/>
      <c r="S12425"/>
    </row>
    <row r="12426" spans="13:19" ht="13.95" customHeight="1">
      <c r="M12426"/>
      <c r="N12426"/>
      <c r="O12426"/>
      <c r="P12426"/>
      <c r="Q12426"/>
      <c r="R12426"/>
      <c r="S12426"/>
    </row>
    <row r="12427" spans="13:19" ht="13.95" customHeight="1">
      <c r="M12427"/>
      <c r="N12427"/>
      <c r="O12427"/>
      <c r="P12427"/>
      <c r="Q12427"/>
      <c r="R12427"/>
      <c r="S12427"/>
    </row>
    <row r="12428" spans="13:19" ht="13.95" customHeight="1">
      <c r="M12428"/>
      <c r="N12428"/>
      <c r="O12428"/>
      <c r="P12428"/>
      <c r="Q12428"/>
      <c r="R12428"/>
      <c r="S12428"/>
    </row>
    <row r="12429" spans="13:19" ht="13.95" customHeight="1">
      <c r="M12429"/>
      <c r="N12429"/>
      <c r="O12429"/>
      <c r="P12429"/>
      <c r="Q12429"/>
      <c r="R12429"/>
      <c r="S12429"/>
    </row>
    <row r="12430" spans="13:19" ht="13.95" customHeight="1">
      <c r="M12430"/>
      <c r="N12430"/>
      <c r="O12430"/>
      <c r="P12430"/>
      <c r="Q12430"/>
      <c r="R12430"/>
      <c r="S12430"/>
    </row>
    <row r="12431" spans="13:19" ht="13.95" customHeight="1">
      <c r="M12431"/>
      <c r="N12431"/>
      <c r="O12431"/>
      <c r="P12431"/>
      <c r="Q12431"/>
      <c r="R12431"/>
      <c r="S12431"/>
    </row>
    <row r="12432" spans="13:19" ht="13.95" customHeight="1">
      <c r="M12432"/>
      <c r="N12432"/>
      <c r="O12432"/>
      <c r="P12432"/>
      <c r="Q12432"/>
      <c r="R12432"/>
      <c r="S12432"/>
    </row>
    <row r="12433" spans="13:19" ht="13.95" customHeight="1">
      <c r="M12433"/>
      <c r="N12433"/>
      <c r="O12433"/>
      <c r="P12433"/>
      <c r="Q12433"/>
      <c r="R12433"/>
      <c r="S12433"/>
    </row>
    <row r="12434" spans="13:19" ht="13.95" customHeight="1">
      <c r="M12434"/>
      <c r="N12434"/>
      <c r="O12434"/>
      <c r="P12434"/>
      <c r="Q12434"/>
      <c r="R12434"/>
      <c r="S12434"/>
    </row>
    <row r="12435" spans="13:19" ht="13.95" customHeight="1">
      <c r="M12435"/>
      <c r="N12435"/>
      <c r="O12435"/>
      <c r="P12435"/>
      <c r="Q12435"/>
      <c r="R12435"/>
      <c r="S12435"/>
    </row>
    <row r="12436" spans="13:19" ht="13.95" customHeight="1">
      <c r="M12436"/>
      <c r="N12436"/>
      <c r="O12436"/>
      <c r="P12436"/>
      <c r="Q12436"/>
      <c r="R12436"/>
      <c r="S12436"/>
    </row>
    <row r="12437" spans="13:19" ht="13.95" customHeight="1">
      <c r="M12437"/>
      <c r="N12437"/>
      <c r="O12437"/>
      <c r="P12437"/>
      <c r="Q12437"/>
      <c r="R12437"/>
      <c r="S12437"/>
    </row>
    <row r="12438" spans="13:19" ht="13.95" customHeight="1">
      <c r="M12438"/>
      <c r="N12438"/>
      <c r="O12438"/>
      <c r="P12438"/>
      <c r="Q12438"/>
      <c r="R12438"/>
      <c r="S12438"/>
    </row>
    <row r="12439" spans="13:19" ht="13.95" customHeight="1">
      <c r="M12439"/>
      <c r="N12439"/>
      <c r="O12439"/>
      <c r="P12439"/>
      <c r="Q12439"/>
      <c r="R12439"/>
      <c r="S12439"/>
    </row>
    <row r="12440" spans="13:19" ht="13.95" customHeight="1">
      <c r="M12440"/>
      <c r="N12440"/>
      <c r="O12440"/>
      <c r="P12440"/>
      <c r="Q12440"/>
      <c r="R12440"/>
      <c r="S12440"/>
    </row>
    <row r="12441" spans="13:19" ht="13.95" customHeight="1">
      <c r="M12441"/>
      <c r="N12441"/>
      <c r="O12441"/>
      <c r="P12441"/>
      <c r="Q12441"/>
      <c r="R12441"/>
      <c r="S12441"/>
    </row>
    <row r="12442" spans="13:19" ht="13.95" customHeight="1">
      <c r="M12442"/>
      <c r="N12442"/>
      <c r="O12442"/>
      <c r="P12442"/>
      <c r="Q12442"/>
      <c r="R12442"/>
      <c r="S12442"/>
    </row>
    <row r="12443" spans="13:19" ht="13.95" customHeight="1">
      <c r="M12443"/>
      <c r="N12443"/>
      <c r="O12443"/>
      <c r="P12443"/>
      <c r="Q12443"/>
      <c r="R12443"/>
      <c r="S12443"/>
    </row>
    <row r="12444" spans="13:19" ht="13.95" customHeight="1">
      <c r="M12444"/>
      <c r="N12444"/>
      <c r="O12444"/>
      <c r="P12444"/>
      <c r="Q12444"/>
      <c r="R12444"/>
      <c r="S12444"/>
    </row>
    <row r="12445" spans="13:19" ht="13.95" customHeight="1">
      <c r="M12445"/>
      <c r="N12445"/>
      <c r="O12445"/>
      <c r="P12445"/>
      <c r="Q12445"/>
      <c r="R12445"/>
      <c r="S12445"/>
    </row>
    <row r="12446" spans="13:19" ht="13.95" customHeight="1">
      <c r="M12446"/>
      <c r="N12446"/>
      <c r="O12446"/>
      <c r="P12446"/>
      <c r="Q12446"/>
      <c r="R12446"/>
      <c r="S12446"/>
    </row>
    <row r="12447" spans="13:19" ht="13.95" customHeight="1">
      <c r="M12447"/>
      <c r="N12447"/>
      <c r="O12447"/>
      <c r="P12447"/>
      <c r="Q12447"/>
      <c r="R12447"/>
      <c r="S12447"/>
    </row>
    <row r="12448" spans="13:19" ht="13.95" customHeight="1">
      <c r="M12448"/>
      <c r="N12448"/>
      <c r="O12448"/>
      <c r="P12448"/>
      <c r="Q12448"/>
      <c r="R12448"/>
      <c r="S12448"/>
    </row>
    <row r="12449" spans="13:19" ht="13.95" customHeight="1">
      <c r="M12449"/>
      <c r="N12449"/>
      <c r="O12449"/>
      <c r="P12449"/>
      <c r="Q12449"/>
      <c r="R12449"/>
      <c r="S12449"/>
    </row>
    <row r="12450" spans="13:19" ht="13.95" customHeight="1">
      <c r="M12450"/>
      <c r="N12450"/>
      <c r="O12450"/>
      <c r="P12450"/>
      <c r="Q12450"/>
      <c r="R12450"/>
      <c r="S12450"/>
    </row>
    <row r="12451" spans="13:19" ht="13.95" customHeight="1">
      <c r="M12451"/>
      <c r="N12451"/>
      <c r="O12451"/>
      <c r="P12451"/>
      <c r="Q12451"/>
      <c r="R12451"/>
      <c r="S12451"/>
    </row>
    <row r="12452" spans="13:19" ht="13.95" customHeight="1">
      <c r="M12452"/>
      <c r="N12452"/>
      <c r="O12452"/>
      <c r="P12452"/>
      <c r="Q12452"/>
      <c r="R12452"/>
      <c r="S12452"/>
    </row>
    <row r="12453" spans="13:19" ht="13.95" customHeight="1">
      <c r="M12453"/>
      <c r="N12453"/>
      <c r="O12453"/>
      <c r="P12453"/>
      <c r="Q12453"/>
      <c r="R12453"/>
      <c r="S12453"/>
    </row>
    <row r="12454" spans="13:19" ht="13.95" customHeight="1">
      <c r="M12454"/>
      <c r="N12454"/>
      <c r="O12454"/>
      <c r="P12454"/>
      <c r="Q12454"/>
      <c r="R12454"/>
      <c r="S12454"/>
    </row>
    <row r="12455" spans="13:19" ht="13.95" customHeight="1">
      <c r="M12455"/>
      <c r="N12455"/>
      <c r="O12455"/>
      <c r="P12455"/>
      <c r="Q12455"/>
      <c r="R12455"/>
      <c r="S12455"/>
    </row>
    <row r="12456" spans="13:19" ht="13.95" customHeight="1">
      <c r="M12456"/>
      <c r="N12456"/>
      <c r="O12456"/>
      <c r="P12456"/>
      <c r="Q12456"/>
      <c r="R12456"/>
      <c r="S12456"/>
    </row>
    <row r="12457" spans="13:19" ht="13.95" customHeight="1">
      <c r="M12457"/>
      <c r="N12457"/>
      <c r="O12457"/>
      <c r="P12457"/>
      <c r="Q12457"/>
      <c r="R12457"/>
      <c r="S12457"/>
    </row>
    <row r="12458" spans="13:19" ht="13.95" customHeight="1">
      <c r="M12458"/>
      <c r="N12458"/>
      <c r="O12458"/>
      <c r="P12458"/>
      <c r="Q12458"/>
      <c r="R12458"/>
      <c r="S12458"/>
    </row>
    <row r="12459" spans="13:19" ht="13.95" customHeight="1">
      <c r="M12459"/>
      <c r="N12459"/>
      <c r="O12459"/>
      <c r="P12459"/>
      <c r="Q12459"/>
      <c r="R12459"/>
      <c r="S12459"/>
    </row>
    <row r="12460" spans="13:19" ht="13.95" customHeight="1">
      <c r="M12460"/>
      <c r="N12460"/>
      <c r="O12460"/>
      <c r="P12460"/>
      <c r="Q12460"/>
      <c r="R12460"/>
      <c r="S12460"/>
    </row>
    <row r="12461" spans="13:19" ht="13.95" customHeight="1">
      <c r="M12461"/>
      <c r="N12461"/>
      <c r="O12461"/>
      <c r="P12461"/>
      <c r="Q12461"/>
      <c r="R12461"/>
      <c r="S12461"/>
    </row>
    <row r="12462" spans="13:19" ht="13.95" customHeight="1">
      <c r="M12462"/>
      <c r="N12462"/>
      <c r="O12462"/>
      <c r="P12462"/>
      <c r="Q12462"/>
      <c r="R12462"/>
      <c r="S12462"/>
    </row>
    <row r="12463" spans="13:19" ht="13.95" customHeight="1">
      <c r="M12463"/>
      <c r="N12463"/>
      <c r="O12463"/>
      <c r="P12463"/>
      <c r="Q12463"/>
      <c r="R12463"/>
      <c r="S12463"/>
    </row>
    <row r="12464" spans="13:19" ht="13.95" customHeight="1">
      <c r="M12464"/>
      <c r="N12464"/>
      <c r="O12464"/>
      <c r="P12464"/>
      <c r="Q12464"/>
      <c r="R12464"/>
      <c r="S12464"/>
    </row>
    <row r="12465" spans="13:19" ht="13.95" customHeight="1">
      <c r="M12465"/>
      <c r="N12465"/>
      <c r="O12465"/>
      <c r="P12465"/>
      <c r="Q12465"/>
      <c r="R12465"/>
      <c r="S12465"/>
    </row>
    <row r="12466" spans="13:19" ht="13.95" customHeight="1">
      <c r="M12466"/>
      <c r="N12466"/>
      <c r="O12466"/>
      <c r="P12466"/>
      <c r="Q12466"/>
      <c r="R12466"/>
      <c r="S12466"/>
    </row>
    <row r="12467" spans="13:19" ht="13.95" customHeight="1">
      <c r="M12467"/>
      <c r="N12467"/>
      <c r="O12467"/>
      <c r="P12467"/>
      <c r="Q12467"/>
      <c r="R12467"/>
      <c r="S12467"/>
    </row>
    <row r="12468" spans="13:19" ht="13.95" customHeight="1">
      <c r="M12468"/>
      <c r="N12468"/>
      <c r="O12468"/>
      <c r="P12468"/>
      <c r="Q12468"/>
      <c r="R12468"/>
      <c r="S12468"/>
    </row>
    <row r="12469" spans="13:19" ht="13.95" customHeight="1">
      <c r="M12469"/>
      <c r="N12469"/>
      <c r="O12469"/>
      <c r="P12469"/>
      <c r="Q12469"/>
      <c r="R12469"/>
      <c r="S12469"/>
    </row>
    <row r="12470" spans="13:19" ht="13.95" customHeight="1">
      <c r="M12470"/>
      <c r="N12470"/>
      <c r="O12470"/>
      <c r="P12470"/>
      <c r="Q12470"/>
      <c r="R12470"/>
      <c r="S12470"/>
    </row>
    <row r="12471" spans="13:19" ht="13.95" customHeight="1">
      <c r="M12471"/>
      <c r="N12471"/>
      <c r="O12471"/>
      <c r="P12471"/>
      <c r="Q12471"/>
      <c r="R12471"/>
      <c r="S12471"/>
    </row>
    <row r="12472" spans="13:19" ht="13.95" customHeight="1">
      <c r="M12472"/>
      <c r="N12472"/>
      <c r="O12472"/>
      <c r="P12472"/>
      <c r="Q12472"/>
      <c r="R12472"/>
      <c r="S12472"/>
    </row>
    <row r="12473" spans="13:19" ht="13.95" customHeight="1">
      <c r="M12473"/>
      <c r="N12473"/>
      <c r="O12473"/>
      <c r="P12473"/>
      <c r="Q12473"/>
      <c r="R12473"/>
      <c r="S12473"/>
    </row>
    <row r="12474" spans="13:19" ht="13.95" customHeight="1">
      <c r="M12474"/>
      <c r="N12474"/>
      <c r="O12474"/>
      <c r="P12474"/>
      <c r="Q12474"/>
      <c r="R12474"/>
      <c r="S12474"/>
    </row>
    <row r="12475" spans="13:19" ht="13.95" customHeight="1">
      <c r="M12475"/>
      <c r="N12475"/>
      <c r="O12475"/>
      <c r="P12475"/>
      <c r="Q12475"/>
      <c r="R12475"/>
      <c r="S12475"/>
    </row>
    <row r="12476" spans="13:19" ht="13.95" customHeight="1">
      <c r="M12476"/>
      <c r="N12476"/>
      <c r="O12476"/>
      <c r="P12476"/>
      <c r="Q12476"/>
      <c r="R12476"/>
      <c r="S12476"/>
    </row>
    <row r="12477" spans="13:19" ht="13.95" customHeight="1">
      <c r="M12477"/>
      <c r="N12477"/>
      <c r="O12477"/>
      <c r="P12477"/>
      <c r="Q12477"/>
      <c r="R12477"/>
      <c r="S12477"/>
    </row>
    <row r="12478" spans="13:19" ht="13.95" customHeight="1">
      <c r="M12478"/>
      <c r="N12478"/>
      <c r="O12478"/>
      <c r="P12478"/>
      <c r="Q12478"/>
      <c r="R12478"/>
      <c r="S12478"/>
    </row>
    <row r="12479" spans="13:19" ht="13.95" customHeight="1">
      <c r="M12479"/>
      <c r="N12479"/>
      <c r="O12479"/>
      <c r="P12479"/>
      <c r="Q12479"/>
      <c r="R12479"/>
      <c r="S12479"/>
    </row>
    <row r="12480" spans="13:19" ht="13.95" customHeight="1">
      <c r="M12480"/>
      <c r="N12480"/>
      <c r="O12480"/>
      <c r="P12480"/>
      <c r="Q12480"/>
      <c r="R12480"/>
      <c r="S12480"/>
    </row>
    <row r="12481" spans="13:19" ht="13.95" customHeight="1">
      <c r="M12481"/>
      <c r="N12481"/>
      <c r="O12481"/>
      <c r="P12481"/>
      <c r="Q12481"/>
      <c r="R12481"/>
      <c r="S12481"/>
    </row>
    <row r="12482" spans="13:19" ht="13.95" customHeight="1">
      <c r="M12482"/>
      <c r="N12482"/>
      <c r="O12482"/>
      <c r="P12482"/>
      <c r="Q12482"/>
      <c r="R12482"/>
      <c r="S12482"/>
    </row>
    <row r="12483" spans="13:19" ht="13.95" customHeight="1">
      <c r="M12483"/>
      <c r="N12483"/>
      <c r="O12483"/>
      <c r="P12483"/>
      <c r="Q12483"/>
      <c r="R12483"/>
      <c r="S12483"/>
    </row>
    <row r="12484" spans="13:19" ht="13.95" customHeight="1">
      <c r="M12484"/>
      <c r="N12484"/>
      <c r="O12484"/>
      <c r="P12484"/>
      <c r="Q12484"/>
      <c r="R12484"/>
      <c r="S12484"/>
    </row>
    <row r="12485" spans="13:19" ht="13.95" customHeight="1">
      <c r="M12485"/>
      <c r="N12485"/>
      <c r="O12485"/>
      <c r="P12485"/>
      <c r="Q12485"/>
      <c r="R12485"/>
      <c r="S12485"/>
    </row>
    <row r="12486" spans="13:19" ht="13.95" customHeight="1">
      <c r="M12486"/>
      <c r="N12486"/>
      <c r="O12486"/>
      <c r="P12486"/>
      <c r="Q12486"/>
      <c r="R12486"/>
      <c r="S12486"/>
    </row>
    <row r="12487" spans="13:19" ht="13.95" customHeight="1">
      <c r="M12487"/>
      <c r="N12487"/>
      <c r="O12487"/>
      <c r="P12487"/>
      <c r="Q12487"/>
      <c r="R12487"/>
      <c r="S12487"/>
    </row>
    <row r="12488" spans="13:19" ht="13.95" customHeight="1">
      <c r="M12488"/>
      <c r="N12488"/>
      <c r="O12488"/>
      <c r="P12488"/>
      <c r="Q12488"/>
      <c r="R12488"/>
      <c r="S12488"/>
    </row>
    <row r="12489" spans="13:19" ht="13.95" customHeight="1">
      <c r="M12489"/>
      <c r="N12489"/>
      <c r="O12489"/>
      <c r="P12489"/>
      <c r="Q12489"/>
      <c r="R12489"/>
      <c r="S12489"/>
    </row>
    <row r="12490" spans="13:19" ht="13.95" customHeight="1">
      <c r="M12490"/>
      <c r="N12490"/>
      <c r="O12490"/>
      <c r="P12490"/>
      <c r="Q12490"/>
      <c r="R12490"/>
      <c r="S12490"/>
    </row>
    <row r="12491" spans="13:19" ht="13.95" customHeight="1">
      <c r="M12491"/>
      <c r="N12491"/>
      <c r="O12491"/>
      <c r="P12491"/>
      <c r="Q12491"/>
      <c r="R12491"/>
      <c r="S12491"/>
    </row>
    <row r="12492" spans="13:19" ht="13.95" customHeight="1">
      <c r="M12492"/>
      <c r="N12492"/>
      <c r="O12492"/>
      <c r="P12492"/>
      <c r="Q12492"/>
      <c r="R12492"/>
      <c r="S12492"/>
    </row>
    <row r="12493" spans="13:19" ht="13.95" customHeight="1">
      <c r="M12493"/>
      <c r="N12493"/>
      <c r="O12493"/>
      <c r="P12493"/>
      <c r="Q12493"/>
      <c r="R12493"/>
      <c r="S12493"/>
    </row>
    <row r="12494" spans="13:19" ht="13.95" customHeight="1">
      <c r="M12494"/>
      <c r="N12494"/>
      <c r="O12494"/>
      <c r="P12494"/>
      <c r="Q12494"/>
      <c r="R12494"/>
      <c r="S12494"/>
    </row>
    <row r="12495" spans="13:19" ht="13.95" customHeight="1">
      <c r="M12495"/>
      <c r="N12495"/>
      <c r="O12495"/>
      <c r="P12495"/>
      <c r="Q12495"/>
      <c r="R12495"/>
      <c r="S12495"/>
    </row>
    <row r="12496" spans="13:19" ht="13.95" customHeight="1">
      <c r="M12496"/>
      <c r="N12496"/>
      <c r="O12496"/>
      <c r="P12496"/>
      <c r="Q12496"/>
      <c r="R12496"/>
      <c r="S12496"/>
    </row>
    <row r="12497" spans="13:19" ht="13.95" customHeight="1">
      <c r="M12497"/>
      <c r="N12497"/>
      <c r="O12497"/>
      <c r="P12497"/>
      <c r="Q12497"/>
      <c r="R12497"/>
      <c r="S12497"/>
    </row>
    <row r="12498" spans="13:19" ht="13.95" customHeight="1">
      <c r="M12498"/>
      <c r="N12498"/>
      <c r="O12498"/>
      <c r="P12498"/>
      <c r="Q12498"/>
      <c r="R12498"/>
      <c r="S12498"/>
    </row>
    <row r="12499" spans="13:19" ht="13.95" customHeight="1">
      <c r="M12499"/>
      <c r="N12499"/>
      <c r="O12499"/>
      <c r="P12499"/>
      <c r="Q12499"/>
      <c r="R12499"/>
      <c r="S12499"/>
    </row>
    <row r="12500" spans="13:19" ht="13.95" customHeight="1">
      <c r="M12500"/>
      <c r="N12500"/>
      <c r="O12500"/>
      <c r="P12500"/>
      <c r="Q12500"/>
      <c r="R12500"/>
      <c r="S12500"/>
    </row>
    <row r="12501" spans="13:19" ht="13.95" customHeight="1">
      <c r="M12501"/>
      <c r="N12501"/>
      <c r="O12501"/>
      <c r="P12501"/>
      <c r="Q12501"/>
      <c r="R12501"/>
      <c r="S12501"/>
    </row>
    <row r="12502" spans="13:19" ht="13.95" customHeight="1">
      <c r="M12502"/>
      <c r="N12502"/>
      <c r="O12502"/>
      <c r="P12502"/>
      <c r="Q12502"/>
      <c r="R12502"/>
      <c r="S12502"/>
    </row>
    <row r="12503" spans="13:19" ht="13.95" customHeight="1">
      <c r="M12503"/>
      <c r="N12503"/>
      <c r="O12503"/>
      <c r="P12503"/>
      <c r="Q12503"/>
      <c r="R12503"/>
      <c r="S12503"/>
    </row>
    <row r="12504" spans="13:19" ht="13.95" customHeight="1">
      <c r="M12504"/>
      <c r="N12504"/>
      <c r="O12504"/>
      <c r="P12504"/>
      <c r="Q12504"/>
      <c r="R12504"/>
      <c r="S12504"/>
    </row>
    <row r="12505" spans="13:19" ht="13.95" customHeight="1">
      <c r="M12505"/>
      <c r="N12505"/>
      <c r="O12505"/>
      <c r="P12505"/>
      <c r="Q12505"/>
      <c r="R12505"/>
      <c r="S12505"/>
    </row>
    <row r="12506" spans="13:19" ht="13.95" customHeight="1">
      <c r="M12506"/>
      <c r="N12506"/>
      <c r="O12506"/>
      <c r="P12506"/>
      <c r="Q12506"/>
      <c r="R12506"/>
      <c r="S12506"/>
    </row>
    <row r="12507" spans="13:19" ht="13.95" customHeight="1">
      <c r="M12507"/>
      <c r="N12507"/>
      <c r="O12507"/>
      <c r="P12507"/>
      <c r="Q12507"/>
      <c r="R12507"/>
      <c r="S12507"/>
    </row>
    <row r="12508" spans="13:19" ht="13.95" customHeight="1">
      <c r="M12508"/>
      <c r="N12508"/>
      <c r="O12508"/>
      <c r="P12508"/>
      <c r="Q12508"/>
      <c r="R12508"/>
      <c r="S12508"/>
    </row>
    <row r="12509" spans="13:19" ht="13.95" customHeight="1">
      <c r="M12509"/>
      <c r="N12509"/>
      <c r="O12509"/>
      <c r="P12509"/>
      <c r="Q12509"/>
      <c r="R12509"/>
      <c r="S12509"/>
    </row>
    <row r="12510" spans="13:19" ht="13.95" customHeight="1">
      <c r="M12510"/>
      <c r="N12510"/>
      <c r="O12510"/>
      <c r="P12510"/>
      <c r="Q12510"/>
      <c r="R12510"/>
      <c r="S12510"/>
    </row>
    <row r="12511" spans="13:19" ht="13.95" customHeight="1">
      <c r="M12511"/>
      <c r="N12511"/>
      <c r="O12511"/>
      <c r="P12511"/>
      <c r="Q12511"/>
      <c r="R12511"/>
      <c r="S12511"/>
    </row>
    <row r="12512" spans="13:19" ht="13.95" customHeight="1">
      <c r="M12512"/>
      <c r="N12512"/>
      <c r="O12512"/>
      <c r="P12512"/>
      <c r="Q12512"/>
      <c r="R12512"/>
      <c r="S12512"/>
    </row>
    <row r="12513" spans="13:19" ht="13.95" customHeight="1">
      <c r="M12513"/>
      <c r="N12513"/>
      <c r="O12513"/>
      <c r="P12513"/>
      <c r="Q12513"/>
      <c r="R12513"/>
      <c r="S12513"/>
    </row>
    <row r="12514" spans="13:19" ht="13.95" customHeight="1">
      <c r="M12514"/>
      <c r="N12514"/>
      <c r="O12514"/>
      <c r="P12514"/>
      <c r="Q12514"/>
      <c r="R12514"/>
      <c r="S12514"/>
    </row>
    <row r="12515" spans="13:19" ht="13.95" customHeight="1">
      <c r="M12515"/>
      <c r="N12515"/>
      <c r="O12515"/>
      <c r="P12515"/>
      <c r="Q12515"/>
      <c r="R12515"/>
      <c r="S12515"/>
    </row>
    <row r="12516" spans="13:19" ht="13.95" customHeight="1">
      <c r="M12516"/>
      <c r="N12516"/>
      <c r="O12516"/>
      <c r="P12516"/>
      <c r="Q12516"/>
      <c r="R12516"/>
      <c r="S12516"/>
    </row>
    <row r="12517" spans="13:19" ht="13.95" customHeight="1">
      <c r="M12517"/>
      <c r="N12517"/>
      <c r="O12517"/>
      <c r="P12517"/>
      <c r="Q12517"/>
      <c r="R12517"/>
      <c r="S12517"/>
    </row>
    <row r="12518" spans="13:19" ht="13.95" customHeight="1">
      <c r="M12518"/>
      <c r="N12518"/>
      <c r="O12518"/>
      <c r="P12518"/>
      <c r="Q12518"/>
      <c r="R12518"/>
      <c r="S12518"/>
    </row>
    <row r="12519" spans="13:19" ht="13.95" customHeight="1">
      <c r="M12519"/>
      <c r="N12519"/>
      <c r="O12519"/>
      <c r="P12519"/>
      <c r="Q12519"/>
      <c r="R12519"/>
      <c r="S12519"/>
    </row>
    <row r="12520" spans="13:19" ht="13.95" customHeight="1">
      <c r="M12520"/>
      <c r="N12520"/>
      <c r="O12520"/>
      <c r="P12520"/>
      <c r="Q12520"/>
      <c r="R12520"/>
      <c r="S12520"/>
    </row>
    <row r="12521" spans="13:19" ht="13.95" customHeight="1">
      <c r="M12521"/>
      <c r="N12521"/>
      <c r="O12521"/>
      <c r="P12521"/>
      <c r="Q12521"/>
      <c r="R12521"/>
      <c r="S12521"/>
    </row>
    <row r="12522" spans="13:19" ht="13.95" customHeight="1">
      <c r="M12522"/>
      <c r="N12522"/>
      <c r="O12522"/>
      <c r="P12522"/>
      <c r="Q12522"/>
      <c r="R12522"/>
      <c r="S12522"/>
    </row>
    <row r="12523" spans="13:19" ht="13.95" customHeight="1">
      <c r="M12523"/>
      <c r="N12523"/>
      <c r="O12523"/>
      <c r="P12523"/>
      <c r="Q12523"/>
      <c r="R12523"/>
      <c r="S12523"/>
    </row>
    <row r="12524" spans="13:19" ht="13.95" customHeight="1">
      <c r="M12524"/>
      <c r="N12524"/>
      <c r="O12524"/>
      <c r="P12524"/>
      <c r="Q12524"/>
      <c r="R12524"/>
      <c r="S12524"/>
    </row>
    <row r="12525" spans="13:19" ht="13.95" customHeight="1">
      <c r="M12525"/>
      <c r="N12525"/>
      <c r="O12525"/>
      <c r="P12525"/>
      <c r="Q12525"/>
      <c r="R12525"/>
      <c r="S12525"/>
    </row>
    <row r="12526" spans="13:19" ht="13.95" customHeight="1">
      <c r="M12526"/>
      <c r="N12526"/>
      <c r="O12526"/>
      <c r="P12526"/>
      <c r="Q12526"/>
      <c r="R12526"/>
      <c r="S12526"/>
    </row>
    <row r="12527" spans="13:19" ht="13.95" customHeight="1">
      <c r="M12527"/>
      <c r="N12527"/>
      <c r="O12527"/>
      <c r="P12527"/>
      <c r="Q12527"/>
      <c r="R12527"/>
      <c r="S12527"/>
    </row>
    <row r="12528" spans="13:19" ht="13.95" customHeight="1">
      <c r="M12528"/>
      <c r="N12528"/>
      <c r="O12528"/>
      <c r="P12528"/>
      <c r="Q12528"/>
      <c r="R12528"/>
      <c r="S12528"/>
    </row>
    <row r="12529" spans="13:19" ht="13.95" customHeight="1">
      <c r="M12529"/>
      <c r="N12529"/>
      <c r="O12529"/>
      <c r="P12529"/>
      <c r="Q12529"/>
      <c r="R12529"/>
      <c r="S12529"/>
    </row>
    <row r="12530" spans="13:19" ht="13.95" customHeight="1">
      <c r="M12530"/>
      <c r="N12530"/>
      <c r="O12530"/>
      <c r="P12530"/>
      <c r="Q12530"/>
      <c r="R12530"/>
      <c r="S12530"/>
    </row>
    <row r="12531" spans="13:19" ht="13.95" customHeight="1">
      <c r="M12531"/>
      <c r="N12531"/>
      <c r="O12531"/>
      <c r="P12531"/>
      <c r="Q12531"/>
      <c r="R12531"/>
      <c r="S12531"/>
    </row>
    <row r="12532" spans="13:19" ht="13.95" customHeight="1">
      <c r="M12532"/>
      <c r="N12532"/>
      <c r="O12532"/>
      <c r="P12532"/>
      <c r="Q12532"/>
      <c r="R12532"/>
      <c r="S12532"/>
    </row>
    <row r="12533" spans="13:19" ht="13.95" customHeight="1">
      <c r="M12533"/>
      <c r="N12533"/>
      <c r="O12533"/>
      <c r="P12533"/>
      <c r="Q12533"/>
      <c r="R12533"/>
      <c r="S12533"/>
    </row>
    <row r="12534" spans="13:19" ht="13.95" customHeight="1">
      <c r="M12534"/>
      <c r="N12534"/>
      <c r="O12534"/>
      <c r="P12534"/>
      <c r="Q12534"/>
      <c r="R12534"/>
      <c r="S12534"/>
    </row>
    <row r="12535" spans="13:19" ht="13.95" customHeight="1">
      <c r="M12535"/>
      <c r="N12535"/>
      <c r="O12535"/>
      <c r="P12535"/>
      <c r="Q12535"/>
      <c r="R12535"/>
      <c r="S12535"/>
    </row>
    <row r="12536" spans="13:19" ht="13.95" customHeight="1">
      <c r="M12536"/>
      <c r="N12536"/>
      <c r="O12536"/>
      <c r="P12536"/>
      <c r="Q12536"/>
      <c r="R12536"/>
      <c r="S12536"/>
    </row>
    <row r="12537" spans="13:19" ht="13.95" customHeight="1">
      <c r="M12537"/>
      <c r="N12537"/>
      <c r="O12537"/>
      <c r="P12537"/>
      <c r="Q12537"/>
      <c r="R12537"/>
      <c r="S12537"/>
    </row>
    <row r="12538" spans="13:19" ht="13.95" customHeight="1">
      <c r="M12538"/>
      <c r="N12538"/>
      <c r="O12538"/>
      <c r="P12538"/>
      <c r="Q12538"/>
      <c r="R12538"/>
      <c r="S12538"/>
    </row>
    <row r="12539" spans="13:19" ht="13.95" customHeight="1">
      <c r="M12539"/>
      <c r="N12539"/>
      <c r="O12539"/>
      <c r="P12539"/>
      <c r="Q12539"/>
      <c r="R12539"/>
      <c r="S12539"/>
    </row>
    <row r="12540" spans="13:19" ht="13.95" customHeight="1">
      <c r="M12540"/>
      <c r="N12540"/>
      <c r="O12540"/>
      <c r="P12540"/>
      <c r="Q12540"/>
      <c r="R12540"/>
      <c r="S12540"/>
    </row>
    <row r="12541" spans="13:19" ht="13.95" customHeight="1">
      <c r="M12541"/>
      <c r="N12541"/>
      <c r="O12541"/>
      <c r="P12541"/>
      <c r="Q12541"/>
      <c r="R12541"/>
      <c r="S12541"/>
    </row>
    <row r="12542" spans="13:19" ht="13.95" customHeight="1">
      <c r="M12542"/>
      <c r="N12542"/>
      <c r="O12542"/>
      <c r="P12542"/>
      <c r="Q12542"/>
      <c r="R12542"/>
      <c r="S12542"/>
    </row>
    <row r="12543" spans="13:19" ht="13.95" customHeight="1">
      <c r="M12543"/>
      <c r="N12543"/>
      <c r="O12543"/>
      <c r="P12543"/>
      <c r="Q12543"/>
      <c r="R12543"/>
      <c r="S12543"/>
    </row>
    <row r="12544" spans="13:19" ht="13.95" customHeight="1">
      <c r="M12544"/>
      <c r="N12544"/>
      <c r="O12544"/>
      <c r="P12544"/>
      <c r="Q12544"/>
      <c r="R12544"/>
      <c r="S12544"/>
    </row>
    <row r="12545" spans="13:19" ht="13.95" customHeight="1">
      <c r="M12545"/>
      <c r="N12545"/>
      <c r="O12545"/>
      <c r="P12545"/>
      <c r="Q12545"/>
      <c r="R12545"/>
      <c r="S12545"/>
    </row>
    <row r="12546" spans="13:19" ht="13.95" customHeight="1">
      <c r="M12546"/>
      <c r="N12546"/>
      <c r="O12546"/>
      <c r="P12546"/>
      <c r="Q12546"/>
      <c r="R12546"/>
      <c r="S12546"/>
    </row>
    <row r="12547" spans="13:19" ht="13.95" customHeight="1">
      <c r="M12547"/>
      <c r="N12547"/>
      <c r="O12547"/>
      <c r="P12547"/>
      <c r="Q12547"/>
      <c r="R12547"/>
      <c r="S12547"/>
    </row>
    <row r="12548" spans="13:19" ht="13.95" customHeight="1">
      <c r="M12548"/>
      <c r="N12548"/>
      <c r="O12548"/>
      <c r="P12548"/>
      <c r="Q12548"/>
      <c r="R12548"/>
      <c r="S12548"/>
    </row>
    <row r="12549" spans="13:19" ht="13.95" customHeight="1">
      <c r="M12549"/>
      <c r="N12549"/>
      <c r="O12549"/>
      <c r="P12549"/>
      <c r="Q12549"/>
      <c r="R12549"/>
      <c r="S12549"/>
    </row>
    <row r="12550" spans="13:19" ht="13.95" customHeight="1">
      <c r="M12550"/>
      <c r="N12550"/>
      <c r="O12550"/>
      <c r="P12550"/>
      <c r="Q12550"/>
      <c r="R12550"/>
      <c r="S12550"/>
    </row>
    <row r="12551" spans="13:19" ht="13.95" customHeight="1">
      <c r="M12551"/>
      <c r="N12551"/>
      <c r="O12551"/>
      <c r="P12551"/>
      <c r="Q12551"/>
      <c r="R12551"/>
      <c r="S12551"/>
    </row>
    <row r="12552" spans="13:19" ht="13.95" customHeight="1">
      <c r="M12552"/>
      <c r="N12552"/>
      <c r="O12552"/>
      <c r="P12552"/>
      <c r="Q12552"/>
      <c r="R12552"/>
      <c r="S12552"/>
    </row>
    <row r="12553" spans="13:19" ht="13.95" customHeight="1">
      <c r="M12553"/>
      <c r="N12553"/>
      <c r="O12553"/>
      <c r="P12553"/>
      <c r="Q12553"/>
      <c r="R12553"/>
      <c r="S12553"/>
    </row>
    <row r="12554" spans="13:19" ht="13.95" customHeight="1">
      <c r="M12554"/>
      <c r="N12554"/>
      <c r="O12554"/>
      <c r="P12554"/>
      <c r="Q12554"/>
      <c r="R12554"/>
      <c r="S12554"/>
    </row>
    <row r="12555" spans="13:19" ht="13.95" customHeight="1">
      <c r="M12555"/>
      <c r="N12555"/>
      <c r="O12555"/>
      <c r="P12555"/>
      <c r="Q12555"/>
      <c r="R12555"/>
      <c r="S12555"/>
    </row>
    <row r="12556" spans="13:19" ht="13.95" customHeight="1">
      <c r="M12556"/>
      <c r="N12556"/>
      <c r="O12556"/>
      <c r="P12556"/>
      <c r="Q12556"/>
      <c r="R12556"/>
      <c r="S12556"/>
    </row>
    <row r="12557" spans="13:19" ht="13.95" customHeight="1">
      <c r="M12557"/>
      <c r="N12557"/>
      <c r="O12557"/>
      <c r="P12557"/>
      <c r="Q12557"/>
      <c r="R12557"/>
      <c r="S12557"/>
    </row>
    <row r="12558" spans="13:19" ht="13.95" customHeight="1">
      <c r="M12558"/>
      <c r="N12558"/>
      <c r="O12558"/>
      <c r="P12558"/>
      <c r="Q12558"/>
      <c r="R12558"/>
      <c r="S12558"/>
    </row>
    <row r="12559" spans="13:19" ht="13.95" customHeight="1">
      <c r="M12559"/>
      <c r="N12559"/>
      <c r="O12559"/>
      <c r="P12559"/>
      <c r="Q12559"/>
      <c r="R12559"/>
      <c r="S12559"/>
    </row>
    <row r="12560" spans="13:19" ht="13.95" customHeight="1">
      <c r="M12560"/>
      <c r="N12560"/>
      <c r="O12560"/>
      <c r="P12560"/>
      <c r="Q12560"/>
      <c r="R12560"/>
      <c r="S12560"/>
    </row>
    <row r="12561" spans="13:19" ht="13.95" customHeight="1">
      <c r="M12561"/>
      <c r="N12561"/>
      <c r="O12561"/>
      <c r="P12561"/>
      <c r="Q12561"/>
      <c r="R12561"/>
      <c r="S12561"/>
    </row>
    <row r="12562" spans="13:19" ht="13.95" customHeight="1">
      <c r="M12562"/>
      <c r="N12562"/>
      <c r="O12562"/>
      <c r="P12562"/>
      <c r="Q12562"/>
      <c r="R12562"/>
      <c r="S12562"/>
    </row>
    <row r="12563" spans="13:19" ht="13.95" customHeight="1">
      <c r="M12563"/>
      <c r="N12563"/>
      <c r="O12563"/>
      <c r="P12563"/>
      <c r="Q12563"/>
      <c r="R12563"/>
      <c r="S12563"/>
    </row>
    <row r="12564" spans="13:19" ht="13.95" customHeight="1">
      <c r="M12564"/>
      <c r="N12564"/>
      <c r="O12564"/>
      <c r="P12564"/>
      <c r="Q12564"/>
      <c r="R12564"/>
      <c r="S12564"/>
    </row>
    <row r="12565" spans="13:19" ht="13.95" customHeight="1">
      <c r="M12565"/>
      <c r="N12565"/>
      <c r="O12565"/>
      <c r="P12565"/>
      <c r="Q12565"/>
      <c r="R12565"/>
      <c r="S12565"/>
    </row>
    <row r="12566" spans="13:19" ht="13.95" customHeight="1">
      <c r="M12566"/>
      <c r="N12566"/>
      <c r="O12566"/>
      <c r="P12566"/>
      <c r="Q12566"/>
      <c r="R12566"/>
      <c r="S12566"/>
    </row>
    <row r="12567" spans="13:19" ht="13.95" customHeight="1">
      <c r="M12567"/>
      <c r="N12567"/>
      <c r="O12567"/>
      <c r="P12567"/>
      <c r="Q12567"/>
      <c r="R12567"/>
      <c r="S12567"/>
    </row>
    <row r="12568" spans="13:19" ht="13.95" customHeight="1">
      <c r="M12568"/>
      <c r="N12568"/>
      <c r="O12568"/>
      <c r="P12568"/>
      <c r="Q12568"/>
      <c r="R12568"/>
      <c r="S12568"/>
    </row>
    <row r="12569" spans="13:19" ht="13.95" customHeight="1">
      <c r="M12569"/>
      <c r="N12569"/>
      <c r="O12569"/>
      <c r="P12569"/>
      <c r="Q12569"/>
      <c r="R12569"/>
      <c r="S12569"/>
    </row>
    <row r="12570" spans="13:19" ht="13.95" customHeight="1">
      <c r="M12570"/>
      <c r="N12570"/>
      <c r="O12570"/>
      <c r="P12570"/>
      <c r="Q12570"/>
      <c r="R12570"/>
      <c r="S12570"/>
    </row>
    <row r="12571" spans="13:19" ht="13.95" customHeight="1">
      <c r="M12571"/>
      <c r="N12571"/>
      <c r="O12571"/>
      <c r="P12571"/>
      <c r="Q12571"/>
      <c r="R12571"/>
      <c r="S12571"/>
    </row>
    <row r="12572" spans="13:19" ht="13.95" customHeight="1">
      <c r="M12572"/>
      <c r="N12572"/>
      <c r="O12572"/>
      <c r="P12572"/>
      <c r="Q12572"/>
      <c r="R12572"/>
      <c r="S12572"/>
    </row>
    <row r="12573" spans="13:19" ht="13.95" customHeight="1">
      <c r="M12573"/>
      <c r="N12573"/>
      <c r="O12573"/>
      <c r="P12573"/>
      <c r="Q12573"/>
      <c r="R12573"/>
      <c r="S12573"/>
    </row>
    <row r="12574" spans="13:19" ht="13.95" customHeight="1">
      <c r="M12574"/>
      <c r="N12574"/>
      <c r="O12574"/>
      <c r="P12574"/>
      <c r="Q12574"/>
      <c r="R12574"/>
      <c r="S12574"/>
    </row>
    <row r="12575" spans="13:19" ht="13.95" customHeight="1">
      <c r="M12575"/>
      <c r="N12575"/>
      <c r="O12575"/>
      <c r="P12575"/>
      <c r="Q12575"/>
      <c r="R12575"/>
      <c r="S12575"/>
    </row>
    <row r="12576" spans="13:19" ht="13.95" customHeight="1">
      <c r="M12576"/>
      <c r="N12576"/>
      <c r="O12576"/>
      <c r="P12576"/>
      <c r="Q12576"/>
      <c r="R12576"/>
      <c r="S12576"/>
    </row>
    <row r="12577" spans="13:19" ht="13.95" customHeight="1">
      <c r="M12577"/>
      <c r="N12577"/>
      <c r="O12577"/>
      <c r="P12577"/>
      <c r="Q12577"/>
      <c r="R12577"/>
      <c r="S12577"/>
    </row>
    <row r="12578" spans="13:19" ht="13.95" customHeight="1">
      <c r="M12578"/>
      <c r="N12578"/>
      <c r="O12578"/>
      <c r="P12578"/>
      <c r="Q12578"/>
      <c r="R12578"/>
      <c r="S12578"/>
    </row>
    <row r="12579" spans="13:19" ht="13.95" customHeight="1">
      <c r="M12579"/>
      <c r="N12579"/>
      <c r="O12579"/>
      <c r="P12579"/>
      <c r="Q12579"/>
      <c r="R12579"/>
      <c r="S12579"/>
    </row>
    <row r="12580" spans="13:19" ht="13.95" customHeight="1">
      <c r="M12580"/>
      <c r="N12580"/>
      <c r="O12580"/>
      <c r="P12580"/>
      <c r="Q12580"/>
      <c r="R12580"/>
      <c r="S12580"/>
    </row>
    <row r="12581" spans="13:19" ht="13.95" customHeight="1">
      <c r="M12581"/>
      <c r="N12581"/>
      <c r="O12581"/>
      <c r="P12581"/>
      <c r="Q12581"/>
      <c r="R12581"/>
      <c r="S12581"/>
    </row>
    <row r="12582" spans="13:19" ht="13.95" customHeight="1">
      <c r="M12582"/>
      <c r="N12582"/>
      <c r="O12582"/>
      <c r="P12582"/>
      <c r="Q12582"/>
      <c r="R12582"/>
      <c r="S12582"/>
    </row>
    <row r="12583" spans="13:19" ht="13.95" customHeight="1">
      <c r="M12583"/>
      <c r="N12583"/>
      <c r="O12583"/>
      <c r="P12583"/>
      <c r="Q12583"/>
      <c r="R12583"/>
      <c r="S12583"/>
    </row>
    <row r="12584" spans="13:19" ht="13.95" customHeight="1">
      <c r="M12584"/>
      <c r="N12584"/>
      <c r="O12584"/>
      <c r="P12584"/>
      <c r="Q12584"/>
      <c r="R12584"/>
      <c r="S12584"/>
    </row>
    <row r="12585" spans="13:19" ht="13.95" customHeight="1">
      <c r="M12585"/>
      <c r="N12585"/>
      <c r="O12585"/>
      <c r="P12585"/>
      <c r="Q12585"/>
      <c r="R12585"/>
      <c r="S12585"/>
    </row>
    <row r="12586" spans="13:19" ht="13.95" customHeight="1">
      <c r="M12586"/>
      <c r="N12586"/>
      <c r="O12586"/>
      <c r="P12586"/>
      <c r="Q12586"/>
      <c r="R12586"/>
      <c r="S12586"/>
    </row>
    <row r="12587" spans="13:19" ht="13.95" customHeight="1">
      <c r="M12587"/>
      <c r="N12587"/>
      <c r="O12587"/>
      <c r="P12587"/>
      <c r="Q12587"/>
      <c r="R12587"/>
      <c r="S12587"/>
    </row>
    <row r="12588" spans="13:19" ht="13.95" customHeight="1">
      <c r="M12588"/>
      <c r="N12588"/>
      <c r="O12588"/>
      <c r="P12588"/>
      <c r="Q12588"/>
      <c r="R12588"/>
      <c r="S12588"/>
    </row>
    <row r="12589" spans="13:19" ht="13.95" customHeight="1">
      <c r="M12589"/>
      <c r="N12589"/>
      <c r="O12589"/>
      <c r="P12589"/>
      <c r="Q12589"/>
      <c r="R12589"/>
      <c r="S12589"/>
    </row>
    <row r="12590" spans="13:19" ht="13.95" customHeight="1">
      <c r="M12590"/>
      <c r="N12590"/>
      <c r="O12590"/>
      <c r="P12590"/>
      <c r="Q12590"/>
      <c r="R12590"/>
      <c r="S12590"/>
    </row>
    <row r="12591" spans="13:19" ht="13.95" customHeight="1">
      <c r="M12591"/>
      <c r="N12591"/>
      <c r="O12591"/>
      <c r="P12591"/>
      <c r="Q12591"/>
      <c r="R12591"/>
      <c r="S12591"/>
    </row>
    <row r="12592" spans="13:19" ht="13.95" customHeight="1">
      <c r="M12592"/>
      <c r="N12592"/>
      <c r="O12592"/>
      <c r="P12592"/>
      <c r="Q12592"/>
      <c r="R12592"/>
      <c r="S12592"/>
    </row>
    <row r="12593" spans="13:19" ht="13.95" customHeight="1">
      <c r="M12593"/>
      <c r="N12593"/>
      <c r="O12593"/>
      <c r="P12593"/>
      <c r="Q12593"/>
      <c r="R12593"/>
      <c r="S12593"/>
    </row>
    <row r="12594" spans="13:19" ht="13.95" customHeight="1">
      <c r="M12594"/>
      <c r="N12594"/>
      <c r="O12594"/>
      <c r="P12594"/>
      <c r="Q12594"/>
      <c r="R12594"/>
      <c r="S12594"/>
    </row>
    <row r="12595" spans="13:19" ht="13.95" customHeight="1">
      <c r="M12595"/>
      <c r="N12595"/>
      <c r="O12595"/>
      <c r="P12595"/>
      <c r="Q12595"/>
      <c r="R12595"/>
      <c r="S12595"/>
    </row>
    <row r="12596" spans="13:19" ht="13.95" customHeight="1">
      <c r="M12596"/>
      <c r="N12596"/>
      <c r="O12596"/>
      <c r="P12596"/>
      <c r="Q12596"/>
      <c r="R12596"/>
      <c r="S12596"/>
    </row>
    <row r="12597" spans="13:19" ht="13.95" customHeight="1">
      <c r="M12597"/>
      <c r="N12597"/>
      <c r="O12597"/>
      <c r="P12597"/>
      <c r="Q12597"/>
      <c r="R12597"/>
      <c r="S12597"/>
    </row>
    <row r="12598" spans="13:19" ht="13.95" customHeight="1">
      <c r="M12598"/>
      <c r="N12598"/>
      <c r="O12598"/>
      <c r="P12598"/>
      <c r="Q12598"/>
      <c r="R12598"/>
      <c r="S12598"/>
    </row>
    <row r="12599" spans="13:19" ht="13.95" customHeight="1">
      <c r="M12599"/>
      <c r="N12599"/>
      <c r="O12599"/>
      <c r="P12599"/>
      <c r="Q12599"/>
      <c r="R12599"/>
      <c r="S12599"/>
    </row>
    <row r="12600" spans="13:19" ht="13.95" customHeight="1">
      <c r="M12600"/>
      <c r="N12600"/>
      <c r="O12600"/>
      <c r="P12600"/>
      <c r="Q12600"/>
      <c r="R12600"/>
      <c r="S12600"/>
    </row>
    <row r="12601" spans="13:19" ht="13.95" customHeight="1">
      <c r="M12601"/>
      <c r="N12601"/>
      <c r="O12601"/>
      <c r="P12601"/>
      <c r="Q12601"/>
      <c r="R12601"/>
      <c r="S12601"/>
    </row>
    <row r="12602" spans="13:19" ht="13.95" customHeight="1">
      <c r="M12602"/>
      <c r="N12602"/>
      <c r="O12602"/>
      <c r="P12602"/>
      <c r="Q12602"/>
      <c r="R12602"/>
      <c r="S12602"/>
    </row>
    <row r="12603" spans="13:19" ht="13.95" customHeight="1">
      <c r="M12603"/>
      <c r="N12603"/>
      <c r="O12603"/>
      <c r="P12603"/>
      <c r="Q12603"/>
      <c r="R12603"/>
      <c r="S12603"/>
    </row>
    <row r="12604" spans="13:19" ht="13.95" customHeight="1">
      <c r="M12604"/>
      <c r="N12604"/>
      <c r="O12604"/>
      <c r="P12604"/>
      <c r="Q12604"/>
      <c r="R12604"/>
      <c r="S12604"/>
    </row>
    <row r="12605" spans="13:19" ht="13.95" customHeight="1">
      <c r="M12605"/>
      <c r="N12605"/>
      <c r="O12605"/>
      <c r="P12605"/>
      <c r="Q12605"/>
      <c r="R12605"/>
      <c r="S12605"/>
    </row>
    <row r="12606" spans="13:19" ht="13.95" customHeight="1">
      <c r="M12606"/>
      <c r="N12606"/>
      <c r="O12606"/>
      <c r="P12606"/>
      <c r="Q12606"/>
      <c r="R12606"/>
      <c r="S12606"/>
    </row>
    <row r="12607" spans="13:19" ht="13.95" customHeight="1">
      <c r="M12607"/>
      <c r="N12607"/>
      <c r="O12607"/>
      <c r="P12607"/>
      <c r="Q12607"/>
      <c r="R12607"/>
      <c r="S12607"/>
    </row>
    <row r="12608" spans="13:19" ht="13.95" customHeight="1">
      <c r="M12608"/>
      <c r="N12608"/>
      <c r="O12608"/>
      <c r="P12608"/>
      <c r="Q12608"/>
      <c r="R12608"/>
      <c r="S12608"/>
    </row>
    <row r="12609" spans="13:19" ht="13.95" customHeight="1">
      <c r="M12609"/>
      <c r="N12609"/>
      <c r="O12609"/>
      <c r="P12609"/>
      <c r="Q12609"/>
      <c r="R12609"/>
      <c r="S12609"/>
    </row>
    <row r="12610" spans="13:19" ht="13.95" customHeight="1">
      <c r="M12610"/>
      <c r="N12610"/>
      <c r="O12610"/>
      <c r="P12610"/>
      <c r="Q12610"/>
      <c r="R12610"/>
      <c r="S12610"/>
    </row>
    <row r="12611" spans="13:19" ht="13.95" customHeight="1">
      <c r="M12611"/>
      <c r="N12611"/>
      <c r="O12611"/>
      <c r="P12611"/>
      <c r="Q12611"/>
      <c r="R12611"/>
      <c r="S12611"/>
    </row>
    <row r="12612" spans="13:19" ht="13.95" customHeight="1">
      <c r="M12612"/>
      <c r="N12612"/>
      <c r="O12612"/>
      <c r="P12612"/>
      <c r="Q12612"/>
      <c r="R12612"/>
      <c r="S12612"/>
    </row>
    <row r="12613" spans="13:19" ht="13.95" customHeight="1">
      <c r="M12613"/>
      <c r="N12613"/>
      <c r="O12613"/>
      <c r="P12613"/>
      <c r="Q12613"/>
      <c r="R12613"/>
      <c r="S12613"/>
    </row>
    <row r="12614" spans="13:19" ht="13.95" customHeight="1">
      <c r="M12614"/>
      <c r="N12614"/>
      <c r="O12614"/>
      <c r="P12614"/>
      <c r="Q12614"/>
      <c r="R12614"/>
      <c r="S12614"/>
    </row>
    <row r="12615" spans="13:19" ht="13.95" customHeight="1">
      <c r="M12615"/>
      <c r="N12615"/>
      <c r="O12615"/>
      <c r="P12615"/>
      <c r="Q12615"/>
      <c r="R12615"/>
      <c r="S12615"/>
    </row>
    <row r="12616" spans="13:19" ht="13.95" customHeight="1">
      <c r="M12616"/>
      <c r="N12616"/>
      <c r="O12616"/>
      <c r="P12616"/>
      <c r="Q12616"/>
      <c r="R12616"/>
      <c r="S12616"/>
    </row>
    <row r="12617" spans="13:19" ht="13.95" customHeight="1">
      <c r="M12617"/>
      <c r="N12617"/>
      <c r="O12617"/>
      <c r="P12617"/>
      <c r="Q12617"/>
      <c r="R12617"/>
      <c r="S12617"/>
    </row>
    <row r="12618" spans="13:19" ht="13.95" customHeight="1">
      <c r="M12618"/>
      <c r="N12618"/>
      <c r="O12618"/>
      <c r="P12618"/>
      <c r="Q12618"/>
      <c r="R12618"/>
      <c r="S12618"/>
    </row>
    <row r="12619" spans="13:19" ht="13.95" customHeight="1">
      <c r="M12619"/>
      <c r="N12619"/>
      <c r="O12619"/>
      <c r="P12619"/>
      <c r="Q12619"/>
      <c r="R12619"/>
      <c r="S12619"/>
    </row>
    <row r="12620" spans="13:19" ht="13.95" customHeight="1">
      <c r="M12620"/>
      <c r="N12620"/>
      <c r="O12620"/>
      <c r="P12620"/>
      <c r="Q12620"/>
      <c r="R12620"/>
      <c r="S12620"/>
    </row>
    <row r="12621" spans="13:19" ht="13.95" customHeight="1">
      <c r="M12621"/>
      <c r="N12621"/>
      <c r="O12621"/>
      <c r="P12621"/>
      <c r="Q12621"/>
      <c r="R12621"/>
      <c r="S12621"/>
    </row>
    <row r="12622" spans="13:19" ht="13.95" customHeight="1">
      <c r="M12622"/>
      <c r="N12622"/>
      <c r="O12622"/>
      <c r="P12622"/>
      <c r="Q12622"/>
      <c r="R12622"/>
      <c r="S12622"/>
    </row>
    <row r="12623" spans="13:19" ht="13.95" customHeight="1">
      <c r="M12623"/>
      <c r="N12623"/>
      <c r="O12623"/>
      <c r="P12623"/>
      <c r="Q12623"/>
      <c r="R12623"/>
      <c r="S12623"/>
    </row>
    <row r="12624" spans="13:19" ht="13.95" customHeight="1">
      <c r="M12624"/>
      <c r="N12624"/>
      <c r="O12624"/>
      <c r="P12624"/>
      <c r="Q12624"/>
      <c r="R12624"/>
      <c r="S12624"/>
    </row>
    <row r="12625" spans="13:19" ht="13.95" customHeight="1">
      <c r="M12625"/>
      <c r="N12625"/>
      <c r="O12625"/>
      <c r="P12625"/>
      <c r="Q12625"/>
      <c r="R12625"/>
      <c r="S12625"/>
    </row>
    <row r="12626" spans="13:19" ht="13.95" customHeight="1">
      <c r="M12626"/>
      <c r="N12626"/>
      <c r="O12626"/>
      <c r="P12626"/>
      <c r="Q12626"/>
      <c r="R12626"/>
      <c r="S12626"/>
    </row>
    <row r="12627" spans="13:19" ht="13.95" customHeight="1">
      <c r="M12627"/>
      <c r="N12627"/>
      <c r="O12627"/>
      <c r="P12627"/>
      <c r="Q12627"/>
      <c r="R12627"/>
      <c r="S12627"/>
    </row>
    <row r="12628" spans="13:19" ht="13.95" customHeight="1">
      <c r="M12628"/>
      <c r="N12628"/>
      <c r="O12628"/>
      <c r="P12628"/>
      <c r="Q12628"/>
      <c r="R12628"/>
      <c r="S12628"/>
    </row>
    <row r="12629" spans="13:19" ht="13.95" customHeight="1">
      <c r="M12629"/>
      <c r="N12629"/>
      <c r="O12629"/>
      <c r="P12629"/>
      <c r="Q12629"/>
      <c r="R12629"/>
      <c r="S12629"/>
    </row>
    <row r="12630" spans="13:19" ht="13.95" customHeight="1">
      <c r="M12630"/>
      <c r="N12630"/>
      <c r="O12630"/>
      <c r="P12630"/>
      <c r="Q12630"/>
      <c r="R12630"/>
      <c r="S12630"/>
    </row>
    <row r="12631" spans="13:19" ht="13.95" customHeight="1">
      <c r="M12631"/>
      <c r="N12631"/>
      <c r="O12631"/>
      <c r="P12631"/>
      <c r="Q12631"/>
      <c r="R12631"/>
      <c r="S12631"/>
    </row>
    <row r="12632" spans="13:19" ht="13.95" customHeight="1">
      <c r="M12632"/>
      <c r="N12632"/>
      <c r="O12632"/>
      <c r="P12632"/>
      <c r="Q12632"/>
      <c r="R12632"/>
      <c r="S12632"/>
    </row>
    <row r="12633" spans="13:19" ht="13.95" customHeight="1">
      <c r="M12633"/>
      <c r="N12633"/>
      <c r="O12633"/>
      <c r="P12633"/>
      <c r="Q12633"/>
      <c r="R12633"/>
      <c r="S12633"/>
    </row>
    <row r="12634" spans="13:19" ht="13.95" customHeight="1">
      <c r="M12634"/>
      <c r="N12634"/>
      <c r="O12634"/>
      <c r="P12634"/>
      <c r="Q12634"/>
      <c r="R12634"/>
      <c r="S12634"/>
    </row>
    <row r="12635" spans="13:19" ht="13.95" customHeight="1">
      <c r="M12635"/>
      <c r="N12635"/>
      <c r="O12635"/>
      <c r="P12635"/>
      <c r="Q12635"/>
      <c r="R12635"/>
      <c r="S12635"/>
    </row>
    <row r="12636" spans="13:19" ht="13.95" customHeight="1">
      <c r="M12636"/>
      <c r="N12636"/>
      <c r="O12636"/>
      <c r="P12636"/>
      <c r="Q12636"/>
      <c r="R12636"/>
      <c r="S12636"/>
    </row>
    <row r="12637" spans="13:19" ht="13.95" customHeight="1">
      <c r="M12637"/>
      <c r="N12637"/>
      <c r="O12637"/>
      <c r="P12637"/>
      <c r="Q12637"/>
      <c r="R12637"/>
      <c r="S12637"/>
    </row>
    <row r="12638" spans="13:19" ht="13.95" customHeight="1">
      <c r="M12638"/>
      <c r="N12638"/>
      <c r="O12638"/>
      <c r="P12638"/>
      <c r="Q12638"/>
      <c r="R12638"/>
      <c r="S12638"/>
    </row>
    <row r="12639" spans="13:19" ht="13.95" customHeight="1">
      <c r="M12639"/>
      <c r="N12639"/>
      <c r="O12639"/>
      <c r="P12639"/>
      <c r="Q12639"/>
      <c r="R12639"/>
      <c r="S12639"/>
    </row>
    <row r="12640" spans="13:19" ht="13.95" customHeight="1">
      <c r="M12640"/>
      <c r="N12640"/>
      <c r="O12640"/>
      <c r="P12640"/>
      <c r="Q12640"/>
      <c r="R12640"/>
      <c r="S12640"/>
    </row>
    <row r="12641" spans="13:19" ht="13.95" customHeight="1">
      <c r="M12641"/>
      <c r="N12641"/>
      <c r="O12641"/>
      <c r="P12641"/>
      <c r="Q12641"/>
      <c r="R12641"/>
      <c r="S12641"/>
    </row>
    <row r="12642" spans="13:19" ht="13.95" customHeight="1">
      <c r="M12642"/>
      <c r="N12642"/>
      <c r="O12642"/>
      <c r="P12642"/>
      <c r="Q12642"/>
      <c r="R12642"/>
      <c r="S12642"/>
    </row>
    <row r="12643" spans="13:19" ht="13.95" customHeight="1">
      <c r="M12643"/>
      <c r="N12643"/>
      <c r="O12643"/>
      <c r="P12643"/>
      <c r="Q12643"/>
      <c r="R12643"/>
      <c r="S12643"/>
    </row>
    <row r="12644" spans="13:19" ht="13.95" customHeight="1">
      <c r="M12644"/>
      <c r="N12644"/>
      <c r="O12644"/>
      <c r="P12644"/>
      <c r="Q12644"/>
      <c r="R12644"/>
      <c r="S12644"/>
    </row>
    <row r="12645" spans="13:19" ht="13.95" customHeight="1">
      <c r="M12645"/>
      <c r="N12645"/>
      <c r="O12645"/>
      <c r="P12645"/>
      <c r="Q12645"/>
      <c r="R12645"/>
      <c r="S12645"/>
    </row>
    <row r="12646" spans="13:19" ht="13.95" customHeight="1">
      <c r="M12646"/>
      <c r="N12646"/>
      <c r="O12646"/>
      <c r="P12646"/>
      <c r="Q12646"/>
      <c r="R12646"/>
      <c r="S12646"/>
    </row>
    <row r="12647" spans="13:19" ht="13.95" customHeight="1">
      <c r="M12647"/>
      <c r="N12647"/>
      <c r="O12647"/>
      <c r="P12647"/>
      <c r="Q12647"/>
      <c r="R12647"/>
      <c r="S12647"/>
    </row>
    <row r="12648" spans="13:19" ht="13.95" customHeight="1">
      <c r="M12648"/>
      <c r="N12648"/>
      <c r="O12648"/>
      <c r="P12648"/>
      <c r="Q12648"/>
      <c r="R12648"/>
      <c r="S12648"/>
    </row>
    <row r="12649" spans="13:19" ht="13.95" customHeight="1">
      <c r="M12649"/>
      <c r="N12649"/>
      <c r="O12649"/>
      <c r="P12649"/>
      <c r="Q12649"/>
      <c r="R12649"/>
      <c r="S12649"/>
    </row>
    <row r="12650" spans="13:19" ht="13.95" customHeight="1">
      <c r="M12650"/>
      <c r="N12650"/>
      <c r="O12650"/>
      <c r="P12650"/>
      <c r="Q12650"/>
      <c r="R12650"/>
      <c r="S12650"/>
    </row>
    <row r="12651" spans="13:19" ht="13.95" customHeight="1">
      <c r="M12651"/>
      <c r="N12651"/>
      <c r="O12651"/>
      <c r="P12651"/>
      <c r="Q12651"/>
      <c r="R12651"/>
      <c r="S12651"/>
    </row>
    <row r="12652" spans="13:19" ht="13.95" customHeight="1">
      <c r="M12652"/>
      <c r="N12652"/>
      <c r="O12652"/>
      <c r="P12652"/>
      <c r="Q12652"/>
      <c r="R12652"/>
      <c r="S12652"/>
    </row>
    <row r="12653" spans="13:19" ht="13.95" customHeight="1">
      <c r="M12653"/>
      <c r="N12653"/>
      <c r="O12653"/>
      <c r="P12653"/>
      <c r="Q12653"/>
      <c r="R12653"/>
      <c r="S12653"/>
    </row>
    <row r="12654" spans="13:19" ht="13.95" customHeight="1">
      <c r="M12654"/>
      <c r="N12654"/>
      <c r="O12654"/>
      <c r="P12654"/>
      <c r="Q12654"/>
      <c r="R12654"/>
      <c r="S12654"/>
    </row>
    <row r="12655" spans="13:19" ht="13.95" customHeight="1">
      <c r="M12655"/>
      <c r="N12655"/>
      <c r="O12655"/>
      <c r="P12655"/>
      <c r="Q12655"/>
      <c r="R12655"/>
      <c r="S12655"/>
    </row>
    <row r="12656" spans="13:19" ht="13.95" customHeight="1">
      <c r="M12656"/>
      <c r="N12656"/>
      <c r="O12656"/>
      <c r="P12656"/>
      <c r="Q12656"/>
      <c r="R12656"/>
      <c r="S12656"/>
    </row>
    <row r="12657" spans="13:19" ht="13.95" customHeight="1">
      <c r="M12657"/>
      <c r="N12657"/>
      <c r="O12657"/>
      <c r="P12657"/>
      <c r="Q12657"/>
      <c r="R12657"/>
      <c r="S12657"/>
    </row>
    <row r="12658" spans="13:19" ht="13.95" customHeight="1">
      <c r="M12658"/>
      <c r="N12658"/>
      <c r="O12658"/>
      <c r="P12658"/>
      <c r="Q12658"/>
      <c r="R12658"/>
      <c r="S12658"/>
    </row>
    <row r="12659" spans="13:19" ht="13.95" customHeight="1">
      <c r="M12659"/>
      <c r="N12659"/>
      <c r="O12659"/>
      <c r="P12659"/>
      <c r="Q12659"/>
      <c r="R12659"/>
      <c r="S12659"/>
    </row>
    <row r="12660" spans="13:19" ht="13.95" customHeight="1">
      <c r="M12660"/>
      <c r="N12660"/>
      <c r="O12660"/>
      <c r="P12660"/>
      <c r="Q12660"/>
      <c r="R12660"/>
      <c r="S12660"/>
    </row>
    <row r="12661" spans="13:19" ht="13.95" customHeight="1">
      <c r="M12661"/>
      <c r="N12661"/>
      <c r="O12661"/>
      <c r="P12661"/>
      <c r="Q12661"/>
      <c r="R12661"/>
      <c r="S12661"/>
    </row>
    <row r="12662" spans="13:19" ht="13.95" customHeight="1">
      <c r="M12662"/>
      <c r="N12662"/>
      <c r="O12662"/>
      <c r="P12662"/>
      <c r="Q12662"/>
      <c r="R12662"/>
      <c r="S12662"/>
    </row>
    <row r="12663" spans="13:19" ht="13.95" customHeight="1">
      <c r="M12663"/>
      <c r="N12663"/>
      <c r="O12663"/>
      <c r="P12663"/>
      <c r="Q12663"/>
      <c r="R12663"/>
      <c r="S12663"/>
    </row>
    <row r="12664" spans="13:19" ht="13.95" customHeight="1">
      <c r="M12664"/>
      <c r="N12664"/>
      <c r="O12664"/>
      <c r="P12664"/>
      <c r="Q12664"/>
      <c r="R12664"/>
      <c r="S12664"/>
    </row>
    <row r="12665" spans="13:19" ht="13.95" customHeight="1">
      <c r="M12665"/>
      <c r="N12665"/>
      <c r="O12665"/>
      <c r="P12665"/>
      <c r="Q12665"/>
      <c r="R12665"/>
      <c r="S12665"/>
    </row>
    <row r="12666" spans="13:19" ht="13.95" customHeight="1">
      <c r="M12666"/>
      <c r="N12666"/>
      <c r="O12666"/>
      <c r="P12666"/>
      <c r="Q12666"/>
      <c r="R12666"/>
      <c r="S12666"/>
    </row>
    <row r="12667" spans="13:19" ht="13.95" customHeight="1">
      <c r="M12667"/>
      <c r="N12667"/>
      <c r="O12667"/>
      <c r="P12667"/>
      <c r="Q12667"/>
      <c r="R12667"/>
      <c r="S12667"/>
    </row>
    <row r="12668" spans="13:19" ht="13.95" customHeight="1">
      <c r="M12668"/>
      <c r="N12668"/>
      <c r="O12668"/>
      <c r="P12668"/>
      <c r="Q12668"/>
      <c r="R12668"/>
      <c r="S12668"/>
    </row>
    <row r="12669" spans="13:19" ht="13.95" customHeight="1">
      <c r="M12669"/>
      <c r="N12669"/>
      <c r="O12669"/>
      <c r="P12669"/>
      <c r="Q12669"/>
      <c r="R12669"/>
      <c r="S12669"/>
    </row>
    <row r="12670" spans="13:19" ht="13.95" customHeight="1">
      <c r="M12670"/>
      <c r="N12670"/>
      <c r="O12670"/>
      <c r="P12670"/>
      <c r="Q12670"/>
      <c r="R12670"/>
      <c r="S12670"/>
    </row>
    <row r="12671" spans="13:19" ht="13.95" customHeight="1">
      <c r="M12671"/>
      <c r="N12671"/>
      <c r="O12671"/>
      <c r="P12671"/>
      <c r="Q12671"/>
      <c r="R12671"/>
      <c r="S12671"/>
    </row>
    <row r="12672" spans="13:19" ht="13.95" customHeight="1">
      <c r="M12672"/>
      <c r="N12672"/>
      <c r="O12672"/>
      <c r="P12672"/>
      <c r="Q12672"/>
      <c r="R12672"/>
      <c r="S12672"/>
    </row>
    <row r="12673" spans="13:19" ht="13.95" customHeight="1">
      <c r="M12673"/>
      <c r="N12673"/>
      <c r="O12673"/>
      <c r="P12673"/>
      <c r="Q12673"/>
      <c r="R12673"/>
      <c r="S12673"/>
    </row>
    <row r="12674" spans="13:19" ht="13.95" customHeight="1">
      <c r="M12674"/>
      <c r="N12674"/>
      <c r="O12674"/>
      <c r="P12674"/>
      <c r="Q12674"/>
      <c r="R12674"/>
      <c r="S12674"/>
    </row>
    <row r="12675" spans="13:19" ht="13.95" customHeight="1">
      <c r="M12675"/>
      <c r="N12675"/>
      <c r="O12675"/>
      <c r="P12675"/>
      <c r="Q12675"/>
      <c r="R12675"/>
      <c r="S12675"/>
    </row>
    <row r="12676" spans="13:19" ht="13.95" customHeight="1">
      <c r="M12676"/>
      <c r="N12676"/>
      <c r="O12676"/>
      <c r="P12676"/>
      <c r="Q12676"/>
      <c r="R12676"/>
      <c r="S12676"/>
    </row>
    <row r="12677" spans="13:19" ht="13.95" customHeight="1">
      <c r="M12677"/>
      <c r="N12677"/>
      <c r="O12677"/>
      <c r="P12677"/>
      <c r="Q12677"/>
      <c r="R12677"/>
      <c r="S12677"/>
    </row>
    <row r="12678" spans="13:19" ht="13.95" customHeight="1">
      <c r="M12678"/>
      <c r="N12678"/>
      <c r="O12678"/>
      <c r="P12678"/>
      <c r="Q12678"/>
      <c r="R12678"/>
      <c r="S12678"/>
    </row>
    <row r="12679" spans="13:19" ht="13.95" customHeight="1">
      <c r="M12679"/>
      <c r="N12679"/>
      <c r="O12679"/>
      <c r="P12679"/>
      <c r="Q12679"/>
      <c r="R12679"/>
      <c r="S12679"/>
    </row>
    <row r="12680" spans="13:19" ht="13.95" customHeight="1">
      <c r="M12680"/>
      <c r="N12680"/>
      <c r="O12680"/>
      <c r="P12680"/>
      <c r="Q12680"/>
      <c r="R12680"/>
      <c r="S12680"/>
    </row>
    <row r="12681" spans="13:19" ht="13.95" customHeight="1">
      <c r="M12681"/>
      <c r="N12681"/>
      <c r="O12681"/>
      <c r="P12681"/>
      <c r="Q12681"/>
      <c r="R12681"/>
      <c r="S12681"/>
    </row>
    <row r="12682" spans="13:19" ht="13.95" customHeight="1">
      <c r="M12682"/>
      <c r="N12682"/>
      <c r="O12682"/>
      <c r="P12682"/>
      <c r="Q12682"/>
      <c r="R12682"/>
      <c r="S12682"/>
    </row>
    <row r="12683" spans="13:19" ht="13.95" customHeight="1">
      <c r="M12683"/>
      <c r="N12683"/>
      <c r="O12683"/>
      <c r="P12683"/>
      <c r="Q12683"/>
      <c r="R12683"/>
      <c r="S12683"/>
    </row>
    <row r="12684" spans="13:19" ht="13.95" customHeight="1">
      <c r="M12684"/>
      <c r="N12684"/>
      <c r="O12684"/>
      <c r="P12684"/>
      <c r="Q12684"/>
      <c r="R12684"/>
      <c r="S12684"/>
    </row>
    <row r="12685" spans="13:19" ht="13.95" customHeight="1">
      <c r="M12685"/>
      <c r="N12685"/>
      <c r="O12685"/>
      <c r="P12685"/>
      <c r="Q12685"/>
      <c r="R12685"/>
      <c r="S12685"/>
    </row>
    <row r="12686" spans="13:19" ht="13.95" customHeight="1">
      <c r="M12686"/>
      <c r="N12686"/>
      <c r="O12686"/>
      <c r="P12686"/>
      <c r="Q12686"/>
      <c r="R12686"/>
      <c r="S12686"/>
    </row>
    <row r="12687" spans="13:19" ht="13.95" customHeight="1">
      <c r="M12687"/>
      <c r="N12687"/>
      <c r="O12687"/>
      <c r="P12687"/>
      <c r="Q12687"/>
      <c r="R12687"/>
      <c r="S12687"/>
    </row>
    <row r="12688" spans="13:19" ht="13.95" customHeight="1">
      <c r="M12688"/>
      <c r="N12688"/>
      <c r="O12688"/>
      <c r="P12688"/>
      <c r="Q12688"/>
      <c r="R12688"/>
      <c r="S12688"/>
    </row>
    <row r="12689" spans="13:19" ht="13.95" customHeight="1">
      <c r="M12689"/>
      <c r="N12689"/>
      <c r="O12689"/>
      <c r="P12689"/>
      <c r="Q12689"/>
      <c r="R12689"/>
      <c r="S12689"/>
    </row>
    <row r="12690" spans="13:19" ht="13.95" customHeight="1">
      <c r="M12690"/>
      <c r="N12690"/>
      <c r="O12690"/>
      <c r="P12690"/>
      <c r="Q12690"/>
      <c r="R12690"/>
      <c r="S12690"/>
    </row>
    <row r="12691" spans="13:19" ht="13.95" customHeight="1">
      <c r="M12691"/>
      <c r="N12691"/>
      <c r="O12691"/>
      <c r="P12691"/>
      <c r="Q12691"/>
      <c r="R12691"/>
      <c r="S12691"/>
    </row>
    <row r="12692" spans="13:19" ht="13.95" customHeight="1">
      <c r="M12692"/>
      <c r="N12692"/>
      <c r="O12692"/>
      <c r="P12692"/>
      <c r="Q12692"/>
      <c r="R12692"/>
      <c r="S12692"/>
    </row>
    <row r="12693" spans="13:19" ht="13.95" customHeight="1">
      <c r="M12693"/>
      <c r="N12693"/>
      <c r="O12693"/>
      <c r="P12693"/>
      <c r="Q12693"/>
      <c r="R12693"/>
      <c r="S12693"/>
    </row>
    <row r="12694" spans="13:19" ht="13.95" customHeight="1">
      <c r="M12694"/>
      <c r="N12694"/>
      <c r="O12694"/>
      <c r="P12694"/>
      <c r="Q12694"/>
      <c r="R12694"/>
      <c r="S12694"/>
    </row>
    <row r="12695" spans="13:19" ht="13.95" customHeight="1">
      <c r="M12695"/>
      <c r="N12695"/>
      <c r="O12695"/>
      <c r="P12695"/>
      <c r="Q12695"/>
      <c r="R12695"/>
      <c r="S12695"/>
    </row>
    <row r="12696" spans="13:19" ht="13.95" customHeight="1">
      <c r="M12696"/>
      <c r="N12696"/>
      <c r="O12696"/>
      <c r="P12696"/>
      <c r="Q12696"/>
      <c r="R12696"/>
      <c r="S12696"/>
    </row>
    <row r="12697" spans="13:19" ht="13.95" customHeight="1">
      <c r="M12697"/>
      <c r="N12697"/>
      <c r="O12697"/>
      <c r="P12697"/>
      <c r="Q12697"/>
      <c r="R12697"/>
      <c r="S12697"/>
    </row>
    <row r="12698" spans="13:19" ht="13.95" customHeight="1">
      <c r="M12698"/>
      <c r="N12698"/>
      <c r="O12698"/>
      <c r="P12698"/>
      <c r="Q12698"/>
      <c r="R12698"/>
      <c r="S12698"/>
    </row>
    <row r="12699" spans="13:19" ht="13.95" customHeight="1">
      <c r="M12699"/>
      <c r="N12699"/>
      <c r="O12699"/>
      <c r="P12699"/>
      <c r="Q12699"/>
      <c r="R12699"/>
      <c r="S12699"/>
    </row>
    <row r="12700" spans="13:19" ht="13.95" customHeight="1">
      <c r="M12700"/>
      <c r="N12700"/>
      <c r="O12700"/>
      <c r="P12700"/>
      <c r="Q12700"/>
      <c r="R12700"/>
      <c r="S12700"/>
    </row>
    <row r="12701" spans="13:19" ht="13.95" customHeight="1">
      <c r="M12701"/>
      <c r="N12701"/>
      <c r="O12701"/>
      <c r="P12701"/>
      <c r="Q12701"/>
      <c r="R12701"/>
      <c r="S12701"/>
    </row>
    <row r="12702" spans="13:19" ht="13.95" customHeight="1">
      <c r="M12702"/>
      <c r="N12702"/>
      <c r="O12702"/>
      <c r="P12702"/>
      <c r="Q12702"/>
      <c r="R12702"/>
      <c r="S12702"/>
    </row>
    <row r="12703" spans="13:19" ht="13.95" customHeight="1">
      <c r="M12703"/>
      <c r="N12703"/>
      <c r="O12703"/>
      <c r="P12703"/>
      <c r="Q12703"/>
      <c r="R12703"/>
      <c r="S12703"/>
    </row>
    <row r="12704" spans="13:19" ht="13.95" customHeight="1">
      <c r="M12704"/>
      <c r="N12704"/>
      <c r="O12704"/>
      <c r="P12704"/>
      <c r="Q12704"/>
      <c r="R12704"/>
      <c r="S12704"/>
    </row>
    <row r="12705" spans="13:19" ht="13.95" customHeight="1">
      <c r="M12705"/>
      <c r="N12705"/>
      <c r="O12705"/>
      <c r="P12705"/>
      <c r="Q12705"/>
      <c r="R12705"/>
      <c r="S12705"/>
    </row>
    <row r="12706" spans="13:19" ht="13.95" customHeight="1">
      <c r="M12706"/>
      <c r="N12706"/>
      <c r="O12706"/>
      <c r="P12706"/>
      <c r="Q12706"/>
      <c r="R12706"/>
      <c r="S12706"/>
    </row>
    <row r="12707" spans="13:19" ht="13.95" customHeight="1">
      <c r="M12707"/>
      <c r="N12707"/>
      <c r="O12707"/>
      <c r="P12707"/>
      <c r="Q12707"/>
      <c r="R12707"/>
      <c r="S12707"/>
    </row>
    <row r="12708" spans="13:19" ht="13.95" customHeight="1">
      <c r="M12708"/>
      <c r="N12708"/>
      <c r="O12708"/>
      <c r="P12708"/>
      <c r="Q12708"/>
      <c r="R12708"/>
      <c r="S12708"/>
    </row>
    <row r="12709" spans="13:19" ht="13.95" customHeight="1">
      <c r="M12709"/>
      <c r="N12709"/>
      <c r="O12709"/>
      <c r="P12709"/>
      <c r="Q12709"/>
      <c r="R12709"/>
      <c r="S12709"/>
    </row>
    <row r="12710" spans="13:19" ht="13.95" customHeight="1">
      <c r="M12710"/>
      <c r="N12710"/>
      <c r="O12710"/>
      <c r="P12710"/>
      <c r="Q12710"/>
      <c r="R12710"/>
      <c r="S12710"/>
    </row>
    <row r="12711" spans="13:19" ht="13.95" customHeight="1">
      <c r="M12711"/>
      <c r="N12711"/>
      <c r="O12711"/>
      <c r="P12711"/>
      <c r="Q12711"/>
      <c r="R12711"/>
      <c r="S12711"/>
    </row>
    <row r="12712" spans="13:19" ht="13.95" customHeight="1">
      <c r="M12712"/>
      <c r="N12712"/>
      <c r="O12712"/>
      <c r="P12712"/>
      <c r="Q12712"/>
      <c r="R12712"/>
      <c r="S12712"/>
    </row>
    <row r="12713" spans="13:19" ht="13.95" customHeight="1">
      <c r="M12713"/>
      <c r="N12713"/>
      <c r="O12713"/>
      <c r="P12713"/>
      <c r="Q12713"/>
      <c r="R12713"/>
      <c r="S12713"/>
    </row>
    <row r="12714" spans="13:19" ht="13.95" customHeight="1">
      <c r="M12714"/>
      <c r="N12714"/>
      <c r="O12714"/>
      <c r="P12714"/>
      <c r="Q12714"/>
      <c r="R12714"/>
      <c r="S12714"/>
    </row>
    <row r="12715" spans="13:19" ht="13.95" customHeight="1">
      <c r="M12715"/>
      <c r="N12715"/>
      <c r="O12715"/>
      <c r="P12715"/>
      <c r="Q12715"/>
      <c r="R12715"/>
      <c r="S12715"/>
    </row>
    <row r="12716" spans="13:19" ht="13.95" customHeight="1">
      <c r="M12716"/>
      <c r="N12716"/>
      <c r="O12716"/>
      <c r="P12716"/>
      <c r="Q12716"/>
      <c r="R12716"/>
      <c r="S12716"/>
    </row>
    <row r="12717" spans="13:19" ht="13.95" customHeight="1">
      <c r="M12717"/>
      <c r="N12717"/>
      <c r="O12717"/>
      <c r="P12717"/>
      <c r="Q12717"/>
      <c r="R12717"/>
      <c r="S12717"/>
    </row>
    <row r="12718" spans="13:19" ht="13.95" customHeight="1">
      <c r="M12718"/>
      <c r="N12718"/>
      <c r="O12718"/>
      <c r="P12718"/>
      <c r="Q12718"/>
      <c r="R12718"/>
      <c r="S12718"/>
    </row>
    <row r="12719" spans="13:19" ht="13.95" customHeight="1">
      <c r="M12719"/>
      <c r="N12719"/>
      <c r="O12719"/>
      <c r="P12719"/>
      <c r="Q12719"/>
      <c r="R12719"/>
      <c r="S12719"/>
    </row>
    <row r="12720" spans="13:19" ht="13.95" customHeight="1">
      <c r="M12720"/>
      <c r="N12720"/>
      <c r="O12720"/>
      <c r="P12720"/>
      <c r="Q12720"/>
      <c r="R12720"/>
      <c r="S12720"/>
    </row>
    <row r="12721" spans="13:19" ht="13.95" customHeight="1">
      <c r="M12721"/>
      <c r="N12721"/>
      <c r="O12721"/>
      <c r="P12721"/>
      <c r="Q12721"/>
      <c r="R12721"/>
      <c r="S12721"/>
    </row>
    <row r="12722" spans="13:19" ht="13.95" customHeight="1">
      <c r="M12722"/>
      <c r="N12722"/>
      <c r="O12722"/>
      <c r="P12722"/>
      <c r="Q12722"/>
      <c r="R12722"/>
      <c r="S12722"/>
    </row>
    <row r="12723" spans="13:19" ht="13.95" customHeight="1">
      <c r="M12723"/>
      <c r="N12723"/>
      <c r="O12723"/>
      <c r="P12723"/>
      <c r="Q12723"/>
      <c r="R12723"/>
      <c r="S12723"/>
    </row>
    <row r="12724" spans="13:19" ht="13.95" customHeight="1">
      <c r="M12724"/>
      <c r="N12724"/>
      <c r="O12724"/>
      <c r="P12724"/>
      <c r="Q12724"/>
      <c r="R12724"/>
      <c r="S12724"/>
    </row>
    <row r="12725" spans="13:19" ht="13.95" customHeight="1">
      <c r="M12725"/>
      <c r="N12725"/>
      <c r="O12725"/>
      <c r="P12725"/>
      <c r="Q12725"/>
      <c r="R12725"/>
      <c r="S12725"/>
    </row>
    <row r="12726" spans="13:19" ht="13.95" customHeight="1">
      <c r="M12726"/>
      <c r="N12726"/>
      <c r="O12726"/>
      <c r="P12726"/>
      <c r="Q12726"/>
      <c r="R12726"/>
      <c r="S12726"/>
    </row>
    <row r="12727" spans="13:19" ht="13.95" customHeight="1">
      <c r="M12727"/>
      <c r="N12727"/>
      <c r="O12727"/>
      <c r="P12727"/>
      <c r="Q12727"/>
      <c r="R12727"/>
      <c r="S12727"/>
    </row>
    <row r="12728" spans="13:19" ht="13.95" customHeight="1">
      <c r="M12728"/>
      <c r="N12728"/>
      <c r="O12728"/>
      <c r="P12728"/>
      <c r="Q12728"/>
      <c r="R12728"/>
      <c r="S12728"/>
    </row>
    <row r="12729" spans="13:19" ht="13.95" customHeight="1">
      <c r="M12729"/>
      <c r="N12729"/>
      <c r="O12729"/>
      <c r="P12729"/>
      <c r="Q12729"/>
      <c r="R12729"/>
      <c r="S12729"/>
    </row>
    <row r="12730" spans="13:19" ht="13.95" customHeight="1">
      <c r="M12730"/>
      <c r="N12730"/>
      <c r="O12730"/>
      <c r="P12730"/>
      <c r="Q12730"/>
      <c r="R12730"/>
      <c r="S12730"/>
    </row>
    <row r="12731" spans="13:19" ht="13.95" customHeight="1">
      <c r="M12731"/>
      <c r="N12731"/>
      <c r="O12731"/>
      <c r="P12731"/>
      <c r="Q12731"/>
      <c r="R12731"/>
      <c r="S12731"/>
    </row>
    <row r="12732" spans="13:19" ht="13.95" customHeight="1">
      <c r="M12732"/>
      <c r="N12732"/>
      <c r="O12732"/>
      <c r="P12732"/>
      <c r="Q12732"/>
      <c r="R12732"/>
      <c r="S12732"/>
    </row>
    <row r="12733" spans="13:19" ht="13.95" customHeight="1">
      <c r="M12733"/>
      <c r="N12733"/>
      <c r="O12733"/>
      <c r="P12733"/>
      <c r="Q12733"/>
      <c r="R12733"/>
      <c r="S12733"/>
    </row>
    <row r="12734" spans="13:19" ht="13.95" customHeight="1">
      <c r="M12734"/>
      <c r="N12734"/>
      <c r="O12734"/>
      <c r="P12734"/>
      <c r="Q12734"/>
      <c r="R12734"/>
      <c r="S12734"/>
    </row>
    <row r="12735" spans="13:19" ht="13.95" customHeight="1">
      <c r="M12735"/>
      <c r="N12735"/>
      <c r="O12735"/>
      <c r="P12735"/>
      <c r="Q12735"/>
      <c r="R12735"/>
      <c r="S12735"/>
    </row>
    <row r="12736" spans="13:19" ht="13.95" customHeight="1">
      <c r="M12736"/>
      <c r="N12736"/>
      <c r="O12736"/>
      <c r="P12736"/>
      <c r="Q12736"/>
      <c r="R12736"/>
      <c r="S12736"/>
    </row>
    <row r="12737" spans="13:19" ht="13.95" customHeight="1">
      <c r="M12737"/>
      <c r="N12737"/>
      <c r="O12737"/>
      <c r="P12737"/>
      <c r="Q12737"/>
      <c r="R12737"/>
      <c r="S12737"/>
    </row>
    <row r="12738" spans="13:19" ht="13.95" customHeight="1">
      <c r="M12738"/>
      <c r="N12738"/>
      <c r="O12738"/>
      <c r="P12738"/>
      <c r="Q12738"/>
      <c r="R12738"/>
      <c r="S12738"/>
    </row>
    <row r="12739" spans="13:19" ht="13.95" customHeight="1">
      <c r="M12739"/>
      <c r="N12739"/>
      <c r="O12739"/>
      <c r="P12739"/>
      <c r="Q12739"/>
      <c r="R12739"/>
      <c r="S12739"/>
    </row>
    <row r="12740" spans="13:19" ht="13.95" customHeight="1">
      <c r="M12740"/>
      <c r="N12740"/>
      <c r="O12740"/>
      <c r="P12740"/>
      <c r="Q12740"/>
      <c r="R12740"/>
      <c r="S12740"/>
    </row>
    <row r="12741" spans="13:19" ht="13.95" customHeight="1">
      <c r="M12741"/>
      <c r="N12741"/>
      <c r="O12741"/>
      <c r="P12741"/>
      <c r="Q12741"/>
      <c r="R12741"/>
      <c r="S12741"/>
    </row>
    <row r="12742" spans="13:19" ht="13.95" customHeight="1">
      <c r="M12742"/>
      <c r="N12742"/>
      <c r="O12742"/>
      <c r="P12742"/>
      <c r="Q12742"/>
      <c r="R12742"/>
      <c r="S12742"/>
    </row>
    <row r="12743" spans="13:19" ht="13.95" customHeight="1">
      <c r="M12743"/>
      <c r="N12743"/>
      <c r="O12743"/>
      <c r="P12743"/>
      <c r="Q12743"/>
      <c r="R12743"/>
      <c r="S12743"/>
    </row>
    <row r="12744" spans="13:19" ht="13.95" customHeight="1">
      <c r="M12744"/>
      <c r="N12744"/>
      <c r="O12744"/>
      <c r="P12744"/>
      <c r="Q12744"/>
      <c r="R12744"/>
      <c r="S12744"/>
    </row>
    <row r="12745" spans="13:19" ht="13.95" customHeight="1">
      <c r="M12745"/>
      <c r="N12745"/>
      <c r="O12745"/>
      <c r="P12745"/>
      <c r="Q12745"/>
      <c r="R12745"/>
      <c r="S12745"/>
    </row>
    <row r="12746" spans="13:19" ht="13.95" customHeight="1">
      <c r="M12746"/>
      <c r="N12746"/>
      <c r="O12746"/>
      <c r="P12746"/>
      <c r="Q12746"/>
      <c r="R12746"/>
      <c r="S12746"/>
    </row>
    <row r="12747" spans="13:19" ht="13.95" customHeight="1">
      <c r="M12747"/>
      <c r="N12747"/>
      <c r="O12747"/>
      <c r="P12747"/>
      <c r="Q12747"/>
      <c r="R12747"/>
      <c r="S12747"/>
    </row>
    <row r="12748" spans="13:19" ht="13.95" customHeight="1">
      <c r="M12748"/>
      <c r="N12748"/>
      <c r="O12748"/>
      <c r="P12748"/>
      <c r="Q12748"/>
      <c r="R12748"/>
      <c r="S12748"/>
    </row>
    <row r="12749" spans="13:19" ht="13.95" customHeight="1">
      <c r="M12749"/>
      <c r="N12749"/>
      <c r="O12749"/>
      <c r="P12749"/>
      <c r="Q12749"/>
      <c r="R12749"/>
      <c r="S12749"/>
    </row>
    <row r="12750" spans="13:19" ht="13.95" customHeight="1">
      <c r="M12750"/>
      <c r="N12750"/>
      <c r="O12750"/>
      <c r="P12750"/>
      <c r="Q12750"/>
      <c r="R12750"/>
      <c r="S12750"/>
    </row>
    <row r="12751" spans="13:19" ht="13.95" customHeight="1">
      <c r="M12751"/>
      <c r="N12751"/>
      <c r="O12751"/>
      <c r="P12751"/>
      <c r="Q12751"/>
      <c r="R12751"/>
      <c r="S12751"/>
    </row>
    <row r="12752" spans="13:19" ht="13.95" customHeight="1">
      <c r="M12752"/>
      <c r="N12752"/>
      <c r="O12752"/>
      <c r="P12752"/>
      <c r="Q12752"/>
      <c r="R12752"/>
      <c r="S12752"/>
    </row>
    <row r="12753" spans="13:19" ht="13.95" customHeight="1">
      <c r="M12753"/>
      <c r="N12753"/>
      <c r="O12753"/>
      <c r="P12753"/>
      <c r="Q12753"/>
      <c r="R12753"/>
      <c r="S12753"/>
    </row>
    <row r="12754" spans="13:19" ht="13.95" customHeight="1">
      <c r="M12754"/>
      <c r="N12754"/>
      <c r="O12754"/>
      <c r="P12754"/>
      <c r="Q12754"/>
      <c r="R12754"/>
      <c r="S12754"/>
    </row>
    <row r="12755" spans="13:19" ht="13.95" customHeight="1">
      <c r="M12755"/>
      <c r="N12755"/>
      <c r="O12755"/>
      <c r="P12755"/>
      <c r="Q12755"/>
      <c r="R12755"/>
      <c r="S12755"/>
    </row>
    <row r="12756" spans="13:19" ht="13.95" customHeight="1">
      <c r="M12756"/>
      <c r="N12756"/>
      <c r="O12756"/>
      <c r="P12756"/>
      <c r="Q12756"/>
      <c r="R12756"/>
      <c r="S12756"/>
    </row>
    <row r="12757" spans="13:19" ht="13.95" customHeight="1">
      <c r="M12757"/>
      <c r="N12757"/>
      <c r="O12757"/>
      <c r="P12757"/>
      <c r="Q12757"/>
      <c r="R12757"/>
      <c r="S12757"/>
    </row>
    <row r="12758" spans="13:19" ht="13.95" customHeight="1">
      <c r="M12758"/>
      <c r="N12758"/>
      <c r="O12758"/>
      <c r="P12758"/>
      <c r="Q12758"/>
      <c r="R12758"/>
      <c r="S12758"/>
    </row>
    <row r="12759" spans="13:19" ht="13.95" customHeight="1">
      <c r="M12759"/>
      <c r="N12759"/>
      <c r="O12759"/>
      <c r="P12759"/>
      <c r="Q12759"/>
      <c r="R12759"/>
      <c r="S12759"/>
    </row>
    <row r="12760" spans="13:19" ht="13.95" customHeight="1">
      <c r="M12760"/>
      <c r="N12760"/>
      <c r="O12760"/>
      <c r="P12760"/>
      <c r="Q12760"/>
      <c r="R12760"/>
      <c r="S12760"/>
    </row>
    <row r="12761" spans="13:19" ht="13.95" customHeight="1">
      <c r="M12761"/>
      <c r="N12761"/>
      <c r="O12761"/>
      <c r="P12761"/>
      <c r="Q12761"/>
      <c r="R12761"/>
      <c r="S12761"/>
    </row>
    <row r="12762" spans="13:19" ht="13.95" customHeight="1">
      <c r="M12762"/>
      <c r="N12762"/>
      <c r="O12762"/>
      <c r="P12762"/>
      <c r="Q12762"/>
      <c r="R12762"/>
      <c r="S12762"/>
    </row>
    <row r="12763" spans="13:19" ht="13.95" customHeight="1">
      <c r="M12763"/>
      <c r="N12763"/>
      <c r="O12763"/>
      <c r="P12763"/>
      <c r="Q12763"/>
      <c r="R12763"/>
      <c r="S12763"/>
    </row>
    <row r="12764" spans="13:19" ht="13.95" customHeight="1">
      <c r="M12764"/>
      <c r="N12764"/>
      <c r="O12764"/>
      <c r="P12764"/>
      <c r="Q12764"/>
      <c r="R12764"/>
      <c r="S12764"/>
    </row>
    <row r="12765" spans="13:19" ht="13.95" customHeight="1">
      <c r="M12765"/>
      <c r="N12765"/>
      <c r="O12765"/>
      <c r="P12765"/>
      <c r="Q12765"/>
      <c r="R12765"/>
      <c r="S12765"/>
    </row>
    <row r="12766" spans="13:19" ht="13.95" customHeight="1">
      <c r="M12766"/>
      <c r="N12766"/>
      <c r="O12766"/>
      <c r="P12766"/>
      <c r="Q12766"/>
      <c r="R12766"/>
      <c r="S12766"/>
    </row>
    <row r="12767" spans="13:19" ht="13.95" customHeight="1">
      <c r="M12767"/>
      <c r="N12767"/>
      <c r="O12767"/>
      <c r="P12767"/>
      <c r="Q12767"/>
      <c r="R12767"/>
      <c r="S12767"/>
    </row>
    <row r="12768" spans="13:19" ht="13.95" customHeight="1">
      <c r="M12768"/>
      <c r="N12768"/>
      <c r="O12768"/>
      <c r="P12768"/>
      <c r="Q12768"/>
      <c r="R12768"/>
      <c r="S12768"/>
    </row>
    <row r="12769" spans="13:19" ht="13.95" customHeight="1">
      <c r="M12769"/>
      <c r="N12769"/>
      <c r="O12769"/>
      <c r="P12769"/>
      <c r="Q12769"/>
      <c r="R12769"/>
      <c r="S12769"/>
    </row>
    <row r="12770" spans="13:19" ht="13.95" customHeight="1">
      <c r="M12770"/>
      <c r="N12770"/>
      <c r="O12770"/>
      <c r="P12770"/>
      <c r="Q12770"/>
      <c r="R12770"/>
      <c r="S12770"/>
    </row>
    <row r="12771" spans="13:19" ht="13.95" customHeight="1">
      <c r="M12771"/>
      <c r="N12771"/>
      <c r="O12771"/>
      <c r="P12771"/>
      <c r="Q12771"/>
      <c r="R12771"/>
      <c r="S12771"/>
    </row>
    <row r="12772" spans="13:19" ht="13.95" customHeight="1">
      <c r="M12772"/>
      <c r="N12772"/>
      <c r="O12772"/>
      <c r="P12772"/>
      <c r="Q12772"/>
      <c r="R12772"/>
      <c r="S12772"/>
    </row>
    <row r="12773" spans="13:19" ht="13.95" customHeight="1">
      <c r="M12773"/>
      <c r="N12773"/>
      <c r="O12773"/>
      <c r="P12773"/>
      <c r="Q12773"/>
      <c r="R12773"/>
      <c r="S12773"/>
    </row>
    <row r="12774" spans="13:19" ht="13.95" customHeight="1">
      <c r="M12774"/>
      <c r="N12774"/>
      <c r="O12774"/>
      <c r="P12774"/>
      <c r="Q12774"/>
      <c r="R12774"/>
      <c r="S12774"/>
    </row>
    <row r="12775" spans="13:19" ht="13.95" customHeight="1">
      <c r="M12775"/>
      <c r="N12775"/>
      <c r="O12775"/>
      <c r="P12775"/>
      <c r="Q12775"/>
      <c r="R12775"/>
      <c r="S12775"/>
    </row>
    <row r="12776" spans="13:19" ht="13.95" customHeight="1">
      <c r="M12776"/>
      <c r="N12776"/>
      <c r="O12776"/>
      <c r="P12776"/>
      <c r="Q12776"/>
      <c r="R12776"/>
      <c r="S12776"/>
    </row>
    <row r="12777" spans="13:19" ht="13.95" customHeight="1">
      <c r="M12777"/>
      <c r="N12777"/>
      <c r="O12777"/>
      <c r="P12777"/>
      <c r="Q12777"/>
      <c r="R12777"/>
      <c r="S12777"/>
    </row>
    <row r="12778" spans="13:19" ht="13.95" customHeight="1">
      <c r="M12778"/>
      <c r="N12778"/>
      <c r="O12778"/>
      <c r="P12778"/>
      <c r="Q12778"/>
      <c r="R12778"/>
      <c r="S12778"/>
    </row>
    <row r="12779" spans="13:19" ht="13.95" customHeight="1">
      <c r="M12779"/>
      <c r="N12779"/>
      <c r="O12779"/>
      <c r="P12779"/>
      <c r="Q12779"/>
      <c r="R12779"/>
      <c r="S12779"/>
    </row>
    <row r="12780" spans="13:19" ht="13.95" customHeight="1">
      <c r="M12780"/>
      <c r="N12780"/>
      <c r="O12780"/>
      <c r="P12780"/>
      <c r="Q12780"/>
      <c r="R12780"/>
      <c r="S12780"/>
    </row>
    <row r="12781" spans="13:19" ht="13.95" customHeight="1">
      <c r="M12781"/>
      <c r="N12781"/>
      <c r="O12781"/>
      <c r="P12781"/>
      <c r="Q12781"/>
      <c r="R12781"/>
      <c r="S12781"/>
    </row>
    <row r="12782" spans="13:19" ht="13.95" customHeight="1">
      <c r="M12782"/>
      <c r="N12782"/>
      <c r="O12782"/>
      <c r="P12782"/>
      <c r="Q12782"/>
      <c r="R12782"/>
      <c r="S12782"/>
    </row>
    <row r="12783" spans="13:19" ht="13.95" customHeight="1">
      <c r="M12783"/>
      <c r="N12783"/>
      <c r="O12783"/>
      <c r="P12783"/>
      <c r="Q12783"/>
      <c r="R12783"/>
      <c r="S12783"/>
    </row>
    <row r="12784" spans="13:19" ht="13.95" customHeight="1">
      <c r="M12784"/>
      <c r="N12784"/>
      <c r="O12784"/>
      <c r="P12784"/>
      <c r="Q12784"/>
      <c r="R12784"/>
      <c r="S12784"/>
    </row>
    <row r="12785" spans="13:19" ht="13.95" customHeight="1">
      <c r="M12785"/>
      <c r="N12785"/>
      <c r="O12785"/>
      <c r="P12785"/>
      <c r="Q12785"/>
      <c r="R12785"/>
      <c r="S12785"/>
    </row>
    <row r="12786" spans="13:19" ht="13.95" customHeight="1">
      <c r="M12786"/>
      <c r="N12786"/>
      <c r="O12786"/>
      <c r="P12786"/>
      <c r="Q12786"/>
      <c r="R12786"/>
      <c r="S12786"/>
    </row>
    <row r="12787" spans="13:19" ht="13.95" customHeight="1">
      <c r="M12787"/>
      <c r="N12787"/>
      <c r="O12787"/>
      <c r="P12787"/>
      <c r="Q12787"/>
      <c r="R12787"/>
      <c r="S12787"/>
    </row>
    <row r="12788" spans="13:19" ht="13.95" customHeight="1">
      <c r="M12788"/>
      <c r="N12788"/>
      <c r="O12788"/>
      <c r="P12788"/>
      <c r="Q12788"/>
      <c r="R12788"/>
      <c r="S12788"/>
    </row>
    <row r="12789" spans="13:19" ht="13.95" customHeight="1">
      <c r="M12789"/>
      <c r="N12789"/>
      <c r="O12789"/>
      <c r="P12789"/>
      <c r="Q12789"/>
      <c r="R12789"/>
      <c r="S12789"/>
    </row>
    <row r="12790" spans="13:19" ht="13.95" customHeight="1">
      <c r="M12790"/>
      <c r="N12790"/>
      <c r="O12790"/>
      <c r="P12790"/>
      <c r="Q12790"/>
      <c r="R12790"/>
      <c r="S12790"/>
    </row>
    <row r="12791" spans="13:19" ht="13.95" customHeight="1">
      <c r="M12791"/>
      <c r="N12791"/>
      <c r="O12791"/>
      <c r="P12791"/>
      <c r="Q12791"/>
      <c r="R12791"/>
      <c r="S12791"/>
    </row>
    <row r="12792" spans="13:19" ht="13.95" customHeight="1">
      <c r="M12792"/>
      <c r="N12792"/>
      <c r="O12792"/>
      <c r="P12792"/>
      <c r="Q12792"/>
      <c r="R12792"/>
      <c r="S12792"/>
    </row>
    <row r="12793" spans="13:19" ht="13.95" customHeight="1">
      <c r="M12793"/>
      <c r="N12793"/>
      <c r="O12793"/>
      <c r="P12793"/>
      <c r="Q12793"/>
      <c r="R12793"/>
      <c r="S12793"/>
    </row>
    <row r="12794" spans="13:19" ht="13.95" customHeight="1">
      <c r="M12794"/>
      <c r="N12794"/>
      <c r="O12794"/>
      <c r="P12794"/>
      <c r="Q12794"/>
      <c r="R12794"/>
      <c r="S12794"/>
    </row>
    <row r="12795" spans="13:19" ht="13.95" customHeight="1">
      <c r="M12795"/>
      <c r="N12795"/>
      <c r="O12795"/>
      <c r="P12795"/>
      <c r="Q12795"/>
      <c r="R12795"/>
      <c r="S12795"/>
    </row>
    <row r="12796" spans="13:19" ht="13.95" customHeight="1">
      <c r="M12796"/>
      <c r="N12796"/>
      <c r="O12796"/>
      <c r="P12796"/>
      <c r="Q12796"/>
      <c r="R12796"/>
      <c r="S12796"/>
    </row>
    <row r="12797" spans="13:19" ht="13.95" customHeight="1">
      <c r="M12797"/>
      <c r="N12797"/>
      <c r="O12797"/>
      <c r="P12797"/>
      <c r="Q12797"/>
      <c r="R12797"/>
      <c r="S12797"/>
    </row>
    <row r="12798" spans="13:19" ht="13.95" customHeight="1">
      <c r="M12798"/>
      <c r="N12798"/>
      <c r="O12798"/>
      <c r="P12798"/>
      <c r="Q12798"/>
      <c r="R12798"/>
      <c r="S12798"/>
    </row>
    <row r="12799" spans="13:19" ht="13.95" customHeight="1">
      <c r="M12799"/>
      <c r="N12799"/>
      <c r="O12799"/>
      <c r="P12799"/>
      <c r="Q12799"/>
      <c r="R12799"/>
      <c r="S12799"/>
    </row>
    <row r="12800" spans="13:19" ht="13.95" customHeight="1">
      <c r="M12800"/>
      <c r="N12800"/>
      <c r="O12800"/>
      <c r="P12800"/>
      <c r="Q12800"/>
      <c r="R12800"/>
      <c r="S12800"/>
    </row>
    <row r="12801" spans="13:19" ht="13.95" customHeight="1">
      <c r="M12801"/>
      <c r="N12801"/>
      <c r="O12801"/>
      <c r="P12801"/>
      <c r="Q12801"/>
      <c r="R12801"/>
      <c r="S12801"/>
    </row>
    <row r="12802" spans="13:19" ht="13.95" customHeight="1">
      <c r="M12802"/>
      <c r="N12802"/>
      <c r="O12802"/>
      <c r="P12802"/>
      <c r="Q12802"/>
      <c r="R12802"/>
      <c r="S12802"/>
    </row>
    <row r="12803" spans="13:19" ht="13.95" customHeight="1">
      <c r="M12803"/>
      <c r="N12803"/>
      <c r="O12803"/>
      <c r="P12803"/>
      <c r="Q12803"/>
      <c r="R12803"/>
      <c r="S12803"/>
    </row>
    <row r="12804" spans="13:19" ht="13.95" customHeight="1">
      <c r="M12804"/>
      <c r="N12804"/>
      <c r="O12804"/>
      <c r="P12804"/>
      <c r="Q12804"/>
      <c r="R12804"/>
      <c r="S12804"/>
    </row>
    <row r="12805" spans="13:19" ht="13.95" customHeight="1">
      <c r="M12805"/>
      <c r="N12805"/>
      <c r="O12805"/>
      <c r="P12805"/>
      <c r="Q12805"/>
      <c r="R12805"/>
      <c r="S12805"/>
    </row>
    <row r="12806" spans="13:19" ht="13.95" customHeight="1">
      <c r="M12806"/>
      <c r="N12806"/>
      <c r="O12806"/>
      <c r="P12806"/>
      <c r="Q12806"/>
      <c r="R12806"/>
      <c r="S12806"/>
    </row>
    <row r="12807" spans="13:19" ht="13.95" customHeight="1">
      <c r="M12807"/>
      <c r="N12807"/>
      <c r="O12807"/>
      <c r="P12807"/>
      <c r="Q12807"/>
      <c r="R12807"/>
      <c r="S12807"/>
    </row>
    <row r="12808" spans="13:19" ht="13.95" customHeight="1">
      <c r="M12808"/>
      <c r="N12808"/>
      <c r="O12808"/>
      <c r="P12808"/>
      <c r="Q12808"/>
      <c r="R12808"/>
      <c r="S12808"/>
    </row>
    <row r="12809" spans="13:19" ht="13.95" customHeight="1">
      <c r="M12809"/>
      <c r="N12809"/>
      <c r="O12809"/>
      <c r="P12809"/>
      <c r="Q12809"/>
      <c r="R12809"/>
      <c r="S12809"/>
    </row>
    <row r="12810" spans="13:19" ht="13.95" customHeight="1">
      <c r="M12810"/>
      <c r="N12810"/>
      <c r="O12810"/>
      <c r="P12810"/>
      <c r="Q12810"/>
      <c r="R12810"/>
      <c r="S12810"/>
    </row>
    <row r="12811" spans="13:19" ht="13.95" customHeight="1">
      <c r="M12811"/>
      <c r="N12811"/>
      <c r="O12811"/>
      <c r="P12811"/>
      <c r="Q12811"/>
      <c r="R12811"/>
      <c r="S12811"/>
    </row>
    <row r="12812" spans="13:19" ht="13.95" customHeight="1">
      <c r="M12812"/>
      <c r="N12812"/>
      <c r="O12812"/>
      <c r="P12812"/>
      <c r="Q12812"/>
      <c r="R12812"/>
      <c r="S12812"/>
    </row>
    <row r="12813" spans="13:19" ht="13.95" customHeight="1">
      <c r="M12813"/>
      <c r="N12813"/>
      <c r="O12813"/>
      <c r="P12813"/>
      <c r="Q12813"/>
      <c r="R12813"/>
      <c r="S12813"/>
    </row>
    <row r="12814" spans="13:19" ht="13.95" customHeight="1">
      <c r="M12814"/>
      <c r="N12814"/>
      <c r="O12814"/>
      <c r="P12814"/>
      <c r="Q12814"/>
      <c r="R12814"/>
      <c r="S12814"/>
    </row>
    <row r="12815" spans="13:19" ht="13.95" customHeight="1">
      <c r="M12815"/>
      <c r="N12815"/>
      <c r="O12815"/>
      <c r="P12815"/>
      <c r="Q12815"/>
      <c r="R12815"/>
      <c r="S12815"/>
    </row>
    <row r="12816" spans="13:19" ht="13.95" customHeight="1">
      <c r="M12816"/>
      <c r="N12816"/>
      <c r="O12816"/>
      <c r="P12816"/>
      <c r="Q12816"/>
      <c r="R12816"/>
      <c r="S12816"/>
    </row>
    <row r="12817" spans="13:19" ht="13.95" customHeight="1">
      <c r="M12817"/>
      <c r="N12817"/>
      <c r="O12817"/>
      <c r="P12817"/>
      <c r="Q12817"/>
      <c r="R12817"/>
      <c r="S12817"/>
    </row>
    <row r="12818" spans="13:19" ht="13.95" customHeight="1">
      <c r="M12818"/>
      <c r="N12818"/>
      <c r="O12818"/>
      <c r="P12818"/>
      <c r="Q12818"/>
      <c r="R12818"/>
      <c r="S12818"/>
    </row>
    <row r="12819" spans="13:19" ht="13.95" customHeight="1">
      <c r="M12819"/>
      <c r="N12819"/>
      <c r="O12819"/>
      <c r="P12819"/>
      <c r="Q12819"/>
      <c r="R12819"/>
      <c r="S12819"/>
    </row>
    <row r="12820" spans="13:19" ht="13.95" customHeight="1">
      <c r="M12820"/>
      <c r="N12820"/>
      <c r="O12820"/>
      <c r="P12820"/>
      <c r="Q12820"/>
      <c r="R12820"/>
      <c r="S12820"/>
    </row>
    <row r="12821" spans="13:19" ht="13.95" customHeight="1">
      <c r="M12821"/>
      <c r="N12821"/>
      <c r="O12821"/>
      <c r="P12821"/>
      <c r="Q12821"/>
      <c r="R12821"/>
      <c r="S12821"/>
    </row>
    <row r="12822" spans="13:19" ht="13.95" customHeight="1">
      <c r="M12822"/>
      <c r="N12822"/>
      <c r="O12822"/>
      <c r="P12822"/>
      <c r="Q12822"/>
      <c r="R12822"/>
      <c r="S12822"/>
    </row>
    <row r="12823" spans="13:19" ht="13.95" customHeight="1">
      <c r="M12823"/>
      <c r="N12823"/>
      <c r="O12823"/>
      <c r="P12823"/>
      <c r="Q12823"/>
      <c r="R12823"/>
      <c r="S12823"/>
    </row>
    <row r="12824" spans="13:19" ht="13.95" customHeight="1">
      <c r="M12824"/>
      <c r="N12824"/>
      <c r="O12824"/>
      <c r="P12824"/>
      <c r="Q12824"/>
      <c r="R12824"/>
      <c r="S12824"/>
    </row>
    <row r="12825" spans="13:19" ht="13.95" customHeight="1">
      <c r="M12825"/>
      <c r="N12825"/>
      <c r="O12825"/>
      <c r="P12825"/>
      <c r="Q12825"/>
      <c r="R12825"/>
      <c r="S12825"/>
    </row>
    <row r="12826" spans="13:19" ht="13.95" customHeight="1">
      <c r="M12826"/>
      <c r="N12826"/>
      <c r="O12826"/>
      <c r="P12826"/>
      <c r="Q12826"/>
      <c r="R12826"/>
      <c r="S12826"/>
    </row>
    <row r="12827" spans="13:19" ht="13.95" customHeight="1">
      <c r="M12827"/>
      <c r="N12827"/>
      <c r="O12827"/>
      <c r="P12827"/>
      <c r="Q12827"/>
      <c r="R12827"/>
      <c r="S12827"/>
    </row>
    <row r="12828" spans="13:19" ht="13.95" customHeight="1">
      <c r="M12828"/>
      <c r="N12828"/>
      <c r="O12828"/>
      <c r="P12828"/>
      <c r="Q12828"/>
      <c r="R12828"/>
      <c r="S12828"/>
    </row>
    <row r="12829" spans="13:19" ht="13.95" customHeight="1">
      <c r="M12829"/>
      <c r="N12829"/>
      <c r="O12829"/>
      <c r="P12829"/>
      <c r="Q12829"/>
      <c r="R12829"/>
      <c r="S12829"/>
    </row>
    <row r="12830" spans="13:19" ht="13.95" customHeight="1">
      <c r="M12830"/>
      <c r="N12830"/>
      <c r="O12830"/>
      <c r="P12830"/>
      <c r="Q12830"/>
      <c r="R12830"/>
      <c r="S12830"/>
    </row>
    <row r="12831" spans="13:19" ht="13.95" customHeight="1">
      <c r="M12831"/>
      <c r="N12831"/>
      <c r="O12831"/>
      <c r="P12831"/>
      <c r="Q12831"/>
      <c r="R12831"/>
      <c r="S12831"/>
    </row>
    <row r="12832" spans="13:19" ht="13.95" customHeight="1">
      <c r="M12832"/>
      <c r="N12832"/>
      <c r="O12832"/>
      <c r="P12832"/>
      <c r="Q12832"/>
      <c r="R12832"/>
      <c r="S12832"/>
    </row>
    <row r="12833" spans="13:19" ht="13.95" customHeight="1">
      <c r="M12833"/>
      <c r="N12833"/>
      <c r="O12833"/>
      <c r="P12833"/>
      <c r="Q12833"/>
      <c r="R12833"/>
      <c r="S12833"/>
    </row>
    <row r="12834" spans="13:19" ht="13.95" customHeight="1">
      <c r="M12834"/>
      <c r="N12834"/>
      <c r="O12834"/>
      <c r="P12834"/>
      <c r="Q12834"/>
      <c r="R12834"/>
      <c r="S12834"/>
    </row>
    <row r="12835" spans="13:19" ht="13.95" customHeight="1">
      <c r="M12835"/>
      <c r="N12835"/>
      <c r="O12835"/>
      <c r="P12835"/>
      <c r="Q12835"/>
      <c r="R12835"/>
      <c r="S12835"/>
    </row>
    <row r="12836" spans="13:19" ht="13.95" customHeight="1">
      <c r="M12836"/>
      <c r="N12836"/>
      <c r="O12836"/>
      <c r="P12836"/>
      <c r="Q12836"/>
      <c r="R12836"/>
      <c r="S12836"/>
    </row>
    <row r="12837" spans="13:19" ht="13.95" customHeight="1">
      <c r="M12837"/>
      <c r="N12837"/>
      <c r="O12837"/>
      <c r="P12837"/>
      <c r="Q12837"/>
      <c r="R12837"/>
      <c r="S12837"/>
    </row>
    <row r="12838" spans="13:19" ht="13.95" customHeight="1">
      <c r="M12838"/>
      <c r="N12838"/>
      <c r="O12838"/>
      <c r="P12838"/>
      <c r="Q12838"/>
      <c r="R12838"/>
      <c r="S12838"/>
    </row>
    <row r="12839" spans="13:19" ht="13.95" customHeight="1">
      <c r="M12839"/>
      <c r="N12839"/>
      <c r="O12839"/>
      <c r="P12839"/>
      <c r="Q12839"/>
      <c r="R12839"/>
      <c r="S12839"/>
    </row>
    <row r="12840" spans="13:19" ht="13.95" customHeight="1">
      <c r="M12840"/>
      <c r="N12840"/>
      <c r="O12840"/>
      <c r="P12840"/>
      <c r="Q12840"/>
      <c r="R12840"/>
      <c r="S12840"/>
    </row>
    <row r="12841" spans="13:19" ht="13.95" customHeight="1">
      <c r="M12841"/>
      <c r="N12841"/>
      <c r="O12841"/>
      <c r="P12841"/>
      <c r="Q12841"/>
      <c r="R12841"/>
      <c r="S12841"/>
    </row>
    <row r="12842" spans="13:19" ht="13.95" customHeight="1">
      <c r="M12842"/>
      <c r="N12842"/>
      <c r="O12842"/>
      <c r="P12842"/>
      <c r="Q12842"/>
      <c r="R12842"/>
      <c r="S12842"/>
    </row>
    <row r="12843" spans="13:19" ht="13.95" customHeight="1">
      <c r="M12843"/>
      <c r="N12843"/>
      <c r="O12843"/>
      <c r="P12843"/>
      <c r="Q12843"/>
      <c r="R12843"/>
      <c r="S12843"/>
    </row>
    <row r="12844" spans="13:19" ht="13.95" customHeight="1">
      <c r="M12844"/>
      <c r="N12844"/>
      <c r="O12844"/>
      <c r="P12844"/>
      <c r="Q12844"/>
      <c r="R12844"/>
      <c r="S12844"/>
    </row>
    <row r="12845" spans="13:19" ht="13.95" customHeight="1">
      <c r="M12845"/>
      <c r="N12845"/>
      <c r="O12845"/>
      <c r="P12845"/>
      <c r="Q12845"/>
      <c r="R12845"/>
      <c r="S12845"/>
    </row>
    <row r="12846" spans="13:19" ht="13.95" customHeight="1">
      <c r="M12846"/>
      <c r="N12846"/>
      <c r="O12846"/>
      <c r="P12846"/>
      <c r="Q12846"/>
      <c r="R12846"/>
      <c r="S12846"/>
    </row>
    <row r="12847" spans="13:19" ht="13.95" customHeight="1">
      <c r="M12847"/>
      <c r="N12847"/>
      <c r="O12847"/>
      <c r="P12847"/>
      <c r="Q12847"/>
      <c r="R12847"/>
      <c r="S12847"/>
    </row>
    <row r="12848" spans="13:19" ht="13.95" customHeight="1">
      <c r="M12848"/>
      <c r="N12848"/>
      <c r="O12848"/>
      <c r="P12848"/>
      <c r="Q12848"/>
      <c r="R12848"/>
      <c r="S12848"/>
    </row>
    <row r="12849" spans="13:19" ht="13.95" customHeight="1">
      <c r="M12849"/>
      <c r="N12849"/>
      <c r="O12849"/>
      <c r="P12849"/>
      <c r="Q12849"/>
      <c r="R12849"/>
      <c r="S12849"/>
    </row>
    <row r="12850" spans="13:19" ht="13.95" customHeight="1">
      <c r="M12850"/>
      <c r="N12850"/>
      <c r="O12850"/>
      <c r="P12850"/>
      <c r="Q12850"/>
      <c r="R12850"/>
      <c r="S12850"/>
    </row>
    <row r="12851" spans="13:19" ht="13.95" customHeight="1">
      <c r="M12851"/>
      <c r="N12851"/>
      <c r="O12851"/>
      <c r="P12851"/>
      <c r="Q12851"/>
      <c r="R12851"/>
      <c r="S12851"/>
    </row>
    <row r="12852" spans="13:19" ht="13.95" customHeight="1">
      <c r="M12852"/>
      <c r="N12852"/>
      <c r="O12852"/>
      <c r="P12852"/>
      <c r="Q12852"/>
      <c r="R12852"/>
      <c r="S12852"/>
    </row>
    <row r="12853" spans="13:19" ht="13.95" customHeight="1">
      <c r="M12853"/>
      <c r="N12853"/>
      <c r="O12853"/>
      <c r="P12853"/>
      <c r="Q12853"/>
      <c r="R12853"/>
      <c r="S12853"/>
    </row>
    <row r="12854" spans="13:19" ht="13.95" customHeight="1">
      <c r="M12854"/>
      <c r="N12854"/>
      <c r="O12854"/>
      <c r="P12854"/>
      <c r="Q12854"/>
      <c r="R12854"/>
      <c r="S12854"/>
    </row>
    <row r="12855" spans="13:19" ht="13.95" customHeight="1">
      <c r="M12855"/>
      <c r="N12855"/>
      <c r="O12855"/>
      <c r="P12855"/>
      <c r="Q12855"/>
      <c r="R12855"/>
      <c r="S12855"/>
    </row>
    <row r="12856" spans="13:19" ht="13.95" customHeight="1">
      <c r="M12856"/>
      <c r="N12856"/>
      <c r="O12856"/>
      <c r="P12856"/>
      <c r="Q12856"/>
      <c r="R12856"/>
      <c r="S12856"/>
    </row>
    <row r="12857" spans="13:19" ht="13.95" customHeight="1">
      <c r="M12857"/>
      <c r="N12857"/>
      <c r="O12857"/>
      <c r="P12857"/>
      <c r="Q12857"/>
      <c r="R12857"/>
      <c r="S12857"/>
    </row>
    <row r="12858" spans="13:19" ht="13.95" customHeight="1">
      <c r="M12858"/>
      <c r="N12858"/>
      <c r="O12858"/>
      <c r="P12858"/>
      <c r="Q12858"/>
      <c r="R12858"/>
      <c r="S12858"/>
    </row>
    <row r="12859" spans="13:19" ht="13.95" customHeight="1">
      <c r="M12859"/>
      <c r="N12859"/>
      <c r="O12859"/>
      <c r="P12859"/>
      <c r="Q12859"/>
      <c r="R12859"/>
      <c r="S12859"/>
    </row>
    <row r="12860" spans="13:19" ht="13.95" customHeight="1">
      <c r="M12860"/>
      <c r="N12860"/>
      <c r="O12860"/>
      <c r="P12860"/>
      <c r="Q12860"/>
      <c r="R12860"/>
      <c r="S12860"/>
    </row>
    <row r="12861" spans="13:19" ht="13.95" customHeight="1">
      <c r="M12861"/>
      <c r="N12861"/>
      <c r="O12861"/>
      <c r="P12861"/>
      <c r="Q12861"/>
      <c r="R12861"/>
      <c r="S12861"/>
    </row>
    <row r="12862" spans="13:19" ht="13.95" customHeight="1">
      <c r="M12862"/>
      <c r="N12862"/>
      <c r="O12862"/>
      <c r="P12862"/>
      <c r="Q12862"/>
      <c r="R12862"/>
      <c r="S12862"/>
    </row>
    <row r="12863" spans="13:19" ht="13.95" customHeight="1">
      <c r="M12863"/>
      <c r="N12863"/>
      <c r="O12863"/>
      <c r="P12863"/>
      <c r="Q12863"/>
      <c r="R12863"/>
      <c r="S12863"/>
    </row>
    <row r="12864" spans="13:19" ht="13.95" customHeight="1">
      <c r="M12864"/>
      <c r="N12864"/>
      <c r="O12864"/>
      <c r="P12864"/>
      <c r="Q12864"/>
      <c r="R12864"/>
      <c r="S12864"/>
    </row>
    <row r="12865" spans="13:19" ht="13.95" customHeight="1">
      <c r="M12865"/>
      <c r="N12865"/>
      <c r="O12865"/>
      <c r="P12865"/>
      <c r="Q12865"/>
      <c r="R12865"/>
      <c r="S12865"/>
    </row>
    <row r="12866" spans="13:19" ht="13.95" customHeight="1">
      <c r="M12866"/>
      <c r="N12866"/>
      <c r="O12866"/>
      <c r="P12866"/>
      <c r="Q12866"/>
      <c r="R12866"/>
      <c r="S12866"/>
    </row>
    <row r="12867" spans="13:19" ht="13.95" customHeight="1">
      <c r="M12867"/>
      <c r="N12867"/>
      <c r="O12867"/>
      <c r="P12867"/>
      <c r="Q12867"/>
      <c r="R12867"/>
      <c r="S12867"/>
    </row>
    <row r="12868" spans="13:19" ht="13.95" customHeight="1">
      <c r="M12868"/>
      <c r="N12868"/>
      <c r="O12868"/>
      <c r="P12868"/>
      <c r="Q12868"/>
      <c r="R12868"/>
      <c r="S12868"/>
    </row>
    <row r="12869" spans="13:19" ht="13.95" customHeight="1">
      <c r="M12869"/>
      <c r="N12869"/>
      <c r="O12869"/>
      <c r="P12869"/>
      <c r="Q12869"/>
      <c r="R12869"/>
      <c r="S12869"/>
    </row>
    <row r="12870" spans="13:19" ht="13.95" customHeight="1">
      <c r="M12870"/>
      <c r="N12870"/>
      <c r="O12870"/>
      <c r="P12870"/>
      <c r="Q12870"/>
      <c r="R12870"/>
      <c r="S12870"/>
    </row>
    <row r="12871" spans="13:19" ht="13.95" customHeight="1">
      <c r="M12871"/>
      <c r="N12871"/>
      <c r="O12871"/>
      <c r="P12871"/>
      <c r="Q12871"/>
      <c r="R12871"/>
      <c r="S12871"/>
    </row>
    <row r="12872" spans="13:19" ht="13.95" customHeight="1">
      <c r="M12872"/>
      <c r="N12872"/>
      <c r="O12872"/>
      <c r="P12872"/>
      <c r="Q12872"/>
      <c r="R12872"/>
      <c r="S12872"/>
    </row>
    <row r="12873" spans="13:19" ht="13.95" customHeight="1">
      <c r="M12873"/>
      <c r="N12873"/>
      <c r="O12873"/>
      <c r="P12873"/>
      <c r="Q12873"/>
      <c r="R12873"/>
      <c r="S12873"/>
    </row>
    <row r="12874" spans="13:19" ht="13.95" customHeight="1">
      <c r="M12874"/>
      <c r="N12874"/>
      <c r="O12874"/>
      <c r="P12874"/>
      <c r="Q12874"/>
      <c r="R12874"/>
      <c r="S12874"/>
    </row>
    <row r="12875" spans="13:19" ht="13.95" customHeight="1">
      <c r="M12875"/>
      <c r="N12875"/>
      <c r="O12875"/>
      <c r="P12875"/>
      <c r="Q12875"/>
      <c r="R12875"/>
      <c r="S12875"/>
    </row>
    <row r="12876" spans="13:19" ht="13.95" customHeight="1">
      <c r="M12876"/>
      <c r="N12876"/>
      <c r="O12876"/>
      <c r="P12876"/>
      <c r="Q12876"/>
      <c r="R12876"/>
      <c r="S12876"/>
    </row>
    <row r="12877" spans="13:19" ht="13.95" customHeight="1">
      <c r="M12877"/>
      <c r="N12877"/>
      <c r="O12877"/>
      <c r="P12877"/>
      <c r="Q12877"/>
      <c r="R12877"/>
      <c r="S12877"/>
    </row>
    <row r="12878" spans="13:19" ht="13.95" customHeight="1">
      <c r="M12878"/>
      <c r="N12878"/>
      <c r="O12878"/>
      <c r="P12878"/>
      <c r="Q12878"/>
      <c r="R12878"/>
      <c r="S12878"/>
    </row>
    <row r="12879" spans="13:19" ht="13.95" customHeight="1">
      <c r="M12879"/>
      <c r="N12879"/>
      <c r="O12879"/>
      <c r="P12879"/>
      <c r="Q12879"/>
      <c r="R12879"/>
      <c r="S12879"/>
    </row>
    <row r="12880" spans="13:19" ht="13.95" customHeight="1">
      <c r="M12880"/>
      <c r="N12880"/>
      <c r="O12880"/>
      <c r="P12880"/>
      <c r="Q12880"/>
      <c r="R12880"/>
      <c r="S12880"/>
    </row>
    <row r="12881" spans="13:19" ht="13.95" customHeight="1">
      <c r="M12881"/>
      <c r="N12881"/>
      <c r="O12881"/>
      <c r="P12881"/>
      <c r="Q12881"/>
      <c r="R12881"/>
      <c r="S12881"/>
    </row>
    <row r="12882" spans="13:19" ht="13.95" customHeight="1">
      <c r="M12882"/>
      <c r="N12882"/>
      <c r="O12882"/>
      <c r="P12882"/>
      <c r="Q12882"/>
      <c r="R12882"/>
      <c r="S12882"/>
    </row>
    <row r="12883" spans="13:19" ht="13.95" customHeight="1">
      <c r="M12883"/>
      <c r="N12883"/>
      <c r="O12883"/>
      <c r="P12883"/>
      <c r="Q12883"/>
      <c r="R12883"/>
      <c r="S12883"/>
    </row>
    <row r="12884" spans="13:19" ht="13.95" customHeight="1">
      <c r="M12884"/>
      <c r="N12884"/>
      <c r="O12884"/>
      <c r="P12884"/>
      <c r="Q12884"/>
      <c r="R12884"/>
      <c r="S12884"/>
    </row>
    <row r="12885" spans="13:19" ht="13.95" customHeight="1">
      <c r="M12885"/>
      <c r="N12885"/>
      <c r="O12885"/>
      <c r="P12885"/>
      <c r="Q12885"/>
      <c r="R12885"/>
      <c r="S12885"/>
    </row>
    <row r="12886" spans="13:19" ht="13.95" customHeight="1">
      <c r="M12886"/>
      <c r="N12886"/>
      <c r="O12886"/>
      <c r="P12886"/>
      <c r="Q12886"/>
      <c r="R12886"/>
      <c r="S12886"/>
    </row>
    <row r="12887" spans="13:19" ht="13.95" customHeight="1">
      <c r="M12887"/>
      <c r="N12887"/>
      <c r="O12887"/>
      <c r="P12887"/>
      <c r="Q12887"/>
      <c r="R12887"/>
      <c r="S12887"/>
    </row>
    <row r="12888" spans="13:19" ht="13.95" customHeight="1">
      <c r="M12888"/>
      <c r="N12888"/>
      <c r="O12888"/>
      <c r="P12888"/>
      <c r="Q12888"/>
      <c r="R12888"/>
      <c r="S12888"/>
    </row>
    <row r="12889" spans="13:19" ht="13.95" customHeight="1">
      <c r="M12889"/>
      <c r="N12889"/>
      <c r="O12889"/>
      <c r="P12889"/>
      <c r="Q12889"/>
      <c r="R12889"/>
      <c r="S12889"/>
    </row>
    <row r="12890" spans="13:19" ht="13.95" customHeight="1">
      <c r="M12890"/>
      <c r="N12890"/>
      <c r="O12890"/>
      <c r="P12890"/>
      <c r="Q12890"/>
      <c r="R12890"/>
      <c r="S12890"/>
    </row>
    <row r="12891" spans="13:19" ht="13.95" customHeight="1">
      <c r="M12891"/>
      <c r="N12891"/>
      <c r="O12891"/>
      <c r="P12891"/>
      <c r="Q12891"/>
      <c r="R12891"/>
      <c r="S12891"/>
    </row>
    <row r="12892" spans="13:19" ht="13.95" customHeight="1">
      <c r="M12892"/>
      <c r="N12892"/>
      <c r="O12892"/>
      <c r="P12892"/>
      <c r="Q12892"/>
      <c r="R12892"/>
      <c r="S12892"/>
    </row>
    <row r="12893" spans="13:19" ht="13.95" customHeight="1">
      <c r="M12893"/>
      <c r="N12893"/>
      <c r="O12893"/>
      <c r="P12893"/>
      <c r="Q12893"/>
      <c r="R12893"/>
      <c r="S12893"/>
    </row>
    <row r="12894" spans="13:19" ht="13.95" customHeight="1">
      <c r="M12894"/>
      <c r="N12894"/>
      <c r="O12894"/>
      <c r="P12894"/>
      <c r="Q12894"/>
      <c r="R12894"/>
      <c r="S12894"/>
    </row>
    <row r="12895" spans="13:19" ht="13.95" customHeight="1">
      <c r="M12895"/>
      <c r="N12895"/>
      <c r="O12895"/>
      <c r="P12895"/>
      <c r="Q12895"/>
      <c r="R12895"/>
      <c r="S12895"/>
    </row>
    <row r="12896" spans="13:19" ht="13.95" customHeight="1">
      <c r="M12896"/>
      <c r="N12896"/>
      <c r="O12896"/>
      <c r="P12896"/>
      <c r="Q12896"/>
      <c r="R12896"/>
      <c r="S12896"/>
    </row>
    <row r="12897" spans="13:19" ht="13.95" customHeight="1">
      <c r="M12897"/>
      <c r="N12897"/>
      <c r="O12897"/>
      <c r="P12897"/>
      <c r="Q12897"/>
      <c r="R12897"/>
      <c r="S12897"/>
    </row>
    <row r="12898" spans="13:19" ht="13.95" customHeight="1">
      <c r="M12898"/>
      <c r="N12898"/>
      <c r="O12898"/>
      <c r="P12898"/>
      <c r="Q12898"/>
      <c r="R12898"/>
      <c r="S12898"/>
    </row>
    <row r="12899" spans="13:19" ht="13.95" customHeight="1">
      <c r="M12899"/>
      <c r="N12899"/>
      <c r="O12899"/>
      <c r="P12899"/>
      <c r="Q12899"/>
      <c r="R12899"/>
      <c r="S12899"/>
    </row>
    <row r="12900" spans="13:19" ht="13.95" customHeight="1">
      <c r="M12900"/>
      <c r="N12900"/>
      <c r="O12900"/>
      <c r="P12900"/>
      <c r="Q12900"/>
      <c r="R12900"/>
      <c r="S12900"/>
    </row>
    <row r="12901" spans="13:19" ht="13.95" customHeight="1">
      <c r="M12901"/>
      <c r="N12901"/>
      <c r="O12901"/>
      <c r="P12901"/>
      <c r="Q12901"/>
      <c r="R12901"/>
      <c r="S12901"/>
    </row>
    <row r="12902" spans="13:19" ht="13.95" customHeight="1">
      <c r="M12902"/>
      <c r="N12902"/>
      <c r="O12902"/>
      <c r="P12902"/>
      <c r="Q12902"/>
      <c r="R12902"/>
      <c r="S12902"/>
    </row>
    <row r="12903" spans="13:19" ht="13.95" customHeight="1">
      <c r="M12903"/>
      <c r="N12903"/>
      <c r="O12903"/>
      <c r="P12903"/>
      <c r="Q12903"/>
      <c r="R12903"/>
      <c r="S12903"/>
    </row>
    <row r="12904" spans="13:19" ht="13.95" customHeight="1">
      <c r="M12904"/>
      <c r="N12904"/>
      <c r="O12904"/>
      <c r="P12904"/>
      <c r="Q12904"/>
      <c r="R12904"/>
      <c r="S12904"/>
    </row>
    <row r="12905" spans="13:19" ht="13.95" customHeight="1">
      <c r="M12905"/>
      <c r="N12905"/>
      <c r="O12905"/>
      <c r="P12905"/>
      <c r="Q12905"/>
      <c r="R12905"/>
      <c r="S12905"/>
    </row>
    <row r="12906" spans="13:19" ht="13.95" customHeight="1">
      <c r="M12906"/>
      <c r="N12906"/>
      <c r="O12906"/>
      <c r="P12906"/>
      <c r="Q12906"/>
      <c r="R12906"/>
      <c r="S12906"/>
    </row>
    <row r="12907" spans="13:19" ht="13.95" customHeight="1">
      <c r="M12907"/>
      <c r="N12907"/>
      <c r="O12907"/>
      <c r="P12907"/>
      <c r="Q12907"/>
      <c r="R12907"/>
      <c r="S12907"/>
    </row>
    <row r="12908" spans="13:19" ht="13.95" customHeight="1">
      <c r="M12908"/>
      <c r="N12908"/>
      <c r="O12908"/>
      <c r="P12908"/>
      <c r="Q12908"/>
      <c r="R12908"/>
      <c r="S12908"/>
    </row>
    <row r="12909" spans="13:19" ht="13.95" customHeight="1">
      <c r="M12909"/>
      <c r="N12909"/>
      <c r="O12909"/>
      <c r="P12909"/>
      <c r="Q12909"/>
      <c r="R12909"/>
      <c r="S12909"/>
    </row>
    <row r="12910" spans="13:19" ht="13.95" customHeight="1">
      <c r="M12910"/>
      <c r="N12910"/>
      <c r="O12910"/>
      <c r="P12910"/>
      <c r="Q12910"/>
      <c r="R12910"/>
      <c r="S12910"/>
    </row>
    <row r="12911" spans="13:19" ht="13.95" customHeight="1">
      <c r="M12911"/>
      <c r="N12911"/>
      <c r="O12911"/>
      <c r="P12911"/>
      <c r="Q12911"/>
      <c r="R12911"/>
      <c r="S12911"/>
    </row>
    <row r="12912" spans="13:19" ht="13.95" customHeight="1">
      <c r="M12912"/>
      <c r="N12912"/>
      <c r="O12912"/>
      <c r="P12912"/>
      <c r="Q12912"/>
      <c r="R12912"/>
      <c r="S12912"/>
    </row>
    <row r="12913" spans="13:19" ht="13.95" customHeight="1">
      <c r="M12913"/>
      <c r="N12913"/>
      <c r="O12913"/>
      <c r="P12913"/>
      <c r="Q12913"/>
      <c r="R12913"/>
      <c r="S12913"/>
    </row>
    <row r="12914" spans="13:19" ht="13.95" customHeight="1">
      <c r="M12914"/>
      <c r="N12914"/>
      <c r="O12914"/>
      <c r="P12914"/>
      <c r="Q12914"/>
      <c r="R12914"/>
      <c r="S12914"/>
    </row>
    <row r="12915" spans="13:19" ht="13.95" customHeight="1">
      <c r="M12915"/>
      <c r="N12915"/>
      <c r="O12915"/>
      <c r="P12915"/>
      <c r="Q12915"/>
      <c r="R12915"/>
      <c r="S12915"/>
    </row>
    <row r="12916" spans="13:19" ht="13.95" customHeight="1">
      <c r="M12916"/>
      <c r="N12916"/>
      <c r="O12916"/>
      <c r="P12916"/>
      <c r="Q12916"/>
      <c r="R12916"/>
      <c r="S12916"/>
    </row>
    <row r="12917" spans="13:19" ht="13.95" customHeight="1">
      <c r="M12917"/>
      <c r="N12917"/>
      <c r="O12917"/>
      <c r="P12917"/>
      <c r="Q12917"/>
      <c r="R12917"/>
      <c r="S12917"/>
    </row>
    <row r="12918" spans="13:19" ht="13.95" customHeight="1">
      <c r="M12918"/>
      <c r="N12918"/>
      <c r="O12918"/>
      <c r="P12918"/>
      <c r="Q12918"/>
      <c r="R12918"/>
      <c r="S12918"/>
    </row>
    <row r="12919" spans="13:19" ht="13.95" customHeight="1">
      <c r="M12919"/>
      <c r="N12919"/>
      <c r="O12919"/>
      <c r="P12919"/>
      <c r="Q12919"/>
      <c r="R12919"/>
      <c r="S12919"/>
    </row>
    <row r="12920" spans="13:19" ht="13.95" customHeight="1">
      <c r="M12920"/>
      <c r="N12920"/>
      <c r="O12920"/>
      <c r="P12920"/>
      <c r="Q12920"/>
      <c r="R12920"/>
      <c r="S12920"/>
    </row>
    <row r="12921" spans="13:19" ht="13.95" customHeight="1">
      <c r="M12921"/>
      <c r="N12921"/>
      <c r="O12921"/>
      <c r="P12921"/>
      <c r="Q12921"/>
      <c r="R12921"/>
      <c r="S12921"/>
    </row>
    <row r="12922" spans="13:19" ht="13.95" customHeight="1">
      <c r="M12922"/>
      <c r="N12922"/>
      <c r="O12922"/>
      <c r="P12922"/>
      <c r="Q12922"/>
      <c r="R12922"/>
      <c r="S12922"/>
    </row>
    <row r="12923" spans="13:19" ht="13.95" customHeight="1">
      <c r="M12923"/>
      <c r="N12923"/>
      <c r="O12923"/>
      <c r="P12923"/>
      <c r="Q12923"/>
      <c r="R12923"/>
      <c r="S12923"/>
    </row>
    <row r="12924" spans="13:19" ht="13.95" customHeight="1">
      <c r="M12924"/>
      <c r="N12924"/>
      <c r="O12924"/>
      <c r="P12924"/>
      <c r="Q12924"/>
      <c r="R12924"/>
      <c r="S12924"/>
    </row>
    <row r="12925" spans="13:19" ht="13.95" customHeight="1">
      <c r="M12925"/>
      <c r="N12925"/>
      <c r="O12925"/>
      <c r="P12925"/>
      <c r="Q12925"/>
      <c r="R12925"/>
      <c r="S12925"/>
    </row>
    <row r="12926" spans="13:19" ht="13.95" customHeight="1">
      <c r="M12926"/>
      <c r="N12926"/>
      <c r="O12926"/>
      <c r="P12926"/>
      <c r="Q12926"/>
      <c r="R12926"/>
      <c r="S12926"/>
    </row>
    <row r="12927" spans="13:19" ht="13.95" customHeight="1">
      <c r="M12927"/>
      <c r="N12927"/>
      <c r="O12927"/>
      <c r="P12927"/>
      <c r="Q12927"/>
      <c r="R12927"/>
      <c r="S12927"/>
    </row>
    <row r="12928" spans="13:19" ht="13.95" customHeight="1">
      <c r="M12928"/>
      <c r="N12928"/>
      <c r="O12928"/>
      <c r="P12928"/>
      <c r="Q12928"/>
      <c r="R12928"/>
      <c r="S12928"/>
    </row>
    <row r="12929" spans="13:19" ht="13.95" customHeight="1">
      <c r="M12929"/>
      <c r="N12929"/>
      <c r="O12929"/>
      <c r="P12929"/>
      <c r="Q12929"/>
      <c r="R12929"/>
      <c r="S12929"/>
    </row>
    <row r="12930" spans="13:19" ht="13.95" customHeight="1">
      <c r="M12930"/>
      <c r="N12930"/>
      <c r="O12930"/>
      <c r="P12930"/>
      <c r="Q12930"/>
      <c r="R12930"/>
      <c r="S12930"/>
    </row>
    <row r="12931" spans="13:19" ht="13.95" customHeight="1">
      <c r="M12931"/>
      <c r="N12931"/>
      <c r="O12931"/>
      <c r="P12931"/>
      <c r="Q12931"/>
      <c r="R12931"/>
      <c r="S12931"/>
    </row>
    <row r="12932" spans="13:19" ht="13.95" customHeight="1">
      <c r="M12932"/>
      <c r="N12932"/>
      <c r="O12932"/>
      <c r="P12932"/>
      <c r="Q12932"/>
      <c r="R12932"/>
      <c r="S12932"/>
    </row>
    <row r="12933" spans="13:19" ht="13.95" customHeight="1">
      <c r="M12933"/>
      <c r="N12933"/>
      <c r="O12933"/>
      <c r="P12933"/>
      <c r="Q12933"/>
      <c r="R12933"/>
      <c r="S12933"/>
    </row>
    <row r="12934" spans="13:19" ht="13.95" customHeight="1">
      <c r="M12934"/>
      <c r="N12934"/>
      <c r="O12934"/>
      <c r="P12934"/>
      <c r="Q12934"/>
      <c r="R12934"/>
      <c r="S12934"/>
    </row>
    <row r="12935" spans="13:19" ht="13.95" customHeight="1">
      <c r="M12935"/>
      <c r="N12935"/>
      <c r="O12935"/>
      <c r="P12935"/>
      <c r="Q12935"/>
      <c r="R12935"/>
      <c r="S12935"/>
    </row>
    <row r="12936" spans="13:19" ht="13.95" customHeight="1">
      <c r="M12936"/>
      <c r="N12936"/>
      <c r="O12936"/>
      <c r="P12936"/>
      <c r="Q12936"/>
      <c r="R12936"/>
      <c r="S12936"/>
    </row>
    <row r="12937" spans="13:19" ht="13.95" customHeight="1">
      <c r="M12937"/>
      <c r="N12937"/>
      <c r="O12937"/>
      <c r="P12937"/>
      <c r="Q12937"/>
      <c r="R12937"/>
      <c r="S12937"/>
    </row>
    <row r="12938" spans="13:19" ht="13.95" customHeight="1">
      <c r="M12938"/>
      <c r="N12938"/>
      <c r="O12938"/>
      <c r="P12938"/>
      <c r="Q12938"/>
      <c r="R12938"/>
      <c r="S12938"/>
    </row>
    <row r="12939" spans="13:19" ht="13.95" customHeight="1">
      <c r="M12939"/>
      <c r="N12939"/>
      <c r="O12939"/>
      <c r="P12939"/>
      <c r="Q12939"/>
      <c r="R12939"/>
      <c r="S12939"/>
    </row>
    <row r="12940" spans="13:19" ht="13.95" customHeight="1">
      <c r="M12940"/>
      <c r="N12940"/>
      <c r="O12940"/>
      <c r="P12940"/>
      <c r="Q12940"/>
      <c r="R12940"/>
      <c r="S12940"/>
    </row>
    <row r="12941" spans="13:19" ht="13.95" customHeight="1">
      <c r="M12941"/>
      <c r="N12941"/>
      <c r="O12941"/>
      <c r="P12941"/>
      <c r="Q12941"/>
      <c r="R12941"/>
      <c r="S12941"/>
    </row>
    <row r="12942" spans="13:19" ht="13.95" customHeight="1">
      <c r="M12942"/>
      <c r="N12942"/>
      <c r="O12942"/>
      <c r="P12942"/>
      <c r="Q12942"/>
      <c r="R12942"/>
      <c r="S12942"/>
    </row>
    <row r="12943" spans="13:19" ht="13.95" customHeight="1">
      <c r="M12943"/>
      <c r="N12943"/>
      <c r="O12943"/>
      <c r="P12943"/>
      <c r="Q12943"/>
      <c r="R12943"/>
      <c r="S12943"/>
    </row>
    <row r="12944" spans="13:19" ht="13.95" customHeight="1">
      <c r="M12944"/>
      <c r="N12944"/>
      <c r="O12944"/>
      <c r="P12944"/>
      <c r="Q12944"/>
      <c r="R12944"/>
      <c r="S12944"/>
    </row>
    <row r="12945" spans="13:19" ht="13.95" customHeight="1">
      <c r="M12945"/>
      <c r="N12945"/>
      <c r="O12945"/>
      <c r="P12945"/>
      <c r="Q12945"/>
      <c r="R12945"/>
      <c r="S12945"/>
    </row>
    <row r="12946" spans="13:19" ht="13.95" customHeight="1">
      <c r="M12946"/>
      <c r="N12946"/>
      <c r="O12946"/>
      <c r="P12946"/>
      <c r="Q12946"/>
      <c r="R12946"/>
      <c r="S12946"/>
    </row>
    <row r="12947" spans="13:19" ht="13.95" customHeight="1">
      <c r="M12947"/>
      <c r="N12947"/>
      <c r="O12947"/>
      <c r="P12947"/>
      <c r="Q12947"/>
      <c r="R12947"/>
      <c r="S12947"/>
    </row>
    <row r="12948" spans="13:19" ht="13.95" customHeight="1">
      <c r="M12948"/>
      <c r="N12948"/>
      <c r="O12948"/>
      <c r="P12948"/>
      <c r="Q12948"/>
      <c r="R12948"/>
      <c r="S12948"/>
    </row>
    <row r="12949" spans="13:19" ht="13.95" customHeight="1">
      <c r="M12949"/>
      <c r="N12949"/>
      <c r="O12949"/>
      <c r="P12949"/>
      <c r="Q12949"/>
      <c r="R12949"/>
      <c r="S12949"/>
    </row>
    <row r="12950" spans="13:19" ht="13.95" customHeight="1">
      <c r="M12950"/>
      <c r="N12950"/>
      <c r="O12950"/>
      <c r="P12950"/>
      <c r="Q12950"/>
      <c r="R12950"/>
      <c r="S12950"/>
    </row>
    <row r="12951" spans="13:19" ht="13.95" customHeight="1">
      <c r="M12951"/>
      <c r="N12951"/>
      <c r="O12951"/>
      <c r="P12951"/>
      <c r="Q12951"/>
      <c r="R12951"/>
      <c r="S12951"/>
    </row>
    <row r="12952" spans="13:19" ht="13.95" customHeight="1">
      <c r="M12952"/>
      <c r="N12952"/>
      <c r="O12952"/>
      <c r="P12952"/>
      <c r="Q12952"/>
      <c r="R12952"/>
      <c r="S12952"/>
    </row>
    <row r="12953" spans="13:19" ht="13.95" customHeight="1">
      <c r="M12953"/>
      <c r="N12953"/>
      <c r="O12953"/>
      <c r="P12953"/>
      <c r="Q12953"/>
      <c r="R12953"/>
      <c r="S12953"/>
    </row>
    <row r="12954" spans="13:19" ht="13.95" customHeight="1">
      <c r="M12954"/>
      <c r="N12954"/>
      <c r="O12954"/>
      <c r="P12954"/>
      <c r="Q12954"/>
      <c r="R12954"/>
      <c r="S12954"/>
    </row>
    <row r="12955" spans="13:19" ht="13.95" customHeight="1">
      <c r="M12955"/>
      <c r="N12955"/>
      <c r="O12955"/>
      <c r="P12955"/>
      <c r="Q12955"/>
      <c r="R12955"/>
      <c r="S12955"/>
    </row>
    <row r="12956" spans="13:19" ht="13.95" customHeight="1">
      <c r="M12956"/>
      <c r="N12956"/>
      <c r="O12956"/>
      <c r="P12956"/>
      <c r="Q12956"/>
      <c r="R12956"/>
      <c r="S12956"/>
    </row>
    <row r="12957" spans="13:19" ht="13.95" customHeight="1">
      <c r="M12957"/>
      <c r="N12957"/>
      <c r="O12957"/>
      <c r="P12957"/>
      <c r="Q12957"/>
      <c r="R12957"/>
      <c r="S12957"/>
    </row>
    <row r="12958" spans="13:19" ht="13.95" customHeight="1">
      <c r="M12958"/>
      <c r="N12958"/>
      <c r="O12958"/>
      <c r="P12958"/>
      <c r="Q12958"/>
      <c r="R12958"/>
      <c r="S12958"/>
    </row>
    <row r="12959" spans="13:19" ht="13.95" customHeight="1">
      <c r="M12959"/>
      <c r="N12959"/>
      <c r="O12959"/>
      <c r="P12959"/>
      <c r="Q12959"/>
      <c r="R12959"/>
      <c r="S12959"/>
    </row>
    <row r="12960" spans="13:19" ht="13.95" customHeight="1">
      <c r="M12960"/>
      <c r="N12960"/>
      <c r="O12960"/>
      <c r="P12960"/>
      <c r="Q12960"/>
      <c r="R12960"/>
      <c r="S12960"/>
    </row>
    <row r="12961" spans="13:19" ht="13.95" customHeight="1">
      <c r="M12961"/>
      <c r="N12961"/>
      <c r="O12961"/>
      <c r="P12961"/>
      <c r="Q12961"/>
      <c r="R12961"/>
      <c r="S12961"/>
    </row>
    <row r="12962" spans="13:19" ht="13.95" customHeight="1">
      <c r="M12962"/>
      <c r="N12962"/>
      <c r="O12962"/>
      <c r="P12962"/>
      <c r="Q12962"/>
      <c r="R12962"/>
      <c r="S12962"/>
    </row>
    <row r="12963" spans="13:19" ht="13.95" customHeight="1">
      <c r="M12963"/>
      <c r="N12963"/>
      <c r="O12963"/>
      <c r="P12963"/>
      <c r="Q12963"/>
      <c r="R12963"/>
      <c r="S12963"/>
    </row>
    <row r="12964" spans="13:19" ht="13.95" customHeight="1">
      <c r="M12964"/>
      <c r="N12964"/>
      <c r="O12964"/>
      <c r="P12964"/>
      <c r="Q12964"/>
      <c r="R12964"/>
      <c r="S12964"/>
    </row>
    <row r="12965" spans="13:19" ht="13.95" customHeight="1">
      <c r="M12965"/>
      <c r="N12965"/>
      <c r="O12965"/>
      <c r="P12965"/>
      <c r="Q12965"/>
      <c r="R12965"/>
      <c r="S12965"/>
    </row>
    <row r="12966" spans="13:19" ht="13.95" customHeight="1">
      <c r="M12966"/>
      <c r="N12966"/>
      <c r="O12966"/>
      <c r="P12966"/>
      <c r="Q12966"/>
      <c r="R12966"/>
      <c r="S12966"/>
    </row>
    <row r="12967" spans="13:19" ht="13.95" customHeight="1">
      <c r="M12967"/>
      <c r="N12967"/>
      <c r="O12967"/>
      <c r="P12967"/>
      <c r="Q12967"/>
      <c r="R12967"/>
      <c r="S12967"/>
    </row>
    <row r="12968" spans="13:19" ht="13.95" customHeight="1">
      <c r="M12968"/>
      <c r="N12968"/>
      <c r="O12968"/>
      <c r="P12968"/>
      <c r="Q12968"/>
      <c r="R12968"/>
      <c r="S12968"/>
    </row>
    <row r="12969" spans="13:19" ht="13.95" customHeight="1">
      <c r="M12969"/>
      <c r="N12969"/>
      <c r="O12969"/>
      <c r="P12969"/>
      <c r="Q12969"/>
      <c r="R12969"/>
      <c r="S12969"/>
    </row>
    <row r="12970" spans="13:19" ht="13.95" customHeight="1">
      <c r="M12970"/>
      <c r="N12970"/>
      <c r="O12970"/>
      <c r="P12970"/>
      <c r="Q12970"/>
      <c r="R12970"/>
      <c r="S12970"/>
    </row>
    <row r="12971" spans="13:19" ht="13.95" customHeight="1">
      <c r="M12971"/>
      <c r="N12971"/>
      <c r="O12971"/>
      <c r="P12971"/>
      <c r="Q12971"/>
      <c r="R12971"/>
      <c r="S12971"/>
    </row>
    <row r="12972" spans="13:19" ht="13.95" customHeight="1">
      <c r="M12972"/>
      <c r="N12972"/>
      <c r="O12972"/>
      <c r="P12972"/>
      <c r="Q12972"/>
      <c r="R12972"/>
      <c r="S12972"/>
    </row>
    <row r="12973" spans="13:19" ht="13.95" customHeight="1">
      <c r="M12973"/>
      <c r="N12973"/>
      <c r="O12973"/>
      <c r="P12973"/>
      <c r="Q12973"/>
      <c r="R12973"/>
      <c r="S12973"/>
    </row>
    <row r="12974" spans="13:19" ht="13.95" customHeight="1">
      <c r="M12974"/>
      <c r="N12974"/>
      <c r="O12974"/>
      <c r="P12974"/>
      <c r="Q12974"/>
      <c r="R12974"/>
      <c r="S12974"/>
    </row>
    <row r="12975" spans="13:19" ht="13.95" customHeight="1">
      <c r="M12975"/>
      <c r="N12975"/>
      <c r="O12975"/>
      <c r="P12975"/>
      <c r="Q12975"/>
      <c r="R12975"/>
      <c r="S12975"/>
    </row>
    <row r="12976" spans="13:19" ht="13.95" customHeight="1">
      <c r="M12976"/>
      <c r="N12976"/>
      <c r="O12976"/>
      <c r="P12976"/>
      <c r="Q12976"/>
      <c r="R12976"/>
      <c r="S12976"/>
    </row>
    <row r="12977" spans="13:19" ht="13.95" customHeight="1">
      <c r="M12977"/>
      <c r="N12977"/>
      <c r="O12977"/>
      <c r="P12977"/>
      <c r="Q12977"/>
      <c r="R12977"/>
      <c r="S12977"/>
    </row>
    <row r="12978" spans="13:19" ht="13.95" customHeight="1">
      <c r="M12978"/>
      <c r="N12978"/>
      <c r="O12978"/>
      <c r="P12978"/>
      <c r="Q12978"/>
      <c r="R12978"/>
      <c r="S12978"/>
    </row>
    <row r="12979" spans="13:19" ht="13.95" customHeight="1">
      <c r="M12979"/>
      <c r="N12979"/>
      <c r="O12979"/>
      <c r="P12979"/>
      <c r="Q12979"/>
      <c r="R12979"/>
      <c r="S12979"/>
    </row>
    <row r="12980" spans="13:19" ht="13.95" customHeight="1">
      <c r="M12980"/>
      <c r="N12980"/>
      <c r="O12980"/>
      <c r="P12980"/>
      <c r="Q12980"/>
      <c r="R12980"/>
      <c r="S12980"/>
    </row>
    <row r="12981" spans="13:19" ht="13.95" customHeight="1">
      <c r="M12981"/>
      <c r="N12981"/>
      <c r="O12981"/>
      <c r="P12981"/>
      <c r="Q12981"/>
      <c r="R12981"/>
      <c r="S12981"/>
    </row>
    <row r="12982" spans="13:19" ht="13.95" customHeight="1">
      <c r="M12982"/>
      <c r="N12982"/>
      <c r="O12982"/>
      <c r="P12982"/>
      <c r="Q12982"/>
      <c r="R12982"/>
      <c r="S12982"/>
    </row>
    <row r="12983" spans="13:19" ht="13.95" customHeight="1">
      <c r="M12983"/>
      <c r="N12983"/>
      <c r="O12983"/>
      <c r="P12983"/>
      <c r="Q12983"/>
      <c r="R12983"/>
      <c r="S12983"/>
    </row>
    <row r="12984" spans="13:19" ht="13.95" customHeight="1">
      <c r="M12984"/>
      <c r="N12984"/>
      <c r="O12984"/>
      <c r="P12984"/>
      <c r="Q12984"/>
      <c r="R12984"/>
      <c r="S12984"/>
    </row>
    <row r="12985" spans="13:19" ht="13.95" customHeight="1">
      <c r="M12985"/>
      <c r="N12985"/>
      <c r="O12985"/>
      <c r="P12985"/>
      <c r="Q12985"/>
      <c r="R12985"/>
      <c r="S12985"/>
    </row>
    <row r="12986" spans="13:19" ht="13.95" customHeight="1">
      <c r="M12986"/>
      <c r="N12986"/>
      <c r="O12986"/>
      <c r="P12986"/>
      <c r="Q12986"/>
      <c r="R12986"/>
      <c r="S12986"/>
    </row>
    <row r="12987" spans="13:19" ht="13.95" customHeight="1">
      <c r="M12987"/>
      <c r="N12987"/>
      <c r="O12987"/>
      <c r="P12987"/>
      <c r="Q12987"/>
      <c r="R12987"/>
      <c r="S12987"/>
    </row>
    <row r="12988" spans="13:19" ht="13.95" customHeight="1">
      <c r="M12988"/>
      <c r="N12988"/>
      <c r="O12988"/>
      <c r="P12988"/>
      <c r="Q12988"/>
      <c r="R12988"/>
      <c r="S12988"/>
    </row>
    <row r="12989" spans="13:19" ht="13.95" customHeight="1">
      <c r="M12989"/>
      <c r="N12989"/>
      <c r="O12989"/>
      <c r="P12989"/>
      <c r="Q12989"/>
      <c r="R12989"/>
      <c r="S12989"/>
    </row>
    <row r="12990" spans="13:19" ht="13.95" customHeight="1">
      <c r="M12990"/>
      <c r="N12990"/>
      <c r="O12990"/>
      <c r="P12990"/>
      <c r="Q12990"/>
      <c r="R12990"/>
      <c r="S12990"/>
    </row>
    <row r="12991" spans="13:19" ht="13.95" customHeight="1">
      <c r="M12991"/>
      <c r="N12991"/>
      <c r="O12991"/>
      <c r="P12991"/>
      <c r="Q12991"/>
      <c r="R12991"/>
      <c r="S12991"/>
    </row>
    <row r="12992" spans="13:19" ht="13.95" customHeight="1">
      <c r="M12992"/>
      <c r="N12992"/>
      <c r="O12992"/>
      <c r="P12992"/>
      <c r="Q12992"/>
      <c r="R12992"/>
      <c r="S12992"/>
    </row>
    <row r="12993" spans="13:19" ht="13.95" customHeight="1">
      <c r="M12993"/>
      <c r="N12993"/>
      <c r="O12993"/>
      <c r="P12993"/>
      <c r="Q12993"/>
      <c r="R12993"/>
      <c r="S12993"/>
    </row>
    <row r="12994" spans="13:19" ht="13.95" customHeight="1">
      <c r="M12994"/>
      <c r="N12994"/>
      <c r="O12994"/>
      <c r="P12994"/>
      <c r="Q12994"/>
      <c r="R12994"/>
      <c r="S12994"/>
    </row>
    <row r="12995" spans="13:19" ht="13.95" customHeight="1">
      <c r="M12995"/>
      <c r="N12995"/>
      <c r="O12995"/>
      <c r="P12995"/>
      <c r="Q12995"/>
      <c r="R12995"/>
      <c r="S12995"/>
    </row>
    <row r="12996" spans="13:19" ht="13.95" customHeight="1">
      <c r="M12996"/>
      <c r="N12996"/>
      <c r="O12996"/>
      <c r="P12996"/>
      <c r="Q12996"/>
      <c r="R12996"/>
      <c r="S12996"/>
    </row>
    <row r="12997" spans="13:19" ht="13.95" customHeight="1">
      <c r="M12997"/>
      <c r="N12997"/>
      <c r="O12997"/>
      <c r="P12997"/>
      <c r="Q12997"/>
      <c r="R12997"/>
      <c r="S12997"/>
    </row>
    <row r="12998" spans="13:19" ht="13.95" customHeight="1">
      <c r="M12998"/>
      <c r="N12998"/>
      <c r="O12998"/>
      <c r="P12998"/>
      <c r="Q12998"/>
      <c r="R12998"/>
      <c r="S12998"/>
    </row>
    <row r="12999" spans="13:19" ht="13.95" customHeight="1">
      <c r="M12999"/>
      <c r="N12999"/>
      <c r="O12999"/>
      <c r="P12999"/>
      <c r="Q12999"/>
      <c r="R12999"/>
      <c r="S12999"/>
    </row>
    <row r="13000" spans="13:19" ht="13.95" customHeight="1">
      <c r="M13000"/>
      <c r="N13000"/>
      <c r="O13000"/>
      <c r="P13000"/>
      <c r="Q13000"/>
      <c r="R13000"/>
      <c r="S13000"/>
    </row>
    <row r="13001" spans="13:19" ht="13.95" customHeight="1">
      <c r="M13001"/>
      <c r="N13001"/>
      <c r="O13001"/>
      <c r="P13001"/>
      <c r="Q13001"/>
      <c r="R13001"/>
      <c r="S13001"/>
    </row>
    <row r="13002" spans="13:19" ht="13.95" customHeight="1">
      <c r="M13002"/>
      <c r="N13002"/>
      <c r="O13002"/>
      <c r="P13002"/>
      <c r="Q13002"/>
      <c r="R13002"/>
      <c r="S13002"/>
    </row>
    <row r="13003" spans="13:19" ht="13.95" customHeight="1">
      <c r="M13003"/>
      <c r="N13003"/>
      <c r="O13003"/>
      <c r="P13003"/>
      <c r="Q13003"/>
      <c r="R13003"/>
      <c r="S13003"/>
    </row>
    <row r="13004" spans="13:19" ht="13.95" customHeight="1">
      <c r="M13004"/>
      <c r="N13004"/>
      <c r="O13004"/>
      <c r="P13004"/>
      <c r="Q13004"/>
      <c r="R13004"/>
      <c r="S13004"/>
    </row>
    <row r="13005" spans="13:19" ht="13.95" customHeight="1">
      <c r="M13005"/>
      <c r="N13005"/>
      <c r="O13005"/>
      <c r="P13005"/>
      <c r="Q13005"/>
      <c r="R13005"/>
      <c r="S13005"/>
    </row>
    <row r="13006" spans="13:19" ht="13.95" customHeight="1">
      <c r="M13006"/>
      <c r="N13006"/>
      <c r="O13006"/>
      <c r="P13006"/>
      <c r="Q13006"/>
      <c r="R13006"/>
      <c r="S13006"/>
    </row>
    <row r="13007" spans="13:19" ht="13.95" customHeight="1">
      <c r="M13007"/>
      <c r="N13007"/>
      <c r="O13007"/>
      <c r="P13007"/>
      <c r="Q13007"/>
      <c r="R13007"/>
      <c r="S13007"/>
    </row>
    <row r="13008" spans="13:19" ht="13.95" customHeight="1">
      <c r="M13008"/>
      <c r="N13008"/>
      <c r="O13008"/>
      <c r="P13008"/>
      <c r="Q13008"/>
      <c r="R13008"/>
      <c r="S13008"/>
    </row>
    <row r="13009" spans="13:19" ht="13.95" customHeight="1">
      <c r="M13009"/>
      <c r="N13009"/>
      <c r="O13009"/>
      <c r="P13009"/>
      <c r="Q13009"/>
      <c r="R13009"/>
      <c r="S13009"/>
    </row>
    <row r="13010" spans="13:19" ht="13.95" customHeight="1">
      <c r="M13010"/>
      <c r="N13010"/>
      <c r="O13010"/>
      <c r="P13010"/>
      <c r="Q13010"/>
      <c r="R13010"/>
      <c r="S13010"/>
    </row>
    <row r="13011" spans="13:19" ht="13.95" customHeight="1">
      <c r="M13011"/>
      <c r="N13011"/>
      <c r="O13011"/>
      <c r="P13011"/>
      <c r="Q13011"/>
      <c r="R13011"/>
      <c r="S13011"/>
    </row>
    <row r="13012" spans="13:19" ht="13.95" customHeight="1">
      <c r="M13012"/>
      <c r="N13012"/>
      <c r="O13012"/>
      <c r="P13012"/>
      <c r="Q13012"/>
      <c r="R13012"/>
      <c r="S13012"/>
    </row>
    <row r="13013" spans="13:19" ht="13.95" customHeight="1">
      <c r="M13013"/>
      <c r="N13013"/>
      <c r="O13013"/>
      <c r="P13013"/>
      <c r="Q13013"/>
      <c r="R13013"/>
      <c r="S13013"/>
    </row>
    <row r="13014" spans="13:19" ht="13.95" customHeight="1">
      <c r="M13014"/>
      <c r="N13014"/>
      <c r="O13014"/>
      <c r="P13014"/>
      <c r="Q13014"/>
      <c r="R13014"/>
      <c r="S13014"/>
    </row>
    <row r="13015" spans="13:19" ht="13.95" customHeight="1">
      <c r="M13015"/>
      <c r="N13015"/>
      <c r="O13015"/>
      <c r="P13015"/>
      <c r="Q13015"/>
      <c r="R13015"/>
      <c r="S13015"/>
    </row>
    <row r="13016" spans="13:19" ht="13.95" customHeight="1">
      <c r="M13016"/>
      <c r="N13016"/>
      <c r="O13016"/>
      <c r="P13016"/>
      <c r="Q13016"/>
      <c r="R13016"/>
      <c r="S13016"/>
    </row>
    <row r="13017" spans="13:19" ht="13.95" customHeight="1">
      <c r="M13017"/>
      <c r="N13017"/>
      <c r="O13017"/>
      <c r="P13017"/>
      <c r="Q13017"/>
      <c r="R13017"/>
      <c r="S13017"/>
    </row>
    <row r="13018" spans="13:19" ht="13.95" customHeight="1">
      <c r="M13018"/>
      <c r="N13018"/>
      <c r="O13018"/>
      <c r="P13018"/>
      <c r="Q13018"/>
      <c r="R13018"/>
      <c r="S13018"/>
    </row>
    <row r="13019" spans="13:19" ht="13.95" customHeight="1">
      <c r="M13019"/>
      <c r="N13019"/>
      <c r="O13019"/>
      <c r="P13019"/>
      <c r="Q13019"/>
      <c r="R13019"/>
      <c r="S13019"/>
    </row>
    <row r="13020" spans="13:19" ht="13.95" customHeight="1">
      <c r="M13020"/>
      <c r="N13020"/>
      <c r="O13020"/>
      <c r="P13020"/>
      <c r="Q13020"/>
      <c r="R13020"/>
      <c r="S13020"/>
    </row>
    <row r="13021" spans="13:19" ht="13.95" customHeight="1">
      <c r="M13021"/>
      <c r="N13021"/>
      <c r="O13021"/>
      <c r="P13021"/>
      <c r="Q13021"/>
      <c r="R13021"/>
      <c r="S13021"/>
    </row>
    <row r="13022" spans="13:19" ht="13.95" customHeight="1">
      <c r="M13022"/>
      <c r="N13022"/>
      <c r="O13022"/>
      <c r="P13022"/>
      <c r="Q13022"/>
      <c r="R13022"/>
      <c r="S13022"/>
    </row>
    <row r="13023" spans="13:19" ht="13.95" customHeight="1">
      <c r="M13023"/>
      <c r="N13023"/>
      <c r="O13023"/>
      <c r="P13023"/>
      <c r="Q13023"/>
      <c r="R13023"/>
      <c r="S13023"/>
    </row>
    <row r="13024" spans="13:19" ht="13.95" customHeight="1">
      <c r="M13024"/>
      <c r="N13024"/>
      <c r="O13024"/>
      <c r="P13024"/>
      <c r="Q13024"/>
      <c r="R13024"/>
      <c r="S13024"/>
    </row>
    <row r="13025" spans="13:19" ht="13.95" customHeight="1">
      <c r="M13025"/>
      <c r="N13025"/>
      <c r="O13025"/>
      <c r="P13025"/>
      <c r="Q13025"/>
      <c r="R13025"/>
      <c r="S13025"/>
    </row>
    <row r="13026" spans="13:19" ht="13.95" customHeight="1">
      <c r="M13026"/>
      <c r="N13026"/>
      <c r="O13026"/>
      <c r="P13026"/>
      <c r="Q13026"/>
      <c r="R13026"/>
      <c r="S13026"/>
    </row>
    <row r="13027" spans="13:19" ht="13.95" customHeight="1">
      <c r="M13027"/>
      <c r="N13027"/>
      <c r="O13027"/>
      <c r="P13027"/>
      <c r="Q13027"/>
      <c r="R13027"/>
      <c r="S13027"/>
    </row>
    <row r="13028" spans="13:19" ht="13.95" customHeight="1">
      <c r="M13028"/>
      <c r="N13028"/>
      <c r="O13028"/>
      <c r="P13028"/>
      <c r="Q13028"/>
      <c r="R13028"/>
      <c r="S13028"/>
    </row>
    <row r="13029" spans="13:19" ht="13.95" customHeight="1">
      <c r="M13029"/>
      <c r="N13029"/>
      <c r="O13029"/>
      <c r="P13029"/>
      <c r="Q13029"/>
      <c r="R13029"/>
      <c r="S13029"/>
    </row>
    <row r="13030" spans="13:19" ht="13.95" customHeight="1">
      <c r="M13030"/>
      <c r="N13030"/>
      <c r="O13030"/>
      <c r="P13030"/>
      <c r="Q13030"/>
      <c r="R13030"/>
      <c r="S13030"/>
    </row>
    <row r="13031" spans="13:19" ht="13.95" customHeight="1">
      <c r="M13031"/>
      <c r="N13031"/>
      <c r="O13031"/>
      <c r="P13031"/>
      <c r="Q13031"/>
      <c r="R13031"/>
      <c r="S13031"/>
    </row>
    <row r="13032" spans="13:19" ht="13.95" customHeight="1">
      <c r="M13032"/>
      <c r="N13032"/>
      <c r="O13032"/>
      <c r="P13032"/>
      <c r="Q13032"/>
      <c r="R13032"/>
      <c r="S13032"/>
    </row>
    <row r="13033" spans="13:19" ht="13.95" customHeight="1">
      <c r="M13033"/>
      <c r="N13033"/>
      <c r="O13033"/>
      <c r="P13033"/>
      <c r="Q13033"/>
      <c r="R13033"/>
      <c r="S13033"/>
    </row>
    <row r="13034" spans="13:19" ht="13.95" customHeight="1">
      <c r="M13034"/>
      <c r="N13034"/>
      <c r="O13034"/>
      <c r="P13034"/>
      <c r="Q13034"/>
      <c r="R13034"/>
      <c r="S13034"/>
    </row>
    <row r="13035" spans="13:19" ht="13.95" customHeight="1">
      <c r="M13035"/>
      <c r="N13035"/>
      <c r="O13035"/>
      <c r="P13035"/>
      <c r="Q13035"/>
      <c r="R13035"/>
      <c r="S13035"/>
    </row>
    <row r="13036" spans="13:19" ht="13.95" customHeight="1">
      <c r="M13036"/>
      <c r="N13036"/>
      <c r="O13036"/>
      <c r="P13036"/>
      <c r="Q13036"/>
      <c r="R13036"/>
      <c r="S13036"/>
    </row>
    <row r="13037" spans="13:19" ht="13.95" customHeight="1">
      <c r="M13037"/>
      <c r="N13037"/>
      <c r="O13037"/>
      <c r="P13037"/>
      <c r="Q13037"/>
      <c r="R13037"/>
      <c r="S13037"/>
    </row>
    <row r="13038" spans="13:19" ht="13.95" customHeight="1">
      <c r="M13038"/>
      <c r="N13038"/>
      <c r="O13038"/>
      <c r="P13038"/>
      <c r="Q13038"/>
      <c r="R13038"/>
      <c r="S13038"/>
    </row>
    <row r="13039" spans="13:19" ht="13.95" customHeight="1">
      <c r="M13039"/>
      <c r="N13039"/>
      <c r="O13039"/>
      <c r="P13039"/>
      <c r="Q13039"/>
      <c r="R13039"/>
      <c r="S13039"/>
    </row>
    <row r="13040" spans="13:19" ht="13.95" customHeight="1">
      <c r="M13040"/>
      <c r="N13040"/>
      <c r="O13040"/>
      <c r="P13040"/>
      <c r="Q13040"/>
      <c r="R13040"/>
      <c r="S13040"/>
    </row>
    <row r="13041" spans="13:19" ht="13.95" customHeight="1">
      <c r="M13041"/>
      <c r="N13041"/>
      <c r="O13041"/>
      <c r="P13041"/>
      <c r="Q13041"/>
      <c r="R13041"/>
      <c r="S13041"/>
    </row>
    <row r="13042" spans="13:19" ht="13.95" customHeight="1">
      <c r="M13042"/>
      <c r="N13042"/>
      <c r="O13042"/>
      <c r="P13042"/>
      <c r="Q13042"/>
      <c r="R13042"/>
      <c r="S13042"/>
    </row>
    <row r="13043" spans="13:19" ht="13.95" customHeight="1">
      <c r="M13043"/>
      <c r="N13043"/>
      <c r="O13043"/>
      <c r="P13043"/>
      <c r="Q13043"/>
      <c r="R13043"/>
      <c r="S13043"/>
    </row>
    <row r="13044" spans="13:19" ht="13.95" customHeight="1">
      <c r="M13044"/>
      <c r="N13044"/>
      <c r="O13044"/>
      <c r="P13044"/>
      <c r="Q13044"/>
      <c r="R13044"/>
      <c r="S13044"/>
    </row>
    <row r="13045" spans="13:19" ht="13.95" customHeight="1">
      <c r="M13045"/>
      <c r="N13045"/>
      <c r="O13045"/>
      <c r="P13045"/>
      <c r="Q13045"/>
      <c r="R13045"/>
      <c r="S13045"/>
    </row>
    <row r="13046" spans="13:19" ht="13.95" customHeight="1">
      <c r="M13046"/>
      <c r="N13046"/>
      <c r="O13046"/>
      <c r="P13046"/>
      <c r="Q13046"/>
      <c r="R13046"/>
      <c r="S13046"/>
    </row>
    <row r="13047" spans="13:19" ht="13.95" customHeight="1">
      <c r="M13047"/>
      <c r="N13047"/>
      <c r="O13047"/>
      <c r="P13047"/>
      <c r="Q13047"/>
      <c r="R13047"/>
      <c r="S13047"/>
    </row>
    <row r="13048" spans="13:19" ht="13.95" customHeight="1">
      <c r="M13048"/>
      <c r="N13048"/>
      <c r="O13048"/>
      <c r="P13048"/>
      <c r="Q13048"/>
      <c r="R13048"/>
      <c r="S13048"/>
    </row>
    <row r="13049" spans="13:19" ht="13.95" customHeight="1">
      <c r="M13049"/>
      <c r="N13049"/>
      <c r="O13049"/>
      <c r="P13049"/>
      <c r="Q13049"/>
      <c r="R13049"/>
      <c r="S13049"/>
    </row>
    <row r="13050" spans="13:19" ht="13.95" customHeight="1">
      <c r="M13050"/>
      <c r="N13050"/>
      <c r="O13050"/>
      <c r="P13050"/>
      <c r="Q13050"/>
      <c r="R13050"/>
      <c r="S13050"/>
    </row>
    <row r="13051" spans="13:19" ht="13.95" customHeight="1">
      <c r="M13051"/>
      <c r="N13051"/>
      <c r="O13051"/>
      <c r="P13051"/>
      <c r="Q13051"/>
      <c r="R13051"/>
      <c r="S13051"/>
    </row>
    <row r="13052" spans="13:19" ht="13.95" customHeight="1">
      <c r="M13052"/>
      <c r="N13052"/>
      <c r="O13052"/>
      <c r="P13052"/>
      <c r="Q13052"/>
      <c r="R13052"/>
      <c r="S13052"/>
    </row>
    <row r="13053" spans="13:19" ht="13.95" customHeight="1">
      <c r="M13053"/>
      <c r="N13053"/>
      <c r="O13053"/>
      <c r="P13053"/>
      <c r="Q13053"/>
      <c r="R13053"/>
      <c r="S13053"/>
    </row>
    <row r="13054" spans="13:19" ht="13.95" customHeight="1">
      <c r="M13054"/>
      <c r="N13054"/>
      <c r="O13054"/>
      <c r="P13054"/>
      <c r="Q13054"/>
      <c r="R13054"/>
      <c r="S13054"/>
    </row>
    <row r="13055" spans="13:19" ht="13.95" customHeight="1">
      <c r="M13055"/>
      <c r="N13055"/>
      <c r="O13055"/>
      <c r="P13055"/>
      <c r="Q13055"/>
      <c r="R13055"/>
      <c r="S13055"/>
    </row>
    <row r="13056" spans="13:19" ht="13.95" customHeight="1">
      <c r="M13056"/>
      <c r="N13056"/>
      <c r="O13056"/>
      <c r="P13056"/>
      <c r="Q13056"/>
      <c r="R13056"/>
      <c r="S13056"/>
    </row>
    <row r="13057" spans="13:19" ht="13.95" customHeight="1">
      <c r="M13057"/>
      <c r="N13057"/>
      <c r="O13057"/>
      <c r="P13057"/>
      <c r="Q13057"/>
      <c r="R13057"/>
      <c r="S13057"/>
    </row>
    <row r="13058" spans="13:19" ht="13.95" customHeight="1">
      <c r="M13058"/>
      <c r="N13058"/>
      <c r="O13058"/>
      <c r="P13058"/>
      <c r="Q13058"/>
      <c r="R13058"/>
      <c r="S13058"/>
    </row>
    <row r="13059" spans="13:19" ht="13.95" customHeight="1">
      <c r="M13059"/>
      <c r="N13059"/>
      <c r="O13059"/>
      <c r="P13059"/>
      <c r="Q13059"/>
      <c r="R13059"/>
      <c r="S13059"/>
    </row>
    <row r="13060" spans="13:19" ht="13.95" customHeight="1">
      <c r="M13060"/>
      <c r="N13060"/>
      <c r="O13060"/>
      <c r="P13060"/>
      <c r="Q13060"/>
      <c r="R13060"/>
      <c r="S13060"/>
    </row>
    <row r="13061" spans="13:19" ht="13.95" customHeight="1">
      <c r="M13061"/>
      <c r="N13061"/>
      <c r="O13061"/>
      <c r="P13061"/>
      <c r="Q13061"/>
      <c r="R13061"/>
      <c r="S13061"/>
    </row>
    <row r="13062" spans="13:19" ht="13.95" customHeight="1">
      <c r="M13062"/>
      <c r="N13062"/>
      <c r="O13062"/>
      <c r="P13062"/>
      <c r="Q13062"/>
      <c r="R13062"/>
      <c r="S13062"/>
    </row>
    <row r="13063" spans="13:19" ht="13.95" customHeight="1">
      <c r="M13063"/>
      <c r="N13063"/>
      <c r="O13063"/>
      <c r="P13063"/>
      <c r="Q13063"/>
      <c r="R13063"/>
      <c r="S13063"/>
    </row>
    <row r="13064" spans="13:19" ht="13.95" customHeight="1">
      <c r="M13064"/>
      <c r="N13064"/>
      <c r="O13064"/>
      <c r="P13064"/>
      <c r="Q13064"/>
      <c r="R13064"/>
      <c r="S13064"/>
    </row>
    <row r="13065" spans="13:19" ht="13.95" customHeight="1">
      <c r="M13065"/>
      <c r="N13065"/>
      <c r="O13065"/>
      <c r="P13065"/>
      <c r="Q13065"/>
      <c r="R13065"/>
      <c r="S13065"/>
    </row>
    <row r="13066" spans="13:19" ht="13.95" customHeight="1">
      <c r="M13066"/>
      <c r="N13066"/>
      <c r="O13066"/>
      <c r="P13066"/>
      <c r="Q13066"/>
      <c r="R13066"/>
      <c r="S13066"/>
    </row>
    <row r="13067" spans="13:19" ht="13.95" customHeight="1">
      <c r="M13067"/>
      <c r="N13067"/>
      <c r="O13067"/>
      <c r="P13067"/>
      <c r="Q13067"/>
      <c r="R13067"/>
      <c r="S13067"/>
    </row>
    <row r="13068" spans="13:19" ht="13.95" customHeight="1">
      <c r="M13068"/>
      <c r="N13068"/>
      <c r="O13068"/>
      <c r="P13068"/>
      <c r="Q13068"/>
      <c r="R13068"/>
      <c r="S13068"/>
    </row>
    <row r="13069" spans="13:19" ht="13.95" customHeight="1">
      <c r="M13069"/>
      <c r="N13069"/>
      <c r="O13069"/>
      <c r="P13069"/>
      <c r="Q13069"/>
      <c r="R13069"/>
      <c r="S13069"/>
    </row>
    <row r="13070" spans="13:19" ht="13.95" customHeight="1">
      <c r="M13070"/>
      <c r="N13070"/>
      <c r="O13070"/>
      <c r="P13070"/>
      <c r="Q13070"/>
      <c r="R13070"/>
      <c r="S13070"/>
    </row>
    <row r="13071" spans="13:19" ht="13.95" customHeight="1">
      <c r="M13071"/>
      <c r="N13071"/>
      <c r="O13071"/>
      <c r="P13071"/>
      <c r="Q13071"/>
      <c r="R13071"/>
      <c r="S13071"/>
    </row>
    <row r="13072" spans="13:19" ht="13.95" customHeight="1">
      <c r="M13072"/>
      <c r="N13072"/>
      <c r="O13072"/>
      <c r="P13072"/>
      <c r="Q13072"/>
      <c r="R13072"/>
      <c r="S13072"/>
    </row>
    <row r="13073" spans="13:19" ht="13.95" customHeight="1">
      <c r="M13073"/>
      <c r="N13073"/>
      <c r="O13073"/>
      <c r="P13073"/>
      <c r="Q13073"/>
      <c r="R13073"/>
      <c r="S13073"/>
    </row>
    <row r="13074" spans="13:19" ht="13.95" customHeight="1">
      <c r="M13074"/>
      <c r="N13074"/>
      <c r="O13074"/>
      <c r="P13074"/>
      <c r="Q13074"/>
      <c r="R13074"/>
      <c r="S13074"/>
    </row>
    <row r="13075" spans="13:19" ht="13.95" customHeight="1">
      <c r="M13075"/>
      <c r="N13075"/>
      <c r="O13075"/>
      <c r="P13075"/>
      <c r="Q13075"/>
      <c r="R13075"/>
      <c r="S13075"/>
    </row>
    <row r="13076" spans="13:19" ht="13.95" customHeight="1">
      <c r="M13076"/>
      <c r="N13076"/>
      <c r="O13076"/>
      <c r="P13076"/>
      <c r="Q13076"/>
      <c r="R13076"/>
      <c r="S13076"/>
    </row>
    <row r="13077" spans="13:19" ht="13.95" customHeight="1">
      <c r="M13077"/>
      <c r="N13077"/>
      <c r="O13077"/>
      <c r="P13077"/>
      <c r="Q13077"/>
      <c r="R13077"/>
      <c r="S13077"/>
    </row>
    <row r="13078" spans="13:19" ht="13.95" customHeight="1">
      <c r="M13078"/>
      <c r="N13078"/>
      <c r="O13078"/>
      <c r="P13078"/>
      <c r="Q13078"/>
      <c r="R13078"/>
      <c r="S13078"/>
    </row>
    <row r="13079" spans="13:19" ht="13.95" customHeight="1">
      <c r="M13079"/>
      <c r="N13079"/>
      <c r="O13079"/>
      <c r="P13079"/>
      <c r="Q13079"/>
      <c r="R13079"/>
      <c r="S13079"/>
    </row>
    <row r="13080" spans="13:19" ht="13.95" customHeight="1">
      <c r="M13080"/>
      <c r="N13080"/>
      <c r="O13080"/>
      <c r="P13080"/>
      <c r="Q13080"/>
      <c r="R13080"/>
      <c r="S13080"/>
    </row>
    <row r="13081" spans="13:19" ht="13.95" customHeight="1">
      <c r="M13081"/>
      <c r="N13081"/>
      <c r="O13081"/>
      <c r="P13081"/>
      <c r="Q13081"/>
      <c r="R13081"/>
      <c r="S13081"/>
    </row>
    <row r="13082" spans="13:19" ht="13.95" customHeight="1">
      <c r="M13082"/>
      <c r="N13082"/>
      <c r="O13082"/>
      <c r="P13082"/>
      <c r="Q13082"/>
      <c r="R13082"/>
      <c r="S13082"/>
    </row>
    <row r="13083" spans="13:19" ht="13.95" customHeight="1">
      <c r="M13083"/>
      <c r="N13083"/>
      <c r="O13083"/>
      <c r="P13083"/>
      <c r="Q13083"/>
      <c r="R13083"/>
      <c r="S13083"/>
    </row>
    <row r="13084" spans="13:19" ht="13.95" customHeight="1">
      <c r="M13084"/>
      <c r="N13084"/>
      <c r="O13084"/>
      <c r="P13084"/>
      <c r="Q13084"/>
      <c r="R13084"/>
      <c r="S13084"/>
    </row>
    <row r="13085" spans="13:19" ht="13.95" customHeight="1">
      <c r="M13085"/>
      <c r="N13085"/>
      <c r="O13085"/>
      <c r="P13085"/>
      <c r="Q13085"/>
      <c r="R13085"/>
      <c r="S13085"/>
    </row>
    <row r="13086" spans="13:19" ht="13.95" customHeight="1">
      <c r="M13086"/>
      <c r="N13086"/>
      <c r="O13086"/>
      <c r="P13086"/>
      <c r="Q13086"/>
      <c r="R13086"/>
      <c r="S13086"/>
    </row>
    <row r="13087" spans="13:19" ht="13.95" customHeight="1">
      <c r="M13087"/>
      <c r="N13087"/>
      <c r="O13087"/>
      <c r="P13087"/>
      <c r="Q13087"/>
      <c r="R13087"/>
      <c r="S13087"/>
    </row>
    <row r="13088" spans="13:19" ht="13.95" customHeight="1">
      <c r="M13088"/>
      <c r="N13088"/>
      <c r="O13088"/>
      <c r="P13088"/>
      <c r="Q13088"/>
      <c r="R13088"/>
      <c r="S13088"/>
    </row>
    <row r="13089" spans="13:19" ht="13.95" customHeight="1">
      <c r="M13089"/>
      <c r="N13089"/>
      <c r="O13089"/>
      <c r="P13089"/>
      <c r="Q13089"/>
      <c r="R13089"/>
      <c r="S13089"/>
    </row>
    <row r="13090" spans="13:19" ht="13.95" customHeight="1">
      <c r="M13090"/>
      <c r="N13090"/>
      <c r="O13090"/>
      <c r="P13090"/>
      <c r="Q13090"/>
      <c r="R13090"/>
      <c r="S13090"/>
    </row>
    <row r="13091" spans="13:19" ht="13.95" customHeight="1">
      <c r="M13091"/>
      <c r="N13091"/>
      <c r="O13091"/>
      <c r="P13091"/>
      <c r="Q13091"/>
      <c r="R13091"/>
      <c r="S13091"/>
    </row>
    <row r="13092" spans="13:19" ht="13.95" customHeight="1">
      <c r="M13092"/>
      <c r="N13092"/>
      <c r="O13092"/>
      <c r="P13092"/>
      <c r="Q13092"/>
      <c r="R13092"/>
      <c r="S13092"/>
    </row>
    <row r="13093" spans="13:19" ht="13.95" customHeight="1">
      <c r="M13093"/>
      <c r="N13093"/>
      <c r="O13093"/>
      <c r="P13093"/>
      <c r="Q13093"/>
      <c r="R13093"/>
      <c r="S13093"/>
    </row>
    <row r="13094" spans="13:19" ht="13.95" customHeight="1">
      <c r="M13094"/>
      <c r="N13094"/>
      <c r="O13094"/>
      <c r="P13094"/>
      <c r="Q13094"/>
      <c r="R13094"/>
      <c r="S13094"/>
    </row>
    <row r="13095" spans="13:19" ht="13.95" customHeight="1">
      <c r="M13095"/>
      <c r="N13095"/>
      <c r="O13095"/>
      <c r="P13095"/>
      <c r="Q13095"/>
      <c r="R13095"/>
      <c r="S13095"/>
    </row>
    <row r="13096" spans="13:19" ht="13.95" customHeight="1">
      <c r="M13096"/>
      <c r="N13096"/>
      <c r="O13096"/>
      <c r="P13096"/>
      <c r="Q13096"/>
      <c r="R13096"/>
      <c r="S13096"/>
    </row>
    <row r="13097" spans="13:19" ht="13.95" customHeight="1">
      <c r="M13097"/>
      <c r="N13097"/>
      <c r="O13097"/>
      <c r="P13097"/>
      <c r="Q13097"/>
      <c r="R13097"/>
      <c r="S13097"/>
    </row>
    <row r="13098" spans="13:19" ht="13.95" customHeight="1">
      <c r="M13098"/>
      <c r="N13098"/>
      <c r="O13098"/>
      <c r="P13098"/>
      <c r="Q13098"/>
      <c r="R13098"/>
      <c r="S13098"/>
    </row>
    <row r="13099" spans="13:19" ht="13.95" customHeight="1">
      <c r="M13099"/>
      <c r="N13099"/>
      <c r="O13099"/>
      <c r="P13099"/>
      <c r="Q13099"/>
      <c r="R13099"/>
      <c r="S13099"/>
    </row>
    <row r="13100" spans="13:19" ht="13.95" customHeight="1">
      <c r="M13100"/>
      <c r="N13100"/>
      <c r="O13100"/>
      <c r="P13100"/>
      <c r="Q13100"/>
      <c r="R13100"/>
      <c r="S13100"/>
    </row>
    <row r="13101" spans="13:19" ht="13.95" customHeight="1">
      <c r="M13101"/>
      <c r="N13101"/>
      <c r="O13101"/>
      <c r="P13101"/>
      <c r="Q13101"/>
      <c r="R13101"/>
      <c r="S13101"/>
    </row>
    <row r="13102" spans="13:19" ht="13.95" customHeight="1">
      <c r="M13102"/>
      <c r="N13102"/>
      <c r="O13102"/>
      <c r="P13102"/>
      <c r="Q13102"/>
      <c r="R13102"/>
      <c r="S13102"/>
    </row>
    <row r="13103" spans="13:19" ht="13.95" customHeight="1">
      <c r="M13103"/>
      <c r="N13103"/>
      <c r="O13103"/>
      <c r="P13103"/>
      <c r="Q13103"/>
      <c r="R13103"/>
      <c r="S13103"/>
    </row>
    <row r="13104" spans="13:19" ht="13.95" customHeight="1">
      <c r="M13104"/>
      <c r="N13104"/>
      <c r="O13104"/>
      <c r="P13104"/>
      <c r="Q13104"/>
      <c r="R13104"/>
      <c r="S13104"/>
    </row>
    <row r="13105" spans="13:19" ht="13.95" customHeight="1">
      <c r="M13105"/>
      <c r="N13105"/>
      <c r="O13105"/>
      <c r="P13105"/>
      <c r="Q13105"/>
      <c r="R13105"/>
      <c r="S13105"/>
    </row>
    <row r="13106" spans="13:19" ht="13.95" customHeight="1">
      <c r="M13106"/>
      <c r="N13106"/>
      <c r="O13106"/>
      <c r="P13106"/>
      <c r="Q13106"/>
      <c r="R13106"/>
      <c r="S13106"/>
    </row>
    <row r="13107" spans="13:19" ht="13.95" customHeight="1">
      <c r="M13107"/>
      <c r="N13107"/>
      <c r="O13107"/>
      <c r="P13107"/>
      <c r="Q13107"/>
      <c r="R13107"/>
      <c r="S13107"/>
    </row>
    <row r="13108" spans="13:19" ht="13.95" customHeight="1">
      <c r="M13108"/>
      <c r="N13108"/>
      <c r="O13108"/>
      <c r="P13108"/>
      <c r="Q13108"/>
      <c r="R13108"/>
      <c r="S13108"/>
    </row>
    <row r="13109" spans="13:19" ht="13.95" customHeight="1">
      <c r="M13109"/>
      <c r="N13109"/>
      <c r="O13109"/>
      <c r="P13109"/>
      <c r="Q13109"/>
      <c r="R13109"/>
      <c r="S13109"/>
    </row>
    <row r="13110" spans="13:19" ht="13.95" customHeight="1">
      <c r="M13110"/>
      <c r="N13110"/>
      <c r="O13110"/>
      <c r="P13110"/>
      <c r="Q13110"/>
      <c r="R13110"/>
      <c r="S13110"/>
    </row>
    <row r="13111" spans="13:19" ht="13.95" customHeight="1">
      <c r="M13111"/>
      <c r="N13111"/>
      <c r="O13111"/>
      <c r="P13111"/>
      <c r="Q13111"/>
      <c r="R13111"/>
      <c r="S13111"/>
    </row>
    <row r="13112" spans="13:19" ht="13.95" customHeight="1">
      <c r="M13112"/>
      <c r="N13112"/>
      <c r="O13112"/>
      <c r="P13112"/>
      <c r="Q13112"/>
      <c r="R13112"/>
      <c r="S13112"/>
    </row>
    <row r="13113" spans="13:19" ht="13.95" customHeight="1">
      <c r="M13113"/>
      <c r="N13113"/>
      <c r="O13113"/>
      <c r="P13113"/>
      <c r="Q13113"/>
      <c r="R13113"/>
      <c r="S13113"/>
    </row>
    <row r="13114" spans="13:19" ht="13.95" customHeight="1">
      <c r="M13114"/>
      <c r="N13114"/>
      <c r="O13114"/>
      <c r="P13114"/>
      <c r="Q13114"/>
      <c r="R13114"/>
      <c r="S13114"/>
    </row>
    <row r="13115" spans="13:19" ht="13.95" customHeight="1">
      <c r="M13115"/>
      <c r="N13115"/>
      <c r="O13115"/>
      <c r="P13115"/>
      <c r="Q13115"/>
      <c r="R13115"/>
      <c r="S13115"/>
    </row>
    <row r="13116" spans="13:19" ht="13.95" customHeight="1">
      <c r="M13116"/>
      <c r="N13116"/>
      <c r="O13116"/>
      <c r="P13116"/>
      <c r="Q13116"/>
      <c r="R13116"/>
      <c r="S13116"/>
    </row>
    <row r="13117" spans="13:19" ht="13.95" customHeight="1">
      <c r="M13117"/>
      <c r="N13117"/>
      <c r="O13117"/>
      <c r="P13117"/>
      <c r="Q13117"/>
      <c r="R13117"/>
      <c r="S13117"/>
    </row>
    <row r="13118" spans="13:19" ht="13.95" customHeight="1">
      <c r="M13118"/>
      <c r="N13118"/>
      <c r="O13118"/>
      <c r="P13118"/>
      <c r="Q13118"/>
      <c r="R13118"/>
      <c r="S13118"/>
    </row>
    <row r="13119" spans="13:19" ht="13.95" customHeight="1">
      <c r="M13119"/>
      <c r="N13119"/>
      <c r="O13119"/>
      <c r="P13119"/>
      <c r="Q13119"/>
      <c r="R13119"/>
      <c r="S13119"/>
    </row>
    <row r="13120" spans="13:19" ht="13.95" customHeight="1">
      <c r="M13120"/>
      <c r="N13120"/>
      <c r="O13120"/>
      <c r="P13120"/>
      <c r="Q13120"/>
      <c r="R13120"/>
      <c r="S13120"/>
    </row>
    <row r="13121" spans="13:19" ht="13.95" customHeight="1">
      <c r="M13121"/>
      <c r="N13121"/>
      <c r="O13121"/>
      <c r="P13121"/>
      <c r="Q13121"/>
      <c r="R13121"/>
      <c r="S13121"/>
    </row>
    <row r="13122" spans="13:19" ht="13.95" customHeight="1">
      <c r="M13122"/>
      <c r="N13122"/>
      <c r="O13122"/>
      <c r="P13122"/>
      <c r="Q13122"/>
      <c r="R13122"/>
      <c r="S13122"/>
    </row>
    <row r="13123" spans="13:19" ht="13.95" customHeight="1">
      <c r="M13123"/>
      <c r="N13123"/>
      <c r="O13123"/>
      <c r="P13123"/>
      <c r="Q13123"/>
      <c r="R13123"/>
      <c r="S13123"/>
    </row>
    <row r="13124" spans="13:19" ht="13.95" customHeight="1">
      <c r="M13124"/>
      <c r="N13124"/>
      <c r="O13124"/>
      <c r="P13124"/>
      <c r="Q13124"/>
      <c r="R13124"/>
      <c r="S13124"/>
    </row>
    <row r="13125" spans="13:19" ht="13.95" customHeight="1">
      <c r="M13125"/>
      <c r="N13125"/>
      <c r="O13125"/>
      <c r="P13125"/>
      <c r="Q13125"/>
      <c r="R13125"/>
      <c r="S13125"/>
    </row>
    <row r="13126" spans="13:19" ht="13.95" customHeight="1">
      <c r="M13126"/>
      <c r="N13126"/>
      <c r="O13126"/>
      <c r="P13126"/>
      <c r="Q13126"/>
      <c r="R13126"/>
      <c r="S13126"/>
    </row>
    <row r="13127" spans="13:19" ht="13.95" customHeight="1">
      <c r="M13127"/>
      <c r="N13127"/>
      <c r="O13127"/>
      <c r="P13127"/>
      <c r="Q13127"/>
      <c r="R13127"/>
      <c r="S13127"/>
    </row>
    <row r="13128" spans="13:19" ht="13.95" customHeight="1">
      <c r="M13128"/>
      <c r="N13128"/>
      <c r="O13128"/>
      <c r="P13128"/>
      <c r="Q13128"/>
      <c r="R13128"/>
      <c r="S13128"/>
    </row>
    <row r="13129" spans="13:19" ht="13.95" customHeight="1">
      <c r="M13129"/>
      <c r="N13129"/>
      <c r="O13129"/>
      <c r="P13129"/>
      <c r="Q13129"/>
      <c r="R13129"/>
      <c r="S13129"/>
    </row>
    <row r="13130" spans="13:19" ht="13.95" customHeight="1">
      <c r="M13130"/>
      <c r="N13130"/>
      <c r="O13130"/>
      <c r="P13130"/>
      <c r="Q13130"/>
      <c r="R13130"/>
      <c r="S13130"/>
    </row>
    <row r="13131" spans="13:19" ht="13.95" customHeight="1">
      <c r="M13131"/>
      <c r="N13131"/>
      <c r="O13131"/>
      <c r="P13131"/>
      <c r="Q13131"/>
      <c r="R13131"/>
      <c r="S13131"/>
    </row>
    <row r="13132" spans="13:19" ht="13.95" customHeight="1">
      <c r="M13132"/>
      <c r="N13132"/>
      <c r="O13132"/>
      <c r="P13132"/>
      <c r="Q13132"/>
      <c r="R13132"/>
      <c r="S13132"/>
    </row>
    <row r="13133" spans="13:19" ht="13.95" customHeight="1">
      <c r="M13133"/>
      <c r="N13133"/>
      <c r="O13133"/>
      <c r="P13133"/>
      <c r="Q13133"/>
      <c r="R13133"/>
      <c r="S13133"/>
    </row>
    <row r="13134" spans="13:19" ht="13.95" customHeight="1">
      <c r="M13134"/>
      <c r="N13134"/>
      <c r="O13134"/>
      <c r="P13134"/>
      <c r="Q13134"/>
      <c r="R13134"/>
      <c r="S13134"/>
    </row>
    <row r="13135" spans="13:19" ht="13.95" customHeight="1">
      <c r="M13135"/>
      <c r="N13135"/>
      <c r="O13135"/>
      <c r="P13135"/>
      <c r="Q13135"/>
      <c r="R13135"/>
      <c r="S13135"/>
    </row>
    <row r="13136" spans="13:19" ht="13.95" customHeight="1">
      <c r="M13136"/>
      <c r="N13136"/>
      <c r="O13136"/>
      <c r="P13136"/>
      <c r="Q13136"/>
      <c r="R13136"/>
      <c r="S13136"/>
    </row>
    <row r="13137" spans="13:19" ht="13.95" customHeight="1">
      <c r="M13137"/>
      <c r="N13137"/>
      <c r="O13137"/>
      <c r="P13137"/>
      <c r="Q13137"/>
      <c r="R13137"/>
      <c r="S13137"/>
    </row>
    <row r="13138" spans="13:19" ht="13.95" customHeight="1">
      <c r="M13138"/>
      <c r="N13138"/>
      <c r="O13138"/>
      <c r="P13138"/>
      <c r="Q13138"/>
      <c r="R13138"/>
      <c r="S13138"/>
    </row>
    <row r="13139" spans="13:19" ht="13.95" customHeight="1">
      <c r="M13139"/>
      <c r="N13139"/>
      <c r="O13139"/>
      <c r="P13139"/>
      <c r="Q13139"/>
      <c r="R13139"/>
      <c r="S13139"/>
    </row>
    <row r="13140" spans="13:19" ht="13.95" customHeight="1">
      <c r="M13140"/>
      <c r="N13140"/>
      <c r="O13140"/>
      <c r="P13140"/>
      <c r="Q13140"/>
      <c r="R13140"/>
      <c r="S13140"/>
    </row>
    <row r="13141" spans="13:19" ht="13.95" customHeight="1">
      <c r="M13141"/>
      <c r="N13141"/>
      <c r="O13141"/>
      <c r="P13141"/>
      <c r="Q13141"/>
      <c r="R13141"/>
      <c r="S13141"/>
    </row>
    <row r="13142" spans="13:19" ht="13.95" customHeight="1">
      <c r="M13142"/>
      <c r="N13142"/>
      <c r="O13142"/>
      <c r="P13142"/>
      <c r="Q13142"/>
      <c r="R13142"/>
      <c r="S13142"/>
    </row>
    <row r="13143" spans="13:19" ht="13.95" customHeight="1">
      <c r="M13143"/>
      <c r="N13143"/>
      <c r="O13143"/>
      <c r="P13143"/>
      <c r="Q13143"/>
      <c r="R13143"/>
      <c r="S13143"/>
    </row>
    <row r="13144" spans="13:19" ht="13.95" customHeight="1">
      <c r="M13144"/>
      <c r="N13144"/>
      <c r="O13144"/>
      <c r="P13144"/>
      <c r="Q13144"/>
      <c r="R13144"/>
      <c r="S13144"/>
    </row>
    <row r="13145" spans="13:19" ht="13.95" customHeight="1">
      <c r="M13145"/>
      <c r="N13145"/>
      <c r="O13145"/>
      <c r="P13145"/>
      <c r="Q13145"/>
      <c r="R13145"/>
      <c r="S13145"/>
    </row>
    <row r="13146" spans="13:19" ht="13.95" customHeight="1">
      <c r="M13146"/>
      <c r="N13146"/>
      <c r="O13146"/>
      <c r="P13146"/>
      <c r="Q13146"/>
      <c r="R13146"/>
      <c r="S13146"/>
    </row>
    <row r="13147" spans="13:19" ht="13.95" customHeight="1">
      <c r="M13147"/>
      <c r="N13147"/>
      <c r="O13147"/>
      <c r="P13147"/>
      <c r="Q13147"/>
      <c r="R13147"/>
      <c r="S13147"/>
    </row>
    <row r="13148" spans="13:19" ht="13.95" customHeight="1">
      <c r="M13148"/>
      <c r="N13148"/>
      <c r="O13148"/>
      <c r="P13148"/>
      <c r="Q13148"/>
      <c r="R13148"/>
      <c r="S13148"/>
    </row>
    <row r="13149" spans="13:19" ht="13.95" customHeight="1">
      <c r="M13149"/>
      <c r="N13149"/>
      <c r="O13149"/>
      <c r="P13149"/>
      <c r="Q13149"/>
      <c r="R13149"/>
      <c r="S13149"/>
    </row>
    <row r="13150" spans="13:19" ht="13.95" customHeight="1">
      <c r="M13150"/>
      <c r="N13150"/>
      <c r="O13150"/>
      <c r="P13150"/>
      <c r="Q13150"/>
      <c r="R13150"/>
      <c r="S13150"/>
    </row>
    <row r="13151" spans="13:19" ht="13.95" customHeight="1">
      <c r="M13151"/>
      <c r="N13151"/>
      <c r="O13151"/>
      <c r="P13151"/>
      <c r="Q13151"/>
      <c r="R13151"/>
      <c r="S13151"/>
    </row>
    <row r="13152" spans="13:19" ht="13.95" customHeight="1">
      <c r="M13152"/>
      <c r="N13152"/>
      <c r="O13152"/>
      <c r="P13152"/>
      <c r="Q13152"/>
      <c r="R13152"/>
      <c r="S13152"/>
    </row>
    <row r="13153" spans="13:19" ht="13.95" customHeight="1">
      <c r="M13153"/>
      <c r="N13153"/>
      <c r="O13153"/>
      <c r="P13153"/>
      <c r="Q13153"/>
      <c r="R13153"/>
      <c r="S13153"/>
    </row>
    <row r="13154" spans="13:19" ht="13.95" customHeight="1">
      <c r="M13154"/>
      <c r="N13154"/>
      <c r="O13154"/>
      <c r="P13154"/>
      <c r="Q13154"/>
      <c r="R13154"/>
      <c r="S13154"/>
    </row>
    <row r="13155" spans="13:19" ht="13.95" customHeight="1">
      <c r="M13155"/>
      <c r="N13155"/>
      <c r="O13155"/>
      <c r="P13155"/>
      <c r="Q13155"/>
      <c r="R13155"/>
      <c r="S13155"/>
    </row>
    <row r="13156" spans="13:19" ht="13.95" customHeight="1">
      <c r="M13156"/>
      <c r="N13156"/>
      <c r="O13156"/>
      <c r="P13156"/>
      <c r="Q13156"/>
      <c r="R13156"/>
      <c r="S13156"/>
    </row>
    <row r="13157" spans="13:19" ht="13.95" customHeight="1">
      <c r="M13157"/>
      <c r="N13157"/>
      <c r="O13157"/>
      <c r="P13157"/>
      <c r="Q13157"/>
      <c r="R13157"/>
      <c r="S13157"/>
    </row>
    <row r="13158" spans="13:19" ht="13.95" customHeight="1">
      <c r="M13158"/>
      <c r="N13158"/>
      <c r="O13158"/>
      <c r="P13158"/>
      <c r="Q13158"/>
      <c r="R13158"/>
      <c r="S13158"/>
    </row>
    <row r="13159" spans="13:19" ht="13.95" customHeight="1">
      <c r="M13159"/>
      <c r="N13159"/>
      <c r="O13159"/>
      <c r="P13159"/>
      <c r="Q13159"/>
      <c r="R13159"/>
      <c r="S13159"/>
    </row>
    <row r="13160" spans="13:19" ht="13.95" customHeight="1">
      <c r="M13160"/>
      <c r="N13160"/>
      <c r="O13160"/>
      <c r="P13160"/>
      <c r="Q13160"/>
      <c r="R13160"/>
      <c r="S13160"/>
    </row>
    <row r="13161" spans="13:19" ht="13.95" customHeight="1">
      <c r="M13161"/>
      <c r="N13161"/>
      <c r="O13161"/>
      <c r="P13161"/>
      <c r="Q13161"/>
      <c r="R13161"/>
      <c r="S13161"/>
    </row>
    <row r="13162" spans="13:19" ht="13.95" customHeight="1">
      <c r="M13162"/>
      <c r="N13162"/>
      <c r="O13162"/>
      <c r="P13162"/>
      <c r="Q13162"/>
      <c r="R13162"/>
      <c r="S13162"/>
    </row>
    <row r="13163" spans="13:19" ht="13.95" customHeight="1">
      <c r="M13163"/>
      <c r="N13163"/>
      <c r="O13163"/>
      <c r="P13163"/>
      <c r="Q13163"/>
      <c r="R13163"/>
      <c r="S13163"/>
    </row>
    <row r="13164" spans="13:19" ht="13.95" customHeight="1">
      <c r="M13164"/>
      <c r="N13164"/>
      <c r="O13164"/>
      <c r="P13164"/>
      <c r="Q13164"/>
      <c r="R13164"/>
      <c r="S13164"/>
    </row>
    <row r="13165" spans="13:19" ht="13.95" customHeight="1">
      <c r="M13165"/>
      <c r="N13165"/>
      <c r="O13165"/>
      <c r="P13165"/>
      <c r="Q13165"/>
      <c r="R13165"/>
      <c r="S13165"/>
    </row>
    <row r="13166" spans="13:19" ht="13.95" customHeight="1">
      <c r="M13166"/>
      <c r="N13166"/>
      <c r="O13166"/>
      <c r="P13166"/>
      <c r="Q13166"/>
      <c r="R13166"/>
      <c r="S13166"/>
    </row>
    <row r="13167" spans="13:19" ht="13.95" customHeight="1">
      <c r="M13167"/>
      <c r="N13167"/>
      <c r="O13167"/>
      <c r="P13167"/>
      <c r="Q13167"/>
      <c r="R13167"/>
      <c r="S13167"/>
    </row>
    <row r="13168" spans="13:19" ht="13.95" customHeight="1">
      <c r="M13168"/>
      <c r="N13168"/>
      <c r="O13168"/>
      <c r="P13168"/>
      <c r="Q13168"/>
      <c r="R13168"/>
      <c r="S13168"/>
    </row>
    <row r="13169" spans="13:19" ht="13.95" customHeight="1">
      <c r="M13169"/>
      <c r="N13169"/>
      <c r="O13169"/>
      <c r="P13169"/>
      <c r="Q13169"/>
      <c r="R13169"/>
      <c r="S13169"/>
    </row>
    <row r="13170" spans="13:19" ht="13.95" customHeight="1">
      <c r="M13170"/>
      <c r="N13170"/>
      <c r="O13170"/>
      <c r="P13170"/>
      <c r="Q13170"/>
      <c r="R13170"/>
      <c r="S13170"/>
    </row>
    <row r="13171" spans="13:19" ht="13.95" customHeight="1">
      <c r="M13171"/>
      <c r="N13171"/>
      <c r="O13171"/>
      <c r="P13171"/>
      <c r="Q13171"/>
      <c r="R13171"/>
      <c r="S13171"/>
    </row>
    <row r="13172" spans="13:19" ht="13.95" customHeight="1">
      <c r="M13172"/>
      <c r="N13172"/>
      <c r="O13172"/>
      <c r="P13172"/>
      <c r="Q13172"/>
      <c r="R13172"/>
      <c r="S13172"/>
    </row>
    <row r="13173" spans="13:19" ht="13.95" customHeight="1">
      <c r="M13173"/>
      <c r="N13173"/>
      <c r="O13173"/>
      <c r="P13173"/>
      <c r="Q13173"/>
      <c r="R13173"/>
      <c r="S13173"/>
    </row>
    <row r="13174" spans="13:19" ht="13.95" customHeight="1">
      <c r="M13174"/>
      <c r="N13174"/>
      <c r="O13174"/>
      <c r="P13174"/>
      <c r="Q13174"/>
      <c r="R13174"/>
      <c r="S13174"/>
    </row>
    <row r="13175" spans="13:19" ht="13.95" customHeight="1">
      <c r="M13175"/>
      <c r="N13175"/>
      <c r="O13175"/>
      <c r="P13175"/>
      <c r="Q13175"/>
      <c r="R13175"/>
      <c r="S13175"/>
    </row>
    <row r="13176" spans="13:19" ht="13.95" customHeight="1">
      <c r="M13176"/>
      <c r="N13176"/>
      <c r="O13176"/>
      <c r="P13176"/>
      <c r="Q13176"/>
      <c r="R13176"/>
      <c r="S13176"/>
    </row>
    <row r="13177" spans="13:19" ht="13.95" customHeight="1">
      <c r="M13177"/>
      <c r="N13177"/>
      <c r="O13177"/>
      <c r="P13177"/>
      <c r="Q13177"/>
      <c r="R13177"/>
      <c r="S13177"/>
    </row>
    <row r="13178" spans="13:19" ht="13.95" customHeight="1">
      <c r="M13178"/>
      <c r="N13178"/>
      <c r="O13178"/>
      <c r="P13178"/>
      <c r="Q13178"/>
      <c r="R13178"/>
      <c r="S13178"/>
    </row>
    <row r="13179" spans="13:19" ht="13.95" customHeight="1">
      <c r="M13179"/>
      <c r="N13179"/>
      <c r="O13179"/>
      <c r="P13179"/>
      <c r="Q13179"/>
      <c r="R13179"/>
      <c r="S13179"/>
    </row>
    <row r="13180" spans="13:19" ht="13.95" customHeight="1">
      <c r="M13180"/>
      <c r="N13180"/>
      <c r="O13180"/>
      <c r="P13180"/>
      <c r="Q13180"/>
      <c r="R13180"/>
      <c r="S13180"/>
    </row>
    <row r="13181" spans="13:19" ht="13.95" customHeight="1">
      <c r="M13181"/>
      <c r="N13181"/>
      <c r="O13181"/>
      <c r="P13181"/>
      <c r="Q13181"/>
      <c r="R13181"/>
      <c r="S13181"/>
    </row>
    <row r="13182" spans="13:19" ht="13.95" customHeight="1">
      <c r="M13182"/>
      <c r="N13182"/>
      <c r="O13182"/>
      <c r="P13182"/>
      <c r="Q13182"/>
      <c r="R13182"/>
      <c r="S13182"/>
    </row>
    <row r="13183" spans="13:19" ht="13.95" customHeight="1">
      <c r="M13183"/>
      <c r="N13183"/>
      <c r="O13183"/>
      <c r="P13183"/>
      <c r="Q13183"/>
      <c r="R13183"/>
      <c r="S13183"/>
    </row>
    <row r="13184" spans="13:19" ht="13.95" customHeight="1">
      <c r="M13184"/>
      <c r="N13184"/>
      <c r="O13184"/>
      <c r="P13184"/>
      <c r="Q13184"/>
      <c r="R13184"/>
      <c r="S13184"/>
    </row>
    <row r="13185" spans="13:19" ht="13.95" customHeight="1">
      <c r="M13185"/>
      <c r="N13185"/>
      <c r="O13185"/>
      <c r="P13185"/>
      <c r="Q13185"/>
      <c r="R13185"/>
      <c r="S13185"/>
    </row>
    <row r="13186" spans="13:19" ht="13.95" customHeight="1">
      <c r="M13186"/>
      <c r="N13186"/>
      <c r="O13186"/>
      <c r="P13186"/>
      <c r="Q13186"/>
      <c r="R13186"/>
      <c r="S13186"/>
    </row>
    <row r="13187" spans="13:19" ht="13.95" customHeight="1">
      <c r="M13187"/>
      <c r="N13187"/>
      <c r="O13187"/>
      <c r="P13187"/>
      <c r="Q13187"/>
      <c r="R13187"/>
      <c r="S13187"/>
    </row>
    <row r="13188" spans="13:19" ht="13.95" customHeight="1">
      <c r="M13188"/>
      <c r="N13188"/>
      <c r="O13188"/>
      <c r="P13188"/>
      <c r="Q13188"/>
      <c r="R13188"/>
      <c r="S13188"/>
    </row>
    <row r="13189" spans="13:19" ht="13.95" customHeight="1">
      <c r="M13189"/>
      <c r="N13189"/>
      <c r="O13189"/>
      <c r="P13189"/>
      <c r="Q13189"/>
      <c r="R13189"/>
      <c r="S13189"/>
    </row>
    <row r="13190" spans="13:19" ht="13.95" customHeight="1">
      <c r="M13190"/>
      <c r="N13190"/>
      <c r="O13190"/>
      <c r="P13190"/>
      <c r="Q13190"/>
      <c r="R13190"/>
      <c r="S13190"/>
    </row>
    <row r="13191" spans="13:19" ht="13.95" customHeight="1">
      <c r="M13191"/>
      <c r="N13191"/>
      <c r="O13191"/>
      <c r="P13191"/>
      <c r="Q13191"/>
      <c r="R13191"/>
      <c r="S13191"/>
    </row>
    <row r="13192" spans="13:19" ht="13.95" customHeight="1">
      <c r="M13192"/>
      <c r="N13192"/>
      <c r="O13192"/>
      <c r="P13192"/>
      <c r="Q13192"/>
      <c r="R13192"/>
      <c r="S13192"/>
    </row>
    <row r="13193" spans="13:19" ht="13.95" customHeight="1">
      <c r="M13193"/>
      <c r="N13193"/>
      <c r="O13193"/>
      <c r="P13193"/>
      <c r="Q13193"/>
      <c r="R13193"/>
      <c r="S13193"/>
    </row>
    <row r="13194" spans="13:19" ht="13.95" customHeight="1">
      <c r="M13194"/>
      <c r="N13194"/>
      <c r="O13194"/>
      <c r="P13194"/>
      <c r="Q13194"/>
      <c r="R13194"/>
      <c r="S13194"/>
    </row>
    <row r="13195" spans="13:19" ht="13.95" customHeight="1">
      <c r="M13195"/>
      <c r="N13195"/>
      <c r="O13195"/>
      <c r="P13195"/>
      <c r="Q13195"/>
      <c r="R13195"/>
      <c r="S13195"/>
    </row>
    <row r="13196" spans="13:19" ht="13.95" customHeight="1">
      <c r="M13196"/>
      <c r="N13196"/>
      <c r="O13196"/>
      <c r="P13196"/>
      <c r="Q13196"/>
      <c r="R13196"/>
      <c r="S13196"/>
    </row>
    <row r="13197" spans="13:19" ht="13.95" customHeight="1">
      <c r="M13197"/>
      <c r="N13197"/>
      <c r="O13197"/>
      <c r="P13197"/>
      <c r="Q13197"/>
      <c r="R13197"/>
      <c r="S13197"/>
    </row>
    <row r="13198" spans="13:19" ht="13.95" customHeight="1">
      <c r="M13198"/>
      <c r="N13198"/>
      <c r="O13198"/>
      <c r="P13198"/>
      <c r="Q13198"/>
      <c r="R13198"/>
      <c r="S13198"/>
    </row>
    <row r="13199" spans="13:19" ht="13.95" customHeight="1">
      <c r="M13199"/>
      <c r="N13199"/>
      <c r="O13199"/>
      <c r="P13199"/>
      <c r="Q13199"/>
      <c r="R13199"/>
      <c r="S13199"/>
    </row>
    <row r="13200" spans="13:19" ht="13.95" customHeight="1">
      <c r="M13200"/>
      <c r="N13200"/>
      <c r="O13200"/>
      <c r="P13200"/>
      <c r="Q13200"/>
      <c r="R13200"/>
      <c r="S13200"/>
    </row>
    <row r="13201" spans="13:19" ht="13.95" customHeight="1">
      <c r="M13201"/>
      <c r="N13201"/>
      <c r="O13201"/>
      <c r="P13201"/>
      <c r="Q13201"/>
      <c r="R13201"/>
      <c r="S13201"/>
    </row>
    <row r="13202" spans="13:19" ht="13.95" customHeight="1">
      <c r="M13202"/>
      <c r="N13202"/>
      <c r="O13202"/>
      <c r="P13202"/>
      <c r="Q13202"/>
      <c r="R13202"/>
      <c r="S13202"/>
    </row>
    <row r="13203" spans="13:19" ht="13.95" customHeight="1">
      <c r="M13203"/>
      <c r="N13203"/>
      <c r="O13203"/>
      <c r="P13203"/>
      <c r="Q13203"/>
      <c r="R13203"/>
      <c r="S13203"/>
    </row>
    <row r="13204" spans="13:19" ht="13.95" customHeight="1">
      <c r="M13204"/>
      <c r="N13204"/>
      <c r="O13204"/>
      <c r="P13204"/>
      <c r="Q13204"/>
      <c r="R13204"/>
      <c r="S13204"/>
    </row>
    <row r="13205" spans="13:19" ht="13.95" customHeight="1">
      <c r="M13205"/>
      <c r="N13205"/>
      <c r="O13205"/>
      <c r="P13205"/>
      <c r="Q13205"/>
      <c r="R13205"/>
      <c r="S13205"/>
    </row>
    <row r="13206" spans="13:19" ht="13.95" customHeight="1">
      <c r="M13206"/>
      <c r="N13206"/>
      <c r="O13206"/>
      <c r="P13206"/>
      <c r="Q13206"/>
      <c r="R13206"/>
      <c r="S13206"/>
    </row>
    <row r="13207" spans="13:19" ht="13.95" customHeight="1">
      <c r="M13207"/>
      <c r="N13207"/>
      <c r="O13207"/>
      <c r="P13207"/>
      <c r="Q13207"/>
      <c r="R13207"/>
      <c r="S13207"/>
    </row>
    <row r="13208" spans="13:19" ht="13.95" customHeight="1">
      <c r="M13208"/>
      <c r="N13208"/>
      <c r="O13208"/>
      <c r="P13208"/>
      <c r="Q13208"/>
      <c r="R13208"/>
      <c r="S13208"/>
    </row>
    <row r="13209" spans="13:19" ht="13.95" customHeight="1">
      <c r="M13209"/>
      <c r="N13209"/>
      <c r="O13209"/>
      <c r="P13209"/>
      <c r="Q13209"/>
      <c r="R13209"/>
      <c r="S13209"/>
    </row>
    <row r="13210" spans="13:19" ht="13.95" customHeight="1">
      <c r="M13210"/>
      <c r="N13210"/>
      <c r="O13210"/>
      <c r="P13210"/>
      <c r="Q13210"/>
      <c r="R13210"/>
      <c r="S13210"/>
    </row>
    <row r="13211" spans="13:19" ht="13.95" customHeight="1">
      <c r="M13211"/>
      <c r="N13211"/>
      <c r="O13211"/>
      <c r="P13211"/>
      <c r="Q13211"/>
      <c r="R13211"/>
      <c r="S13211"/>
    </row>
    <row r="13212" spans="13:19" ht="13.95" customHeight="1">
      <c r="M13212"/>
      <c r="N13212"/>
      <c r="O13212"/>
      <c r="P13212"/>
      <c r="Q13212"/>
      <c r="R13212"/>
      <c r="S13212"/>
    </row>
    <row r="13213" spans="13:19" ht="13.95" customHeight="1">
      <c r="M13213"/>
      <c r="N13213"/>
      <c r="O13213"/>
      <c r="P13213"/>
      <c r="Q13213"/>
      <c r="R13213"/>
      <c r="S13213"/>
    </row>
    <row r="13214" spans="13:19" ht="13.95" customHeight="1">
      <c r="M13214"/>
      <c r="N13214"/>
      <c r="O13214"/>
      <c r="P13214"/>
      <c r="Q13214"/>
      <c r="R13214"/>
      <c r="S13214"/>
    </row>
    <row r="13215" spans="13:19" ht="13.95" customHeight="1">
      <c r="M13215"/>
      <c r="N13215"/>
      <c r="O13215"/>
      <c r="P13215"/>
      <c r="Q13215"/>
      <c r="R13215"/>
      <c r="S13215"/>
    </row>
    <row r="13216" spans="13:19" ht="13.95" customHeight="1">
      <c r="M13216"/>
      <c r="N13216"/>
      <c r="O13216"/>
      <c r="P13216"/>
      <c r="Q13216"/>
      <c r="R13216"/>
      <c r="S13216"/>
    </row>
    <row r="13217" spans="13:19" ht="13.95" customHeight="1">
      <c r="M13217"/>
      <c r="N13217"/>
      <c r="O13217"/>
      <c r="P13217"/>
      <c r="Q13217"/>
      <c r="R13217"/>
      <c r="S13217"/>
    </row>
    <row r="13218" spans="13:19" ht="13.95" customHeight="1">
      <c r="M13218"/>
      <c r="N13218"/>
      <c r="O13218"/>
      <c r="P13218"/>
      <c r="Q13218"/>
      <c r="R13218"/>
      <c r="S13218"/>
    </row>
    <row r="13219" spans="13:19" ht="13.95" customHeight="1">
      <c r="M13219"/>
      <c r="N13219"/>
      <c r="O13219"/>
      <c r="P13219"/>
      <c r="Q13219"/>
      <c r="R13219"/>
      <c r="S13219"/>
    </row>
    <row r="13220" spans="13:19" ht="13.95" customHeight="1">
      <c r="M13220"/>
      <c r="N13220"/>
      <c r="O13220"/>
      <c r="P13220"/>
      <c r="Q13220"/>
      <c r="R13220"/>
      <c r="S13220"/>
    </row>
    <row r="13221" spans="13:19" ht="13.95" customHeight="1">
      <c r="M13221"/>
      <c r="N13221"/>
      <c r="O13221"/>
      <c r="P13221"/>
      <c r="Q13221"/>
      <c r="R13221"/>
      <c r="S13221"/>
    </row>
    <row r="13222" spans="13:19" ht="13.95" customHeight="1">
      <c r="M13222"/>
      <c r="N13222"/>
      <c r="O13222"/>
      <c r="P13222"/>
      <c r="Q13222"/>
      <c r="R13222"/>
      <c r="S13222"/>
    </row>
    <row r="13223" spans="13:19" ht="13.95" customHeight="1">
      <c r="M13223"/>
      <c r="N13223"/>
      <c r="O13223"/>
      <c r="P13223"/>
      <c r="Q13223"/>
      <c r="R13223"/>
      <c r="S13223"/>
    </row>
    <row r="13224" spans="13:19" ht="13.95" customHeight="1">
      <c r="M13224"/>
      <c r="N13224"/>
      <c r="O13224"/>
      <c r="P13224"/>
      <c r="Q13224"/>
      <c r="R13224"/>
      <c r="S13224"/>
    </row>
    <row r="13225" spans="13:19" ht="13.95" customHeight="1">
      <c r="M13225"/>
      <c r="N13225"/>
      <c r="O13225"/>
      <c r="P13225"/>
      <c r="Q13225"/>
      <c r="R13225"/>
      <c r="S13225"/>
    </row>
    <row r="13226" spans="13:19" ht="13.95" customHeight="1">
      <c r="M13226"/>
      <c r="N13226"/>
      <c r="O13226"/>
      <c r="P13226"/>
      <c r="Q13226"/>
      <c r="R13226"/>
      <c r="S13226"/>
    </row>
    <row r="13227" spans="13:19" ht="13.95" customHeight="1">
      <c r="M13227"/>
      <c r="N13227"/>
      <c r="O13227"/>
      <c r="P13227"/>
      <c r="Q13227"/>
      <c r="R13227"/>
      <c r="S13227"/>
    </row>
    <row r="13228" spans="13:19" ht="13.95" customHeight="1">
      <c r="M13228"/>
      <c r="N13228"/>
      <c r="O13228"/>
      <c r="P13228"/>
      <c r="Q13228"/>
      <c r="R13228"/>
      <c r="S13228"/>
    </row>
    <row r="13229" spans="13:19" ht="13.95" customHeight="1">
      <c r="M13229"/>
      <c r="N13229"/>
      <c r="O13229"/>
      <c r="P13229"/>
      <c r="Q13229"/>
      <c r="R13229"/>
      <c r="S13229"/>
    </row>
    <row r="13230" spans="13:19" ht="13.95" customHeight="1">
      <c r="M13230"/>
      <c r="N13230"/>
      <c r="O13230"/>
      <c r="P13230"/>
      <c r="Q13230"/>
      <c r="R13230"/>
      <c r="S13230"/>
    </row>
    <row r="13231" spans="13:19" ht="13.95" customHeight="1">
      <c r="M13231"/>
      <c r="N13231"/>
      <c r="O13231"/>
      <c r="P13231"/>
      <c r="Q13231"/>
      <c r="R13231"/>
      <c r="S13231"/>
    </row>
    <row r="13232" spans="13:19" ht="13.95" customHeight="1">
      <c r="M13232"/>
      <c r="N13232"/>
      <c r="O13232"/>
      <c r="P13232"/>
      <c r="Q13232"/>
      <c r="R13232"/>
      <c r="S13232"/>
    </row>
    <row r="13233" spans="13:19" ht="13.95" customHeight="1">
      <c r="M13233"/>
      <c r="N13233"/>
      <c r="O13233"/>
      <c r="P13233"/>
      <c r="Q13233"/>
      <c r="R13233"/>
      <c r="S13233"/>
    </row>
    <row r="13234" spans="13:19" ht="13.95" customHeight="1">
      <c r="M13234"/>
      <c r="N13234"/>
      <c r="O13234"/>
      <c r="P13234"/>
      <c r="Q13234"/>
      <c r="R13234"/>
      <c r="S13234"/>
    </row>
    <row r="13235" spans="13:19" ht="13.95" customHeight="1">
      <c r="M13235"/>
      <c r="N13235"/>
      <c r="O13235"/>
      <c r="P13235"/>
      <c r="Q13235"/>
      <c r="R13235"/>
      <c r="S13235"/>
    </row>
    <row r="13236" spans="13:19" ht="13.95" customHeight="1">
      <c r="M13236"/>
      <c r="N13236"/>
      <c r="O13236"/>
      <c r="P13236"/>
      <c r="Q13236"/>
      <c r="R13236"/>
      <c r="S13236"/>
    </row>
    <row r="13237" spans="13:19" ht="13.95" customHeight="1">
      <c r="M13237"/>
      <c r="N13237"/>
      <c r="O13237"/>
      <c r="P13237"/>
      <c r="Q13237"/>
      <c r="R13237"/>
      <c r="S13237"/>
    </row>
    <row r="13238" spans="13:19" ht="13.95" customHeight="1">
      <c r="M13238"/>
      <c r="N13238"/>
      <c r="O13238"/>
      <c r="P13238"/>
      <c r="Q13238"/>
      <c r="R13238"/>
      <c r="S13238"/>
    </row>
    <row r="13239" spans="13:19" ht="13.95" customHeight="1">
      <c r="M13239"/>
      <c r="N13239"/>
      <c r="O13239"/>
      <c r="P13239"/>
      <c r="Q13239"/>
      <c r="R13239"/>
      <c r="S13239"/>
    </row>
    <row r="13240" spans="13:19" ht="13.95" customHeight="1">
      <c r="M13240"/>
      <c r="N13240"/>
      <c r="O13240"/>
      <c r="P13240"/>
      <c r="Q13240"/>
      <c r="R13240"/>
      <c r="S13240"/>
    </row>
    <row r="13241" spans="13:19" ht="13.95" customHeight="1">
      <c r="M13241"/>
      <c r="N13241"/>
      <c r="O13241"/>
      <c r="P13241"/>
      <c r="Q13241"/>
      <c r="R13241"/>
      <c r="S13241"/>
    </row>
    <row r="13242" spans="13:19" ht="13.95" customHeight="1">
      <c r="M13242"/>
      <c r="N13242"/>
      <c r="O13242"/>
      <c r="P13242"/>
      <c r="Q13242"/>
      <c r="R13242"/>
      <c r="S13242"/>
    </row>
    <row r="13243" spans="13:19" ht="13.95" customHeight="1">
      <c r="M13243"/>
      <c r="N13243"/>
      <c r="O13243"/>
      <c r="P13243"/>
      <c r="Q13243"/>
      <c r="R13243"/>
      <c r="S13243"/>
    </row>
    <row r="13244" spans="13:19" ht="13.95" customHeight="1">
      <c r="M13244"/>
      <c r="N13244"/>
      <c r="O13244"/>
      <c r="P13244"/>
      <c r="Q13244"/>
      <c r="R13244"/>
      <c r="S13244"/>
    </row>
    <row r="13245" spans="13:19" ht="13.95" customHeight="1">
      <c r="M13245"/>
      <c r="N13245"/>
      <c r="O13245"/>
      <c r="P13245"/>
      <c r="Q13245"/>
      <c r="R13245"/>
      <c r="S13245"/>
    </row>
    <row r="13246" spans="13:19" ht="13.95" customHeight="1">
      <c r="M13246"/>
      <c r="N13246"/>
      <c r="O13246"/>
      <c r="P13246"/>
      <c r="Q13246"/>
      <c r="R13246"/>
      <c r="S13246"/>
    </row>
    <row r="13247" spans="13:19" ht="13.95" customHeight="1">
      <c r="M13247"/>
      <c r="N13247"/>
      <c r="O13247"/>
      <c r="P13247"/>
      <c r="Q13247"/>
      <c r="R13247"/>
      <c r="S13247"/>
    </row>
    <row r="13248" spans="13:19" ht="13.95" customHeight="1">
      <c r="M13248"/>
      <c r="N13248"/>
      <c r="O13248"/>
      <c r="P13248"/>
      <c r="Q13248"/>
      <c r="R13248"/>
      <c r="S13248"/>
    </row>
    <row r="13249" spans="13:19" ht="13.95" customHeight="1">
      <c r="M13249"/>
      <c r="N13249"/>
      <c r="O13249"/>
      <c r="P13249"/>
      <c r="Q13249"/>
      <c r="R13249"/>
      <c r="S13249"/>
    </row>
    <row r="13250" spans="13:19" ht="13.95" customHeight="1">
      <c r="M13250"/>
      <c r="N13250"/>
      <c r="O13250"/>
      <c r="P13250"/>
      <c r="Q13250"/>
      <c r="R13250"/>
      <c r="S13250"/>
    </row>
    <row r="13251" spans="13:19" ht="13.95" customHeight="1">
      <c r="M13251"/>
      <c r="N13251"/>
      <c r="O13251"/>
      <c r="P13251"/>
      <c r="Q13251"/>
      <c r="R13251"/>
      <c r="S13251"/>
    </row>
    <row r="13252" spans="13:19" ht="13.95" customHeight="1">
      <c r="M13252"/>
      <c r="N13252"/>
      <c r="O13252"/>
      <c r="P13252"/>
      <c r="Q13252"/>
      <c r="R13252"/>
      <c r="S13252"/>
    </row>
    <row r="13253" spans="13:19" ht="13.95" customHeight="1">
      <c r="M13253"/>
      <c r="N13253"/>
      <c r="O13253"/>
      <c r="P13253"/>
      <c r="Q13253"/>
      <c r="R13253"/>
      <c r="S13253"/>
    </row>
    <row r="13254" spans="13:19" ht="13.95" customHeight="1">
      <c r="M13254"/>
      <c r="N13254"/>
      <c r="O13254"/>
      <c r="P13254"/>
      <c r="Q13254"/>
      <c r="R13254"/>
      <c r="S13254"/>
    </row>
    <row r="13255" spans="13:19" ht="13.95" customHeight="1">
      <c r="M13255"/>
      <c r="N13255"/>
      <c r="O13255"/>
      <c r="P13255"/>
      <c r="Q13255"/>
      <c r="R13255"/>
      <c r="S13255"/>
    </row>
    <row r="13256" spans="13:19" ht="13.95" customHeight="1">
      <c r="M13256"/>
      <c r="N13256"/>
      <c r="O13256"/>
      <c r="P13256"/>
      <c r="Q13256"/>
      <c r="R13256"/>
      <c r="S13256"/>
    </row>
    <row r="13257" spans="13:19" ht="13.95" customHeight="1">
      <c r="M13257"/>
      <c r="N13257"/>
      <c r="O13257"/>
      <c r="P13257"/>
      <c r="Q13257"/>
      <c r="R13257"/>
      <c r="S13257"/>
    </row>
    <row r="13258" spans="13:19" ht="13.95" customHeight="1">
      <c r="M13258"/>
      <c r="N13258"/>
      <c r="O13258"/>
      <c r="P13258"/>
      <c r="Q13258"/>
      <c r="R13258"/>
      <c r="S13258"/>
    </row>
    <row r="13259" spans="13:19" ht="13.95" customHeight="1">
      <c r="M13259"/>
      <c r="N13259"/>
      <c r="O13259"/>
      <c r="P13259"/>
      <c r="Q13259"/>
      <c r="R13259"/>
      <c r="S13259"/>
    </row>
    <row r="13260" spans="13:19" ht="13.95" customHeight="1">
      <c r="M13260"/>
      <c r="N13260"/>
      <c r="O13260"/>
      <c r="P13260"/>
      <c r="Q13260"/>
      <c r="R13260"/>
      <c r="S13260"/>
    </row>
    <row r="13261" spans="13:19" ht="13.95" customHeight="1">
      <c r="M13261"/>
      <c r="N13261"/>
      <c r="O13261"/>
      <c r="P13261"/>
      <c r="Q13261"/>
      <c r="R13261"/>
      <c r="S13261"/>
    </row>
    <row r="13262" spans="13:19" ht="13.95" customHeight="1">
      <c r="M13262"/>
      <c r="N13262"/>
      <c r="O13262"/>
      <c r="P13262"/>
      <c r="Q13262"/>
      <c r="R13262"/>
      <c r="S13262"/>
    </row>
    <row r="13263" spans="13:19" ht="13.95" customHeight="1">
      <c r="M13263"/>
      <c r="N13263"/>
      <c r="O13263"/>
      <c r="P13263"/>
      <c r="Q13263"/>
      <c r="R13263"/>
      <c r="S13263"/>
    </row>
    <row r="13264" spans="13:19" ht="13.95" customHeight="1">
      <c r="M13264"/>
      <c r="N13264"/>
      <c r="O13264"/>
      <c r="P13264"/>
      <c r="Q13264"/>
      <c r="R13264"/>
      <c r="S13264"/>
    </row>
    <row r="13265" spans="13:19" ht="13.95" customHeight="1">
      <c r="M13265"/>
      <c r="N13265"/>
      <c r="O13265"/>
      <c r="P13265"/>
      <c r="Q13265"/>
      <c r="R13265"/>
      <c r="S13265"/>
    </row>
    <row r="13266" spans="13:19" ht="13.95" customHeight="1">
      <c r="M13266"/>
      <c r="N13266"/>
      <c r="O13266"/>
      <c r="P13266"/>
      <c r="Q13266"/>
      <c r="R13266"/>
      <c r="S13266"/>
    </row>
    <row r="13267" spans="13:19" ht="13.95" customHeight="1">
      <c r="M13267"/>
      <c r="N13267"/>
      <c r="O13267"/>
      <c r="P13267"/>
      <c r="Q13267"/>
      <c r="R13267"/>
      <c r="S13267"/>
    </row>
    <row r="13268" spans="13:19" ht="13.95" customHeight="1">
      <c r="M13268"/>
      <c r="N13268"/>
      <c r="O13268"/>
      <c r="P13268"/>
      <c r="Q13268"/>
      <c r="R13268"/>
      <c r="S13268"/>
    </row>
    <row r="13269" spans="13:19" ht="13.95" customHeight="1">
      <c r="M13269"/>
      <c r="N13269"/>
      <c r="O13269"/>
      <c r="P13269"/>
      <c r="Q13269"/>
      <c r="R13269"/>
      <c r="S13269"/>
    </row>
    <row r="13270" spans="13:19" ht="13.95" customHeight="1">
      <c r="M13270"/>
      <c r="N13270"/>
      <c r="O13270"/>
      <c r="P13270"/>
      <c r="Q13270"/>
      <c r="R13270"/>
      <c r="S13270"/>
    </row>
    <row r="13271" spans="13:19" ht="13.95" customHeight="1">
      <c r="M13271"/>
      <c r="N13271"/>
      <c r="O13271"/>
      <c r="P13271"/>
      <c r="Q13271"/>
      <c r="R13271"/>
      <c r="S13271"/>
    </row>
    <row r="13272" spans="13:19" ht="13.95" customHeight="1">
      <c r="M13272"/>
      <c r="N13272"/>
      <c r="O13272"/>
      <c r="P13272"/>
      <c r="Q13272"/>
      <c r="R13272"/>
      <c r="S13272"/>
    </row>
    <row r="13273" spans="13:19" ht="13.95" customHeight="1">
      <c r="M13273"/>
      <c r="N13273"/>
      <c r="O13273"/>
      <c r="P13273"/>
      <c r="Q13273"/>
      <c r="R13273"/>
      <c r="S13273"/>
    </row>
    <row r="13274" spans="13:19" ht="13.95" customHeight="1">
      <c r="M13274"/>
      <c r="N13274"/>
      <c r="O13274"/>
      <c r="P13274"/>
      <c r="Q13274"/>
      <c r="R13274"/>
      <c r="S13274"/>
    </row>
    <row r="13275" spans="13:19" ht="13.95" customHeight="1">
      <c r="M13275"/>
      <c r="N13275"/>
      <c r="O13275"/>
      <c r="P13275"/>
      <c r="Q13275"/>
      <c r="R13275"/>
      <c r="S13275"/>
    </row>
    <row r="13276" spans="13:19" ht="13.95" customHeight="1">
      <c r="M13276"/>
      <c r="N13276"/>
      <c r="O13276"/>
      <c r="P13276"/>
      <c r="Q13276"/>
      <c r="R13276"/>
      <c r="S13276"/>
    </row>
    <row r="13277" spans="13:19" ht="13.95" customHeight="1">
      <c r="M13277"/>
      <c r="N13277"/>
      <c r="O13277"/>
      <c r="P13277"/>
      <c r="Q13277"/>
      <c r="R13277"/>
      <c r="S13277"/>
    </row>
    <row r="13278" spans="13:19" ht="13.95" customHeight="1">
      <c r="M13278"/>
      <c r="N13278"/>
      <c r="O13278"/>
      <c r="P13278"/>
      <c r="Q13278"/>
      <c r="R13278"/>
      <c r="S13278"/>
    </row>
    <row r="13279" spans="13:19" ht="13.95" customHeight="1">
      <c r="M13279"/>
      <c r="N13279"/>
      <c r="O13279"/>
      <c r="P13279"/>
      <c r="Q13279"/>
      <c r="R13279"/>
      <c r="S13279"/>
    </row>
    <row r="13280" spans="13:19" ht="13.95" customHeight="1">
      <c r="M13280"/>
      <c r="N13280"/>
      <c r="O13280"/>
      <c r="P13280"/>
      <c r="Q13280"/>
      <c r="R13280"/>
      <c r="S13280"/>
    </row>
    <row r="13281" spans="13:19" ht="13.95" customHeight="1">
      <c r="M13281"/>
      <c r="N13281"/>
      <c r="O13281"/>
      <c r="P13281"/>
      <c r="Q13281"/>
      <c r="R13281"/>
      <c r="S13281"/>
    </row>
    <row r="13282" spans="13:19" ht="13.95" customHeight="1">
      <c r="M13282"/>
      <c r="N13282"/>
      <c r="O13282"/>
      <c r="P13282"/>
      <c r="Q13282"/>
      <c r="R13282"/>
      <c r="S13282"/>
    </row>
    <row r="13283" spans="13:19" ht="13.95" customHeight="1">
      <c r="M13283"/>
      <c r="N13283"/>
      <c r="O13283"/>
      <c r="P13283"/>
      <c r="Q13283"/>
      <c r="R13283"/>
      <c r="S13283"/>
    </row>
    <row r="13284" spans="13:19" ht="13.95" customHeight="1">
      <c r="M13284"/>
      <c r="N13284"/>
      <c r="O13284"/>
      <c r="P13284"/>
      <c r="Q13284"/>
      <c r="R13284"/>
      <c r="S13284"/>
    </row>
    <row r="13285" spans="13:19" ht="13.95" customHeight="1">
      <c r="M13285"/>
      <c r="N13285"/>
      <c r="O13285"/>
      <c r="P13285"/>
      <c r="Q13285"/>
      <c r="R13285"/>
      <c r="S13285"/>
    </row>
    <row r="13286" spans="13:19" ht="13.95" customHeight="1">
      <c r="M13286"/>
      <c r="N13286"/>
      <c r="O13286"/>
      <c r="P13286"/>
      <c r="Q13286"/>
      <c r="R13286"/>
      <c r="S13286"/>
    </row>
    <row r="13287" spans="13:19" ht="13.95" customHeight="1">
      <c r="M13287"/>
      <c r="N13287"/>
      <c r="O13287"/>
      <c r="P13287"/>
      <c r="Q13287"/>
      <c r="R13287"/>
      <c r="S13287"/>
    </row>
    <row r="13288" spans="13:19" ht="13.95" customHeight="1">
      <c r="M13288"/>
      <c r="N13288"/>
      <c r="O13288"/>
      <c r="P13288"/>
      <c r="Q13288"/>
      <c r="R13288"/>
      <c r="S13288"/>
    </row>
    <row r="13289" spans="13:19" ht="13.95" customHeight="1">
      <c r="M13289"/>
      <c r="N13289"/>
      <c r="O13289"/>
      <c r="P13289"/>
      <c r="Q13289"/>
      <c r="R13289"/>
      <c r="S13289"/>
    </row>
    <row r="13290" spans="13:19" ht="13.95" customHeight="1">
      <c r="M13290"/>
      <c r="N13290"/>
      <c r="O13290"/>
      <c r="P13290"/>
      <c r="Q13290"/>
      <c r="R13290"/>
      <c r="S13290"/>
    </row>
    <row r="13291" spans="13:19" ht="13.95" customHeight="1">
      <c r="M13291"/>
      <c r="N13291"/>
      <c r="O13291"/>
      <c r="P13291"/>
      <c r="Q13291"/>
      <c r="R13291"/>
      <c r="S13291"/>
    </row>
    <row r="13292" spans="13:19" ht="13.95" customHeight="1">
      <c r="M13292"/>
      <c r="N13292"/>
      <c r="O13292"/>
      <c r="P13292"/>
      <c r="Q13292"/>
      <c r="R13292"/>
      <c r="S13292"/>
    </row>
    <row r="13293" spans="13:19" ht="13.95" customHeight="1">
      <c r="M13293"/>
      <c r="N13293"/>
      <c r="O13293"/>
      <c r="P13293"/>
      <c r="Q13293"/>
      <c r="R13293"/>
      <c r="S13293"/>
    </row>
    <row r="13294" spans="13:19" ht="13.95" customHeight="1">
      <c r="M13294"/>
      <c r="N13294"/>
      <c r="O13294"/>
      <c r="P13294"/>
      <c r="Q13294"/>
      <c r="R13294"/>
      <c r="S13294"/>
    </row>
    <row r="13295" spans="13:19" ht="13.95" customHeight="1">
      <c r="M13295"/>
      <c r="N13295"/>
      <c r="O13295"/>
      <c r="P13295"/>
      <c r="Q13295"/>
      <c r="R13295"/>
      <c r="S13295"/>
    </row>
    <row r="13296" spans="13:19" ht="13.95" customHeight="1">
      <c r="M13296"/>
      <c r="N13296"/>
      <c r="O13296"/>
      <c r="P13296"/>
      <c r="Q13296"/>
      <c r="R13296"/>
      <c r="S13296"/>
    </row>
    <row r="13297" spans="13:19" ht="13.95" customHeight="1">
      <c r="M13297"/>
      <c r="N13297"/>
      <c r="O13297"/>
      <c r="P13297"/>
      <c r="Q13297"/>
      <c r="R13297"/>
      <c r="S13297"/>
    </row>
    <row r="13298" spans="13:19" ht="13.95" customHeight="1">
      <c r="M13298"/>
      <c r="N13298"/>
      <c r="O13298"/>
      <c r="P13298"/>
      <c r="Q13298"/>
      <c r="R13298"/>
      <c r="S13298"/>
    </row>
    <row r="13299" spans="13:19" ht="13.95" customHeight="1">
      <c r="M13299"/>
      <c r="N13299"/>
      <c r="O13299"/>
      <c r="P13299"/>
      <c r="Q13299"/>
      <c r="R13299"/>
      <c r="S13299"/>
    </row>
    <row r="13300" spans="13:19" ht="13.95" customHeight="1">
      <c r="M13300"/>
      <c r="N13300"/>
      <c r="O13300"/>
      <c r="P13300"/>
      <c r="Q13300"/>
      <c r="R13300"/>
      <c r="S13300"/>
    </row>
    <row r="13301" spans="13:19" ht="13.95" customHeight="1">
      <c r="M13301"/>
      <c r="N13301"/>
      <c r="O13301"/>
      <c r="P13301"/>
      <c r="Q13301"/>
      <c r="R13301"/>
      <c r="S13301"/>
    </row>
    <row r="13302" spans="13:19" ht="13.95" customHeight="1">
      <c r="M13302"/>
      <c r="N13302"/>
      <c r="O13302"/>
      <c r="P13302"/>
      <c r="Q13302"/>
      <c r="R13302"/>
      <c r="S13302"/>
    </row>
    <row r="13303" spans="13:19" ht="13.95" customHeight="1">
      <c r="M13303"/>
      <c r="N13303"/>
      <c r="O13303"/>
      <c r="P13303"/>
      <c r="Q13303"/>
      <c r="R13303"/>
      <c r="S13303"/>
    </row>
    <row r="13304" spans="13:19" ht="13.95" customHeight="1">
      <c r="M13304"/>
      <c r="N13304"/>
      <c r="O13304"/>
      <c r="P13304"/>
      <c r="Q13304"/>
      <c r="R13304"/>
      <c r="S13304"/>
    </row>
    <row r="13305" spans="13:19" ht="13.95" customHeight="1">
      <c r="M13305"/>
      <c r="N13305"/>
      <c r="O13305"/>
      <c r="P13305"/>
      <c r="Q13305"/>
      <c r="R13305"/>
      <c r="S13305"/>
    </row>
    <row r="13306" spans="13:19" ht="13.95" customHeight="1">
      <c r="M13306"/>
      <c r="N13306"/>
      <c r="O13306"/>
      <c r="P13306"/>
      <c r="Q13306"/>
      <c r="R13306"/>
      <c r="S13306"/>
    </row>
    <row r="13307" spans="13:19" ht="13.95" customHeight="1">
      <c r="M13307"/>
      <c r="N13307"/>
      <c r="O13307"/>
      <c r="P13307"/>
      <c r="Q13307"/>
      <c r="R13307"/>
      <c r="S13307"/>
    </row>
    <row r="13308" spans="13:19" ht="13.95" customHeight="1">
      <c r="M13308"/>
      <c r="N13308"/>
      <c r="O13308"/>
      <c r="P13308"/>
      <c r="Q13308"/>
      <c r="R13308"/>
      <c r="S13308"/>
    </row>
    <row r="13309" spans="13:19" ht="13.95" customHeight="1">
      <c r="M13309"/>
      <c r="N13309"/>
      <c r="O13309"/>
      <c r="P13309"/>
      <c r="Q13309"/>
      <c r="R13309"/>
      <c r="S13309"/>
    </row>
    <row r="13310" spans="13:19" ht="13.95" customHeight="1">
      <c r="M13310"/>
      <c r="N13310"/>
      <c r="O13310"/>
      <c r="P13310"/>
      <c r="Q13310"/>
      <c r="R13310"/>
      <c r="S13310"/>
    </row>
    <row r="13311" spans="13:19" ht="13.95" customHeight="1">
      <c r="M13311"/>
      <c r="N13311"/>
      <c r="O13311"/>
      <c r="P13311"/>
      <c r="Q13311"/>
      <c r="R13311"/>
      <c r="S13311"/>
    </row>
    <row r="13312" spans="13:19" ht="13.95" customHeight="1">
      <c r="M13312"/>
      <c r="N13312"/>
      <c r="O13312"/>
      <c r="P13312"/>
      <c r="Q13312"/>
      <c r="R13312"/>
      <c r="S13312"/>
    </row>
    <row r="13313" spans="13:19" ht="13.95" customHeight="1">
      <c r="M13313"/>
      <c r="N13313"/>
      <c r="O13313"/>
      <c r="P13313"/>
      <c r="Q13313"/>
      <c r="R13313"/>
      <c r="S13313"/>
    </row>
    <row r="13314" spans="13:19" ht="13.95" customHeight="1">
      <c r="M13314"/>
      <c r="N13314"/>
      <c r="O13314"/>
      <c r="P13314"/>
      <c r="Q13314"/>
      <c r="R13314"/>
      <c r="S13314"/>
    </row>
    <row r="13315" spans="13:19" ht="13.95" customHeight="1">
      <c r="M13315"/>
      <c r="N13315"/>
      <c r="O13315"/>
      <c r="P13315"/>
      <c r="Q13315"/>
      <c r="R13315"/>
      <c r="S13315"/>
    </row>
    <row r="13316" spans="13:19" ht="13.95" customHeight="1">
      <c r="M13316"/>
      <c r="N13316"/>
      <c r="O13316"/>
      <c r="P13316"/>
      <c r="Q13316"/>
      <c r="R13316"/>
      <c r="S13316"/>
    </row>
    <row r="13317" spans="13:19" ht="13.95" customHeight="1">
      <c r="M13317"/>
      <c r="N13317"/>
      <c r="O13317"/>
      <c r="P13317"/>
      <c r="Q13317"/>
      <c r="R13317"/>
      <c r="S13317"/>
    </row>
    <row r="13318" spans="13:19" ht="13.95" customHeight="1">
      <c r="M13318"/>
      <c r="N13318"/>
      <c r="O13318"/>
      <c r="P13318"/>
      <c r="Q13318"/>
      <c r="R13318"/>
      <c r="S13318"/>
    </row>
    <row r="13319" spans="13:19" ht="13.95" customHeight="1">
      <c r="M13319"/>
      <c r="N13319"/>
      <c r="O13319"/>
      <c r="P13319"/>
      <c r="Q13319"/>
      <c r="R13319"/>
      <c r="S13319"/>
    </row>
    <row r="13320" spans="13:19" ht="13.95" customHeight="1">
      <c r="M13320"/>
      <c r="N13320"/>
      <c r="O13320"/>
      <c r="P13320"/>
      <c r="Q13320"/>
      <c r="R13320"/>
      <c r="S13320"/>
    </row>
    <row r="13321" spans="13:19" ht="13.95" customHeight="1">
      <c r="M13321"/>
      <c r="N13321"/>
      <c r="O13321"/>
      <c r="P13321"/>
      <c r="Q13321"/>
      <c r="R13321"/>
      <c r="S13321"/>
    </row>
    <row r="13322" spans="13:19" ht="13.95" customHeight="1">
      <c r="M13322"/>
      <c r="N13322"/>
      <c r="O13322"/>
      <c r="P13322"/>
      <c r="Q13322"/>
      <c r="R13322"/>
      <c r="S13322"/>
    </row>
    <row r="13323" spans="13:19" ht="13.95" customHeight="1">
      <c r="M13323"/>
      <c r="N13323"/>
      <c r="O13323"/>
      <c r="P13323"/>
      <c r="Q13323"/>
      <c r="R13323"/>
      <c r="S13323"/>
    </row>
    <row r="13324" spans="13:19" ht="13.95" customHeight="1">
      <c r="M13324"/>
      <c r="N13324"/>
      <c r="O13324"/>
      <c r="P13324"/>
      <c r="Q13324"/>
      <c r="R13324"/>
      <c r="S13324"/>
    </row>
    <row r="13325" spans="13:19" ht="13.95" customHeight="1">
      <c r="M13325"/>
      <c r="N13325"/>
      <c r="O13325"/>
      <c r="P13325"/>
      <c r="Q13325"/>
      <c r="R13325"/>
      <c r="S13325"/>
    </row>
    <row r="13326" spans="13:19" ht="13.95" customHeight="1">
      <c r="M13326"/>
      <c r="N13326"/>
      <c r="O13326"/>
      <c r="P13326"/>
      <c r="Q13326"/>
      <c r="R13326"/>
      <c r="S13326"/>
    </row>
    <row r="13327" spans="13:19" ht="13.95" customHeight="1">
      <c r="M13327"/>
      <c r="N13327"/>
      <c r="O13327"/>
      <c r="P13327"/>
      <c r="Q13327"/>
      <c r="R13327"/>
      <c r="S13327"/>
    </row>
    <row r="13328" spans="13:19" ht="13.95" customHeight="1">
      <c r="M13328"/>
      <c r="N13328"/>
      <c r="O13328"/>
      <c r="P13328"/>
      <c r="Q13328"/>
      <c r="R13328"/>
      <c r="S13328"/>
    </row>
    <row r="13329" spans="13:19" ht="13.95" customHeight="1">
      <c r="M13329"/>
      <c r="N13329"/>
      <c r="O13329"/>
      <c r="P13329"/>
      <c r="Q13329"/>
      <c r="R13329"/>
      <c r="S13329"/>
    </row>
    <row r="13330" spans="13:19" ht="13.95" customHeight="1">
      <c r="M13330"/>
      <c r="N13330"/>
      <c r="O13330"/>
      <c r="P13330"/>
      <c r="Q13330"/>
      <c r="R13330"/>
      <c r="S13330"/>
    </row>
    <row r="13331" spans="13:19" ht="13.95" customHeight="1">
      <c r="M13331"/>
      <c r="N13331"/>
      <c r="O13331"/>
      <c r="P13331"/>
      <c r="Q13331"/>
      <c r="R13331"/>
      <c r="S13331"/>
    </row>
    <row r="13332" spans="13:19" ht="13.95" customHeight="1">
      <c r="M13332"/>
      <c r="N13332"/>
      <c r="O13332"/>
      <c r="P13332"/>
      <c r="Q13332"/>
      <c r="R13332"/>
      <c r="S13332"/>
    </row>
    <row r="13333" spans="13:19" ht="13.95" customHeight="1">
      <c r="M13333"/>
      <c r="N13333"/>
      <c r="O13333"/>
      <c r="P13333"/>
      <c r="Q13333"/>
      <c r="R13333"/>
      <c r="S13333"/>
    </row>
    <row r="13334" spans="13:19" ht="13.95" customHeight="1">
      <c r="M13334"/>
      <c r="N13334"/>
      <c r="O13334"/>
      <c r="P13334"/>
      <c r="Q13334"/>
      <c r="R13334"/>
      <c r="S13334"/>
    </row>
    <row r="13335" spans="13:19" ht="13.95" customHeight="1">
      <c r="M13335"/>
      <c r="N13335"/>
      <c r="O13335"/>
      <c r="P13335"/>
      <c r="Q13335"/>
      <c r="R13335"/>
      <c r="S13335"/>
    </row>
    <row r="13336" spans="13:19" ht="13.95" customHeight="1">
      <c r="M13336"/>
      <c r="N13336"/>
      <c r="O13336"/>
      <c r="P13336"/>
      <c r="Q13336"/>
      <c r="R13336"/>
      <c r="S13336"/>
    </row>
    <row r="13337" spans="13:19" ht="13.95" customHeight="1">
      <c r="M13337"/>
      <c r="N13337"/>
      <c r="O13337"/>
      <c r="P13337"/>
      <c r="Q13337"/>
      <c r="R13337"/>
      <c r="S13337"/>
    </row>
    <row r="13338" spans="13:19" ht="13.95" customHeight="1">
      <c r="M13338"/>
      <c r="N13338"/>
      <c r="O13338"/>
      <c r="P13338"/>
      <c r="Q13338"/>
      <c r="R13338"/>
      <c r="S13338"/>
    </row>
    <row r="13339" spans="13:19" ht="13.95" customHeight="1">
      <c r="M13339"/>
      <c r="N13339"/>
      <c r="O13339"/>
      <c r="P13339"/>
      <c r="Q13339"/>
      <c r="R13339"/>
      <c r="S13339"/>
    </row>
    <row r="13340" spans="13:19" ht="13.95" customHeight="1">
      <c r="M13340"/>
      <c r="N13340"/>
      <c r="O13340"/>
      <c r="P13340"/>
      <c r="Q13340"/>
      <c r="R13340"/>
      <c r="S13340"/>
    </row>
    <row r="13341" spans="13:19" ht="13.95" customHeight="1">
      <c r="M13341"/>
      <c r="N13341"/>
      <c r="O13341"/>
      <c r="P13341"/>
      <c r="Q13341"/>
      <c r="R13341"/>
      <c r="S13341"/>
    </row>
    <row r="13342" spans="13:19" ht="13.95" customHeight="1">
      <c r="M13342"/>
      <c r="N13342"/>
      <c r="O13342"/>
      <c r="P13342"/>
      <c r="Q13342"/>
      <c r="R13342"/>
      <c r="S13342"/>
    </row>
    <row r="13343" spans="13:19" ht="13.95" customHeight="1">
      <c r="M13343"/>
      <c r="N13343"/>
      <c r="O13343"/>
      <c r="P13343"/>
      <c r="Q13343"/>
      <c r="R13343"/>
      <c r="S13343"/>
    </row>
    <row r="13344" spans="13:19" ht="13.95" customHeight="1">
      <c r="M13344"/>
      <c r="N13344"/>
      <c r="O13344"/>
      <c r="P13344"/>
      <c r="Q13344"/>
      <c r="R13344"/>
      <c r="S13344"/>
    </row>
    <row r="13345" spans="13:19" ht="13.95" customHeight="1">
      <c r="M13345"/>
      <c r="N13345"/>
      <c r="O13345"/>
      <c r="P13345"/>
      <c r="Q13345"/>
      <c r="R13345"/>
      <c r="S13345"/>
    </row>
    <row r="13346" spans="13:19" ht="13.95" customHeight="1">
      <c r="M13346"/>
      <c r="N13346"/>
      <c r="O13346"/>
      <c r="P13346"/>
      <c r="Q13346"/>
      <c r="R13346"/>
      <c r="S13346"/>
    </row>
    <row r="13347" spans="13:19" ht="13.95" customHeight="1">
      <c r="M13347"/>
      <c r="N13347"/>
      <c r="O13347"/>
      <c r="P13347"/>
      <c r="Q13347"/>
      <c r="R13347"/>
      <c r="S13347"/>
    </row>
    <row r="13348" spans="13:19" ht="13.95" customHeight="1">
      <c r="M13348"/>
      <c r="N13348"/>
      <c r="O13348"/>
      <c r="P13348"/>
      <c r="Q13348"/>
      <c r="R13348"/>
      <c r="S13348"/>
    </row>
    <row r="13349" spans="13:19" ht="13.95" customHeight="1">
      <c r="M13349"/>
      <c r="N13349"/>
      <c r="O13349"/>
      <c r="P13349"/>
      <c r="Q13349"/>
      <c r="R13349"/>
      <c r="S13349"/>
    </row>
    <row r="13350" spans="13:19" ht="13.95" customHeight="1">
      <c r="M13350"/>
      <c r="N13350"/>
      <c r="O13350"/>
      <c r="P13350"/>
      <c r="Q13350"/>
      <c r="R13350"/>
      <c r="S13350"/>
    </row>
    <row r="13351" spans="13:19" ht="13.95" customHeight="1">
      <c r="M13351"/>
      <c r="N13351"/>
      <c r="O13351"/>
      <c r="P13351"/>
      <c r="Q13351"/>
      <c r="R13351"/>
      <c r="S13351"/>
    </row>
    <row r="13352" spans="13:19" ht="13.95" customHeight="1">
      <c r="M13352"/>
      <c r="N13352"/>
      <c r="O13352"/>
      <c r="P13352"/>
      <c r="Q13352"/>
      <c r="R13352"/>
      <c r="S13352"/>
    </row>
    <row r="13353" spans="13:19" ht="13.95" customHeight="1">
      <c r="M13353"/>
      <c r="N13353"/>
      <c r="O13353"/>
      <c r="P13353"/>
      <c r="Q13353"/>
      <c r="R13353"/>
      <c r="S13353"/>
    </row>
    <row r="13354" spans="13:19" ht="13.95" customHeight="1">
      <c r="M13354"/>
      <c r="N13354"/>
      <c r="O13354"/>
      <c r="P13354"/>
      <c r="Q13354"/>
      <c r="R13354"/>
      <c r="S13354"/>
    </row>
    <row r="13355" spans="13:19" ht="13.95" customHeight="1">
      <c r="M13355"/>
      <c r="N13355"/>
      <c r="O13355"/>
      <c r="P13355"/>
      <c r="Q13355"/>
      <c r="R13355"/>
      <c r="S13355"/>
    </row>
    <row r="13356" spans="13:19" ht="13.95" customHeight="1">
      <c r="M13356"/>
      <c r="N13356"/>
      <c r="O13356"/>
      <c r="P13356"/>
      <c r="Q13356"/>
      <c r="R13356"/>
      <c r="S13356"/>
    </row>
    <row r="13357" spans="13:19" ht="13.95" customHeight="1">
      <c r="M13357"/>
      <c r="N13357"/>
      <c r="O13357"/>
      <c r="P13357"/>
      <c r="Q13357"/>
      <c r="R13357"/>
      <c r="S13357"/>
    </row>
    <row r="13358" spans="13:19" ht="13.95" customHeight="1">
      <c r="M13358"/>
      <c r="N13358"/>
      <c r="O13358"/>
      <c r="P13358"/>
      <c r="Q13358"/>
      <c r="R13358"/>
      <c r="S13358"/>
    </row>
    <row r="13359" spans="13:19" ht="13.95" customHeight="1">
      <c r="M13359"/>
      <c r="N13359"/>
      <c r="O13359"/>
      <c r="P13359"/>
      <c r="Q13359"/>
      <c r="R13359"/>
      <c r="S13359"/>
    </row>
    <row r="13360" spans="13:19" ht="13.95" customHeight="1">
      <c r="M13360"/>
      <c r="N13360"/>
      <c r="O13360"/>
      <c r="P13360"/>
      <c r="Q13360"/>
      <c r="R13360"/>
      <c r="S13360"/>
    </row>
    <row r="13361" spans="13:19" ht="13.95" customHeight="1">
      <c r="M13361"/>
      <c r="N13361"/>
      <c r="O13361"/>
      <c r="P13361"/>
      <c r="Q13361"/>
      <c r="R13361"/>
      <c r="S13361"/>
    </row>
    <row r="13362" spans="13:19" ht="13.95" customHeight="1">
      <c r="M13362"/>
      <c r="N13362"/>
      <c r="O13362"/>
      <c r="P13362"/>
      <c r="Q13362"/>
      <c r="R13362"/>
      <c r="S13362"/>
    </row>
    <row r="13363" spans="13:19" ht="13.95" customHeight="1">
      <c r="M13363"/>
      <c r="N13363"/>
      <c r="O13363"/>
      <c r="P13363"/>
      <c r="Q13363"/>
      <c r="R13363"/>
      <c r="S13363"/>
    </row>
    <row r="13364" spans="13:19" ht="13.95" customHeight="1">
      <c r="M13364"/>
      <c r="N13364"/>
      <c r="O13364"/>
      <c r="P13364"/>
      <c r="Q13364"/>
      <c r="R13364"/>
      <c r="S13364"/>
    </row>
    <row r="13365" spans="13:19" ht="13.95" customHeight="1">
      <c r="M13365"/>
      <c r="N13365"/>
      <c r="O13365"/>
      <c r="P13365"/>
      <c r="Q13365"/>
      <c r="R13365"/>
      <c r="S13365"/>
    </row>
    <row r="13366" spans="13:19" ht="13.95" customHeight="1">
      <c r="M13366"/>
      <c r="N13366"/>
      <c r="O13366"/>
      <c r="P13366"/>
      <c r="Q13366"/>
      <c r="R13366"/>
      <c r="S13366"/>
    </row>
    <row r="13367" spans="13:19" ht="13.95" customHeight="1">
      <c r="M13367"/>
      <c r="N13367"/>
      <c r="O13367"/>
      <c r="P13367"/>
      <c r="Q13367"/>
      <c r="R13367"/>
      <c r="S13367"/>
    </row>
    <row r="13368" spans="13:19" ht="13.95" customHeight="1">
      <c r="M13368"/>
      <c r="N13368"/>
      <c r="O13368"/>
      <c r="P13368"/>
      <c r="Q13368"/>
      <c r="R13368"/>
      <c r="S13368"/>
    </row>
    <row r="13369" spans="13:19" ht="13.95" customHeight="1">
      <c r="M13369"/>
      <c r="N13369"/>
      <c r="O13369"/>
      <c r="P13369"/>
      <c r="Q13369"/>
      <c r="R13369"/>
      <c r="S13369"/>
    </row>
    <row r="13370" spans="13:19" ht="13.95" customHeight="1">
      <c r="M13370"/>
      <c r="N13370"/>
      <c r="O13370"/>
      <c r="P13370"/>
      <c r="Q13370"/>
      <c r="R13370"/>
      <c r="S13370"/>
    </row>
    <row r="13371" spans="13:19" ht="13.95" customHeight="1">
      <c r="M13371"/>
      <c r="N13371"/>
      <c r="O13371"/>
      <c r="P13371"/>
      <c r="Q13371"/>
      <c r="R13371"/>
      <c r="S13371"/>
    </row>
    <row r="13372" spans="13:19" ht="13.95" customHeight="1">
      <c r="M13372"/>
      <c r="N13372"/>
      <c r="O13372"/>
      <c r="P13372"/>
      <c r="Q13372"/>
      <c r="R13372"/>
      <c r="S13372"/>
    </row>
    <row r="13373" spans="13:19" ht="13.95" customHeight="1">
      <c r="M13373"/>
      <c r="N13373"/>
      <c r="O13373"/>
      <c r="P13373"/>
      <c r="Q13373"/>
      <c r="R13373"/>
      <c r="S13373"/>
    </row>
    <row r="13374" spans="13:19" ht="13.95" customHeight="1">
      <c r="M13374"/>
      <c r="N13374"/>
      <c r="O13374"/>
      <c r="P13374"/>
      <c r="Q13374"/>
      <c r="R13374"/>
      <c r="S13374"/>
    </row>
    <row r="13375" spans="13:19" ht="13.95" customHeight="1">
      <c r="M13375"/>
      <c r="N13375"/>
      <c r="O13375"/>
      <c r="P13375"/>
      <c r="Q13375"/>
      <c r="R13375"/>
      <c r="S13375"/>
    </row>
    <row r="13376" spans="13:19" ht="13.95" customHeight="1">
      <c r="M13376"/>
      <c r="N13376"/>
      <c r="O13376"/>
      <c r="P13376"/>
      <c r="Q13376"/>
      <c r="R13376"/>
      <c r="S13376"/>
    </row>
    <row r="13377" spans="13:19" ht="13.95" customHeight="1">
      <c r="M13377"/>
      <c r="N13377"/>
      <c r="O13377"/>
      <c r="P13377"/>
      <c r="Q13377"/>
      <c r="R13377"/>
      <c r="S13377"/>
    </row>
    <row r="13378" spans="13:19" ht="13.95" customHeight="1">
      <c r="M13378"/>
      <c r="N13378"/>
      <c r="O13378"/>
      <c r="P13378"/>
      <c r="Q13378"/>
      <c r="R13378"/>
      <c r="S13378"/>
    </row>
    <row r="13379" spans="13:19" ht="13.95" customHeight="1">
      <c r="M13379"/>
      <c r="N13379"/>
      <c r="O13379"/>
      <c r="P13379"/>
      <c r="Q13379"/>
      <c r="R13379"/>
      <c r="S13379"/>
    </row>
    <row r="13380" spans="13:19" ht="13.95" customHeight="1">
      <c r="M13380"/>
      <c r="N13380"/>
      <c r="O13380"/>
      <c r="P13380"/>
      <c r="Q13380"/>
      <c r="R13380"/>
      <c r="S13380"/>
    </row>
    <row r="13381" spans="13:19" ht="13.95" customHeight="1">
      <c r="M13381"/>
      <c r="N13381"/>
      <c r="O13381"/>
      <c r="P13381"/>
      <c r="Q13381"/>
      <c r="R13381"/>
      <c r="S13381"/>
    </row>
    <row r="13382" spans="13:19" ht="13.95" customHeight="1">
      <c r="M13382"/>
      <c r="N13382"/>
      <c r="O13382"/>
      <c r="P13382"/>
      <c r="Q13382"/>
      <c r="R13382"/>
      <c r="S13382"/>
    </row>
    <row r="13383" spans="13:19" ht="13.95" customHeight="1">
      <c r="M13383"/>
      <c r="N13383"/>
      <c r="O13383"/>
      <c r="P13383"/>
      <c r="Q13383"/>
      <c r="R13383"/>
      <c r="S13383"/>
    </row>
    <row r="13384" spans="13:19" ht="13.95" customHeight="1">
      <c r="M13384"/>
      <c r="N13384"/>
      <c r="O13384"/>
      <c r="P13384"/>
      <c r="Q13384"/>
      <c r="R13384"/>
      <c r="S13384"/>
    </row>
    <row r="13385" spans="13:19" ht="13.95" customHeight="1">
      <c r="M13385"/>
      <c r="N13385"/>
      <c r="O13385"/>
      <c r="P13385"/>
      <c r="Q13385"/>
      <c r="R13385"/>
      <c r="S13385"/>
    </row>
    <row r="13386" spans="13:19" ht="13.95" customHeight="1">
      <c r="M13386"/>
      <c r="N13386"/>
      <c r="O13386"/>
      <c r="P13386"/>
      <c r="Q13386"/>
      <c r="R13386"/>
      <c r="S13386"/>
    </row>
    <row r="13387" spans="13:19" ht="13.95" customHeight="1">
      <c r="M13387"/>
      <c r="N13387"/>
      <c r="O13387"/>
      <c r="P13387"/>
      <c r="Q13387"/>
      <c r="R13387"/>
      <c r="S13387"/>
    </row>
    <row r="13388" spans="13:19" ht="13.95" customHeight="1">
      <c r="M13388"/>
      <c r="N13388"/>
      <c r="O13388"/>
      <c r="P13388"/>
      <c r="Q13388"/>
      <c r="R13388"/>
      <c r="S13388"/>
    </row>
    <row r="13389" spans="13:19" ht="13.95" customHeight="1">
      <c r="M13389"/>
      <c r="N13389"/>
      <c r="O13389"/>
      <c r="P13389"/>
      <c r="Q13389"/>
      <c r="R13389"/>
      <c r="S13389"/>
    </row>
    <row r="13390" spans="13:19" ht="13.95" customHeight="1">
      <c r="M13390"/>
      <c r="N13390"/>
      <c r="O13390"/>
      <c r="P13390"/>
      <c r="Q13390"/>
      <c r="R13390"/>
      <c r="S13390"/>
    </row>
    <row r="13391" spans="13:19" ht="13.95" customHeight="1">
      <c r="M13391"/>
      <c r="N13391"/>
      <c r="O13391"/>
      <c r="P13391"/>
      <c r="Q13391"/>
      <c r="R13391"/>
      <c r="S13391"/>
    </row>
    <row r="13392" spans="13:19" ht="13.95" customHeight="1">
      <c r="M13392"/>
      <c r="N13392"/>
      <c r="O13392"/>
      <c r="P13392"/>
      <c r="Q13392"/>
      <c r="R13392"/>
      <c r="S13392"/>
    </row>
    <row r="13393" spans="13:19" ht="13.95" customHeight="1">
      <c r="M13393"/>
      <c r="N13393"/>
      <c r="O13393"/>
      <c r="P13393"/>
      <c r="Q13393"/>
      <c r="R13393"/>
      <c r="S13393"/>
    </row>
    <row r="13394" spans="13:19" ht="13.95" customHeight="1">
      <c r="M13394"/>
      <c r="N13394"/>
      <c r="O13394"/>
      <c r="P13394"/>
      <c r="Q13394"/>
      <c r="R13394"/>
      <c r="S13394"/>
    </row>
    <row r="13395" spans="13:19" ht="13.95" customHeight="1">
      <c r="M13395"/>
      <c r="N13395"/>
      <c r="O13395"/>
      <c r="P13395"/>
      <c r="Q13395"/>
      <c r="R13395"/>
      <c r="S13395"/>
    </row>
    <row r="13396" spans="13:19" ht="13.95" customHeight="1">
      <c r="M13396"/>
      <c r="N13396"/>
      <c r="O13396"/>
      <c r="P13396"/>
      <c r="Q13396"/>
      <c r="R13396"/>
      <c r="S13396"/>
    </row>
    <row r="13397" spans="13:19" ht="13.95" customHeight="1">
      <c r="M13397"/>
      <c r="N13397"/>
      <c r="O13397"/>
      <c r="P13397"/>
      <c r="Q13397"/>
      <c r="R13397"/>
      <c r="S13397"/>
    </row>
    <row r="13398" spans="13:19" ht="13.95" customHeight="1">
      <c r="M13398"/>
      <c r="N13398"/>
      <c r="O13398"/>
      <c r="P13398"/>
      <c r="Q13398"/>
      <c r="R13398"/>
      <c r="S13398"/>
    </row>
    <row r="13399" spans="13:19" ht="13.95" customHeight="1">
      <c r="M13399"/>
      <c r="N13399"/>
      <c r="O13399"/>
      <c r="P13399"/>
      <c r="Q13399"/>
      <c r="R13399"/>
      <c r="S13399"/>
    </row>
    <row r="13400" spans="13:19" ht="13.95" customHeight="1">
      <c r="M13400"/>
      <c r="N13400"/>
      <c r="O13400"/>
      <c r="P13400"/>
      <c r="Q13400"/>
      <c r="R13400"/>
      <c r="S13400"/>
    </row>
    <row r="13401" spans="13:19" ht="13.95" customHeight="1">
      <c r="M13401"/>
      <c r="N13401"/>
      <c r="O13401"/>
      <c r="P13401"/>
      <c r="Q13401"/>
      <c r="R13401"/>
      <c r="S13401"/>
    </row>
    <row r="13402" spans="13:19" ht="13.95" customHeight="1">
      <c r="M13402"/>
      <c r="N13402"/>
      <c r="O13402"/>
      <c r="P13402"/>
      <c r="Q13402"/>
      <c r="R13402"/>
      <c r="S13402"/>
    </row>
    <row r="13403" spans="13:19" ht="13.95" customHeight="1">
      <c r="M13403"/>
      <c r="N13403"/>
      <c r="O13403"/>
      <c r="P13403"/>
      <c r="Q13403"/>
      <c r="R13403"/>
      <c r="S13403"/>
    </row>
    <row r="13404" spans="13:19" ht="13.95" customHeight="1">
      <c r="M13404"/>
      <c r="N13404"/>
      <c r="O13404"/>
      <c r="P13404"/>
      <c r="Q13404"/>
      <c r="R13404"/>
      <c r="S13404"/>
    </row>
    <row r="13405" spans="13:19" ht="13.95" customHeight="1">
      <c r="M13405"/>
      <c r="N13405"/>
      <c r="O13405"/>
      <c r="P13405"/>
      <c r="Q13405"/>
      <c r="R13405"/>
      <c r="S13405"/>
    </row>
    <row r="13406" spans="13:19" ht="13.95" customHeight="1">
      <c r="M13406"/>
      <c r="N13406"/>
      <c r="O13406"/>
      <c r="P13406"/>
      <c r="Q13406"/>
      <c r="R13406"/>
      <c r="S13406"/>
    </row>
    <row r="13407" spans="13:19" ht="13.95" customHeight="1">
      <c r="M13407"/>
      <c r="N13407"/>
      <c r="O13407"/>
      <c r="P13407"/>
      <c r="Q13407"/>
      <c r="R13407"/>
      <c r="S13407"/>
    </row>
    <row r="13408" spans="13:19" ht="13.95" customHeight="1">
      <c r="M13408"/>
      <c r="N13408"/>
      <c r="O13408"/>
      <c r="P13408"/>
      <c r="Q13408"/>
      <c r="R13408"/>
      <c r="S13408"/>
    </row>
    <row r="13409" spans="13:19" ht="13.95" customHeight="1">
      <c r="M13409"/>
      <c r="N13409"/>
      <c r="O13409"/>
      <c r="P13409"/>
      <c r="Q13409"/>
      <c r="R13409"/>
      <c r="S13409"/>
    </row>
    <row r="13410" spans="13:19" ht="13.95" customHeight="1">
      <c r="M13410"/>
      <c r="N13410"/>
      <c r="O13410"/>
      <c r="P13410"/>
      <c r="Q13410"/>
      <c r="R13410"/>
      <c r="S13410"/>
    </row>
    <row r="13411" spans="13:19" ht="13.95" customHeight="1">
      <c r="M13411"/>
      <c r="N13411"/>
      <c r="O13411"/>
      <c r="P13411"/>
      <c r="Q13411"/>
      <c r="R13411"/>
      <c r="S13411"/>
    </row>
    <row r="13412" spans="13:19" ht="13.95" customHeight="1">
      <c r="M13412"/>
      <c r="N13412"/>
      <c r="O13412"/>
      <c r="P13412"/>
      <c r="Q13412"/>
      <c r="R13412"/>
      <c r="S13412"/>
    </row>
    <row r="13413" spans="13:19" ht="13.95" customHeight="1">
      <c r="M13413"/>
      <c r="N13413"/>
      <c r="O13413"/>
      <c r="P13413"/>
      <c r="Q13413"/>
      <c r="R13413"/>
      <c r="S13413"/>
    </row>
    <row r="13414" spans="13:19" ht="13.95" customHeight="1">
      <c r="M13414"/>
      <c r="N13414"/>
      <c r="O13414"/>
      <c r="P13414"/>
      <c r="Q13414"/>
      <c r="R13414"/>
      <c r="S13414"/>
    </row>
    <row r="13415" spans="13:19" ht="13.95" customHeight="1">
      <c r="M13415"/>
      <c r="N13415"/>
      <c r="O13415"/>
      <c r="P13415"/>
      <c r="Q13415"/>
      <c r="R13415"/>
      <c r="S13415"/>
    </row>
    <row r="13416" spans="13:19" ht="13.95" customHeight="1">
      <c r="M13416"/>
      <c r="N13416"/>
      <c r="O13416"/>
      <c r="P13416"/>
      <c r="Q13416"/>
      <c r="R13416"/>
      <c r="S13416"/>
    </row>
    <row r="13417" spans="13:19" ht="13.95" customHeight="1">
      <c r="M13417"/>
      <c r="N13417"/>
      <c r="O13417"/>
      <c r="P13417"/>
      <c r="Q13417"/>
      <c r="R13417"/>
      <c r="S13417"/>
    </row>
    <row r="13418" spans="13:19" ht="13.95" customHeight="1">
      <c r="M13418"/>
      <c r="N13418"/>
      <c r="O13418"/>
      <c r="P13418"/>
      <c r="Q13418"/>
      <c r="R13418"/>
      <c r="S13418"/>
    </row>
    <row r="13419" spans="13:19" ht="13.95" customHeight="1">
      <c r="M13419"/>
      <c r="N13419"/>
      <c r="O13419"/>
      <c r="P13419"/>
      <c r="Q13419"/>
      <c r="R13419"/>
      <c r="S13419"/>
    </row>
    <row r="13420" spans="13:19" ht="13.95" customHeight="1">
      <c r="M13420"/>
      <c r="N13420"/>
      <c r="O13420"/>
      <c r="P13420"/>
      <c r="Q13420"/>
      <c r="R13420"/>
      <c r="S13420"/>
    </row>
    <row r="13421" spans="13:19" ht="13.95" customHeight="1">
      <c r="M13421"/>
      <c r="N13421"/>
      <c r="O13421"/>
      <c r="P13421"/>
      <c r="Q13421"/>
      <c r="R13421"/>
      <c r="S13421"/>
    </row>
    <row r="13422" spans="13:19" ht="13.95" customHeight="1">
      <c r="M13422"/>
      <c r="N13422"/>
      <c r="O13422"/>
      <c r="P13422"/>
      <c r="Q13422"/>
      <c r="R13422"/>
      <c r="S13422"/>
    </row>
    <row r="13423" spans="13:19" ht="13.95" customHeight="1">
      <c r="M13423"/>
      <c r="N13423"/>
      <c r="O13423"/>
      <c r="P13423"/>
      <c r="Q13423"/>
      <c r="R13423"/>
      <c r="S13423"/>
    </row>
    <row r="13424" spans="13:19" ht="13.95" customHeight="1">
      <c r="M13424"/>
      <c r="N13424"/>
      <c r="O13424"/>
      <c r="P13424"/>
      <c r="Q13424"/>
      <c r="R13424"/>
      <c r="S13424"/>
    </row>
    <row r="13425" spans="13:19" ht="13.95" customHeight="1">
      <c r="M13425"/>
      <c r="N13425"/>
      <c r="O13425"/>
      <c r="P13425"/>
      <c r="Q13425"/>
      <c r="R13425"/>
      <c r="S13425"/>
    </row>
    <row r="13426" spans="13:19" ht="13.95" customHeight="1">
      <c r="M13426"/>
      <c r="N13426"/>
      <c r="O13426"/>
      <c r="P13426"/>
      <c r="Q13426"/>
      <c r="R13426"/>
      <c r="S13426"/>
    </row>
    <row r="13427" spans="13:19" ht="13.95" customHeight="1">
      <c r="M13427"/>
      <c r="N13427"/>
      <c r="O13427"/>
      <c r="P13427"/>
      <c r="Q13427"/>
      <c r="R13427"/>
      <c r="S13427"/>
    </row>
    <row r="13428" spans="13:19" ht="13.95" customHeight="1">
      <c r="M13428"/>
      <c r="N13428"/>
      <c r="O13428"/>
      <c r="P13428"/>
      <c r="Q13428"/>
      <c r="R13428"/>
      <c r="S13428"/>
    </row>
    <row r="13429" spans="13:19" ht="13.95" customHeight="1">
      <c r="M13429"/>
      <c r="N13429"/>
      <c r="O13429"/>
      <c r="P13429"/>
      <c r="Q13429"/>
      <c r="R13429"/>
      <c r="S13429"/>
    </row>
    <row r="13430" spans="13:19" ht="13.95" customHeight="1">
      <c r="M13430"/>
      <c r="N13430"/>
      <c r="O13430"/>
      <c r="P13430"/>
      <c r="Q13430"/>
      <c r="R13430"/>
      <c r="S13430"/>
    </row>
    <row r="13431" spans="13:19" ht="13.95" customHeight="1">
      <c r="M13431"/>
      <c r="N13431"/>
      <c r="O13431"/>
      <c r="P13431"/>
      <c r="Q13431"/>
      <c r="R13431"/>
      <c r="S13431"/>
    </row>
    <row r="13432" spans="13:19" ht="13.95" customHeight="1">
      <c r="M13432"/>
      <c r="N13432"/>
      <c r="O13432"/>
      <c r="P13432"/>
      <c r="Q13432"/>
      <c r="R13432"/>
      <c r="S13432"/>
    </row>
    <row r="13433" spans="13:19" ht="13.95" customHeight="1">
      <c r="M13433"/>
      <c r="N13433"/>
      <c r="O13433"/>
      <c r="P13433"/>
      <c r="Q13433"/>
      <c r="R13433"/>
      <c r="S13433"/>
    </row>
    <row r="13434" spans="13:19" ht="13.95" customHeight="1">
      <c r="M13434"/>
      <c r="N13434"/>
      <c r="O13434"/>
      <c r="P13434"/>
      <c r="Q13434"/>
      <c r="R13434"/>
      <c r="S13434"/>
    </row>
    <row r="13435" spans="13:19" ht="13.95" customHeight="1">
      <c r="M13435"/>
      <c r="N13435"/>
      <c r="O13435"/>
      <c r="P13435"/>
      <c r="Q13435"/>
      <c r="R13435"/>
      <c r="S13435"/>
    </row>
    <row r="13436" spans="13:19" ht="13.95" customHeight="1">
      <c r="M13436"/>
      <c r="N13436"/>
      <c r="O13436"/>
      <c r="P13436"/>
      <c r="Q13436"/>
      <c r="R13436"/>
      <c r="S13436"/>
    </row>
    <row r="13437" spans="13:19" ht="13.95" customHeight="1">
      <c r="M13437"/>
      <c r="N13437"/>
      <c r="O13437"/>
      <c r="P13437"/>
      <c r="Q13437"/>
      <c r="R13437"/>
      <c r="S13437"/>
    </row>
    <row r="13438" spans="13:19" ht="13.95" customHeight="1">
      <c r="M13438"/>
      <c r="N13438"/>
      <c r="O13438"/>
      <c r="P13438"/>
      <c r="Q13438"/>
      <c r="R13438"/>
      <c r="S13438"/>
    </row>
    <row r="13439" spans="13:19" ht="13.95" customHeight="1">
      <c r="M13439"/>
      <c r="N13439"/>
      <c r="O13439"/>
      <c r="P13439"/>
      <c r="Q13439"/>
      <c r="R13439"/>
      <c r="S13439"/>
    </row>
    <row r="13440" spans="13:19" ht="13.95" customHeight="1">
      <c r="M13440"/>
      <c r="N13440"/>
      <c r="O13440"/>
      <c r="P13440"/>
      <c r="Q13440"/>
      <c r="R13440"/>
      <c r="S13440"/>
    </row>
    <row r="13441" spans="13:19" ht="13.95" customHeight="1">
      <c r="M13441"/>
      <c r="N13441"/>
      <c r="O13441"/>
      <c r="P13441"/>
      <c r="Q13441"/>
      <c r="R13441"/>
      <c r="S13441"/>
    </row>
    <row r="13442" spans="13:19" ht="13.95" customHeight="1">
      <c r="M13442"/>
      <c r="N13442"/>
      <c r="O13442"/>
      <c r="P13442"/>
      <c r="Q13442"/>
      <c r="R13442"/>
      <c r="S13442"/>
    </row>
    <row r="13443" spans="13:19" ht="13.95" customHeight="1">
      <c r="M13443"/>
      <c r="N13443"/>
      <c r="O13443"/>
      <c r="P13443"/>
      <c r="Q13443"/>
      <c r="R13443"/>
      <c r="S13443"/>
    </row>
    <row r="13444" spans="13:19" ht="13.95" customHeight="1">
      <c r="M13444"/>
      <c r="N13444"/>
      <c r="O13444"/>
      <c r="P13444"/>
      <c r="Q13444"/>
      <c r="R13444"/>
      <c r="S13444"/>
    </row>
    <row r="13445" spans="13:19" ht="13.95" customHeight="1">
      <c r="M13445"/>
      <c r="N13445"/>
      <c r="O13445"/>
      <c r="P13445"/>
      <c r="Q13445"/>
      <c r="R13445"/>
      <c r="S13445"/>
    </row>
    <row r="13446" spans="13:19" ht="13.95" customHeight="1">
      <c r="M13446"/>
      <c r="N13446"/>
      <c r="O13446"/>
      <c r="P13446"/>
      <c r="Q13446"/>
      <c r="R13446"/>
      <c r="S13446"/>
    </row>
    <row r="13447" spans="13:19" ht="13.95" customHeight="1">
      <c r="M13447"/>
      <c r="N13447"/>
      <c r="O13447"/>
      <c r="P13447"/>
      <c r="Q13447"/>
      <c r="R13447"/>
      <c r="S13447"/>
    </row>
    <row r="13448" spans="13:19" ht="13.95" customHeight="1">
      <c r="M13448"/>
      <c r="N13448"/>
      <c r="O13448"/>
      <c r="P13448"/>
      <c r="Q13448"/>
      <c r="R13448"/>
      <c r="S13448"/>
    </row>
    <row r="13449" spans="13:19" ht="13.95" customHeight="1">
      <c r="M13449"/>
      <c r="N13449"/>
      <c r="O13449"/>
      <c r="P13449"/>
      <c r="Q13449"/>
      <c r="R13449"/>
      <c r="S13449"/>
    </row>
    <row r="13450" spans="13:19" ht="13.95" customHeight="1">
      <c r="M13450"/>
      <c r="N13450"/>
      <c r="O13450"/>
      <c r="P13450"/>
      <c r="Q13450"/>
      <c r="R13450"/>
      <c r="S13450"/>
    </row>
    <row r="13451" spans="13:19" ht="13.95" customHeight="1">
      <c r="M13451"/>
      <c r="N13451"/>
      <c r="O13451"/>
      <c r="P13451"/>
      <c r="Q13451"/>
      <c r="R13451"/>
      <c r="S13451"/>
    </row>
    <row r="13452" spans="13:19" ht="13.95" customHeight="1">
      <c r="M13452"/>
      <c r="N13452"/>
      <c r="O13452"/>
      <c r="P13452"/>
      <c r="Q13452"/>
      <c r="R13452"/>
      <c r="S13452"/>
    </row>
    <row r="13453" spans="13:19" ht="13.95" customHeight="1">
      <c r="M13453"/>
      <c r="N13453"/>
      <c r="O13453"/>
      <c r="P13453"/>
      <c r="Q13453"/>
      <c r="R13453"/>
      <c r="S13453"/>
    </row>
    <row r="13454" spans="13:19" ht="13.95" customHeight="1">
      <c r="M13454"/>
      <c r="N13454"/>
      <c r="O13454"/>
      <c r="P13454"/>
      <c r="Q13454"/>
      <c r="R13454"/>
      <c r="S13454"/>
    </row>
    <row r="13455" spans="13:19" ht="13.95" customHeight="1">
      <c r="M13455"/>
      <c r="N13455"/>
      <c r="O13455"/>
      <c r="P13455"/>
      <c r="Q13455"/>
      <c r="R13455"/>
      <c r="S13455"/>
    </row>
    <row r="13456" spans="13:19" ht="13.95" customHeight="1">
      <c r="M13456"/>
      <c r="N13456"/>
      <c r="O13456"/>
      <c r="P13456"/>
      <c r="Q13456"/>
      <c r="R13456"/>
      <c r="S13456"/>
    </row>
    <row r="13457" spans="13:19" ht="13.95" customHeight="1">
      <c r="M13457"/>
      <c r="N13457"/>
      <c r="O13457"/>
      <c r="P13457"/>
      <c r="Q13457"/>
      <c r="R13457"/>
      <c r="S13457"/>
    </row>
    <row r="13458" spans="13:19" ht="13.95" customHeight="1">
      <c r="M13458"/>
      <c r="N13458"/>
      <c r="O13458"/>
      <c r="P13458"/>
      <c r="Q13458"/>
      <c r="R13458"/>
      <c r="S13458"/>
    </row>
    <row r="13459" spans="13:19" ht="13.95" customHeight="1">
      <c r="M13459"/>
      <c r="N13459"/>
      <c r="O13459"/>
      <c r="P13459"/>
      <c r="Q13459"/>
      <c r="R13459"/>
      <c r="S13459"/>
    </row>
    <row r="13460" spans="13:19" ht="13.95" customHeight="1">
      <c r="M13460"/>
      <c r="N13460"/>
      <c r="O13460"/>
      <c r="P13460"/>
      <c r="Q13460"/>
      <c r="R13460"/>
      <c r="S13460"/>
    </row>
    <row r="13461" spans="13:19" ht="13.95" customHeight="1">
      <c r="M13461"/>
      <c r="N13461"/>
      <c r="O13461"/>
      <c r="P13461"/>
      <c r="Q13461"/>
      <c r="R13461"/>
      <c r="S13461"/>
    </row>
    <row r="13462" spans="13:19" ht="13.95" customHeight="1">
      <c r="M13462"/>
      <c r="N13462"/>
      <c r="O13462"/>
      <c r="P13462"/>
      <c r="Q13462"/>
      <c r="R13462"/>
      <c r="S13462"/>
    </row>
    <row r="13463" spans="13:19" ht="13.95" customHeight="1">
      <c r="M13463"/>
      <c r="N13463"/>
      <c r="O13463"/>
      <c r="P13463"/>
      <c r="Q13463"/>
      <c r="R13463"/>
      <c r="S13463"/>
    </row>
    <row r="13464" spans="13:19" ht="13.95" customHeight="1">
      <c r="M13464"/>
      <c r="N13464"/>
      <c r="O13464"/>
      <c r="P13464"/>
      <c r="Q13464"/>
      <c r="R13464"/>
      <c r="S13464"/>
    </row>
    <row r="13465" spans="13:19" ht="13.95" customHeight="1">
      <c r="M13465"/>
      <c r="N13465"/>
      <c r="O13465"/>
      <c r="P13465"/>
      <c r="Q13465"/>
      <c r="R13465"/>
      <c r="S13465"/>
    </row>
    <row r="13466" spans="13:19" ht="13.95" customHeight="1">
      <c r="M13466"/>
      <c r="N13466"/>
      <c r="O13466"/>
      <c r="P13466"/>
      <c r="Q13466"/>
      <c r="R13466"/>
      <c r="S13466"/>
    </row>
    <row r="13467" spans="13:19" ht="13.95" customHeight="1">
      <c r="M13467"/>
      <c r="N13467"/>
      <c r="O13467"/>
      <c r="P13467"/>
      <c r="Q13467"/>
      <c r="R13467"/>
      <c r="S13467"/>
    </row>
    <row r="13468" spans="13:19" ht="13.95" customHeight="1">
      <c r="M13468"/>
      <c r="N13468"/>
      <c r="O13468"/>
      <c r="P13468"/>
      <c r="Q13468"/>
      <c r="R13468"/>
      <c r="S13468"/>
    </row>
    <row r="13469" spans="13:19" ht="13.95" customHeight="1">
      <c r="M13469"/>
      <c r="N13469"/>
      <c r="O13469"/>
      <c r="P13469"/>
      <c r="Q13469"/>
      <c r="R13469"/>
      <c r="S13469"/>
    </row>
    <row r="13470" spans="13:19" ht="13.95" customHeight="1">
      <c r="M13470"/>
      <c r="N13470"/>
      <c r="O13470"/>
      <c r="P13470"/>
      <c r="Q13470"/>
      <c r="R13470"/>
      <c r="S13470"/>
    </row>
    <row r="13471" spans="13:19" ht="13.95" customHeight="1">
      <c r="M13471"/>
      <c r="N13471"/>
      <c r="O13471"/>
      <c r="P13471"/>
      <c r="Q13471"/>
      <c r="R13471"/>
      <c r="S13471"/>
    </row>
    <row r="13472" spans="13:19" ht="13.95" customHeight="1">
      <c r="M13472"/>
      <c r="N13472"/>
      <c r="O13472"/>
      <c r="P13472"/>
      <c r="Q13472"/>
      <c r="R13472"/>
      <c r="S13472"/>
    </row>
    <row r="13473" spans="13:19" ht="13.95" customHeight="1">
      <c r="M13473"/>
      <c r="N13473"/>
      <c r="O13473"/>
      <c r="P13473"/>
      <c r="Q13473"/>
      <c r="R13473"/>
      <c r="S13473"/>
    </row>
    <row r="13474" spans="13:19" ht="13.95" customHeight="1">
      <c r="M13474"/>
      <c r="N13474"/>
      <c r="O13474"/>
      <c r="P13474"/>
      <c r="Q13474"/>
      <c r="R13474"/>
      <c r="S13474"/>
    </row>
    <row r="13475" spans="13:19" ht="13.95" customHeight="1">
      <c r="M13475"/>
      <c r="N13475"/>
      <c r="O13475"/>
      <c r="P13475"/>
      <c r="Q13475"/>
      <c r="R13475"/>
      <c r="S13475"/>
    </row>
    <row r="13476" spans="13:19" ht="13.95" customHeight="1">
      <c r="M13476"/>
      <c r="N13476"/>
      <c r="O13476"/>
      <c r="P13476"/>
      <c r="Q13476"/>
      <c r="R13476"/>
      <c r="S13476"/>
    </row>
    <row r="13477" spans="13:19" ht="13.95" customHeight="1">
      <c r="M13477"/>
      <c r="N13477"/>
      <c r="O13477"/>
      <c r="P13477"/>
      <c r="Q13477"/>
      <c r="R13477"/>
      <c r="S13477"/>
    </row>
    <row r="13478" spans="13:19" ht="13.95" customHeight="1">
      <c r="M13478"/>
      <c r="N13478"/>
      <c r="O13478"/>
      <c r="P13478"/>
      <c r="Q13478"/>
      <c r="R13478"/>
      <c r="S13478"/>
    </row>
    <row r="13479" spans="13:19" ht="13.95" customHeight="1">
      <c r="M13479"/>
      <c r="N13479"/>
      <c r="O13479"/>
      <c r="P13479"/>
      <c r="Q13479"/>
      <c r="R13479"/>
      <c r="S13479"/>
    </row>
    <row r="13480" spans="13:19" ht="13.95" customHeight="1">
      <c r="M13480"/>
      <c r="N13480"/>
      <c r="O13480"/>
      <c r="P13480"/>
      <c r="Q13480"/>
      <c r="R13480"/>
      <c r="S13480"/>
    </row>
    <row r="13481" spans="13:19" ht="13.95" customHeight="1">
      <c r="M13481"/>
      <c r="N13481"/>
      <c r="O13481"/>
      <c r="P13481"/>
      <c r="Q13481"/>
      <c r="R13481"/>
      <c r="S13481"/>
    </row>
    <row r="13482" spans="13:19" ht="13.95" customHeight="1">
      <c r="M13482"/>
      <c r="N13482"/>
      <c r="O13482"/>
      <c r="P13482"/>
      <c r="Q13482"/>
      <c r="R13482"/>
      <c r="S13482"/>
    </row>
    <row r="13483" spans="13:19" ht="13.95" customHeight="1">
      <c r="M13483"/>
      <c r="N13483"/>
      <c r="O13483"/>
      <c r="P13483"/>
      <c r="Q13483"/>
      <c r="R13483"/>
      <c r="S13483"/>
    </row>
    <row r="13484" spans="13:19" ht="13.95" customHeight="1">
      <c r="M13484"/>
      <c r="N13484"/>
      <c r="O13484"/>
      <c r="P13484"/>
      <c r="Q13484"/>
      <c r="R13484"/>
      <c r="S13484"/>
    </row>
    <row r="13485" spans="13:19" ht="13.95" customHeight="1">
      <c r="M13485"/>
      <c r="N13485"/>
      <c r="O13485"/>
      <c r="P13485"/>
      <c r="Q13485"/>
      <c r="R13485"/>
      <c r="S13485"/>
    </row>
    <row r="13486" spans="13:19" ht="13.95" customHeight="1">
      <c r="M13486"/>
      <c r="N13486"/>
      <c r="O13486"/>
      <c r="P13486"/>
      <c r="Q13486"/>
      <c r="R13486"/>
      <c r="S13486"/>
    </row>
    <row r="13487" spans="13:19" ht="13.95" customHeight="1">
      <c r="M13487"/>
      <c r="N13487"/>
      <c r="O13487"/>
      <c r="P13487"/>
      <c r="Q13487"/>
      <c r="R13487"/>
      <c r="S13487"/>
    </row>
    <row r="13488" spans="13:19" ht="13.95" customHeight="1">
      <c r="M13488"/>
      <c r="N13488"/>
      <c r="O13488"/>
      <c r="P13488"/>
      <c r="Q13488"/>
      <c r="R13488"/>
      <c r="S13488"/>
    </row>
    <row r="13489" spans="13:19" ht="13.95" customHeight="1">
      <c r="M13489"/>
      <c r="N13489"/>
      <c r="O13489"/>
      <c r="P13489"/>
      <c r="Q13489"/>
      <c r="R13489"/>
      <c r="S13489"/>
    </row>
    <row r="13490" spans="13:19" ht="13.95" customHeight="1">
      <c r="M13490"/>
      <c r="N13490"/>
      <c r="O13490"/>
      <c r="P13490"/>
      <c r="Q13490"/>
      <c r="R13490"/>
      <c r="S13490"/>
    </row>
    <row r="13491" spans="13:19" ht="13.95" customHeight="1">
      <c r="M13491"/>
      <c r="N13491"/>
      <c r="O13491"/>
      <c r="P13491"/>
      <c r="Q13491"/>
      <c r="R13491"/>
      <c r="S13491"/>
    </row>
    <row r="13492" spans="13:19" ht="13.95" customHeight="1">
      <c r="M13492"/>
      <c r="N13492"/>
      <c r="O13492"/>
      <c r="P13492"/>
      <c r="Q13492"/>
      <c r="R13492"/>
      <c r="S13492"/>
    </row>
    <row r="13493" spans="13:19" ht="13.95" customHeight="1">
      <c r="M13493"/>
      <c r="N13493"/>
      <c r="O13493"/>
      <c r="P13493"/>
      <c r="Q13493"/>
      <c r="R13493"/>
      <c r="S13493"/>
    </row>
    <row r="13494" spans="13:19" ht="13.95" customHeight="1">
      <c r="M13494"/>
      <c r="N13494"/>
      <c r="O13494"/>
      <c r="P13494"/>
      <c r="Q13494"/>
      <c r="R13494"/>
      <c r="S13494"/>
    </row>
    <row r="13495" spans="13:19" ht="13.95" customHeight="1">
      <c r="M13495"/>
      <c r="N13495"/>
      <c r="O13495"/>
      <c r="P13495"/>
      <c r="Q13495"/>
      <c r="R13495"/>
      <c r="S13495"/>
    </row>
    <row r="13496" spans="13:19" ht="13.95" customHeight="1">
      <c r="M13496"/>
      <c r="N13496"/>
      <c r="O13496"/>
      <c r="P13496"/>
      <c r="Q13496"/>
      <c r="R13496"/>
      <c r="S13496"/>
    </row>
    <row r="13497" spans="13:19" ht="13.95" customHeight="1">
      <c r="M13497"/>
      <c r="N13497"/>
      <c r="O13497"/>
      <c r="P13497"/>
      <c r="Q13497"/>
      <c r="R13497"/>
      <c r="S13497"/>
    </row>
    <row r="13498" spans="13:19" ht="13.95" customHeight="1">
      <c r="M13498"/>
      <c r="N13498"/>
      <c r="O13498"/>
      <c r="P13498"/>
      <c r="Q13498"/>
      <c r="R13498"/>
      <c r="S13498"/>
    </row>
    <row r="13499" spans="13:19" ht="13.95" customHeight="1">
      <c r="M13499"/>
      <c r="N13499"/>
      <c r="O13499"/>
      <c r="P13499"/>
      <c r="Q13499"/>
      <c r="R13499"/>
      <c r="S13499"/>
    </row>
    <row r="13500" spans="13:19" ht="13.95" customHeight="1">
      <c r="M13500"/>
      <c r="N13500"/>
      <c r="O13500"/>
      <c r="P13500"/>
      <c r="Q13500"/>
      <c r="R13500"/>
      <c r="S13500"/>
    </row>
    <row r="13501" spans="13:19" ht="13.95" customHeight="1">
      <c r="M13501"/>
      <c r="N13501"/>
      <c r="O13501"/>
      <c r="P13501"/>
      <c r="Q13501"/>
      <c r="R13501"/>
      <c r="S13501"/>
    </row>
    <row r="13502" spans="13:19" ht="13.95" customHeight="1">
      <c r="M13502"/>
      <c r="N13502"/>
      <c r="O13502"/>
      <c r="P13502"/>
      <c r="Q13502"/>
      <c r="R13502"/>
      <c r="S13502"/>
    </row>
    <row r="13503" spans="13:19" ht="13.95" customHeight="1">
      <c r="M13503"/>
      <c r="N13503"/>
      <c r="O13503"/>
      <c r="P13503"/>
      <c r="Q13503"/>
      <c r="R13503"/>
      <c r="S13503"/>
    </row>
    <row r="13504" spans="13:19" ht="13.95" customHeight="1">
      <c r="M13504"/>
      <c r="N13504"/>
      <c r="O13504"/>
      <c r="P13504"/>
      <c r="Q13504"/>
      <c r="R13504"/>
      <c r="S13504"/>
    </row>
    <row r="13505" spans="13:19" ht="13.95" customHeight="1">
      <c r="M13505"/>
      <c r="N13505"/>
      <c r="O13505"/>
      <c r="P13505"/>
      <c r="Q13505"/>
      <c r="R13505"/>
      <c r="S13505"/>
    </row>
    <row r="13506" spans="13:19" ht="13.95" customHeight="1">
      <c r="M13506"/>
      <c r="N13506"/>
      <c r="O13506"/>
      <c r="P13506"/>
      <c r="Q13506"/>
      <c r="R13506"/>
      <c r="S13506"/>
    </row>
    <row r="13507" spans="13:19" ht="13.95" customHeight="1">
      <c r="M13507"/>
      <c r="N13507"/>
      <c r="O13507"/>
      <c r="P13507"/>
      <c r="Q13507"/>
      <c r="R13507"/>
      <c r="S13507"/>
    </row>
    <row r="13508" spans="13:19" ht="13.95" customHeight="1">
      <c r="M13508"/>
      <c r="N13508"/>
      <c r="O13508"/>
      <c r="P13508"/>
      <c r="Q13508"/>
      <c r="R13508"/>
      <c r="S13508"/>
    </row>
    <row r="13509" spans="13:19" ht="13.95" customHeight="1">
      <c r="M13509"/>
      <c r="N13509"/>
      <c r="O13509"/>
      <c r="P13509"/>
      <c r="Q13509"/>
      <c r="R13509"/>
      <c r="S13509"/>
    </row>
    <row r="13510" spans="13:19" ht="13.95" customHeight="1">
      <c r="M13510"/>
      <c r="N13510"/>
      <c r="O13510"/>
      <c r="P13510"/>
      <c r="Q13510"/>
      <c r="R13510"/>
      <c r="S13510"/>
    </row>
    <row r="13511" spans="13:19" ht="13.95" customHeight="1">
      <c r="M13511"/>
      <c r="N13511"/>
      <c r="O13511"/>
      <c r="P13511"/>
      <c r="Q13511"/>
      <c r="R13511"/>
      <c r="S13511"/>
    </row>
    <row r="13512" spans="13:19" ht="13.95" customHeight="1">
      <c r="M13512"/>
      <c r="N13512"/>
      <c r="O13512"/>
      <c r="P13512"/>
      <c r="Q13512"/>
      <c r="R13512"/>
      <c r="S13512"/>
    </row>
    <row r="13513" spans="13:19" ht="13.95" customHeight="1">
      <c r="M13513"/>
      <c r="N13513"/>
      <c r="O13513"/>
      <c r="P13513"/>
      <c r="Q13513"/>
      <c r="R13513"/>
      <c r="S13513"/>
    </row>
    <row r="13514" spans="13:19" ht="13.95" customHeight="1">
      <c r="M13514"/>
      <c r="N13514"/>
      <c r="O13514"/>
      <c r="P13514"/>
      <c r="Q13514"/>
      <c r="R13514"/>
      <c r="S13514"/>
    </row>
    <row r="13515" spans="13:19" ht="13.95" customHeight="1">
      <c r="M13515"/>
      <c r="N13515"/>
      <c r="O13515"/>
      <c r="P13515"/>
      <c r="Q13515"/>
      <c r="R13515"/>
      <c r="S13515"/>
    </row>
    <row r="13516" spans="13:19" ht="13.95" customHeight="1">
      <c r="M13516"/>
      <c r="N13516"/>
      <c r="O13516"/>
      <c r="P13516"/>
      <c r="Q13516"/>
      <c r="R13516"/>
      <c r="S13516"/>
    </row>
    <row r="13517" spans="13:19" ht="13.95" customHeight="1">
      <c r="M13517"/>
      <c r="N13517"/>
      <c r="O13517"/>
      <c r="P13517"/>
      <c r="Q13517"/>
      <c r="R13517"/>
      <c r="S13517"/>
    </row>
    <row r="13518" spans="13:19" ht="13.95" customHeight="1">
      <c r="M13518"/>
      <c r="N13518"/>
      <c r="O13518"/>
      <c r="P13518"/>
      <c r="Q13518"/>
      <c r="R13518"/>
      <c r="S13518"/>
    </row>
    <row r="13519" spans="13:19" ht="13.95" customHeight="1">
      <c r="M13519"/>
      <c r="N13519"/>
      <c r="O13519"/>
      <c r="P13519"/>
      <c r="Q13519"/>
      <c r="R13519"/>
      <c r="S13519"/>
    </row>
    <row r="13520" spans="13:19" ht="13.95" customHeight="1">
      <c r="M13520"/>
      <c r="N13520"/>
      <c r="O13520"/>
      <c r="P13520"/>
      <c r="Q13520"/>
      <c r="R13520"/>
      <c r="S13520"/>
    </row>
    <row r="13521" spans="13:19" ht="13.95" customHeight="1">
      <c r="M13521"/>
      <c r="N13521"/>
      <c r="O13521"/>
      <c r="P13521"/>
      <c r="Q13521"/>
      <c r="R13521"/>
      <c r="S13521"/>
    </row>
    <row r="13522" spans="13:19" ht="13.95" customHeight="1">
      <c r="M13522"/>
      <c r="N13522"/>
      <c r="O13522"/>
      <c r="P13522"/>
      <c r="Q13522"/>
      <c r="R13522"/>
      <c r="S13522"/>
    </row>
    <row r="13523" spans="13:19" ht="13.95" customHeight="1">
      <c r="M13523"/>
      <c r="N13523"/>
      <c r="O13523"/>
      <c r="P13523"/>
      <c r="Q13523"/>
      <c r="R13523"/>
      <c r="S13523"/>
    </row>
    <row r="13524" spans="13:19" ht="13.95" customHeight="1">
      <c r="M13524"/>
      <c r="N13524"/>
      <c r="O13524"/>
      <c r="P13524"/>
      <c r="Q13524"/>
      <c r="R13524"/>
      <c r="S13524"/>
    </row>
    <row r="13525" spans="13:19" ht="13.95" customHeight="1">
      <c r="M13525"/>
      <c r="N13525"/>
      <c r="O13525"/>
      <c r="P13525"/>
      <c r="Q13525"/>
      <c r="R13525"/>
      <c r="S13525"/>
    </row>
    <row r="13526" spans="13:19" ht="13.95" customHeight="1">
      <c r="M13526"/>
      <c r="N13526"/>
      <c r="O13526"/>
      <c r="P13526"/>
      <c r="Q13526"/>
      <c r="R13526"/>
      <c r="S13526"/>
    </row>
    <row r="13527" spans="13:19" ht="13.95" customHeight="1">
      <c r="M13527"/>
      <c r="N13527"/>
      <c r="O13527"/>
      <c r="P13527"/>
      <c r="Q13527"/>
      <c r="R13527"/>
      <c r="S13527"/>
    </row>
    <row r="13528" spans="13:19" ht="13.95" customHeight="1">
      <c r="M13528"/>
      <c r="N13528"/>
      <c r="O13528"/>
      <c r="P13528"/>
      <c r="Q13528"/>
      <c r="R13528"/>
      <c r="S13528"/>
    </row>
    <row r="13529" spans="13:19" ht="13.95" customHeight="1">
      <c r="M13529"/>
      <c r="N13529"/>
      <c r="O13529"/>
      <c r="P13529"/>
      <c r="Q13529"/>
      <c r="R13529"/>
      <c r="S13529"/>
    </row>
    <row r="13530" spans="13:19" ht="13.95" customHeight="1">
      <c r="M13530"/>
      <c r="N13530"/>
      <c r="O13530"/>
      <c r="P13530"/>
      <c r="Q13530"/>
      <c r="R13530"/>
      <c r="S13530"/>
    </row>
    <row r="13531" spans="13:19" ht="13.95" customHeight="1">
      <c r="M13531"/>
      <c r="N13531"/>
      <c r="O13531"/>
      <c r="P13531"/>
      <c r="Q13531"/>
      <c r="R13531"/>
      <c r="S13531"/>
    </row>
    <row r="13532" spans="13:19" ht="13.95" customHeight="1">
      <c r="M13532"/>
      <c r="N13532"/>
      <c r="O13532"/>
      <c r="P13532"/>
      <c r="Q13532"/>
      <c r="R13532"/>
      <c r="S13532"/>
    </row>
    <row r="13533" spans="13:19" ht="13.95" customHeight="1">
      <c r="M13533"/>
      <c r="N13533"/>
      <c r="O13533"/>
      <c r="P13533"/>
      <c r="Q13533"/>
      <c r="R13533"/>
      <c r="S13533"/>
    </row>
    <row r="13534" spans="13:19" ht="13.95" customHeight="1">
      <c r="M13534"/>
      <c r="N13534"/>
      <c r="O13534"/>
      <c r="P13534"/>
      <c r="Q13534"/>
      <c r="R13534"/>
      <c r="S13534"/>
    </row>
    <row r="13535" spans="13:19" ht="13.95" customHeight="1">
      <c r="M13535"/>
      <c r="N13535"/>
      <c r="O13535"/>
      <c r="P13535"/>
      <c r="Q13535"/>
      <c r="R13535"/>
      <c r="S13535"/>
    </row>
    <row r="13536" spans="13:19" ht="13.95" customHeight="1">
      <c r="M13536"/>
      <c r="N13536"/>
      <c r="O13536"/>
      <c r="P13536"/>
      <c r="Q13536"/>
      <c r="R13536"/>
      <c r="S13536"/>
    </row>
    <row r="13537" spans="13:19" ht="13.95" customHeight="1">
      <c r="M13537"/>
      <c r="N13537"/>
      <c r="O13537"/>
      <c r="P13537"/>
      <c r="Q13537"/>
      <c r="R13537"/>
      <c r="S13537"/>
    </row>
    <row r="13538" spans="13:19" ht="13.95" customHeight="1">
      <c r="M13538"/>
      <c r="N13538"/>
      <c r="O13538"/>
      <c r="P13538"/>
      <c r="Q13538"/>
      <c r="R13538"/>
      <c r="S13538"/>
    </row>
    <row r="13539" spans="13:19" ht="13.95" customHeight="1">
      <c r="M13539"/>
      <c r="N13539"/>
      <c r="O13539"/>
      <c r="P13539"/>
      <c r="Q13539"/>
      <c r="R13539"/>
      <c r="S13539"/>
    </row>
    <row r="13540" spans="13:19" ht="13.95" customHeight="1">
      <c r="M13540"/>
      <c r="N13540"/>
      <c r="O13540"/>
      <c r="P13540"/>
      <c r="Q13540"/>
      <c r="R13540"/>
      <c r="S13540"/>
    </row>
    <row r="13541" spans="13:19" ht="13.95" customHeight="1">
      <c r="M13541"/>
      <c r="N13541"/>
      <c r="O13541"/>
      <c r="P13541"/>
      <c r="Q13541"/>
      <c r="R13541"/>
      <c r="S13541"/>
    </row>
    <row r="13542" spans="13:19" ht="13.95" customHeight="1">
      <c r="M13542"/>
      <c r="N13542"/>
      <c r="O13542"/>
      <c r="P13542"/>
      <c r="Q13542"/>
      <c r="R13542"/>
      <c r="S13542"/>
    </row>
    <row r="13543" spans="13:19" ht="13.95" customHeight="1">
      <c r="M13543"/>
      <c r="N13543"/>
      <c r="O13543"/>
      <c r="P13543"/>
      <c r="Q13543"/>
      <c r="R13543"/>
      <c r="S13543"/>
    </row>
    <row r="13544" spans="13:19" ht="13.95" customHeight="1">
      <c r="M13544"/>
      <c r="N13544"/>
      <c r="O13544"/>
      <c r="P13544"/>
      <c r="Q13544"/>
      <c r="R13544"/>
      <c r="S13544"/>
    </row>
    <row r="13545" spans="13:19" ht="13.95" customHeight="1">
      <c r="M13545"/>
      <c r="N13545"/>
      <c r="O13545"/>
      <c r="P13545"/>
      <c r="Q13545"/>
      <c r="R13545"/>
      <c r="S13545"/>
    </row>
    <row r="13546" spans="13:19" ht="13.95" customHeight="1">
      <c r="M13546"/>
      <c r="N13546"/>
      <c r="O13546"/>
      <c r="P13546"/>
      <c r="Q13546"/>
      <c r="R13546"/>
      <c r="S13546"/>
    </row>
    <row r="13547" spans="13:19" ht="13.95" customHeight="1">
      <c r="M13547"/>
      <c r="N13547"/>
      <c r="O13547"/>
      <c r="P13547"/>
      <c r="Q13547"/>
      <c r="R13547"/>
      <c r="S13547"/>
    </row>
    <row r="13548" spans="13:19" ht="13.95" customHeight="1">
      <c r="M13548"/>
      <c r="N13548"/>
      <c r="O13548"/>
      <c r="P13548"/>
      <c r="Q13548"/>
      <c r="R13548"/>
      <c r="S13548"/>
    </row>
    <row r="13549" spans="13:19" ht="13.95" customHeight="1">
      <c r="M13549"/>
      <c r="N13549"/>
      <c r="O13549"/>
      <c r="P13549"/>
      <c r="Q13549"/>
      <c r="R13549"/>
      <c r="S13549"/>
    </row>
    <row r="13550" spans="13:19" ht="13.95" customHeight="1">
      <c r="M13550"/>
      <c r="N13550"/>
      <c r="O13550"/>
      <c r="P13550"/>
      <c r="Q13550"/>
      <c r="R13550"/>
      <c r="S13550"/>
    </row>
    <row r="13551" spans="13:19" ht="13.95" customHeight="1">
      <c r="M13551"/>
      <c r="N13551"/>
      <c r="O13551"/>
      <c r="P13551"/>
      <c r="Q13551"/>
      <c r="R13551"/>
      <c r="S13551"/>
    </row>
    <row r="13552" spans="13:19" ht="13.95" customHeight="1">
      <c r="M13552"/>
      <c r="N13552"/>
      <c r="O13552"/>
      <c r="P13552"/>
      <c r="Q13552"/>
      <c r="R13552"/>
      <c r="S13552"/>
    </row>
    <row r="13553" spans="13:19" ht="13.95" customHeight="1">
      <c r="M13553"/>
      <c r="N13553"/>
      <c r="O13553"/>
      <c r="P13553"/>
      <c r="Q13553"/>
      <c r="R13553"/>
      <c r="S13553"/>
    </row>
    <row r="13554" spans="13:19" ht="13.95" customHeight="1">
      <c r="M13554"/>
      <c r="N13554"/>
      <c r="O13554"/>
      <c r="P13554"/>
      <c r="Q13554"/>
      <c r="R13554"/>
      <c r="S13554"/>
    </row>
    <row r="13555" spans="13:19" ht="13.95" customHeight="1">
      <c r="M13555"/>
      <c r="N13555"/>
      <c r="O13555"/>
      <c r="P13555"/>
      <c r="Q13555"/>
      <c r="R13555"/>
      <c r="S13555"/>
    </row>
    <row r="13556" spans="13:19" ht="13.95" customHeight="1">
      <c r="M13556"/>
      <c r="N13556"/>
      <c r="O13556"/>
      <c r="P13556"/>
      <c r="Q13556"/>
      <c r="R13556"/>
      <c r="S13556"/>
    </row>
    <row r="13557" spans="13:19" ht="13.95" customHeight="1">
      <c r="M13557"/>
      <c r="N13557"/>
      <c r="O13557"/>
      <c r="P13557"/>
      <c r="Q13557"/>
      <c r="R13557"/>
      <c r="S13557"/>
    </row>
    <row r="13558" spans="13:19" ht="13.95" customHeight="1">
      <c r="M13558"/>
      <c r="N13558"/>
      <c r="O13558"/>
      <c r="P13558"/>
      <c r="Q13558"/>
      <c r="R13558"/>
      <c r="S13558"/>
    </row>
    <row r="13559" spans="13:19" ht="13.95" customHeight="1">
      <c r="M13559"/>
      <c r="N13559"/>
      <c r="O13559"/>
      <c r="P13559"/>
      <c r="Q13559"/>
      <c r="R13559"/>
      <c r="S13559"/>
    </row>
    <row r="13560" spans="13:19" ht="13.95" customHeight="1">
      <c r="M13560"/>
      <c r="N13560"/>
      <c r="O13560"/>
      <c r="P13560"/>
      <c r="Q13560"/>
      <c r="R13560"/>
      <c r="S13560"/>
    </row>
    <row r="13561" spans="13:19" ht="13.95" customHeight="1">
      <c r="M13561"/>
      <c r="N13561"/>
      <c r="O13561"/>
      <c r="P13561"/>
      <c r="Q13561"/>
      <c r="R13561"/>
      <c r="S13561"/>
    </row>
    <row r="13562" spans="13:19" ht="13.95" customHeight="1">
      <c r="M13562"/>
      <c r="N13562"/>
      <c r="O13562"/>
      <c r="P13562"/>
      <c r="Q13562"/>
      <c r="R13562"/>
      <c r="S13562"/>
    </row>
    <row r="13563" spans="13:19" ht="13.95" customHeight="1">
      <c r="M13563"/>
      <c r="N13563"/>
      <c r="O13563"/>
      <c r="P13563"/>
      <c r="Q13563"/>
      <c r="R13563"/>
      <c r="S13563"/>
    </row>
    <row r="13564" spans="13:19" ht="13.95" customHeight="1">
      <c r="M13564"/>
      <c r="N13564"/>
      <c r="O13564"/>
      <c r="P13564"/>
      <c r="Q13564"/>
      <c r="R13564"/>
      <c r="S13564"/>
    </row>
    <row r="13565" spans="13:19" ht="13.95" customHeight="1">
      <c r="M13565"/>
      <c r="N13565"/>
      <c r="O13565"/>
      <c r="P13565"/>
      <c r="Q13565"/>
      <c r="R13565"/>
      <c r="S13565"/>
    </row>
    <row r="13566" spans="13:19" ht="13.95" customHeight="1">
      <c r="M13566"/>
      <c r="N13566"/>
      <c r="O13566"/>
      <c r="P13566"/>
      <c r="Q13566"/>
      <c r="R13566"/>
      <c r="S13566"/>
    </row>
    <row r="13567" spans="13:19" ht="13.95" customHeight="1">
      <c r="M13567"/>
      <c r="N13567"/>
      <c r="O13567"/>
      <c r="P13567"/>
      <c r="Q13567"/>
      <c r="R13567"/>
      <c r="S13567"/>
    </row>
    <row r="13568" spans="13:19" ht="13.95" customHeight="1">
      <c r="M13568"/>
      <c r="N13568"/>
      <c r="O13568"/>
      <c r="P13568"/>
      <c r="Q13568"/>
      <c r="R13568"/>
      <c r="S13568"/>
    </row>
    <row r="13569" spans="13:19" ht="13.95" customHeight="1">
      <c r="M13569"/>
      <c r="N13569"/>
      <c r="O13569"/>
      <c r="P13569"/>
      <c r="Q13569"/>
      <c r="R13569"/>
      <c r="S13569"/>
    </row>
    <row r="13570" spans="13:19" ht="13.95" customHeight="1">
      <c r="M13570"/>
      <c r="N13570"/>
      <c r="O13570"/>
      <c r="P13570"/>
      <c r="Q13570"/>
      <c r="R13570"/>
      <c r="S13570"/>
    </row>
    <row r="13571" spans="13:19" ht="13.95" customHeight="1">
      <c r="M13571"/>
      <c r="N13571"/>
      <c r="O13571"/>
      <c r="P13571"/>
      <c r="Q13571"/>
      <c r="R13571"/>
      <c r="S13571"/>
    </row>
    <row r="13572" spans="13:19" ht="13.95" customHeight="1">
      <c r="M13572"/>
      <c r="N13572"/>
      <c r="O13572"/>
      <c r="P13572"/>
      <c r="Q13572"/>
      <c r="R13572"/>
      <c r="S13572"/>
    </row>
    <row r="13573" spans="13:19" ht="13.95" customHeight="1">
      <c r="M13573"/>
      <c r="N13573"/>
      <c r="O13573"/>
      <c r="P13573"/>
      <c r="Q13573"/>
      <c r="R13573"/>
      <c r="S13573"/>
    </row>
    <row r="13574" spans="13:19" ht="13.95" customHeight="1">
      <c r="M13574"/>
      <c r="N13574"/>
      <c r="O13574"/>
      <c r="P13574"/>
      <c r="Q13574"/>
      <c r="R13574"/>
      <c r="S13574"/>
    </row>
    <row r="13575" spans="13:19" ht="13.95" customHeight="1">
      <c r="M13575"/>
      <c r="N13575"/>
      <c r="O13575"/>
      <c r="P13575"/>
      <c r="Q13575"/>
      <c r="R13575"/>
      <c r="S13575"/>
    </row>
    <row r="13576" spans="13:19" ht="13.95" customHeight="1">
      <c r="M13576"/>
      <c r="N13576"/>
      <c r="O13576"/>
      <c r="P13576"/>
      <c r="Q13576"/>
      <c r="R13576"/>
      <c r="S13576"/>
    </row>
    <row r="13577" spans="13:19" ht="13.95" customHeight="1">
      <c r="M13577"/>
      <c r="N13577"/>
      <c r="O13577"/>
      <c r="P13577"/>
      <c r="Q13577"/>
      <c r="R13577"/>
      <c r="S13577"/>
    </row>
    <row r="13578" spans="13:19" ht="13.95" customHeight="1">
      <c r="M13578"/>
      <c r="N13578"/>
      <c r="O13578"/>
      <c r="P13578"/>
      <c r="Q13578"/>
      <c r="R13578"/>
      <c r="S13578"/>
    </row>
    <row r="13579" spans="13:19" ht="13.95" customHeight="1">
      <c r="M13579"/>
      <c r="N13579"/>
      <c r="O13579"/>
      <c r="P13579"/>
      <c r="Q13579"/>
      <c r="R13579"/>
      <c r="S13579"/>
    </row>
    <row r="13580" spans="13:19" ht="13.95" customHeight="1">
      <c r="M13580"/>
      <c r="N13580"/>
      <c r="O13580"/>
      <c r="P13580"/>
      <c r="Q13580"/>
      <c r="R13580"/>
      <c r="S13580"/>
    </row>
    <row r="13581" spans="13:19" ht="13.95" customHeight="1">
      <c r="M13581"/>
      <c r="N13581"/>
      <c r="O13581"/>
      <c r="P13581"/>
      <c r="Q13581"/>
      <c r="R13581"/>
      <c r="S13581"/>
    </row>
    <row r="13582" spans="13:19" ht="13.95" customHeight="1">
      <c r="M13582"/>
      <c r="N13582"/>
      <c r="O13582"/>
      <c r="P13582"/>
      <c r="Q13582"/>
      <c r="R13582"/>
      <c r="S13582"/>
    </row>
    <row r="13583" spans="13:19" ht="13.95" customHeight="1">
      <c r="M13583"/>
      <c r="N13583"/>
      <c r="O13583"/>
      <c r="P13583"/>
      <c r="Q13583"/>
      <c r="R13583"/>
      <c r="S13583"/>
    </row>
    <row r="13584" spans="13:19" ht="13.95" customHeight="1">
      <c r="M13584"/>
      <c r="N13584"/>
      <c r="O13584"/>
      <c r="P13584"/>
      <c r="Q13584"/>
      <c r="R13584"/>
      <c r="S13584"/>
    </row>
    <row r="13585" spans="13:19" ht="13.95" customHeight="1">
      <c r="M13585"/>
      <c r="N13585"/>
      <c r="O13585"/>
      <c r="P13585"/>
      <c r="Q13585"/>
      <c r="R13585"/>
      <c r="S13585"/>
    </row>
    <row r="13586" spans="13:19" ht="13.95" customHeight="1">
      <c r="M13586"/>
      <c r="N13586"/>
      <c r="O13586"/>
      <c r="P13586"/>
      <c r="Q13586"/>
      <c r="R13586"/>
      <c r="S13586"/>
    </row>
    <row r="13587" spans="13:19" ht="13.95" customHeight="1">
      <c r="M13587"/>
      <c r="N13587"/>
      <c r="O13587"/>
      <c r="P13587"/>
      <c r="Q13587"/>
      <c r="R13587"/>
      <c r="S13587"/>
    </row>
    <row r="13588" spans="13:19" ht="13.95" customHeight="1">
      <c r="M13588"/>
      <c r="N13588"/>
      <c r="O13588"/>
      <c r="P13588"/>
      <c r="Q13588"/>
      <c r="R13588"/>
      <c r="S13588"/>
    </row>
    <row r="13589" spans="13:19" ht="13.95" customHeight="1">
      <c r="M13589"/>
      <c r="N13589"/>
      <c r="O13589"/>
      <c r="P13589"/>
      <c r="Q13589"/>
      <c r="R13589"/>
      <c r="S13589"/>
    </row>
    <row r="13590" spans="13:19" ht="13.95" customHeight="1">
      <c r="M13590"/>
      <c r="N13590"/>
      <c r="O13590"/>
      <c r="P13590"/>
      <c r="Q13590"/>
      <c r="R13590"/>
      <c r="S13590"/>
    </row>
    <row r="13591" spans="13:19" ht="13.95" customHeight="1">
      <c r="M13591"/>
      <c r="N13591"/>
      <c r="O13591"/>
      <c r="P13591"/>
      <c r="Q13591"/>
      <c r="R13591"/>
      <c r="S13591"/>
    </row>
    <row r="13592" spans="13:19" ht="13.95" customHeight="1">
      <c r="M13592"/>
      <c r="N13592"/>
      <c r="O13592"/>
      <c r="P13592"/>
      <c r="Q13592"/>
      <c r="R13592"/>
      <c r="S13592"/>
    </row>
    <row r="13593" spans="13:19" ht="13.95" customHeight="1">
      <c r="M13593"/>
      <c r="N13593"/>
      <c r="O13593"/>
      <c r="P13593"/>
      <c r="Q13593"/>
      <c r="R13593"/>
      <c r="S13593"/>
    </row>
    <row r="13594" spans="13:19" ht="13.95" customHeight="1">
      <c r="M13594"/>
      <c r="N13594"/>
      <c r="O13594"/>
      <c r="P13594"/>
      <c r="Q13594"/>
      <c r="R13594"/>
      <c r="S13594"/>
    </row>
    <row r="13595" spans="13:19" ht="13.95" customHeight="1">
      <c r="M13595"/>
      <c r="N13595"/>
      <c r="O13595"/>
      <c r="P13595"/>
      <c r="Q13595"/>
      <c r="R13595"/>
      <c r="S13595"/>
    </row>
    <row r="13596" spans="13:19" ht="13.95" customHeight="1">
      <c r="M13596"/>
      <c r="N13596"/>
      <c r="O13596"/>
      <c r="P13596"/>
      <c r="Q13596"/>
      <c r="R13596"/>
      <c r="S13596"/>
    </row>
    <row r="13597" spans="13:19" ht="13.95" customHeight="1">
      <c r="M13597"/>
      <c r="N13597"/>
      <c r="O13597"/>
      <c r="P13597"/>
      <c r="Q13597"/>
      <c r="R13597"/>
      <c r="S13597"/>
    </row>
    <row r="13598" spans="13:19" ht="13.95" customHeight="1">
      <c r="M13598"/>
      <c r="N13598"/>
      <c r="O13598"/>
      <c r="P13598"/>
      <c r="Q13598"/>
      <c r="R13598"/>
      <c r="S13598"/>
    </row>
    <row r="13599" spans="13:19" ht="13.95" customHeight="1">
      <c r="M13599"/>
      <c r="N13599"/>
      <c r="O13599"/>
      <c r="P13599"/>
      <c r="Q13599"/>
      <c r="R13599"/>
      <c r="S13599"/>
    </row>
    <row r="13600" spans="13:19" ht="13.95" customHeight="1">
      <c r="M13600"/>
      <c r="N13600"/>
      <c r="O13600"/>
      <c r="P13600"/>
      <c r="Q13600"/>
      <c r="R13600"/>
      <c r="S13600"/>
    </row>
    <row r="13601" spans="13:19" ht="13.95" customHeight="1">
      <c r="M13601"/>
      <c r="N13601"/>
      <c r="O13601"/>
      <c r="P13601"/>
      <c r="Q13601"/>
      <c r="R13601"/>
      <c r="S13601"/>
    </row>
    <row r="13602" spans="13:19" ht="13.95" customHeight="1">
      <c r="M13602"/>
      <c r="N13602"/>
      <c r="O13602"/>
      <c r="P13602"/>
      <c r="Q13602"/>
      <c r="R13602"/>
      <c r="S13602"/>
    </row>
    <row r="13603" spans="13:19" ht="13.95" customHeight="1">
      <c r="M13603"/>
      <c r="N13603"/>
      <c r="O13603"/>
      <c r="P13603"/>
      <c r="Q13603"/>
      <c r="R13603"/>
      <c r="S13603"/>
    </row>
    <row r="13604" spans="13:19" ht="13.95" customHeight="1">
      <c r="M13604"/>
      <c r="N13604"/>
      <c r="O13604"/>
      <c r="P13604"/>
      <c r="Q13604"/>
      <c r="R13604"/>
      <c r="S13604"/>
    </row>
    <row r="13605" spans="13:19" ht="13.95" customHeight="1">
      <c r="M13605"/>
      <c r="N13605"/>
      <c r="O13605"/>
      <c r="P13605"/>
      <c r="Q13605"/>
      <c r="R13605"/>
      <c r="S13605"/>
    </row>
    <row r="13606" spans="13:19" ht="13.95" customHeight="1">
      <c r="M13606"/>
      <c r="N13606"/>
      <c r="O13606"/>
      <c r="P13606"/>
      <c r="Q13606"/>
      <c r="R13606"/>
      <c r="S13606"/>
    </row>
    <row r="13607" spans="13:19" ht="13.95" customHeight="1">
      <c r="M13607"/>
      <c r="N13607"/>
      <c r="O13607"/>
      <c r="P13607"/>
      <c r="Q13607"/>
      <c r="R13607"/>
      <c r="S13607"/>
    </row>
    <row r="13608" spans="13:19" ht="13.95" customHeight="1">
      <c r="M13608"/>
      <c r="N13608"/>
      <c r="O13608"/>
      <c r="P13608"/>
      <c r="Q13608"/>
      <c r="R13608"/>
      <c r="S13608"/>
    </row>
    <row r="13609" spans="13:19" ht="13.95" customHeight="1">
      <c r="M13609"/>
      <c r="N13609"/>
      <c r="O13609"/>
      <c r="P13609"/>
      <c r="Q13609"/>
      <c r="R13609"/>
      <c r="S13609"/>
    </row>
    <row r="13610" spans="13:19" ht="13.95" customHeight="1">
      <c r="M13610"/>
      <c r="N13610"/>
      <c r="O13610"/>
      <c r="P13610"/>
      <c r="Q13610"/>
      <c r="R13610"/>
      <c r="S13610"/>
    </row>
    <row r="13611" spans="13:19" ht="13.95" customHeight="1">
      <c r="M13611"/>
      <c r="N13611"/>
      <c r="O13611"/>
      <c r="P13611"/>
      <c r="Q13611"/>
      <c r="R13611"/>
      <c r="S13611"/>
    </row>
    <row r="13612" spans="13:19" ht="13.95" customHeight="1">
      <c r="M13612"/>
      <c r="N13612"/>
      <c r="O13612"/>
      <c r="P13612"/>
      <c r="Q13612"/>
      <c r="R13612"/>
      <c r="S13612"/>
    </row>
    <row r="13613" spans="13:19" ht="13.95" customHeight="1">
      <c r="M13613"/>
      <c r="N13613"/>
      <c r="O13613"/>
      <c r="P13613"/>
      <c r="Q13613"/>
      <c r="R13613"/>
      <c r="S13613"/>
    </row>
    <row r="13614" spans="13:19" ht="13.95" customHeight="1">
      <c r="M13614"/>
      <c r="N13614"/>
      <c r="O13614"/>
      <c r="P13614"/>
      <c r="Q13614"/>
      <c r="R13614"/>
      <c r="S13614"/>
    </row>
    <row r="13615" spans="13:19" ht="13.95" customHeight="1">
      <c r="M13615"/>
      <c r="N13615"/>
      <c r="O13615"/>
      <c r="P13615"/>
      <c r="Q13615"/>
      <c r="R13615"/>
      <c r="S13615"/>
    </row>
    <row r="13616" spans="13:19" ht="13.95" customHeight="1">
      <c r="M13616"/>
      <c r="N13616"/>
      <c r="O13616"/>
      <c r="P13616"/>
      <c r="Q13616"/>
      <c r="R13616"/>
      <c r="S13616"/>
    </row>
    <row r="13617" spans="13:19" ht="13.95" customHeight="1">
      <c r="M13617"/>
      <c r="N13617"/>
      <c r="O13617"/>
      <c r="P13617"/>
      <c r="Q13617"/>
      <c r="R13617"/>
      <c r="S13617"/>
    </row>
    <row r="13618" spans="13:19" ht="13.95" customHeight="1">
      <c r="M13618"/>
      <c r="N13618"/>
      <c r="O13618"/>
      <c r="P13618"/>
      <c r="Q13618"/>
      <c r="R13618"/>
      <c r="S13618"/>
    </row>
    <row r="13619" spans="13:19" ht="13.95" customHeight="1">
      <c r="M13619"/>
      <c r="N13619"/>
      <c r="O13619"/>
      <c r="P13619"/>
      <c r="Q13619"/>
      <c r="R13619"/>
      <c r="S13619"/>
    </row>
    <row r="13620" spans="13:19" ht="13.95" customHeight="1">
      <c r="M13620"/>
      <c r="N13620"/>
      <c r="O13620"/>
      <c r="P13620"/>
      <c r="Q13620"/>
      <c r="R13620"/>
      <c r="S13620"/>
    </row>
    <row r="13621" spans="13:19" ht="13.95" customHeight="1">
      <c r="M13621"/>
      <c r="N13621"/>
      <c r="O13621"/>
      <c r="P13621"/>
      <c r="Q13621"/>
      <c r="R13621"/>
      <c r="S13621"/>
    </row>
    <row r="13622" spans="13:19" ht="13.95" customHeight="1">
      <c r="M13622"/>
      <c r="N13622"/>
      <c r="O13622"/>
      <c r="P13622"/>
      <c r="Q13622"/>
      <c r="R13622"/>
      <c r="S13622"/>
    </row>
    <row r="13623" spans="13:19" ht="13.95" customHeight="1">
      <c r="M13623"/>
      <c r="N13623"/>
      <c r="O13623"/>
      <c r="P13623"/>
      <c r="Q13623"/>
      <c r="R13623"/>
      <c r="S13623"/>
    </row>
    <row r="13624" spans="13:19" ht="13.95" customHeight="1">
      <c r="M13624"/>
      <c r="N13624"/>
      <c r="O13624"/>
      <c r="P13624"/>
      <c r="Q13624"/>
      <c r="R13624"/>
      <c r="S13624"/>
    </row>
    <row r="13625" spans="13:19" ht="13.95" customHeight="1">
      <c r="M13625"/>
      <c r="N13625"/>
      <c r="O13625"/>
      <c r="P13625"/>
      <c r="Q13625"/>
      <c r="R13625"/>
      <c r="S13625"/>
    </row>
    <row r="13626" spans="13:19" ht="13.95" customHeight="1">
      <c r="M13626"/>
      <c r="N13626"/>
      <c r="O13626"/>
      <c r="P13626"/>
      <c r="Q13626"/>
      <c r="R13626"/>
      <c r="S13626"/>
    </row>
    <row r="13627" spans="13:19" ht="13.95" customHeight="1">
      <c r="M13627"/>
      <c r="N13627"/>
      <c r="O13627"/>
      <c r="P13627"/>
      <c r="Q13627"/>
      <c r="R13627"/>
      <c r="S13627"/>
    </row>
    <row r="13628" spans="13:19" ht="13.95" customHeight="1">
      <c r="M13628"/>
      <c r="N13628"/>
      <c r="O13628"/>
      <c r="P13628"/>
      <c r="Q13628"/>
      <c r="R13628"/>
      <c r="S13628"/>
    </row>
    <row r="13629" spans="13:19" ht="13.95" customHeight="1">
      <c r="M13629"/>
      <c r="N13629"/>
      <c r="O13629"/>
      <c r="P13629"/>
      <c r="Q13629"/>
      <c r="R13629"/>
      <c r="S13629"/>
    </row>
    <row r="13630" spans="13:19" ht="13.95" customHeight="1">
      <c r="M13630"/>
      <c r="N13630"/>
      <c r="O13630"/>
      <c r="P13630"/>
      <c r="Q13630"/>
      <c r="R13630"/>
      <c r="S13630"/>
    </row>
    <row r="13631" spans="13:19" ht="13.95" customHeight="1">
      <c r="M13631"/>
      <c r="N13631"/>
      <c r="O13631"/>
      <c r="P13631"/>
      <c r="Q13631"/>
      <c r="R13631"/>
      <c r="S13631"/>
    </row>
    <row r="13632" spans="13:19" ht="13.95" customHeight="1">
      <c r="M13632"/>
      <c r="N13632"/>
      <c r="O13632"/>
      <c r="P13632"/>
      <c r="Q13632"/>
      <c r="R13632"/>
      <c r="S13632"/>
    </row>
    <row r="13633" spans="13:19" ht="13.95" customHeight="1">
      <c r="M13633"/>
      <c r="N13633"/>
      <c r="O13633"/>
      <c r="P13633"/>
      <c r="Q13633"/>
      <c r="R13633"/>
      <c r="S13633"/>
    </row>
    <row r="13634" spans="13:19" ht="13.95" customHeight="1">
      <c r="M13634"/>
      <c r="N13634"/>
      <c r="O13634"/>
      <c r="P13634"/>
      <c r="Q13634"/>
      <c r="R13634"/>
      <c r="S13634"/>
    </row>
    <row r="13635" spans="13:19" ht="13.95" customHeight="1">
      <c r="M13635"/>
      <c r="N13635"/>
      <c r="O13635"/>
      <c r="P13635"/>
      <c r="Q13635"/>
      <c r="R13635"/>
      <c r="S13635"/>
    </row>
    <row r="13636" spans="13:19" ht="13.95" customHeight="1">
      <c r="M13636"/>
      <c r="N13636"/>
      <c r="O13636"/>
      <c r="P13636"/>
      <c r="Q13636"/>
      <c r="R13636"/>
      <c r="S13636"/>
    </row>
    <row r="13637" spans="13:19" ht="13.95" customHeight="1">
      <c r="M13637"/>
      <c r="N13637"/>
      <c r="O13637"/>
      <c r="P13637"/>
      <c r="Q13637"/>
      <c r="R13637"/>
      <c r="S13637"/>
    </row>
    <row r="13638" spans="13:19" ht="13.95" customHeight="1">
      <c r="M13638"/>
      <c r="N13638"/>
      <c r="O13638"/>
      <c r="P13638"/>
      <c r="Q13638"/>
      <c r="R13638"/>
      <c r="S13638"/>
    </row>
    <row r="13639" spans="13:19" ht="13.95" customHeight="1">
      <c r="M13639"/>
      <c r="N13639"/>
      <c r="O13639"/>
      <c r="P13639"/>
      <c r="Q13639"/>
      <c r="R13639"/>
      <c r="S13639"/>
    </row>
    <row r="13640" spans="13:19" ht="13.95" customHeight="1">
      <c r="M13640"/>
      <c r="N13640"/>
      <c r="O13640"/>
      <c r="P13640"/>
      <c r="Q13640"/>
      <c r="R13640"/>
      <c r="S13640"/>
    </row>
    <row r="13641" spans="13:19" ht="13.95" customHeight="1">
      <c r="M13641"/>
      <c r="N13641"/>
      <c r="O13641"/>
      <c r="P13641"/>
      <c r="Q13641"/>
      <c r="R13641"/>
      <c r="S13641"/>
    </row>
    <row r="13642" spans="13:19" ht="13.95" customHeight="1">
      <c r="M13642"/>
      <c r="N13642"/>
      <c r="O13642"/>
      <c r="P13642"/>
      <c r="Q13642"/>
      <c r="R13642"/>
      <c r="S13642"/>
    </row>
    <row r="13643" spans="13:19" ht="13.95" customHeight="1">
      <c r="M13643"/>
      <c r="N13643"/>
      <c r="O13643"/>
      <c r="P13643"/>
      <c r="Q13643"/>
      <c r="R13643"/>
      <c r="S13643"/>
    </row>
    <row r="13644" spans="13:19" ht="13.95" customHeight="1">
      <c r="M13644"/>
      <c r="N13644"/>
      <c r="O13644"/>
      <c r="P13644"/>
      <c r="Q13644"/>
      <c r="R13644"/>
      <c r="S13644"/>
    </row>
    <row r="13645" spans="13:19" ht="13.95" customHeight="1">
      <c r="M13645"/>
      <c r="N13645"/>
      <c r="O13645"/>
      <c r="P13645"/>
      <c r="Q13645"/>
      <c r="R13645"/>
      <c r="S13645"/>
    </row>
    <row r="13646" spans="13:19" ht="13.95" customHeight="1">
      <c r="M13646"/>
      <c r="N13646"/>
      <c r="O13646"/>
      <c r="P13646"/>
      <c r="Q13646"/>
      <c r="R13646"/>
      <c r="S13646"/>
    </row>
    <row r="13647" spans="13:19" ht="13.95" customHeight="1">
      <c r="M13647"/>
      <c r="N13647"/>
      <c r="O13647"/>
      <c r="P13647"/>
      <c r="Q13647"/>
      <c r="R13647"/>
      <c r="S13647"/>
    </row>
    <row r="13648" spans="13:19" ht="13.95" customHeight="1">
      <c r="M13648"/>
      <c r="N13648"/>
      <c r="O13648"/>
      <c r="P13648"/>
      <c r="Q13648"/>
      <c r="R13648"/>
      <c r="S13648"/>
    </row>
    <row r="13649" spans="13:19" ht="13.95" customHeight="1">
      <c r="M13649"/>
      <c r="N13649"/>
      <c r="O13649"/>
      <c r="P13649"/>
      <c r="Q13649"/>
      <c r="R13649"/>
      <c r="S13649"/>
    </row>
    <row r="13650" spans="13:19" ht="13.95" customHeight="1">
      <c r="M13650"/>
      <c r="N13650"/>
      <c r="O13650"/>
      <c r="P13650"/>
      <c r="Q13650"/>
      <c r="R13650"/>
      <c r="S13650"/>
    </row>
    <row r="13651" spans="13:19" ht="13.95" customHeight="1">
      <c r="M13651"/>
      <c r="N13651"/>
      <c r="O13651"/>
      <c r="P13651"/>
      <c r="Q13651"/>
      <c r="R13651"/>
      <c r="S13651"/>
    </row>
    <row r="13652" spans="13:19" ht="13.95" customHeight="1">
      <c r="M13652"/>
      <c r="N13652"/>
      <c r="O13652"/>
      <c r="P13652"/>
      <c r="Q13652"/>
      <c r="R13652"/>
      <c r="S13652"/>
    </row>
    <row r="13653" spans="13:19" ht="13.95" customHeight="1">
      <c r="M13653"/>
      <c r="N13653"/>
      <c r="O13653"/>
      <c r="P13653"/>
      <c r="Q13653"/>
      <c r="R13653"/>
      <c r="S13653"/>
    </row>
    <row r="13654" spans="13:19" ht="13.95" customHeight="1">
      <c r="M13654"/>
      <c r="N13654"/>
      <c r="O13654"/>
      <c r="P13654"/>
      <c r="Q13654"/>
      <c r="R13654"/>
      <c r="S13654"/>
    </row>
    <row r="13655" spans="13:19" ht="13.95" customHeight="1">
      <c r="M13655"/>
      <c r="N13655"/>
      <c r="O13655"/>
      <c r="P13655"/>
      <c r="Q13655"/>
      <c r="R13655"/>
      <c r="S13655"/>
    </row>
    <row r="13656" spans="13:19" ht="13.95" customHeight="1">
      <c r="M13656"/>
      <c r="N13656"/>
      <c r="O13656"/>
      <c r="P13656"/>
      <c r="Q13656"/>
      <c r="R13656"/>
      <c r="S13656"/>
    </row>
    <row r="13657" spans="13:19" ht="13.95" customHeight="1">
      <c r="M13657"/>
      <c r="N13657"/>
      <c r="O13657"/>
      <c r="P13657"/>
      <c r="Q13657"/>
      <c r="R13657"/>
      <c r="S13657"/>
    </row>
    <row r="13658" spans="13:19" ht="13.95" customHeight="1">
      <c r="M13658"/>
      <c r="N13658"/>
      <c r="O13658"/>
      <c r="P13658"/>
      <c r="Q13658"/>
      <c r="R13658"/>
      <c r="S13658"/>
    </row>
    <row r="13659" spans="13:19" ht="13.95" customHeight="1">
      <c r="M13659"/>
      <c r="N13659"/>
      <c r="O13659"/>
      <c r="P13659"/>
      <c r="Q13659"/>
      <c r="R13659"/>
      <c r="S13659"/>
    </row>
    <row r="13660" spans="13:19" ht="13.95" customHeight="1">
      <c r="M13660"/>
      <c r="N13660"/>
      <c r="O13660"/>
      <c r="P13660"/>
      <c r="Q13660"/>
      <c r="R13660"/>
      <c r="S13660"/>
    </row>
    <row r="13661" spans="13:19" ht="13.95" customHeight="1">
      <c r="M13661"/>
      <c r="N13661"/>
      <c r="O13661"/>
      <c r="P13661"/>
      <c r="Q13661"/>
      <c r="R13661"/>
      <c r="S13661"/>
    </row>
    <row r="13662" spans="13:19" ht="13.95" customHeight="1">
      <c r="M13662"/>
      <c r="N13662"/>
      <c r="O13662"/>
      <c r="P13662"/>
      <c r="Q13662"/>
      <c r="R13662"/>
      <c r="S13662"/>
    </row>
    <row r="13663" spans="13:19" ht="13.95" customHeight="1">
      <c r="M13663"/>
      <c r="N13663"/>
      <c r="O13663"/>
      <c r="P13663"/>
      <c r="Q13663"/>
      <c r="R13663"/>
      <c r="S13663"/>
    </row>
    <row r="13664" spans="13:19" ht="13.95" customHeight="1">
      <c r="M13664"/>
      <c r="N13664"/>
      <c r="O13664"/>
      <c r="P13664"/>
      <c r="Q13664"/>
      <c r="R13664"/>
      <c r="S13664"/>
    </row>
    <row r="13665" spans="13:19" ht="13.95" customHeight="1">
      <c r="M13665"/>
      <c r="N13665"/>
      <c r="O13665"/>
      <c r="P13665"/>
      <c r="Q13665"/>
      <c r="R13665"/>
      <c r="S13665"/>
    </row>
    <row r="13666" spans="13:19" ht="13.95" customHeight="1">
      <c r="M13666"/>
      <c r="N13666"/>
      <c r="O13666"/>
      <c r="P13666"/>
      <c r="Q13666"/>
      <c r="R13666"/>
      <c r="S13666"/>
    </row>
    <row r="13667" spans="13:19" ht="13.95" customHeight="1">
      <c r="M13667"/>
      <c r="N13667"/>
      <c r="O13667"/>
      <c r="P13667"/>
      <c r="Q13667"/>
      <c r="R13667"/>
      <c r="S13667"/>
    </row>
    <row r="13668" spans="13:19" ht="13.95" customHeight="1">
      <c r="M13668"/>
      <c r="N13668"/>
      <c r="O13668"/>
      <c r="P13668"/>
      <c r="Q13668"/>
      <c r="R13668"/>
      <c r="S13668"/>
    </row>
    <row r="13669" spans="13:19" ht="13.95" customHeight="1">
      <c r="M13669"/>
      <c r="N13669"/>
      <c r="O13669"/>
      <c r="P13669"/>
      <c r="Q13669"/>
      <c r="R13669"/>
      <c r="S13669"/>
    </row>
    <row r="13670" spans="13:19" ht="13.95" customHeight="1">
      <c r="M13670"/>
      <c r="N13670"/>
      <c r="O13670"/>
      <c r="P13670"/>
      <c r="Q13670"/>
      <c r="R13670"/>
      <c r="S13670"/>
    </row>
    <row r="13671" spans="13:19" ht="13.95" customHeight="1">
      <c r="M13671"/>
      <c r="N13671"/>
      <c r="O13671"/>
      <c r="P13671"/>
      <c r="Q13671"/>
      <c r="R13671"/>
      <c r="S13671"/>
    </row>
    <row r="13672" spans="13:19" ht="13.95" customHeight="1">
      <c r="M13672"/>
      <c r="N13672"/>
      <c r="O13672"/>
      <c r="P13672"/>
      <c r="Q13672"/>
      <c r="R13672"/>
      <c r="S13672"/>
    </row>
    <row r="13673" spans="13:19" ht="13.95" customHeight="1">
      <c r="M13673"/>
      <c r="N13673"/>
      <c r="O13673"/>
      <c r="P13673"/>
      <c r="Q13673"/>
      <c r="R13673"/>
      <c r="S13673"/>
    </row>
    <row r="13674" spans="13:19" ht="13.95" customHeight="1">
      <c r="M13674"/>
      <c r="N13674"/>
      <c r="O13674"/>
      <c r="P13674"/>
      <c r="Q13674"/>
      <c r="R13674"/>
      <c r="S13674"/>
    </row>
    <row r="13675" spans="13:19" ht="13.95" customHeight="1">
      <c r="M13675"/>
      <c r="N13675"/>
      <c r="O13675"/>
      <c r="P13675"/>
      <c r="Q13675"/>
      <c r="R13675"/>
      <c r="S13675"/>
    </row>
    <row r="13676" spans="13:19" ht="13.95" customHeight="1">
      <c r="M13676"/>
      <c r="N13676"/>
      <c r="O13676"/>
      <c r="P13676"/>
      <c r="Q13676"/>
      <c r="R13676"/>
      <c r="S13676"/>
    </row>
    <row r="13677" spans="13:19" ht="13.95" customHeight="1">
      <c r="M13677"/>
      <c r="N13677"/>
      <c r="O13677"/>
      <c r="P13677"/>
      <c r="Q13677"/>
      <c r="R13677"/>
      <c r="S13677"/>
    </row>
    <row r="13678" spans="13:19" ht="13.95" customHeight="1">
      <c r="M13678"/>
      <c r="N13678"/>
      <c r="O13678"/>
      <c r="P13678"/>
      <c r="Q13678"/>
      <c r="R13678"/>
      <c r="S13678"/>
    </row>
    <row r="13679" spans="13:19" ht="13.95" customHeight="1">
      <c r="M13679"/>
      <c r="N13679"/>
      <c r="O13679"/>
      <c r="P13679"/>
      <c r="Q13679"/>
      <c r="R13679"/>
      <c r="S13679"/>
    </row>
    <row r="13680" spans="13:19" ht="13.95" customHeight="1">
      <c r="M13680"/>
      <c r="N13680"/>
      <c r="O13680"/>
      <c r="P13680"/>
      <c r="Q13680"/>
      <c r="R13680"/>
      <c r="S13680"/>
    </row>
    <row r="13681" spans="13:19" ht="13.95" customHeight="1">
      <c r="M13681"/>
      <c r="N13681"/>
      <c r="O13681"/>
      <c r="P13681"/>
      <c r="Q13681"/>
      <c r="R13681"/>
      <c r="S13681"/>
    </row>
    <row r="13682" spans="13:19" ht="13.95" customHeight="1">
      <c r="M13682"/>
      <c r="N13682"/>
      <c r="O13682"/>
      <c r="P13682"/>
      <c r="Q13682"/>
      <c r="R13682"/>
      <c r="S13682"/>
    </row>
    <row r="13683" spans="13:19" ht="13.95" customHeight="1">
      <c r="M13683"/>
      <c r="N13683"/>
      <c r="O13683"/>
      <c r="P13683"/>
      <c r="Q13683"/>
      <c r="R13683"/>
      <c r="S13683"/>
    </row>
    <row r="13684" spans="13:19" ht="13.95" customHeight="1">
      <c r="M13684"/>
      <c r="N13684"/>
      <c r="O13684"/>
      <c r="P13684"/>
      <c r="Q13684"/>
      <c r="R13684"/>
      <c r="S13684"/>
    </row>
    <row r="13685" spans="13:19" ht="13.95" customHeight="1">
      <c r="M13685"/>
      <c r="N13685"/>
      <c r="O13685"/>
      <c r="P13685"/>
      <c r="Q13685"/>
      <c r="R13685"/>
      <c r="S13685"/>
    </row>
    <row r="13686" spans="13:19" ht="13.95" customHeight="1">
      <c r="M13686"/>
      <c r="N13686"/>
      <c r="O13686"/>
      <c r="P13686"/>
      <c r="Q13686"/>
      <c r="R13686"/>
      <c r="S13686"/>
    </row>
    <row r="13687" spans="13:19" ht="13.95" customHeight="1">
      <c r="M13687"/>
      <c r="N13687"/>
      <c r="O13687"/>
      <c r="P13687"/>
      <c r="Q13687"/>
      <c r="R13687"/>
      <c r="S13687"/>
    </row>
    <row r="13688" spans="13:19" ht="13.95" customHeight="1">
      <c r="M13688"/>
      <c r="N13688"/>
      <c r="O13688"/>
      <c r="P13688"/>
      <c r="Q13688"/>
      <c r="R13688"/>
      <c r="S13688"/>
    </row>
    <row r="13689" spans="13:19" ht="13.95" customHeight="1">
      <c r="M13689"/>
      <c r="N13689"/>
      <c r="O13689"/>
      <c r="P13689"/>
      <c r="Q13689"/>
      <c r="R13689"/>
      <c r="S13689"/>
    </row>
    <row r="13690" spans="13:19" ht="13.95" customHeight="1">
      <c r="M13690"/>
      <c r="N13690"/>
      <c r="O13690"/>
      <c r="P13690"/>
      <c r="Q13690"/>
      <c r="R13690"/>
      <c r="S13690"/>
    </row>
    <row r="13691" spans="13:19" ht="13.95" customHeight="1">
      <c r="M13691"/>
      <c r="N13691"/>
      <c r="O13691"/>
      <c r="P13691"/>
      <c r="Q13691"/>
      <c r="R13691"/>
      <c r="S13691"/>
    </row>
    <row r="13692" spans="13:19" ht="13.95" customHeight="1">
      <c r="M13692"/>
      <c r="N13692"/>
      <c r="O13692"/>
      <c r="P13692"/>
      <c r="Q13692"/>
      <c r="R13692"/>
      <c r="S13692"/>
    </row>
    <row r="13693" spans="13:19" ht="13.95" customHeight="1">
      <c r="M13693"/>
      <c r="N13693"/>
      <c r="O13693"/>
      <c r="P13693"/>
      <c r="Q13693"/>
      <c r="R13693"/>
      <c r="S13693"/>
    </row>
    <row r="13694" spans="13:19" ht="13.95" customHeight="1">
      <c r="M13694"/>
      <c r="N13694"/>
      <c r="O13694"/>
      <c r="P13694"/>
      <c r="Q13694"/>
      <c r="R13694"/>
      <c r="S13694"/>
    </row>
    <row r="13695" spans="13:19" ht="13.95" customHeight="1">
      <c r="M13695"/>
      <c r="N13695"/>
      <c r="O13695"/>
      <c r="P13695"/>
      <c r="Q13695"/>
      <c r="R13695"/>
      <c r="S13695"/>
    </row>
    <row r="13696" spans="13:19" ht="13.95" customHeight="1">
      <c r="M13696"/>
      <c r="N13696"/>
      <c r="O13696"/>
      <c r="P13696"/>
      <c r="Q13696"/>
      <c r="R13696"/>
      <c r="S13696"/>
    </row>
    <row r="13697" spans="13:19" ht="13.95" customHeight="1">
      <c r="M13697"/>
      <c r="N13697"/>
      <c r="O13697"/>
      <c r="P13697"/>
      <c r="Q13697"/>
      <c r="R13697"/>
      <c r="S13697"/>
    </row>
    <row r="13698" spans="13:19" ht="13.95" customHeight="1">
      <c r="M13698"/>
      <c r="N13698"/>
      <c r="O13698"/>
      <c r="P13698"/>
      <c r="Q13698"/>
      <c r="R13698"/>
      <c r="S13698"/>
    </row>
    <row r="13699" spans="13:19" ht="13.95" customHeight="1">
      <c r="M13699"/>
      <c r="N13699"/>
      <c r="O13699"/>
      <c r="P13699"/>
      <c r="Q13699"/>
      <c r="R13699"/>
      <c r="S13699"/>
    </row>
    <row r="13700" spans="13:19" ht="13.95" customHeight="1">
      <c r="M13700"/>
      <c r="N13700"/>
      <c r="O13700"/>
      <c r="P13700"/>
      <c r="Q13700"/>
      <c r="R13700"/>
      <c r="S13700"/>
    </row>
    <row r="13701" spans="13:19" ht="13.95" customHeight="1">
      <c r="M13701"/>
      <c r="N13701"/>
      <c r="O13701"/>
      <c r="P13701"/>
      <c r="Q13701"/>
      <c r="R13701"/>
      <c r="S13701"/>
    </row>
    <row r="13702" spans="13:19" ht="13.95" customHeight="1">
      <c r="M13702"/>
      <c r="N13702"/>
      <c r="O13702"/>
      <c r="P13702"/>
      <c r="Q13702"/>
      <c r="R13702"/>
      <c r="S13702"/>
    </row>
    <row r="13703" spans="13:19" ht="13.95" customHeight="1">
      <c r="M13703"/>
      <c r="N13703"/>
      <c r="O13703"/>
      <c r="P13703"/>
      <c r="Q13703"/>
      <c r="R13703"/>
      <c r="S13703"/>
    </row>
    <row r="13704" spans="13:19" ht="13.95" customHeight="1">
      <c r="M13704"/>
      <c r="N13704"/>
      <c r="O13704"/>
      <c r="P13704"/>
      <c r="Q13704"/>
      <c r="R13704"/>
      <c r="S13704"/>
    </row>
    <row r="13705" spans="13:19" ht="13.95" customHeight="1">
      <c r="M13705"/>
      <c r="N13705"/>
      <c r="O13705"/>
      <c r="P13705"/>
      <c r="Q13705"/>
      <c r="R13705"/>
      <c r="S13705"/>
    </row>
    <row r="13706" spans="13:19" ht="13.95" customHeight="1">
      <c r="M13706"/>
      <c r="N13706"/>
      <c r="O13706"/>
      <c r="P13706"/>
      <c r="Q13706"/>
      <c r="R13706"/>
      <c r="S13706"/>
    </row>
    <row r="13707" spans="13:19" ht="13.95" customHeight="1">
      <c r="M13707"/>
      <c r="N13707"/>
      <c r="O13707"/>
      <c r="P13707"/>
      <c r="Q13707"/>
      <c r="R13707"/>
      <c r="S13707"/>
    </row>
    <row r="13708" spans="13:19" ht="13.95" customHeight="1">
      <c r="M13708"/>
      <c r="N13708"/>
      <c r="O13708"/>
      <c r="P13708"/>
      <c r="Q13708"/>
      <c r="R13708"/>
      <c r="S13708"/>
    </row>
    <row r="13709" spans="13:19" ht="13.95" customHeight="1">
      <c r="M13709"/>
      <c r="N13709"/>
      <c r="O13709"/>
      <c r="P13709"/>
      <c r="Q13709"/>
      <c r="R13709"/>
      <c r="S13709"/>
    </row>
    <row r="13710" spans="13:19" ht="13.95" customHeight="1">
      <c r="M13710"/>
      <c r="N13710"/>
      <c r="O13710"/>
      <c r="P13710"/>
      <c r="Q13710"/>
      <c r="R13710"/>
      <c r="S13710"/>
    </row>
    <row r="13711" spans="13:19" ht="13.95" customHeight="1">
      <c r="M13711"/>
      <c r="N13711"/>
      <c r="O13711"/>
      <c r="P13711"/>
      <c r="Q13711"/>
      <c r="R13711"/>
      <c r="S13711"/>
    </row>
    <row r="13712" spans="13:19" ht="13.95" customHeight="1">
      <c r="M13712"/>
      <c r="N13712"/>
      <c r="O13712"/>
      <c r="P13712"/>
      <c r="Q13712"/>
      <c r="R13712"/>
      <c r="S13712"/>
    </row>
    <row r="13713" spans="13:19" ht="13.95" customHeight="1">
      <c r="M13713"/>
      <c r="N13713"/>
      <c r="O13713"/>
      <c r="P13713"/>
      <c r="Q13713"/>
      <c r="R13713"/>
      <c r="S13713"/>
    </row>
    <row r="13714" spans="13:19" ht="13.95" customHeight="1">
      <c r="M13714"/>
      <c r="N13714"/>
      <c r="O13714"/>
      <c r="P13714"/>
      <c r="Q13714"/>
      <c r="R13714"/>
      <c r="S13714"/>
    </row>
    <row r="13715" spans="13:19" ht="13.95" customHeight="1">
      <c r="M13715"/>
      <c r="N13715"/>
      <c r="O13715"/>
      <c r="P13715"/>
      <c r="Q13715"/>
      <c r="R13715"/>
      <c r="S13715"/>
    </row>
    <row r="13716" spans="13:19" ht="13.95" customHeight="1">
      <c r="M13716"/>
      <c r="N13716"/>
      <c r="O13716"/>
      <c r="P13716"/>
      <c r="Q13716"/>
      <c r="R13716"/>
      <c r="S13716"/>
    </row>
    <row r="13717" spans="13:19" ht="13.95" customHeight="1">
      <c r="M13717"/>
      <c r="N13717"/>
      <c r="O13717"/>
      <c r="P13717"/>
      <c r="Q13717"/>
      <c r="R13717"/>
      <c r="S13717"/>
    </row>
    <row r="13718" spans="13:19" ht="13.95" customHeight="1">
      <c r="M13718"/>
      <c r="N13718"/>
      <c r="O13718"/>
      <c r="P13718"/>
      <c r="Q13718"/>
      <c r="R13718"/>
      <c r="S13718"/>
    </row>
    <row r="13719" spans="13:19" ht="13.95" customHeight="1">
      <c r="M13719"/>
      <c r="N13719"/>
      <c r="O13719"/>
      <c r="P13719"/>
      <c r="Q13719"/>
      <c r="R13719"/>
      <c r="S13719"/>
    </row>
    <row r="13720" spans="13:19" ht="13.95" customHeight="1">
      <c r="M13720"/>
      <c r="N13720"/>
      <c r="O13720"/>
      <c r="P13720"/>
      <c r="Q13720"/>
      <c r="R13720"/>
      <c r="S13720"/>
    </row>
    <row r="13721" spans="13:19" ht="13.95" customHeight="1">
      <c r="M13721"/>
      <c r="N13721"/>
      <c r="O13721"/>
      <c r="P13721"/>
      <c r="Q13721"/>
      <c r="R13721"/>
      <c r="S13721"/>
    </row>
    <row r="13722" spans="13:19" ht="13.95" customHeight="1">
      <c r="M13722"/>
      <c r="N13722"/>
      <c r="O13722"/>
      <c r="P13722"/>
      <c r="Q13722"/>
      <c r="R13722"/>
      <c r="S13722"/>
    </row>
    <row r="13723" spans="13:19" ht="13.95" customHeight="1">
      <c r="M13723"/>
      <c r="N13723"/>
      <c r="O13723"/>
      <c r="P13723"/>
      <c r="Q13723"/>
      <c r="R13723"/>
      <c r="S13723"/>
    </row>
    <row r="13724" spans="13:19" ht="13.95" customHeight="1">
      <c r="M13724"/>
      <c r="N13724"/>
      <c r="O13724"/>
      <c r="P13724"/>
      <c r="Q13724"/>
      <c r="R13724"/>
      <c r="S13724"/>
    </row>
    <row r="13725" spans="13:19" ht="13.95" customHeight="1">
      <c r="M13725"/>
      <c r="N13725"/>
      <c r="O13725"/>
      <c r="P13725"/>
      <c r="Q13725"/>
      <c r="R13725"/>
      <c r="S13725"/>
    </row>
    <row r="13726" spans="13:19" ht="13.95" customHeight="1">
      <c r="M13726"/>
      <c r="N13726"/>
      <c r="O13726"/>
      <c r="P13726"/>
      <c r="Q13726"/>
      <c r="R13726"/>
      <c r="S13726"/>
    </row>
    <row r="13727" spans="13:19" ht="13.95" customHeight="1">
      <c r="M13727"/>
      <c r="N13727"/>
      <c r="O13727"/>
      <c r="P13727"/>
      <c r="Q13727"/>
      <c r="R13727"/>
      <c r="S13727"/>
    </row>
    <row r="13728" spans="13:19" ht="13.95" customHeight="1">
      <c r="M13728"/>
      <c r="N13728"/>
      <c r="O13728"/>
      <c r="P13728"/>
      <c r="Q13728"/>
      <c r="R13728"/>
      <c r="S13728"/>
    </row>
    <row r="13729" spans="13:19" ht="13.95" customHeight="1">
      <c r="M13729"/>
      <c r="N13729"/>
      <c r="O13729"/>
      <c r="P13729"/>
      <c r="Q13729"/>
      <c r="R13729"/>
      <c r="S13729"/>
    </row>
    <row r="13730" spans="13:19" ht="13.95" customHeight="1">
      <c r="M13730"/>
      <c r="N13730"/>
      <c r="O13730"/>
      <c r="P13730"/>
      <c r="Q13730"/>
      <c r="R13730"/>
      <c r="S13730"/>
    </row>
    <row r="13731" spans="13:19" ht="13.95" customHeight="1">
      <c r="M13731"/>
      <c r="N13731"/>
      <c r="O13731"/>
      <c r="P13731"/>
      <c r="Q13731"/>
      <c r="R13731"/>
      <c r="S13731"/>
    </row>
    <row r="13732" spans="13:19" ht="13.95" customHeight="1">
      <c r="M13732"/>
      <c r="N13732"/>
      <c r="O13732"/>
      <c r="P13732"/>
      <c r="Q13732"/>
      <c r="R13732"/>
      <c r="S13732"/>
    </row>
    <row r="13733" spans="13:19" ht="13.95" customHeight="1">
      <c r="M13733"/>
      <c r="N13733"/>
      <c r="O13733"/>
      <c r="P13733"/>
      <c r="Q13733"/>
      <c r="R13733"/>
      <c r="S13733"/>
    </row>
    <row r="13734" spans="13:19" ht="13.95" customHeight="1">
      <c r="M13734"/>
      <c r="N13734"/>
      <c r="O13734"/>
      <c r="P13734"/>
      <c r="Q13734"/>
      <c r="R13734"/>
      <c r="S13734"/>
    </row>
    <row r="13735" spans="13:19" ht="13.95" customHeight="1">
      <c r="M13735"/>
      <c r="N13735"/>
      <c r="O13735"/>
      <c r="P13735"/>
      <c r="Q13735"/>
      <c r="R13735"/>
      <c r="S13735"/>
    </row>
    <row r="13736" spans="13:19" ht="13.95" customHeight="1">
      <c r="M13736"/>
      <c r="N13736"/>
      <c r="O13736"/>
      <c r="P13736"/>
      <c r="Q13736"/>
      <c r="R13736"/>
      <c r="S13736"/>
    </row>
    <row r="13737" spans="13:19" ht="13.95" customHeight="1">
      <c r="M13737"/>
      <c r="N13737"/>
      <c r="O13737"/>
      <c r="P13737"/>
      <c r="Q13737"/>
      <c r="R13737"/>
      <c r="S13737"/>
    </row>
    <row r="13738" spans="13:19" ht="13.95" customHeight="1">
      <c r="M13738"/>
      <c r="N13738"/>
      <c r="O13738"/>
      <c r="P13738"/>
      <c r="Q13738"/>
      <c r="R13738"/>
      <c r="S13738"/>
    </row>
    <row r="13739" spans="13:19" ht="13.95" customHeight="1">
      <c r="M13739"/>
      <c r="N13739"/>
      <c r="O13739"/>
      <c r="P13739"/>
      <c r="Q13739"/>
      <c r="R13739"/>
      <c r="S13739"/>
    </row>
    <row r="13740" spans="13:19" ht="13.95" customHeight="1">
      <c r="M13740"/>
      <c r="N13740"/>
      <c r="O13740"/>
      <c r="P13740"/>
      <c r="Q13740"/>
      <c r="R13740"/>
      <c r="S13740"/>
    </row>
    <row r="13741" spans="13:19" ht="13.95" customHeight="1">
      <c r="M13741"/>
      <c r="N13741"/>
      <c r="O13741"/>
      <c r="P13741"/>
      <c r="Q13741"/>
      <c r="R13741"/>
      <c r="S13741"/>
    </row>
    <row r="13742" spans="13:19" ht="13.95" customHeight="1">
      <c r="M13742"/>
      <c r="N13742"/>
      <c r="O13742"/>
      <c r="P13742"/>
      <c r="Q13742"/>
      <c r="R13742"/>
      <c r="S13742"/>
    </row>
    <row r="13743" spans="13:19" ht="13.95" customHeight="1">
      <c r="M13743"/>
      <c r="N13743"/>
      <c r="O13743"/>
      <c r="P13743"/>
      <c r="Q13743"/>
      <c r="R13743"/>
      <c r="S13743"/>
    </row>
    <row r="13744" spans="13:19" ht="13.95" customHeight="1">
      <c r="M13744"/>
      <c r="N13744"/>
      <c r="O13744"/>
      <c r="P13744"/>
      <c r="Q13744"/>
      <c r="R13744"/>
      <c r="S13744"/>
    </row>
    <row r="13745" spans="13:19" ht="13.95" customHeight="1">
      <c r="M13745"/>
      <c r="N13745"/>
      <c r="O13745"/>
      <c r="P13745"/>
      <c r="Q13745"/>
      <c r="R13745"/>
      <c r="S13745"/>
    </row>
    <row r="13746" spans="13:19" ht="13.95" customHeight="1">
      <c r="M13746"/>
      <c r="N13746"/>
      <c r="O13746"/>
      <c r="P13746"/>
      <c r="Q13746"/>
      <c r="R13746"/>
      <c r="S13746"/>
    </row>
    <row r="13747" spans="13:19" ht="13.95" customHeight="1">
      <c r="M13747"/>
      <c r="N13747"/>
      <c r="O13747"/>
      <c r="P13747"/>
      <c r="Q13747"/>
      <c r="R13747"/>
      <c r="S13747"/>
    </row>
    <row r="13748" spans="13:19" ht="13.95" customHeight="1">
      <c r="M13748"/>
      <c r="N13748"/>
      <c r="O13748"/>
      <c r="P13748"/>
      <c r="Q13748"/>
      <c r="R13748"/>
      <c r="S13748"/>
    </row>
    <row r="13749" spans="13:19" ht="13.95" customHeight="1">
      <c r="M13749"/>
      <c r="N13749"/>
      <c r="O13749"/>
      <c r="P13749"/>
      <c r="Q13749"/>
      <c r="R13749"/>
      <c r="S13749"/>
    </row>
    <row r="13750" spans="13:19" ht="13.95" customHeight="1">
      <c r="M13750"/>
      <c r="N13750"/>
      <c r="O13750"/>
      <c r="P13750"/>
      <c r="Q13750"/>
      <c r="R13750"/>
      <c r="S13750"/>
    </row>
    <row r="13751" spans="13:19" ht="13.95" customHeight="1">
      <c r="M13751"/>
      <c r="N13751"/>
      <c r="O13751"/>
      <c r="P13751"/>
      <c r="Q13751"/>
      <c r="R13751"/>
      <c r="S13751"/>
    </row>
    <row r="13752" spans="13:19" ht="13.95" customHeight="1">
      <c r="M13752"/>
      <c r="N13752"/>
      <c r="O13752"/>
      <c r="P13752"/>
      <c r="Q13752"/>
      <c r="R13752"/>
      <c r="S13752"/>
    </row>
    <row r="13753" spans="13:19" ht="13.95" customHeight="1">
      <c r="M13753"/>
      <c r="N13753"/>
      <c r="O13753"/>
      <c r="P13753"/>
      <c r="Q13753"/>
      <c r="R13753"/>
      <c r="S13753"/>
    </row>
    <row r="13754" spans="13:19" ht="13.95" customHeight="1">
      <c r="M13754"/>
      <c r="N13754"/>
      <c r="O13754"/>
      <c r="P13754"/>
      <c r="Q13754"/>
      <c r="R13754"/>
      <c r="S13754"/>
    </row>
    <row r="13755" spans="13:19" ht="13.95" customHeight="1">
      <c r="M13755"/>
      <c r="N13755"/>
      <c r="O13755"/>
      <c r="P13755"/>
      <c r="Q13755"/>
      <c r="R13755"/>
      <c r="S13755"/>
    </row>
    <row r="13756" spans="13:19" ht="13.95" customHeight="1">
      <c r="M13756"/>
      <c r="N13756"/>
      <c r="O13756"/>
      <c r="P13756"/>
      <c r="Q13756"/>
      <c r="R13756"/>
      <c r="S13756"/>
    </row>
    <row r="13757" spans="13:19" ht="13.95" customHeight="1">
      <c r="M13757"/>
      <c r="N13757"/>
      <c r="O13757"/>
      <c r="P13757"/>
      <c r="Q13757"/>
      <c r="R13757"/>
      <c r="S13757"/>
    </row>
    <row r="13758" spans="13:19" ht="13.95" customHeight="1">
      <c r="M13758"/>
      <c r="N13758"/>
      <c r="O13758"/>
      <c r="P13758"/>
      <c r="Q13758"/>
      <c r="R13758"/>
      <c r="S13758"/>
    </row>
    <row r="13759" spans="13:19" ht="13.95" customHeight="1">
      <c r="M13759"/>
      <c r="N13759"/>
      <c r="O13759"/>
      <c r="P13759"/>
      <c r="Q13759"/>
      <c r="R13759"/>
      <c r="S13759"/>
    </row>
    <row r="13760" spans="13:19" ht="13.95" customHeight="1">
      <c r="M13760"/>
      <c r="N13760"/>
      <c r="O13760"/>
      <c r="P13760"/>
      <c r="Q13760"/>
      <c r="R13760"/>
      <c r="S13760"/>
    </row>
    <row r="13761" spans="13:19" ht="13.95" customHeight="1">
      <c r="M13761"/>
      <c r="N13761"/>
      <c r="O13761"/>
      <c r="P13761"/>
      <c r="Q13761"/>
      <c r="R13761"/>
      <c r="S13761"/>
    </row>
    <row r="13762" spans="13:19" ht="13.95" customHeight="1">
      <c r="M13762"/>
      <c r="N13762"/>
      <c r="O13762"/>
      <c r="P13762"/>
      <c r="Q13762"/>
      <c r="R13762"/>
      <c r="S13762"/>
    </row>
    <row r="13763" spans="13:19" ht="13.95" customHeight="1">
      <c r="M13763"/>
      <c r="N13763"/>
      <c r="O13763"/>
      <c r="P13763"/>
      <c r="Q13763"/>
      <c r="R13763"/>
      <c r="S13763"/>
    </row>
    <row r="13764" spans="13:19" ht="13.95" customHeight="1">
      <c r="M13764"/>
      <c r="N13764"/>
      <c r="O13764"/>
      <c r="P13764"/>
      <c r="Q13764"/>
      <c r="R13764"/>
      <c r="S13764"/>
    </row>
    <row r="13765" spans="13:19" ht="13.95" customHeight="1">
      <c r="M13765"/>
      <c r="N13765"/>
      <c r="O13765"/>
      <c r="P13765"/>
      <c r="Q13765"/>
      <c r="R13765"/>
      <c r="S13765"/>
    </row>
    <row r="13766" spans="13:19" ht="13.95" customHeight="1">
      <c r="M13766"/>
      <c r="N13766"/>
      <c r="O13766"/>
      <c r="P13766"/>
      <c r="Q13766"/>
      <c r="R13766"/>
      <c r="S13766"/>
    </row>
    <row r="13767" spans="13:19" ht="13.95" customHeight="1">
      <c r="M13767"/>
      <c r="N13767"/>
      <c r="O13767"/>
      <c r="P13767"/>
      <c r="Q13767"/>
      <c r="R13767"/>
      <c r="S13767"/>
    </row>
    <row r="13768" spans="13:19" ht="13.95" customHeight="1">
      <c r="M13768"/>
      <c r="N13768"/>
      <c r="O13768"/>
      <c r="P13768"/>
      <c r="Q13768"/>
      <c r="R13768"/>
      <c r="S13768"/>
    </row>
    <row r="13769" spans="13:19" ht="13.95" customHeight="1">
      <c r="M13769"/>
      <c r="N13769"/>
      <c r="O13769"/>
      <c r="P13769"/>
      <c r="Q13769"/>
      <c r="R13769"/>
      <c r="S13769"/>
    </row>
    <row r="13770" spans="13:19" ht="13.95" customHeight="1">
      <c r="M13770"/>
      <c r="N13770"/>
      <c r="O13770"/>
      <c r="P13770"/>
      <c r="Q13770"/>
      <c r="R13770"/>
      <c r="S13770"/>
    </row>
    <row r="13771" spans="13:19" ht="13.95" customHeight="1">
      <c r="M13771"/>
      <c r="N13771"/>
      <c r="O13771"/>
      <c r="P13771"/>
      <c r="Q13771"/>
      <c r="R13771"/>
      <c r="S13771"/>
    </row>
    <row r="13772" spans="13:19" ht="13.95" customHeight="1">
      <c r="M13772"/>
      <c r="N13772"/>
      <c r="O13772"/>
      <c r="P13772"/>
      <c r="Q13772"/>
      <c r="R13772"/>
      <c r="S13772"/>
    </row>
    <row r="13773" spans="13:19" ht="13.95" customHeight="1">
      <c r="M13773"/>
      <c r="N13773"/>
      <c r="O13773"/>
      <c r="P13773"/>
      <c r="Q13773"/>
      <c r="R13773"/>
      <c r="S13773"/>
    </row>
    <row r="13774" spans="13:19" ht="13.95" customHeight="1">
      <c r="M13774"/>
      <c r="N13774"/>
      <c r="O13774"/>
      <c r="P13774"/>
      <c r="Q13774"/>
      <c r="R13774"/>
      <c r="S13774"/>
    </row>
    <row r="13775" spans="13:19" ht="13.95" customHeight="1">
      <c r="M13775"/>
      <c r="N13775"/>
      <c r="O13775"/>
      <c r="P13775"/>
      <c r="Q13775"/>
      <c r="R13775"/>
      <c r="S13775"/>
    </row>
    <row r="13776" spans="13:19" ht="13.95" customHeight="1">
      <c r="M13776"/>
      <c r="N13776"/>
      <c r="O13776"/>
      <c r="P13776"/>
      <c r="Q13776"/>
      <c r="R13776"/>
      <c r="S13776"/>
    </row>
    <row r="13777" spans="13:19" ht="13.95" customHeight="1">
      <c r="M13777"/>
      <c r="N13777"/>
      <c r="O13777"/>
      <c r="P13777"/>
      <c r="Q13777"/>
      <c r="R13777"/>
      <c r="S13777"/>
    </row>
    <row r="13778" spans="13:19" ht="13.95" customHeight="1">
      <c r="M13778"/>
      <c r="N13778"/>
      <c r="O13778"/>
      <c r="P13778"/>
      <c r="Q13778"/>
      <c r="R13778"/>
      <c r="S13778"/>
    </row>
    <row r="13779" spans="13:19" ht="13.95" customHeight="1">
      <c r="M13779"/>
      <c r="N13779"/>
      <c r="O13779"/>
      <c r="P13779"/>
      <c r="Q13779"/>
      <c r="R13779"/>
      <c r="S13779"/>
    </row>
    <row r="13780" spans="13:19" ht="13.95" customHeight="1">
      <c r="M13780"/>
      <c r="N13780"/>
      <c r="O13780"/>
      <c r="P13780"/>
      <c r="Q13780"/>
      <c r="R13780"/>
      <c r="S13780"/>
    </row>
    <row r="13781" spans="13:19" ht="13.95" customHeight="1">
      <c r="M13781"/>
      <c r="N13781"/>
      <c r="O13781"/>
      <c r="P13781"/>
      <c r="Q13781"/>
      <c r="R13781"/>
      <c r="S13781"/>
    </row>
    <row r="13782" spans="13:19" ht="13.95" customHeight="1">
      <c r="M13782"/>
      <c r="N13782"/>
      <c r="O13782"/>
      <c r="P13782"/>
      <c r="Q13782"/>
      <c r="R13782"/>
      <c r="S13782"/>
    </row>
    <row r="13783" spans="13:19" ht="13.95" customHeight="1">
      <c r="M13783"/>
      <c r="N13783"/>
      <c r="O13783"/>
      <c r="P13783"/>
      <c r="Q13783"/>
      <c r="R13783"/>
      <c r="S13783"/>
    </row>
    <row r="13784" spans="13:19" ht="13.95" customHeight="1">
      <c r="M13784"/>
      <c r="N13784"/>
      <c r="O13784"/>
      <c r="P13784"/>
      <c r="Q13784"/>
      <c r="R13784"/>
      <c r="S13784"/>
    </row>
    <row r="13785" spans="13:19" ht="13.95" customHeight="1">
      <c r="M13785"/>
      <c r="N13785"/>
      <c r="O13785"/>
      <c r="P13785"/>
      <c r="Q13785"/>
      <c r="R13785"/>
      <c r="S13785"/>
    </row>
    <row r="13786" spans="13:19" ht="13.95" customHeight="1">
      <c r="M13786"/>
      <c r="N13786"/>
      <c r="O13786"/>
      <c r="P13786"/>
      <c r="Q13786"/>
      <c r="R13786"/>
      <c r="S13786"/>
    </row>
    <row r="13787" spans="13:19" ht="13.95" customHeight="1">
      <c r="M13787"/>
      <c r="N13787"/>
      <c r="O13787"/>
      <c r="P13787"/>
      <c r="Q13787"/>
      <c r="R13787"/>
      <c r="S13787"/>
    </row>
    <row r="13788" spans="13:19" ht="13.95" customHeight="1">
      <c r="M13788"/>
      <c r="N13788"/>
      <c r="O13788"/>
      <c r="P13788"/>
      <c r="Q13788"/>
      <c r="R13788"/>
      <c r="S13788"/>
    </row>
    <row r="13789" spans="13:19" ht="13.95" customHeight="1">
      <c r="M13789"/>
      <c r="N13789"/>
      <c r="O13789"/>
      <c r="P13789"/>
      <c r="Q13789"/>
      <c r="R13789"/>
      <c r="S13789"/>
    </row>
    <row r="13790" spans="13:19" ht="13.95" customHeight="1">
      <c r="M13790"/>
      <c r="N13790"/>
      <c r="O13790"/>
      <c r="P13790"/>
      <c r="Q13790"/>
      <c r="R13790"/>
      <c r="S13790"/>
    </row>
    <row r="13791" spans="13:19" ht="13.95" customHeight="1">
      <c r="M13791"/>
      <c r="N13791"/>
      <c r="O13791"/>
      <c r="P13791"/>
      <c r="Q13791"/>
      <c r="R13791"/>
      <c r="S13791"/>
    </row>
    <row r="13792" spans="13:19" ht="13.95" customHeight="1">
      <c r="M13792"/>
      <c r="N13792"/>
      <c r="O13792"/>
      <c r="P13792"/>
      <c r="Q13792"/>
      <c r="R13792"/>
      <c r="S13792"/>
    </row>
    <row r="13793" spans="13:19" ht="13.95" customHeight="1">
      <c r="M13793"/>
      <c r="N13793"/>
      <c r="O13793"/>
      <c r="P13793"/>
      <c r="Q13793"/>
      <c r="R13793"/>
      <c r="S13793"/>
    </row>
    <row r="13794" spans="13:19" ht="13.95" customHeight="1">
      <c r="M13794"/>
      <c r="N13794"/>
      <c r="O13794"/>
      <c r="P13794"/>
      <c r="Q13794"/>
      <c r="R13794"/>
      <c r="S13794"/>
    </row>
    <row r="13795" spans="13:19" ht="13.95" customHeight="1">
      <c r="M13795"/>
      <c r="N13795"/>
      <c r="O13795"/>
      <c r="P13795"/>
      <c r="Q13795"/>
      <c r="R13795"/>
      <c r="S13795"/>
    </row>
    <row r="13796" spans="13:19" ht="13.95" customHeight="1">
      <c r="M13796"/>
      <c r="N13796"/>
      <c r="O13796"/>
      <c r="P13796"/>
      <c r="Q13796"/>
      <c r="R13796"/>
      <c r="S13796"/>
    </row>
    <row r="13797" spans="13:19" ht="13.95" customHeight="1">
      <c r="M13797"/>
      <c r="N13797"/>
      <c r="O13797"/>
      <c r="P13797"/>
      <c r="Q13797"/>
      <c r="R13797"/>
      <c r="S13797"/>
    </row>
    <row r="13798" spans="13:19" ht="13.95" customHeight="1">
      <c r="M13798"/>
      <c r="N13798"/>
      <c r="O13798"/>
      <c r="P13798"/>
      <c r="Q13798"/>
      <c r="R13798"/>
      <c r="S13798"/>
    </row>
    <row r="13799" spans="13:19" ht="13.95" customHeight="1">
      <c r="M13799"/>
      <c r="N13799"/>
      <c r="O13799"/>
      <c r="P13799"/>
      <c r="Q13799"/>
      <c r="R13799"/>
      <c r="S13799"/>
    </row>
    <row r="13800" spans="13:19" ht="13.95" customHeight="1">
      <c r="M13800"/>
      <c r="N13800"/>
      <c r="O13800"/>
      <c r="P13800"/>
      <c r="Q13800"/>
      <c r="R13800"/>
      <c r="S13800"/>
    </row>
    <row r="13801" spans="13:19" ht="13.95" customHeight="1">
      <c r="M13801"/>
      <c r="N13801"/>
      <c r="O13801"/>
      <c r="P13801"/>
      <c r="Q13801"/>
      <c r="R13801"/>
      <c r="S13801"/>
    </row>
    <row r="13802" spans="13:19" ht="13.95" customHeight="1">
      <c r="M13802"/>
      <c r="N13802"/>
      <c r="O13802"/>
      <c r="P13802"/>
      <c r="Q13802"/>
      <c r="R13802"/>
      <c r="S13802"/>
    </row>
    <row r="13803" spans="13:19" ht="13.95" customHeight="1">
      <c r="M13803"/>
      <c r="N13803"/>
      <c r="O13803"/>
      <c r="P13803"/>
      <c r="Q13803"/>
      <c r="R13803"/>
      <c r="S13803"/>
    </row>
    <row r="13804" spans="13:19" ht="13.95" customHeight="1">
      <c r="M13804"/>
      <c r="N13804"/>
      <c r="O13804"/>
      <c r="P13804"/>
      <c r="Q13804"/>
      <c r="R13804"/>
      <c r="S13804"/>
    </row>
    <row r="13805" spans="13:19" ht="13.95" customHeight="1">
      <c r="M13805"/>
      <c r="N13805"/>
      <c r="O13805"/>
      <c r="P13805"/>
      <c r="Q13805"/>
      <c r="R13805"/>
      <c r="S13805"/>
    </row>
    <row r="13806" spans="13:19" ht="13.95" customHeight="1">
      <c r="M13806"/>
      <c r="N13806"/>
      <c r="O13806"/>
      <c r="P13806"/>
      <c r="Q13806"/>
      <c r="R13806"/>
      <c r="S13806"/>
    </row>
    <row r="13807" spans="13:19" ht="13.95" customHeight="1">
      <c r="M13807"/>
      <c r="N13807"/>
      <c r="O13807"/>
      <c r="P13807"/>
      <c r="Q13807"/>
      <c r="R13807"/>
      <c r="S13807"/>
    </row>
    <row r="13808" spans="13:19" ht="13.95" customHeight="1">
      <c r="M13808"/>
      <c r="N13808"/>
      <c r="O13808"/>
      <c r="P13808"/>
      <c r="Q13808"/>
      <c r="R13808"/>
      <c r="S13808"/>
    </row>
    <row r="13809" spans="13:19" ht="13.95" customHeight="1">
      <c r="M13809"/>
      <c r="N13809"/>
      <c r="O13809"/>
      <c r="P13809"/>
      <c r="Q13809"/>
      <c r="R13809"/>
      <c r="S13809"/>
    </row>
    <row r="13810" spans="13:19" ht="13.95" customHeight="1">
      <c r="M13810"/>
      <c r="N13810"/>
      <c r="O13810"/>
      <c r="P13810"/>
      <c r="Q13810"/>
      <c r="R13810"/>
      <c r="S13810"/>
    </row>
    <row r="13811" spans="13:19" ht="13.95" customHeight="1">
      <c r="M13811"/>
      <c r="N13811"/>
      <c r="O13811"/>
      <c r="P13811"/>
      <c r="Q13811"/>
      <c r="R13811"/>
      <c r="S13811"/>
    </row>
    <row r="13812" spans="13:19" ht="13.95" customHeight="1">
      <c r="M13812"/>
      <c r="N13812"/>
      <c r="O13812"/>
      <c r="P13812"/>
      <c r="Q13812"/>
      <c r="R13812"/>
      <c r="S13812"/>
    </row>
    <row r="13813" spans="13:19" ht="13.95" customHeight="1">
      <c r="M13813"/>
      <c r="N13813"/>
      <c r="O13813"/>
      <c r="P13813"/>
      <c r="Q13813"/>
      <c r="R13813"/>
      <c r="S13813"/>
    </row>
    <row r="13814" spans="13:19" ht="13.95" customHeight="1">
      <c r="M13814"/>
      <c r="N13814"/>
      <c r="O13814"/>
      <c r="P13814"/>
      <c r="Q13814"/>
      <c r="R13814"/>
      <c r="S13814"/>
    </row>
    <row r="13815" spans="13:19" ht="13.95" customHeight="1">
      <c r="M13815"/>
      <c r="N13815"/>
      <c r="O13815"/>
      <c r="P13815"/>
      <c r="Q13815"/>
      <c r="R13815"/>
      <c r="S13815"/>
    </row>
    <row r="13816" spans="13:19" ht="13.95" customHeight="1">
      <c r="M13816"/>
      <c r="N13816"/>
      <c r="O13816"/>
      <c r="P13816"/>
      <c r="Q13816"/>
      <c r="R13816"/>
      <c r="S13816"/>
    </row>
    <row r="13817" spans="13:19" ht="13.95" customHeight="1">
      <c r="M13817"/>
      <c r="N13817"/>
      <c r="O13817"/>
      <c r="P13817"/>
      <c r="Q13817"/>
      <c r="R13817"/>
      <c r="S13817"/>
    </row>
    <row r="13818" spans="13:19" ht="13.95" customHeight="1">
      <c r="M13818"/>
      <c r="N13818"/>
      <c r="O13818"/>
      <c r="P13818"/>
      <c r="Q13818"/>
      <c r="R13818"/>
      <c r="S13818"/>
    </row>
    <row r="13819" spans="13:19" ht="13.95" customHeight="1">
      <c r="M13819"/>
      <c r="N13819"/>
      <c r="O13819"/>
      <c r="P13819"/>
      <c r="Q13819"/>
      <c r="R13819"/>
      <c r="S13819"/>
    </row>
    <row r="13820" spans="13:19" ht="13.95" customHeight="1">
      <c r="M13820"/>
      <c r="N13820"/>
      <c r="O13820"/>
      <c r="P13820"/>
      <c r="Q13820"/>
      <c r="R13820"/>
      <c r="S13820"/>
    </row>
    <row r="13821" spans="13:19" ht="13.95" customHeight="1">
      <c r="M13821"/>
      <c r="N13821"/>
      <c r="O13821"/>
      <c r="P13821"/>
      <c r="Q13821"/>
      <c r="R13821"/>
      <c r="S13821"/>
    </row>
    <row r="13822" spans="13:19" ht="13.95" customHeight="1">
      <c r="M13822"/>
      <c r="N13822"/>
      <c r="O13822"/>
      <c r="P13822"/>
      <c r="Q13822"/>
      <c r="R13822"/>
      <c r="S13822"/>
    </row>
    <row r="13823" spans="13:19" ht="13.95" customHeight="1">
      <c r="M13823"/>
      <c r="N13823"/>
      <c r="O13823"/>
      <c r="P13823"/>
      <c r="Q13823"/>
      <c r="R13823"/>
      <c r="S13823"/>
    </row>
    <row r="13824" spans="13:19" ht="13.95" customHeight="1">
      <c r="M13824"/>
      <c r="N13824"/>
      <c r="O13824"/>
      <c r="P13824"/>
      <c r="Q13824"/>
      <c r="R13824"/>
      <c r="S13824"/>
    </row>
    <row r="13825" spans="13:19" ht="13.95" customHeight="1">
      <c r="M13825"/>
      <c r="N13825"/>
      <c r="O13825"/>
      <c r="P13825"/>
      <c r="Q13825"/>
      <c r="R13825"/>
      <c r="S13825"/>
    </row>
    <row r="13826" spans="13:19" ht="13.95" customHeight="1">
      <c r="M13826"/>
      <c r="N13826"/>
      <c r="O13826"/>
      <c r="P13826"/>
      <c r="Q13826"/>
      <c r="R13826"/>
      <c r="S13826"/>
    </row>
    <row r="13827" spans="13:19" ht="13.95" customHeight="1">
      <c r="M13827"/>
      <c r="N13827"/>
      <c r="O13827"/>
      <c r="P13827"/>
      <c r="Q13827"/>
      <c r="R13827"/>
      <c r="S13827"/>
    </row>
    <row r="13828" spans="13:19" ht="13.95" customHeight="1">
      <c r="M13828"/>
      <c r="N13828"/>
      <c r="O13828"/>
      <c r="P13828"/>
      <c r="Q13828"/>
      <c r="R13828"/>
      <c r="S13828"/>
    </row>
    <row r="13829" spans="13:19" ht="13.95" customHeight="1">
      <c r="M13829"/>
      <c r="N13829"/>
      <c r="O13829"/>
      <c r="P13829"/>
      <c r="Q13829"/>
      <c r="R13829"/>
      <c r="S13829"/>
    </row>
    <row r="13830" spans="13:19" ht="13.95" customHeight="1">
      <c r="M13830"/>
      <c r="N13830"/>
      <c r="O13830"/>
      <c r="P13830"/>
      <c r="Q13830"/>
      <c r="R13830"/>
      <c r="S13830"/>
    </row>
    <row r="13831" spans="13:19" ht="13.95" customHeight="1">
      <c r="M13831"/>
      <c r="N13831"/>
      <c r="O13831"/>
      <c r="P13831"/>
      <c r="Q13831"/>
      <c r="R13831"/>
      <c r="S13831"/>
    </row>
    <row r="13832" spans="13:19" ht="13.95" customHeight="1">
      <c r="M13832"/>
      <c r="N13832"/>
      <c r="O13832"/>
      <c r="P13832"/>
      <c r="Q13832"/>
      <c r="R13832"/>
      <c r="S13832"/>
    </row>
    <row r="13833" spans="13:19" ht="13.95" customHeight="1">
      <c r="M13833"/>
      <c r="N13833"/>
      <c r="O13833"/>
      <c r="P13833"/>
      <c r="Q13833"/>
      <c r="R13833"/>
      <c r="S13833"/>
    </row>
    <row r="13834" spans="13:19" ht="13.95" customHeight="1">
      <c r="M13834"/>
      <c r="N13834"/>
      <c r="O13834"/>
      <c r="P13834"/>
      <c r="Q13834"/>
      <c r="R13834"/>
      <c r="S13834"/>
    </row>
    <row r="13835" spans="13:19" ht="13.95" customHeight="1">
      <c r="M13835"/>
      <c r="N13835"/>
      <c r="O13835"/>
      <c r="P13835"/>
      <c r="Q13835"/>
      <c r="R13835"/>
      <c r="S13835"/>
    </row>
    <row r="13836" spans="13:19" ht="13.95" customHeight="1">
      <c r="M13836"/>
      <c r="N13836"/>
      <c r="O13836"/>
      <c r="P13836"/>
      <c r="Q13836"/>
      <c r="R13836"/>
      <c r="S13836"/>
    </row>
    <row r="13837" spans="13:19" ht="13.95" customHeight="1">
      <c r="M13837"/>
      <c r="N13837"/>
      <c r="O13837"/>
      <c r="P13837"/>
      <c r="Q13837"/>
      <c r="R13837"/>
      <c r="S13837"/>
    </row>
    <row r="13838" spans="13:19" ht="13.95" customHeight="1">
      <c r="M13838"/>
      <c r="N13838"/>
      <c r="O13838"/>
      <c r="P13838"/>
      <c r="Q13838"/>
      <c r="R13838"/>
      <c r="S13838"/>
    </row>
    <row r="13839" spans="13:19" ht="13.95" customHeight="1">
      <c r="M13839"/>
      <c r="N13839"/>
      <c r="O13839"/>
      <c r="P13839"/>
      <c r="Q13839"/>
      <c r="R13839"/>
      <c r="S13839"/>
    </row>
    <row r="13840" spans="13:19" ht="13.95" customHeight="1">
      <c r="M13840"/>
      <c r="N13840"/>
      <c r="O13840"/>
      <c r="P13840"/>
      <c r="Q13840"/>
      <c r="R13840"/>
      <c r="S13840"/>
    </row>
    <row r="13841" spans="13:19" ht="13.95" customHeight="1">
      <c r="M13841"/>
      <c r="N13841"/>
      <c r="O13841"/>
      <c r="P13841"/>
      <c r="Q13841"/>
      <c r="R13841"/>
      <c r="S13841"/>
    </row>
    <row r="13842" spans="13:19" ht="13.95" customHeight="1">
      <c r="M13842"/>
      <c r="N13842"/>
      <c r="O13842"/>
      <c r="P13842"/>
      <c r="Q13842"/>
      <c r="R13842"/>
      <c r="S13842"/>
    </row>
    <row r="13843" spans="13:19" ht="13.95" customHeight="1">
      <c r="M13843"/>
      <c r="N13843"/>
      <c r="O13843"/>
      <c r="P13843"/>
      <c r="Q13843"/>
      <c r="R13843"/>
      <c r="S13843"/>
    </row>
    <row r="13844" spans="13:19" ht="13.95" customHeight="1">
      <c r="M13844"/>
      <c r="N13844"/>
      <c r="O13844"/>
      <c r="P13844"/>
      <c r="Q13844"/>
      <c r="R13844"/>
      <c r="S13844"/>
    </row>
    <row r="13845" spans="13:19" ht="13.95" customHeight="1">
      <c r="M13845"/>
      <c r="N13845"/>
      <c r="O13845"/>
      <c r="P13845"/>
      <c r="Q13845"/>
      <c r="R13845"/>
      <c r="S13845"/>
    </row>
    <row r="13846" spans="13:19" ht="13.95" customHeight="1">
      <c r="M13846"/>
      <c r="N13846"/>
      <c r="O13846"/>
      <c r="P13846"/>
      <c r="Q13846"/>
      <c r="R13846"/>
      <c r="S13846"/>
    </row>
    <row r="13847" spans="13:19" ht="13.95" customHeight="1">
      <c r="M13847"/>
      <c r="N13847"/>
      <c r="O13847"/>
      <c r="P13847"/>
      <c r="Q13847"/>
      <c r="R13847"/>
      <c r="S13847"/>
    </row>
    <row r="13848" spans="13:19" ht="13.95" customHeight="1">
      <c r="M13848"/>
      <c r="N13848"/>
      <c r="O13848"/>
      <c r="P13848"/>
      <c r="Q13848"/>
      <c r="R13848"/>
      <c r="S13848"/>
    </row>
    <row r="13849" spans="13:19" ht="13.95" customHeight="1">
      <c r="M13849"/>
      <c r="N13849"/>
      <c r="O13849"/>
      <c r="P13849"/>
      <c r="Q13849"/>
      <c r="R13849"/>
      <c r="S13849"/>
    </row>
    <row r="13850" spans="13:19" ht="13.95" customHeight="1">
      <c r="M13850"/>
      <c r="N13850"/>
      <c r="O13850"/>
      <c r="P13850"/>
      <c r="Q13850"/>
      <c r="R13850"/>
      <c r="S13850"/>
    </row>
    <row r="13851" spans="13:19" ht="13.95" customHeight="1">
      <c r="M13851"/>
      <c r="N13851"/>
      <c r="O13851"/>
      <c r="P13851"/>
      <c r="Q13851"/>
      <c r="R13851"/>
      <c r="S13851"/>
    </row>
    <row r="13852" spans="13:19" ht="13.95" customHeight="1">
      <c r="M13852"/>
      <c r="N13852"/>
      <c r="O13852"/>
      <c r="P13852"/>
      <c r="Q13852"/>
      <c r="R13852"/>
      <c r="S13852"/>
    </row>
    <row r="13853" spans="13:19" ht="13.95" customHeight="1">
      <c r="M13853"/>
      <c r="N13853"/>
      <c r="O13853"/>
      <c r="P13853"/>
      <c r="Q13853"/>
      <c r="R13853"/>
      <c r="S13853"/>
    </row>
    <row r="13854" spans="13:19" ht="13.95" customHeight="1">
      <c r="M13854"/>
      <c r="N13854"/>
      <c r="O13854"/>
      <c r="P13854"/>
      <c r="Q13854"/>
      <c r="R13854"/>
      <c r="S13854"/>
    </row>
    <row r="13855" spans="13:19" ht="13.95" customHeight="1">
      <c r="M13855"/>
      <c r="N13855"/>
      <c r="O13855"/>
      <c r="P13855"/>
      <c r="Q13855"/>
      <c r="R13855"/>
      <c r="S13855"/>
    </row>
    <row r="13856" spans="13:19" ht="13.95" customHeight="1">
      <c r="M13856"/>
      <c r="N13856"/>
      <c r="O13856"/>
      <c r="P13856"/>
      <c r="Q13856"/>
      <c r="R13856"/>
      <c r="S13856"/>
    </row>
    <row r="13857" spans="13:19" ht="13.95" customHeight="1">
      <c r="M13857"/>
      <c r="N13857"/>
      <c r="O13857"/>
      <c r="P13857"/>
      <c r="Q13857"/>
      <c r="R13857"/>
      <c r="S13857"/>
    </row>
    <row r="13858" spans="13:19" ht="13.95" customHeight="1">
      <c r="M13858"/>
      <c r="N13858"/>
      <c r="O13858"/>
      <c r="P13858"/>
      <c r="Q13858"/>
      <c r="R13858"/>
      <c r="S13858"/>
    </row>
    <row r="13859" spans="13:19" ht="13.95" customHeight="1">
      <c r="M13859"/>
      <c r="N13859"/>
      <c r="O13859"/>
      <c r="P13859"/>
      <c r="Q13859"/>
      <c r="R13859"/>
      <c r="S13859"/>
    </row>
    <row r="13860" spans="13:19" ht="13.95" customHeight="1">
      <c r="M13860"/>
      <c r="N13860"/>
      <c r="O13860"/>
      <c r="P13860"/>
      <c r="Q13860"/>
      <c r="R13860"/>
      <c r="S13860"/>
    </row>
    <row r="13861" spans="13:19" ht="13.95" customHeight="1">
      <c r="M13861"/>
      <c r="N13861"/>
      <c r="O13861"/>
      <c r="P13861"/>
      <c r="Q13861"/>
      <c r="R13861"/>
      <c r="S13861"/>
    </row>
    <row r="13862" spans="13:19" ht="13.95" customHeight="1">
      <c r="M13862"/>
      <c r="N13862"/>
      <c r="O13862"/>
      <c r="P13862"/>
      <c r="Q13862"/>
      <c r="R13862"/>
      <c r="S13862"/>
    </row>
    <row r="13863" spans="13:19" ht="13.95" customHeight="1">
      <c r="M13863"/>
      <c r="N13863"/>
      <c r="O13863"/>
      <c r="P13863"/>
      <c r="Q13863"/>
      <c r="R13863"/>
      <c r="S13863"/>
    </row>
    <row r="13864" spans="13:19" ht="13.95" customHeight="1">
      <c r="M13864"/>
      <c r="N13864"/>
      <c r="O13864"/>
      <c r="P13864"/>
      <c r="Q13864"/>
      <c r="R13864"/>
      <c r="S13864"/>
    </row>
    <row r="13865" spans="13:19" ht="13.95" customHeight="1">
      <c r="M13865"/>
      <c r="N13865"/>
      <c r="O13865"/>
      <c r="P13865"/>
      <c r="Q13865"/>
      <c r="R13865"/>
      <c r="S13865"/>
    </row>
    <row r="13866" spans="13:19" ht="13.95" customHeight="1">
      <c r="M13866"/>
      <c r="N13866"/>
      <c r="O13866"/>
      <c r="P13866"/>
      <c r="Q13866"/>
      <c r="R13866"/>
      <c r="S13866"/>
    </row>
    <row r="13867" spans="13:19" ht="13.95" customHeight="1">
      <c r="M13867"/>
      <c r="N13867"/>
      <c r="O13867"/>
      <c r="P13867"/>
      <c r="Q13867"/>
      <c r="R13867"/>
      <c r="S13867"/>
    </row>
    <row r="13868" spans="13:19" ht="13.95" customHeight="1">
      <c r="M13868"/>
      <c r="N13868"/>
      <c r="O13868"/>
      <c r="P13868"/>
      <c r="Q13868"/>
      <c r="R13868"/>
      <c r="S13868"/>
    </row>
    <row r="13869" spans="13:19" ht="13.95" customHeight="1">
      <c r="M13869"/>
      <c r="N13869"/>
      <c r="O13869"/>
      <c r="P13869"/>
      <c r="Q13869"/>
      <c r="R13869"/>
      <c r="S13869"/>
    </row>
    <row r="13870" spans="13:19" ht="13.95" customHeight="1">
      <c r="M13870"/>
      <c r="N13870"/>
      <c r="O13870"/>
      <c r="P13870"/>
      <c r="Q13870"/>
      <c r="R13870"/>
      <c r="S13870"/>
    </row>
    <row r="13871" spans="13:19" ht="13.95" customHeight="1">
      <c r="M13871"/>
      <c r="N13871"/>
      <c r="O13871"/>
      <c r="P13871"/>
      <c r="Q13871"/>
      <c r="R13871"/>
      <c r="S13871"/>
    </row>
    <row r="13872" spans="13:19" ht="13.95" customHeight="1">
      <c r="M13872"/>
      <c r="N13872"/>
      <c r="O13872"/>
      <c r="P13872"/>
      <c r="Q13872"/>
      <c r="R13872"/>
      <c r="S13872"/>
    </row>
    <row r="13873" spans="13:19" ht="13.95" customHeight="1">
      <c r="M13873"/>
      <c r="N13873"/>
      <c r="O13873"/>
      <c r="P13873"/>
      <c r="Q13873"/>
      <c r="R13873"/>
      <c r="S13873"/>
    </row>
    <row r="13874" spans="13:19" ht="13.95" customHeight="1">
      <c r="M13874"/>
      <c r="N13874"/>
      <c r="O13874"/>
      <c r="P13874"/>
      <c r="Q13874"/>
      <c r="R13874"/>
      <c r="S13874"/>
    </row>
    <row r="13875" spans="13:19" ht="13.95" customHeight="1">
      <c r="M13875"/>
      <c r="N13875"/>
      <c r="O13875"/>
      <c r="P13875"/>
      <c r="Q13875"/>
      <c r="R13875"/>
      <c r="S13875"/>
    </row>
    <row r="13876" spans="13:19" ht="13.95" customHeight="1">
      <c r="M13876"/>
      <c r="N13876"/>
      <c r="O13876"/>
      <c r="P13876"/>
      <c r="Q13876"/>
      <c r="R13876"/>
      <c r="S13876"/>
    </row>
    <row r="13877" spans="13:19" ht="13.95" customHeight="1">
      <c r="M13877"/>
      <c r="N13877"/>
      <c r="O13877"/>
      <c r="P13877"/>
      <c r="Q13877"/>
      <c r="R13877"/>
      <c r="S13877"/>
    </row>
    <row r="13878" spans="13:19" ht="13.95" customHeight="1">
      <c r="M13878"/>
      <c r="N13878"/>
      <c r="O13878"/>
      <c r="P13878"/>
      <c r="Q13878"/>
      <c r="R13878"/>
      <c r="S13878"/>
    </row>
    <row r="13879" spans="13:19" ht="13.95" customHeight="1">
      <c r="M13879"/>
      <c r="N13879"/>
      <c r="O13879"/>
      <c r="P13879"/>
      <c r="Q13879"/>
      <c r="R13879"/>
      <c r="S13879"/>
    </row>
    <row r="13880" spans="13:19" ht="13.95" customHeight="1">
      <c r="M13880"/>
      <c r="N13880"/>
      <c r="O13880"/>
      <c r="P13880"/>
      <c r="Q13880"/>
      <c r="R13880"/>
      <c r="S13880"/>
    </row>
    <row r="13881" spans="13:19" ht="13.95" customHeight="1">
      <c r="M13881"/>
      <c r="N13881"/>
      <c r="O13881"/>
      <c r="P13881"/>
      <c r="Q13881"/>
      <c r="R13881"/>
      <c r="S13881"/>
    </row>
    <row r="13882" spans="13:19" ht="13.95" customHeight="1">
      <c r="M13882"/>
      <c r="N13882"/>
      <c r="O13882"/>
      <c r="P13882"/>
      <c r="Q13882"/>
      <c r="R13882"/>
      <c r="S13882"/>
    </row>
    <row r="13883" spans="13:19" ht="13.95" customHeight="1">
      <c r="M13883"/>
      <c r="N13883"/>
      <c r="O13883"/>
      <c r="P13883"/>
      <c r="Q13883"/>
      <c r="R13883"/>
      <c r="S13883"/>
    </row>
    <row r="13884" spans="13:19" ht="13.95" customHeight="1">
      <c r="M13884"/>
      <c r="N13884"/>
      <c r="O13884"/>
      <c r="P13884"/>
      <c r="Q13884"/>
      <c r="R13884"/>
      <c r="S13884"/>
    </row>
    <row r="13885" spans="13:19" ht="13.95" customHeight="1">
      <c r="M13885"/>
      <c r="N13885"/>
      <c r="O13885"/>
      <c r="P13885"/>
      <c r="Q13885"/>
      <c r="R13885"/>
      <c r="S13885"/>
    </row>
    <row r="13886" spans="13:19" ht="13.95" customHeight="1">
      <c r="M13886"/>
      <c r="N13886"/>
      <c r="O13886"/>
      <c r="P13886"/>
      <c r="Q13886"/>
      <c r="R13886"/>
      <c r="S13886"/>
    </row>
    <row r="13887" spans="13:19" ht="13.95" customHeight="1">
      <c r="M13887"/>
      <c r="N13887"/>
      <c r="O13887"/>
      <c r="P13887"/>
      <c r="Q13887"/>
      <c r="R13887"/>
      <c r="S13887"/>
    </row>
    <row r="13888" spans="13:19" ht="13.95" customHeight="1">
      <c r="M13888"/>
      <c r="N13888"/>
      <c r="O13888"/>
      <c r="P13888"/>
      <c r="Q13888"/>
      <c r="R13888"/>
      <c r="S13888"/>
    </row>
    <row r="13889" spans="13:19" ht="13.95" customHeight="1">
      <c r="M13889"/>
      <c r="N13889"/>
      <c r="O13889"/>
      <c r="P13889"/>
      <c r="Q13889"/>
      <c r="R13889"/>
      <c r="S13889"/>
    </row>
    <row r="13890" spans="13:19" ht="13.95" customHeight="1">
      <c r="M13890"/>
      <c r="N13890"/>
      <c r="O13890"/>
      <c r="P13890"/>
      <c r="Q13890"/>
      <c r="R13890"/>
      <c r="S13890"/>
    </row>
    <row r="13891" spans="13:19" ht="13.95" customHeight="1">
      <c r="M13891"/>
      <c r="N13891"/>
      <c r="O13891"/>
      <c r="P13891"/>
      <c r="Q13891"/>
      <c r="R13891"/>
      <c r="S13891"/>
    </row>
    <row r="13892" spans="13:19" ht="13.95" customHeight="1">
      <c r="M13892"/>
      <c r="N13892"/>
      <c r="O13892"/>
      <c r="P13892"/>
      <c r="Q13892"/>
      <c r="R13892"/>
      <c r="S13892"/>
    </row>
    <row r="13893" spans="13:19" ht="13.95" customHeight="1">
      <c r="M13893"/>
      <c r="N13893"/>
      <c r="O13893"/>
      <c r="P13893"/>
      <c r="Q13893"/>
      <c r="R13893"/>
      <c r="S13893"/>
    </row>
    <row r="13894" spans="13:19" ht="13.95" customHeight="1">
      <c r="M13894"/>
      <c r="N13894"/>
      <c r="O13894"/>
      <c r="P13894"/>
      <c r="Q13894"/>
      <c r="R13894"/>
      <c r="S13894"/>
    </row>
    <row r="13895" spans="13:19" ht="13.95" customHeight="1">
      <c r="M13895"/>
      <c r="N13895"/>
      <c r="O13895"/>
      <c r="P13895"/>
      <c r="Q13895"/>
      <c r="R13895"/>
      <c r="S13895"/>
    </row>
    <row r="13896" spans="13:19" ht="13.95" customHeight="1">
      <c r="M13896"/>
      <c r="N13896"/>
      <c r="O13896"/>
      <c r="P13896"/>
      <c r="Q13896"/>
      <c r="R13896"/>
      <c r="S13896"/>
    </row>
    <row r="13897" spans="13:19" ht="13.95" customHeight="1">
      <c r="M13897"/>
      <c r="N13897"/>
      <c r="O13897"/>
      <c r="P13897"/>
      <c r="Q13897"/>
      <c r="R13897"/>
      <c r="S13897"/>
    </row>
    <row r="13898" spans="13:19" ht="13.95" customHeight="1">
      <c r="M13898"/>
      <c r="N13898"/>
      <c r="O13898"/>
      <c r="P13898"/>
      <c r="Q13898"/>
      <c r="R13898"/>
      <c r="S13898"/>
    </row>
    <row r="13899" spans="13:19" ht="13.95" customHeight="1">
      <c r="M13899"/>
      <c r="N13899"/>
      <c r="O13899"/>
      <c r="P13899"/>
      <c r="Q13899"/>
      <c r="R13899"/>
      <c r="S13899"/>
    </row>
    <row r="13900" spans="13:19" ht="13.95" customHeight="1">
      <c r="M13900"/>
      <c r="N13900"/>
      <c r="O13900"/>
      <c r="P13900"/>
      <c r="Q13900"/>
      <c r="R13900"/>
      <c r="S13900"/>
    </row>
    <row r="13901" spans="13:19" ht="13.95" customHeight="1">
      <c r="M13901"/>
      <c r="N13901"/>
      <c r="O13901"/>
      <c r="P13901"/>
      <c r="Q13901"/>
      <c r="R13901"/>
      <c r="S13901"/>
    </row>
    <row r="13902" spans="13:19" ht="13.95" customHeight="1">
      <c r="M13902"/>
      <c r="N13902"/>
      <c r="O13902"/>
      <c r="P13902"/>
      <c r="Q13902"/>
      <c r="R13902"/>
      <c r="S13902"/>
    </row>
    <row r="13903" spans="13:19" ht="13.95" customHeight="1">
      <c r="M13903"/>
      <c r="N13903"/>
      <c r="O13903"/>
      <c r="P13903"/>
      <c r="Q13903"/>
      <c r="R13903"/>
      <c r="S13903"/>
    </row>
    <row r="13904" spans="13:19" ht="13.95" customHeight="1">
      <c r="M13904"/>
      <c r="N13904"/>
      <c r="O13904"/>
      <c r="P13904"/>
      <c r="Q13904"/>
      <c r="R13904"/>
      <c r="S13904"/>
    </row>
    <row r="13905" spans="13:19" ht="13.95" customHeight="1">
      <c r="M13905"/>
      <c r="N13905"/>
      <c r="O13905"/>
      <c r="P13905"/>
      <c r="Q13905"/>
      <c r="R13905"/>
      <c r="S13905"/>
    </row>
    <row r="13906" spans="13:19" ht="13.95" customHeight="1">
      <c r="M13906"/>
      <c r="N13906"/>
      <c r="O13906"/>
      <c r="P13906"/>
      <c r="Q13906"/>
      <c r="R13906"/>
      <c r="S13906"/>
    </row>
    <row r="13907" spans="13:19" ht="13.95" customHeight="1">
      <c r="M13907"/>
      <c r="N13907"/>
      <c r="O13907"/>
      <c r="P13907"/>
      <c r="Q13907"/>
      <c r="R13907"/>
      <c r="S13907"/>
    </row>
    <row r="13908" spans="13:19" ht="13.95" customHeight="1">
      <c r="M13908"/>
      <c r="N13908"/>
      <c r="O13908"/>
      <c r="P13908"/>
      <c r="Q13908"/>
      <c r="R13908"/>
      <c r="S13908"/>
    </row>
    <row r="13909" spans="13:19" ht="13.95" customHeight="1">
      <c r="M13909"/>
      <c r="N13909"/>
      <c r="O13909"/>
      <c r="P13909"/>
      <c r="Q13909"/>
      <c r="R13909"/>
      <c r="S13909"/>
    </row>
    <row r="13910" spans="13:19" ht="13.95" customHeight="1">
      <c r="M13910"/>
      <c r="N13910"/>
      <c r="O13910"/>
      <c r="P13910"/>
      <c r="Q13910"/>
      <c r="R13910"/>
      <c r="S13910"/>
    </row>
    <row r="13911" spans="13:19" ht="13.95" customHeight="1">
      <c r="M13911"/>
      <c r="N13911"/>
      <c r="O13911"/>
      <c r="P13911"/>
      <c r="Q13911"/>
      <c r="R13911"/>
      <c r="S13911"/>
    </row>
    <row r="13912" spans="13:19" ht="13.95" customHeight="1">
      <c r="M13912"/>
      <c r="N13912"/>
      <c r="O13912"/>
      <c r="P13912"/>
      <c r="Q13912"/>
      <c r="R13912"/>
      <c r="S13912"/>
    </row>
    <row r="13913" spans="13:19" ht="13.95" customHeight="1">
      <c r="M13913"/>
      <c r="N13913"/>
      <c r="O13913"/>
      <c r="P13913"/>
      <c r="Q13913"/>
      <c r="R13913"/>
      <c r="S13913"/>
    </row>
    <row r="13914" spans="13:19" ht="13.95" customHeight="1">
      <c r="M13914"/>
      <c r="N13914"/>
      <c r="O13914"/>
      <c r="P13914"/>
      <c r="Q13914"/>
      <c r="R13914"/>
      <c r="S13914"/>
    </row>
    <row r="13915" spans="13:19" ht="13.95" customHeight="1">
      <c r="M13915"/>
      <c r="N13915"/>
      <c r="O13915"/>
      <c r="P13915"/>
      <c r="Q13915"/>
      <c r="R13915"/>
      <c r="S13915"/>
    </row>
    <row r="13916" spans="13:19" ht="13.95" customHeight="1">
      <c r="M13916"/>
      <c r="N13916"/>
      <c r="O13916"/>
      <c r="P13916"/>
      <c r="Q13916"/>
      <c r="R13916"/>
      <c r="S13916"/>
    </row>
    <row r="13917" spans="13:19" ht="13.95" customHeight="1">
      <c r="M13917"/>
      <c r="N13917"/>
      <c r="O13917"/>
      <c r="P13917"/>
      <c r="Q13917"/>
      <c r="R13917"/>
      <c r="S13917"/>
    </row>
    <row r="13918" spans="13:19" ht="13.95" customHeight="1">
      <c r="M13918"/>
      <c r="N13918"/>
      <c r="O13918"/>
      <c r="P13918"/>
      <c r="Q13918"/>
      <c r="R13918"/>
      <c r="S13918"/>
    </row>
    <row r="13919" spans="13:19" ht="13.95" customHeight="1">
      <c r="M13919"/>
      <c r="N13919"/>
      <c r="O13919"/>
      <c r="P13919"/>
      <c r="Q13919"/>
      <c r="R13919"/>
      <c r="S13919"/>
    </row>
    <row r="13920" spans="13:19" ht="13.95" customHeight="1">
      <c r="M13920"/>
      <c r="N13920"/>
      <c r="O13920"/>
      <c r="P13920"/>
      <c r="Q13920"/>
      <c r="R13920"/>
      <c r="S13920"/>
    </row>
    <row r="13921" spans="13:19" ht="13.95" customHeight="1">
      <c r="M13921"/>
      <c r="N13921"/>
      <c r="O13921"/>
      <c r="P13921"/>
      <c r="Q13921"/>
      <c r="R13921"/>
      <c r="S13921"/>
    </row>
    <row r="13922" spans="13:19" ht="13.95" customHeight="1">
      <c r="M13922"/>
      <c r="N13922"/>
      <c r="O13922"/>
      <c r="P13922"/>
      <c r="Q13922"/>
      <c r="R13922"/>
      <c r="S13922"/>
    </row>
    <row r="13923" spans="13:19" ht="13.95" customHeight="1">
      <c r="M13923"/>
      <c r="N13923"/>
      <c r="O13923"/>
      <c r="P13923"/>
      <c r="Q13923"/>
      <c r="R13923"/>
      <c r="S13923"/>
    </row>
    <row r="13924" spans="13:19" ht="13.95" customHeight="1">
      <c r="M13924"/>
      <c r="N13924"/>
      <c r="O13924"/>
      <c r="P13924"/>
      <c r="Q13924"/>
      <c r="R13924"/>
      <c r="S13924"/>
    </row>
    <row r="13925" spans="13:19" ht="13.95" customHeight="1">
      <c r="M13925"/>
      <c r="N13925"/>
      <c r="O13925"/>
      <c r="P13925"/>
      <c r="Q13925"/>
      <c r="R13925"/>
      <c r="S13925"/>
    </row>
    <row r="13926" spans="13:19" ht="13.95" customHeight="1">
      <c r="M13926"/>
      <c r="N13926"/>
      <c r="O13926"/>
      <c r="P13926"/>
      <c r="Q13926"/>
      <c r="R13926"/>
      <c r="S13926"/>
    </row>
    <row r="13927" spans="13:19" ht="13.95" customHeight="1">
      <c r="M13927"/>
      <c r="N13927"/>
      <c r="O13927"/>
      <c r="P13927"/>
      <c r="Q13927"/>
      <c r="R13927"/>
      <c r="S13927"/>
    </row>
    <row r="13928" spans="13:19" ht="13.95" customHeight="1">
      <c r="M13928"/>
      <c r="N13928"/>
      <c r="O13928"/>
      <c r="P13928"/>
      <c r="Q13928"/>
      <c r="R13928"/>
      <c r="S13928"/>
    </row>
    <row r="13929" spans="13:19" ht="13.95" customHeight="1">
      <c r="M13929"/>
      <c r="N13929"/>
      <c r="O13929"/>
      <c r="P13929"/>
      <c r="Q13929"/>
      <c r="R13929"/>
      <c r="S13929"/>
    </row>
    <row r="13930" spans="13:19" ht="13.95" customHeight="1">
      <c r="M13930"/>
      <c r="N13930"/>
      <c r="O13930"/>
      <c r="P13930"/>
      <c r="Q13930"/>
      <c r="R13930"/>
      <c r="S13930"/>
    </row>
    <row r="13931" spans="13:19" ht="13.95" customHeight="1">
      <c r="M13931"/>
      <c r="N13931"/>
      <c r="O13931"/>
      <c r="P13931"/>
      <c r="Q13931"/>
      <c r="R13931"/>
      <c r="S13931"/>
    </row>
    <row r="13932" spans="13:19" ht="13.95" customHeight="1">
      <c r="M13932"/>
      <c r="N13932"/>
      <c r="O13932"/>
      <c r="P13932"/>
      <c r="Q13932"/>
      <c r="R13932"/>
      <c r="S13932"/>
    </row>
    <row r="13933" spans="13:19" ht="13.95" customHeight="1">
      <c r="M13933"/>
      <c r="N13933"/>
      <c r="O13933"/>
      <c r="P13933"/>
      <c r="Q13933"/>
      <c r="R13933"/>
      <c r="S13933"/>
    </row>
    <row r="13934" spans="13:19" ht="13.95" customHeight="1">
      <c r="M13934"/>
      <c r="N13934"/>
      <c r="O13934"/>
      <c r="P13934"/>
      <c r="Q13934"/>
      <c r="R13934"/>
      <c r="S13934"/>
    </row>
    <row r="13935" spans="13:19" ht="13.95" customHeight="1">
      <c r="M13935"/>
      <c r="N13935"/>
      <c r="O13935"/>
      <c r="P13935"/>
      <c r="Q13935"/>
      <c r="R13935"/>
      <c r="S13935"/>
    </row>
    <row r="13936" spans="13:19" ht="13.95" customHeight="1">
      <c r="M13936"/>
      <c r="N13936"/>
      <c r="O13936"/>
      <c r="P13936"/>
      <c r="Q13936"/>
      <c r="R13936"/>
      <c r="S13936"/>
    </row>
    <row r="13937" spans="13:19" ht="13.95" customHeight="1">
      <c r="M13937"/>
      <c r="N13937"/>
      <c r="O13937"/>
      <c r="P13937"/>
      <c r="Q13937"/>
      <c r="R13937"/>
      <c r="S13937"/>
    </row>
    <row r="13938" spans="13:19" ht="13.95" customHeight="1">
      <c r="M13938"/>
      <c r="N13938"/>
      <c r="O13938"/>
      <c r="P13938"/>
      <c r="Q13938"/>
      <c r="R13938"/>
      <c r="S13938"/>
    </row>
    <row r="13939" spans="13:19" ht="13.95" customHeight="1">
      <c r="M13939"/>
      <c r="N13939"/>
      <c r="O13939"/>
      <c r="P13939"/>
      <c r="Q13939"/>
      <c r="R13939"/>
      <c r="S13939"/>
    </row>
    <row r="13940" spans="13:19" ht="13.95" customHeight="1">
      <c r="M13940"/>
      <c r="N13940"/>
      <c r="O13940"/>
      <c r="P13940"/>
      <c r="Q13940"/>
      <c r="R13940"/>
      <c r="S13940"/>
    </row>
    <row r="13941" spans="13:19" ht="13.95" customHeight="1">
      <c r="M13941"/>
      <c r="N13941"/>
      <c r="O13941"/>
      <c r="P13941"/>
      <c r="Q13941"/>
      <c r="R13941"/>
      <c r="S13941"/>
    </row>
    <row r="13942" spans="13:19" ht="13.95" customHeight="1">
      <c r="M13942"/>
      <c r="N13942"/>
      <c r="O13942"/>
      <c r="P13942"/>
      <c r="Q13942"/>
      <c r="R13942"/>
      <c r="S13942"/>
    </row>
    <row r="13943" spans="13:19" ht="13.95" customHeight="1">
      <c r="M13943"/>
      <c r="N13943"/>
      <c r="O13943"/>
      <c r="P13943"/>
      <c r="Q13943"/>
      <c r="R13943"/>
      <c r="S13943"/>
    </row>
    <row r="13944" spans="13:19" ht="13.95" customHeight="1">
      <c r="M13944"/>
      <c r="N13944"/>
      <c r="O13944"/>
      <c r="P13944"/>
      <c r="Q13944"/>
      <c r="R13944"/>
      <c r="S13944"/>
    </row>
    <row r="13945" spans="13:19" ht="13.95" customHeight="1">
      <c r="M13945"/>
      <c r="N13945"/>
      <c r="O13945"/>
      <c r="P13945"/>
      <c r="Q13945"/>
      <c r="R13945"/>
      <c r="S13945"/>
    </row>
    <row r="13946" spans="13:19" ht="13.95" customHeight="1">
      <c r="M13946"/>
      <c r="N13946"/>
      <c r="O13946"/>
      <c r="P13946"/>
      <c r="Q13946"/>
      <c r="R13946"/>
      <c r="S13946"/>
    </row>
    <row r="13947" spans="13:19" ht="13.95" customHeight="1">
      <c r="M13947"/>
      <c r="N13947"/>
      <c r="O13947"/>
      <c r="P13947"/>
      <c r="Q13947"/>
      <c r="R13947"/>
      <c r="S13947"/>
    </row>
    <row r="13948" spans="13:19" ht="13.95" customHeight="1">
      <c r="M13948"/>
      <c r="N13948"/>
      <c r="O13948"/>
      <c r="P13948"/>
      <c r="Q13948"/>
      <c r="R13948"/>
      <c r="S13948"/>
    </row>
    <row r="13949" spans="13:19" ht="13.95" customHeight="1">
      <c r="M13949"/>
      <c r="N13949"/>
      <c r="O13949"/>
      <c r="P13949"/>
      <c r="Q13949"/>
      <c r="R13949"/>
      <c r="S13949"/>
    </row>
    <row r="13950" spans="13:19" ht="13.95" customHeight="1">
      <c r="M13950"/>
      <c r="N13950"/>
      <c r="O13950"/>
      <c r="P13950"/>
      <c r="Q13950"/>
      <c r="R13950"/>
      <c r="S13950"/>
    </row>
    <row r="13951" spans="13:19" ht="13.95" customHeight="1">
      <c r="M13951"/>
      <c r="N13951"/>
      <c r="O13951"/>
      <c r="P13951"/>
      <c r="Q13951"/>
      <c r="R13951"/>
      <c r="S13951"/>
    </row>
    <row r="13952" spans="13:19" ht="13.95" customHeight="1">
      <c r="M13952"/>
      <c r="N13952"/>
      <c r="O13952"/>
      <c r="P13952"/>
      <c r="Q13952"/>
      <c r="R13952"/>
      <c r="S13952"/>
    </row>
    <row r="13953" spans="13:19" ht="13.95" customHeight="1">
      <c r="M13953"/>
      <c r="N13953"/>
      <c r="O13953"/>
      <c r="P13953"/>
      <c r="Q13953"/>
      <c r="R13953"/>
      <c r="S13953"/>
    </row>
    <row r="13954" spans="13:19" ht="13.95" customHeight="1">
      <c r="M13954"/>
      <c r="N13954"/>
      <c r="O13954"/>
      <c r="P13954"/>
      <c r="Q13954"/>
      <c r="R13954"/>
      <c r="S13954"/>
    </row>
    <row r="13955" spans="13:19" ht="13.95" customHeight="1">
      <c r="M13955"/>
      <c r="N13955"/>
      <c r="O13955"/>
      <c r="P13955"/>
      <c r="Q13955"/>
      <c r="R13955"/>
      <c r="S13955"/>
    </row>
    <row r="13956" spans="13:19" ht="13.95" customHeight="1">
      <c r="M13956"/>
      <c r="N13956"/>
      <c r="O13956"/>
      <c r="P13956"/>
      <c r="Q13956"/>
      <c r="R13956"/>
      <c r="S13956"/>
    </row>
    <row r="13957" spans="13:19" ht="13.95" customHeight="1">
      <c r="M13957"/>
      <c r="N13957"/>
      <c r="O13957"/>
      <c r="P13957"/>
      <c r="Q13957"/>
      <c r="R13957"/>
      <c r="S13957"/>
    </row>
    <row r="13958" spans="13:19" ht="13.95" customHeight="1">
      <c r="M13958"/>
      <c r="N13958"/>
      <c r="O13958"/>
      <c r="P13958"/>
      <c r="Q13958"/>
      <c r="R13958"/>
      <c r="S13958"/>
    </row>
    <row r="13959" spans="13:19" ht="13.95" customHeight="1">
      <c r="M13959"/>
      <c r="N13959"/>
      <c r="O13959"/>
      <c r="P13959"/>
      <c r="Q13959"/>
      <c r="R13959"/>
      <c r="S13959"/>
    </row>
    <row r="13960" spans="13:19" ht="13.95" customHeight="1">
      <c r="M13960"/>
      <c r="N13960"/>
      <c r="O13960"/>
      <c r="P13960"/>
      <c r="Q13960"/>
      <c r="R13960"/>
      <c r="S13960"/>
    </row>
    <row r="13961" spans="13:19" ht="13.95" customHeight="1">
      <c r="M13961"/>
      <c r="N13961"/>
      <c r="O13961"/>
      <c r="P13961"/>
      <c r="Q13961"/>
      <c r="R13961"/>
      <c r="S13961"/>
    </row>
    <row r="13962" spans="13:19" ht="13.95" customHeight="1">
      <c r="M13962"/>
      <c r="N13962"/>
      <c r="O13962"/>
      <c r="P13962"/>
      <c r="Q13962"/>
      <c r="R13962"/>
      <c r="S13962"/>
    </row>
    <row r="13963" spans="13:19" ht="13.95" customHeight="1">
      <c r="M13963"/>
      <c r="N13963"/>
      <c r="O13963"/>
      <c r="P13963"/>
      <c r="Q13963"/>
      <c r="R13963"/>
      <c r="S13963"/>
    </row>
    <row r="13964" spans="13:19" ht="13.95" customHeight="1">
      <c r="M13964"/>
      <c r="N13964"/>
      <c r="O13964"/>
      <c r="P13964"/>
      <c r="Q13964"/>
      <c r="R13964"/>
      <c r="S13964"/>
    </row>
    <row r="13965" spans="13:19" ht="13.95" customHeight="1">
      <c r="M13965"/>
      <c r="N13965"/>
      <c r="O13965"/>
      <c r="P13965"/>
      <c r="Q13965"/>
      <c r="R13965"/>
      <c r="S13965"/>
    </row>
    <row r="13966" spans="13:19" ht="13.95" customHeight="1">
      <c r="M13966"/>
      <c r="N13966"/>
      <c r="O13966"/>
      <c r="P13966"/>
      <c r="Q13966"/>
      <c r="R13966"/>
      <c r="S13966"/>
    </row>
    <row r="13967" spans="13:19" ht="13.95" customHeight="1">
      <c r="M13967"/>
      <c r="N13967"/>
      <c r="O13967"/>
      <c r="P13967"/>
      <c r="Q13967"/>
      <c r="R13967"/>
      <c r="S13967"/>
    </row>
    <row r="13968" spans="13:19" ht="13.95" customHeight="1">
      <c r="M13968"/>
      <c r="N13968"/>
      <c r="O13968"/>
      <c r="P13968"/>
      <c r="Q13968"/>
      <c r="R13968"/>
      <c r="S13968"/>
    </row>
    <row r="13969" spans="13:19" ht="13.95" customHeight="1">
      <c r="M13969"/>
      <c r="N13969"/>
      <c r="O13969"/>
      <c r="P13969"/>
      <c r="Q13969"/>
      <c r="R13969"/>
      <c r="S13969"/>
    </row>
    <row r="13970" spans="13:19" ht="13.95" customHeight="1">
      <c r="M13970"/>
      <c r="N13970"/>
      <c r="O13970"/>
      <c r="P13970"/>
      <c r="Q13970"/>
      <c r="R13970"/>
      <c r="S13970"/>
    </row>
    <row r="13971" spans="13:19" ht="13.95" customHeight="1">
      <c r="M13971"/>
      <c r="N13971"/>
      <c r="O13971"/>
      <c r="P13971"/>
      <c r="Q13971"/>
      <c r="R13971"/>
      <c r="S13971"/>
    </row>
    <row r="13972" spans="13:19" ht="13.95" customHeight="1">
      <c r="M13972"/>
      <c r="N13972"/>
      <c r="O13972"/>
      <c r="P13972"/>
      <c r="Q13972"/>
      <c r="R13972"/>
      <c r="S13972"/>
    </row>
    <row r="13973" spans="13:19" ht="13.95" customHeight="1">
      <c r="M13973"/>
      <c r="N13973"/>
      <c r="O13973"/>
      <c r="P13973"/>
      <c r="Q13973"/>
      <c r="R13973"/>
      <c r="S13973"/>
    </row>
    <row r="13974" spans="13:19" ht="13.95" customHeight="1">
      <c r="M13974"/>
      <c r="N13974"/>
      <c r="O13974"/>
      <c r="P13974"/>
      <c r="Q13974"/>
      <c r="R13974"/>
      <c r="S13974"/>
    </row>
    <row r="13975" spans="13:19" ht="13.95" customHeight="1">
      <c r="M13975"/>
      <c r="N13975"/>
      <c r="O13975"/>
      <c r="P13975"/>
      <c r="Q13975"/>
      <c r="R13975"/>
      <c r="S13975"/>
    </row>
    <row r="13976" spans="13:19" ht="13.95" customHeight="1">
      <c r="M13976"/>
      <c r="N13976"/>
      <c r="O13976"/>
      <c r="P13976"/>
      <c r="Q13976"/>
      <c r="R13976"/>
      <c r="S13976"/>
    </row>
    <row r="13977" spans="13:19" ht="13.95" customHeight="1">
      <c r="M13977"/>
      <c r="N13977"/>
      <c r="O13977"/>
      <c r="P13977"/>
      <c r="Q13977"/>
      <c r="R13977"/>
      <c r="S13977"/>
    </row>
    <row r="13978" spans="13:19" ht="13.95" customHeight="1">
      <c r="M13978"/>
      <c r="N13978"/>
      <c r="O13978"/>
      <c r="P13978"/>
      <c r="Q13978"/>
      <c r="R13978"/>
      <c r="S13978"/>
    </row>
    <row r="13979" spans="13:19" ht="13.95" customHeight="1">
      <c r="M13979"/>
      <c r="N13979"/>
      <c r="O13979"/>
      <c r="P13979"/>
      <c r="Q13979"/>
      <c r="R13979"/>
      <c r="S13979"/>
    </row>
    <row r="13980" spans="13:19" ht="13.95" customHeight="1">
      <c r="M13980"/>
      <c r="N13980"/>
      <c r="O13980"/>
      <c r="P13980"/>
      <c r="Q13980"/>
      <c r="R13980"/>
      <c r="S13980"/>
    </row>
    <row r="13981" spans="13:19" ht="13.95" customHeight="1">
      <c r="M13981"/>
      <c r="N13981"/>
      <c r="O13981"/>
      <c r="P13981"/>
      <c r="Q13981"/>
      <c r="R13981"/>
      <c r="S13981"/>
    </row>
    <row r="13982" spans="13:19" ht="13.95" customHeight="1">
      <c r="M13982"/>
      <c r="N13982"/>
      <c r="O13982"/>
      <c r="P13982"/>
      <c r="Q13982"/>
      <c r="R13982"/>
      <c r="S13982"/>
    </row>
    <row r="13983" spans="13:19" ht="13.95" customHeight="1">
      <c r="M13983"/>
      <c r="N13983"/>
      <c r="O13983"/>
      <c r="P13983"/>
      <c r="Q13983"/>
      <c r="R13983"/>
      <c r="S13983"/>
    </row>
    <row r="13984" spans="13:19" ht="13.95" customHeight="1">
      <c r="M13984"/>
      <c r="N13984"/>
      <c r="O13984"/>
      <c r="P13984"/>
      <c r="Q13984"/>
      <c r="R13984"/>
      <c r="S13984"/>
    </row>
    <row r="13985" spans="13:19" ht="13.95" customHeight="1">
      <c r="M13985"/>
      <c r="N13985"/>
      <c r="O13985"/>
      <c r="P13985"/>
      <c r="Q13985"/>
      <c r="R13985"/>
      <c r="S13985"/>
    </row>
    <row r="13986" spans="13:19" ht="13.95" customHeight="1">
      <c r="M13986"/>
      <c r="N13986"/>
      <c r="O13986"/>
      <c r="P13986"/>
      <c r="Q13986"/>
      <c r="R13986"/>
      <c r="S13986"/>
    </row>
    <row r="13987" spans="13:19" ht="13.95" customHeight="1">
      <c r="M13987"/>
      <c r="N13987"/>
      <c r="O13987"/>
      <c r="P13987"/>
      <c r="Q13987"/>
      <c r="R13987"/>
      <c r="S13987"/>
    </row>
    <row r="13988" spans="13:19" ht="13.95" customHeight="1">
      <c r="M13988"/>
      <c r="N13988"/>
      <c r="O13988"/>
      <c r="P13988"/>
      <c r="Q13988"/>
      <c r="R13988"/>
      <c r="S13988"/>
    </row>
    <row r="13989" spans="13:19" ht="13.95" customHeight="1">
      <c r="M13989"/>
      <c r="N13989"/>
      <c r="O13989"/>
      <c r="P13989"/>
      <c r="Q13989"/>
      <c r="R13989"/>
      <c r="S13989"/>
    </row>
    <row r="13990" spans="13:19" ht="13.95" customHeight="1">
      <c r="M13990"/>
      <c r="N13990"/>
      <c r="O13990"/>
      <c r="P13990"/>
      <c r="Q13990"/>
      <c r="R13990"/>
      <c r="S13990"/>
    </row>
    <row r="13991" spans="13:19" ht="13.95" customHeight="1">
      <c r="M13991"/>
      <c r="N13991"/>
      <c r="O13991"/>
      <c r="P13991"/>
      <c r="Q13991"/>
      <c r="R13991"/>
      <c r="S13991"/>
    </row>
    <row r="13992" spans="13:19" ht="13.95" customHeight="1">
      <c r="M13992"/>
      <c r="N13992"/>
      <c r="O13992"/>
      <c r="P13992"/>
      <c r="Q13992"/>
      <c r="R13992"/>
      <c r="S13992"/>
    </row>
    <row r="13993" spans="13:19" ht="13.95" customHeight="1">
      <c r="M13993"/>
      <c r="N13993"/>
      <c r="O13993"/>
      <c r="P13993"/>
      <c r="Q13993"/>
      <c r="R13993"/>
      <c r="S13993"/>
    </row>
    <row r="13994" spans="13:19" ht="13.95" customHeight="1">
      <c r="M13994"/>
      <c r="N13994"/>
      <c r="O13994"/>
      <c r="P13994"/>
      <c r="Q13994"/>
      <c r="R13994"/>
      <c r="S13994"/>
    </row>
    <row r="13995" spans="13:19" ht="13.95" customHeight="1">
      <c r="M13995"/>
      <c r="N13995"/>
      <c r="O13995"/>
      <c r="P13995"/>
      <c r="Q13995"/>
      <c r="R13995"/>
      <c r="S13995"/>
    </row>
    <row r="13996" spans="13:19" ht="13.95" customHeight="1">
      <c r="M13996"/>
      <c r="N13996"/>
      <c r="O13996"/>
      <c r="P13996"/>
      <c r="Q13996"/>
      <c r="R13996"/>
      <c r="S13996"/>
    </row>
    <row r="13997" spans="13:19" ht="13.95" customHeight="1">
      <c r="M13997"/>
      <c r="N13997"/>
      <c r="O13997"/>
      <c r="P13997"/>
      <c r="Q13997"/>
      <c r="R13997"/>
      <c r="S13997"/>
    </row>
    <row r="13998" spans="13:19" ht="13.95" customHeight="1">
      <c r="M13998"/>
      <c r="N13998"/>
      <c r="O13998"/>
      <c r="P13998"/>
      <c r="Q13998"/>
      <c r="R13998"/>
      <c r="S13998"/>
    </row>
    <row r="13999" spans="13:19" ht="13.95" customHeight="1">
      <c r="M13999"/>
      <c r="N13999"/>
      <c r="O13999"/>
      <c r="P13999"/>
      <c r="Q13999"/>
      <c r="R13999"/>
      <c r="S13999"/>
    </row>
    <row r="14000" spans="13:19" ht="13.95" customHeight="1">
      <c r="M14000"/>
      <c r="N14000"/>
      <c r="O14000"/>
      <c r="P14000"/>
      <c r="Q14000"/>
      <c r="R14000"/>
      <c r="S14000"/>
    </row>
    <row r="14001" spans="13:19" ht="13.95" customHeight="1">
      <c r="M14001"/>
      <c r="N14001"/>
      <c r="O14001"/>
      <c r="P14001"/>
      <c r="Q14001"/>
      <c r="R14001"/>
      <c r="S14001"/>
    </row>
    <row r="14002" spans="13:19" ht="13.95" customHeight="1">
      <c r="M14002"/>
      <c r="N14002"/>
      <c r="O14002"/>
      <c r="P14002"/>
      <c r="Q14002"/>
      <c r="R14002"/>
      <c r="S14002"/>
    </row>
    <row r="14003" spans="13:19" ht="13.95" customHeight="1">
      <c r="M14003"/>
      <c r="N14003"/>
      <c r="O14003"/>
      <c r="P14003"/>
      <c r="Q14003"/>
      <c r="R14003"/>
      <c r="S14003"/>
    </row>
    <row r="14004" spans="13:19" ht="13.95" customHeight="1">
      <c r="M14004"/>
      <c r="N14004"/>
      <c r="O14004"/>
      <c r="P14004"/>
      <c r="Q14004"/>
      <c r="R14004"/>
      <c r="S14004"/>
    </row>
    <row r="14005" spans="13:19" ht="13.95" customHeight="1">
      <c r="M14005"/>
      <c r="N14005"/>
      <c r="O14005"/>
      <c r="P14005"/>
      <c r="Q14005"/>
      <c r="R14005"/>
      <c r="S14005"/>
    </row>
    <row r="14006" spans="13:19" ht="13.95" customHeight="1">
      <c r="M14006"/>
      <c r="N14006"/>
      <c r="O14006"/>
      <c r="P14006"/>
      <c r="Q14006"/>
      <c r="R14006"/>
      <c r="S14006"/>
    </row>
    <row r="14007" spans="13:19" ht="13.95" customHeight="1">
      <c r="M14007"/>
      <c r="N14007"/>
      <c r="O14007"/>
      <c r="P14007"/>
      <c r="Q14007"/>
      <c r="R14007"/>
      <c r="S14007"/>
    </row>
    <row r="14008" spans="13:19" ht="13.95" customHeight="1">
      <c r="M14008"/>
      <c r="N14008"/>
      <c r="O14008"/>
      <c r="P14008"/>
      <c r="Q14008"/>
      <c r="R14008"/>
      <c r="S14008"/>
    </row>
    <row r="14009" spans="13:19" ht="13.95" customHeight="1">
      <c r="M14009"/>
      <c r="N14009"/>
      <c r="O14009"/>
      <c r="P14009"/>
      <c r="Q14009"/>
      <c r="R14009"/>
      <c r="S14009"/>
    </row>
    <row r="14010" spans="13:19" ht="13.95" customHeight="1">
      <c r="M14010"/>
      <c r="N14010"/>
      <c r="O14010"/>
      <c r="P14010"/>
      <c r="Q14010"/>
      <c r="R14010"/>
      <c r="S14010"/>
    </row>
    <row r="14011" spans="13:19" ht="13.95" customHeight="1">
      <c r="M14011"/>
      <c r="N14011"/>
      <c r="O14011"/>
      <c r="P14011"/>
      <c r="Q14011"/>
      <c r="R14011"/>
      <c r="S14011"/>
    </row>
    <row r="14012" spans="13:19" ht="13.95" customHeight="1">
      <c r="M14012"/>
      <c r="N14012"/>
      <c r="O14012"/>
      <c r="P14012"/>
      <c r="Q14012"/>
      <c r="R14012"/>
      <c r="S14012"/>
    </row>
    <row r="14013" spans="13:19" ht="13.95" customHeight="1">
      <c r="M14013"/>
      <c r="N14013"/>
      <c r="O14013"/>
      <c r="P14013"/>
      <c r="Q14013"/>
      <c r="R14013"/>
      <c r="S14013"/>
    </row>
    <row r="14014" spans="13:19" ht="13.95" customHeight="1">
      <c r="M14014"/>
      <c r="N14014"/>
      <c r="O14014"/>
      <c r="P14014"/>
      <c r="Q14014"/>
      <c r="R14014"/>
      <c r="S14014"/>
    </row>
    <row r="14015" spans="13:19" ht="13.95" customHeight="1">
      <c r="M14015"/>
      <c r="N14015"/>
      <c r="O14015"/>
      <c r="P14015"/>
      <c r="Q14015"/>
      <c r="R14015"/>
      <c r="S14015"/>
    </row>
    <row r="14016" spans="13:19" ht="13.95" customHeight="1">
      <c r="M14016"/>
      <c r="N14016"/>
      <c r="O14016"/>
      <c r="P14016"/>
      <c r="Q14016"/>
      <c r="R14016"/>
      <c r="S14016"/>
    </row>
    <row r="14017" spans="13:19" ht="13.95" customHeight="1">
      <c r="M14017"/>
      <c r="N14017"/>
      <c r="O14017"/>
      <c r="P14017"/>
      <c r="Q14017"/>
      <c r="R14017"/>
      <c r="S14017"/>
    </row>
    <row r="14018" spans="13:19" ht="13.95" customHeight="1">
      <c r="M14018"/>
      <c r="N14018"/>
      <c r="O14018"/>
      <c r="P14018"/>
      <c r="Q14018"/>
      <c r="R14018"/>
      <c r="S14018"/>
    </row>
    <row r="14019" spans="13:19" ht="13.95" customHeight="1">
      <c r="M14019"/>
      <c r="N14019"/>
      <c r="O14019"/>
      <c r="P14019"/>
      <c r="Q14019"/>
      <c r="R14019"/>
      <c r="S14019"/>
    </row>
    <row r="14020" spans="13:19" ht="13.95" customHeight="1">
      <c r="M14020"/>
      <c r="N14020"/>
      <c r="O14020"/>
      <c r="P14020"/>
      <c r="Q14020"/>
      <c r="R14020"/>
      <c r="S14020"/>
    </row>
    <row r="14021" spans="13:19" ht="13.95" customHeight="1">
      <c r="M14021"/>
      <c r="N14021"/>
      <c r="O14021"/>
      <c r="P14021"/>
      <c r="Q14021"/>
      <c r="R14021"/>
      <c r="S14021"/>
    </row>
    <row r="14022" spans="13:19" ht="13.95" customHeight="1">
      <c r="M14022"/>
      <c r="N14022"/>
      <c r="O14022"/>
      <c r="P14022"/>
      <c r="Q14022"/>
      <c r="R14022"/>
      <c r="S14022"/>
    </row>
    <row r="14023" spans="13:19" ht="13.95" customHeight="1">
      <c r="M14023"/>
      <c r="N14023"/>
      <c r="O14023"/>
      <c r="P14023"/>
      <c r="Q14023"/>
      <c r="R14023"/>
      <c r="S14023"/>
    </row>
    <row r="14024" spans="13:19" ht="13.95" customHeight="1">
      <c r="M14024"/>
      <c r="N14024"/>
      <c r="O14024"/>
      <c r="P14024"/>
      <c r="Q14024"/>
      <c r="R14024"/>
      <c r="S14024"/>
    </row>
    <row r="14025" spans="13:19" ht="13.95" customHeight="1">
      <c r="M14025"/>
      <c r="N14025"/>
      <c r="O14025"/>
      <c r="P14025"/>
      <c r="Q14025"/>
      <c r="R14025"/>
      <c r="S14025"/>
    </row>
    <row r="14026" spans="13:19" ht="13.95" customHeight="1">
      <c r="M14026"/>
      <c r="N14026"/>
      <c r="O14026"/>
      <c r="P14026"/>
      <c r="Q14026"/>
      <c r="R14026"/>
      <c r="S14026"/>
    </row>
    <row r="14027" spans="13:19" ht="13.95" customHeight="1">
      <c r="M14027"/>
      <c r="N14027"/>
      <c r="O14027"/>
      <c r="P14027"/>
      <c r="Q14027"/>
      <c r="R14027"/>
      <c r="S14027"/>
    </row>
    <row r="14028" spans="13:19" ht="13.95" customHeight="1">
      <c r="M14028"/>
      <c r="N14028"/>
      <c r="O14028"/>
      <c r="P14028"/>
      <c r="Q14028"/>
      <c r="R14028"/>
      <c r="S14028"/>
    </row>
    <row r="14029" spans="13:19" ht="13.95" customHeight="1">
      <c r="M14029"/>
      <c r="N14029"/>
      <c r="O14029"/>
      <c r="P14029"/>
      <c r="Q14029"/>
      <c r="R14029"/>
      <c r="S14029"/>
    </row>
    <row r="14030" spans="13:19" ht="13.95" customHeight="1">
      <c r="M14030"/>
      <c r="N14030"/>
      <c r="O14030"/>
      <c r="P14030"/>
      <c r="Q14030"/>
      <c r="R14030"/>
      <c r="S14030"/>
    </row>
    <row r="14031" spans="13:19" ht="13.95" customHeight="1">
      <c r="M14031"/>
      <c r="N14031"/>
      <c r="O14031"/>
      <c r="P14031"/>
      <c r="Q14031"/>
      <c r="R14031"/>
      <c r="S14031"/>
    </row>
    <row r="14032" spans="13:19" ht="13.95" customHeight="1">
      <c r="M14032"/>
      <c r="N14032"/>
      <c r="O14032"/>
      <c r="P14032"/>
      <c r="Q14032"/>
      <c r="R14032"/>
      <c r="S14032"/>
    </row>
    <row r="14033" spans="13:19" ht="13.95" customHeight="1">
      <c r="M14033"/>
      <c r="N14033"/>
      <c r="O14033"/>
      <c r="P14033"/>
      <c r="Q14033"/>
      <c r="R14033"/>
      <c r="S14033"/>
    </row>
    <row r="14034" spans="13:19" ht="13.95" customHeight="1">
      <c r="M14034"/>
      <c r="N14034"/>
      <c r="O14034"/>
      <c r="P14034"/>
      <c r="Q14034"/>
      <c r="R14034"/>
      <c r="S14034"/>
    </row>
    <row r="14035" spans="13:19" ht="13.95" customHeight="1">
      <c r="M14035"/>
      <c r="N14035"/>
      <c r="O14035"/>
      <c r="P14035"/>
      <c r="Q14035"/>
      <c r="R14035"/>
      <c r="S14035"/>
    </row>
    <row r="14036" spans="13:19" ht="13.95" customHeight="1">
      <c r="M14036"/>
      <c r="N14036"/>
      <c r="O14036"/>
      <c r="P14036"/>
      <c r="Q14036"/>
      <c r="R14036"/>
      <c r="S14036"/>
    </row>
    <row r="14037" spans="13:19" ht="13.95" customHeight="1">
      <c r="M14037"/>
      <c r="N14037"/>
      <c r="O14037"/>
      <c r="P14037"/>
      <c r="Q14037"/>
      <c r="R14037"/>
      <c r="S14037"/>
    </row>
    <row r="14038" spans="13:19" ht="13.95" customHeight="1">
      <c r="M14038"/>
      <c r="N14038"/>
      <c r="O14038"/>
      <c r="P14038"/>
      <c r="Q14038"/>
      <c r="R14038"/>
      <c r="S14038"/>
    </row>
    <row r="14039" spans="13:19" ht="13.95" customHeight="1">
      <c r="M14039"/>
      <c r="N14039"/>
      <c r="O14039"/>
      <c r="P14039"/>
      <c r="Q14039"/>
      <c r="R14039"/>
      <c r="S14039"/>
    </row>
    <row r="14040" spans="13:19" ht="13.95" customHeight="1">
      <c r="M14040"/>
      <c r="N14040"/>
      <c r="O14040"/>
      <c r="P14040"/>
      <c r="Q14040"/>
      <c r="R14040"/>
      <c r="S14040"/>
    </row>
    <row r="14041" spans="13:19" ht="13.95" customHeight="1">
      <c r="M14041"/>
      <c r="N14041"/>
      <c r="O14041"/>
      <c r="P14041"/>
      <c r="Q14041"/>
      <c r="R14041"/>
      <c r="S14041"/>
    </row>
    <row r="14042" spans="13:19" ht="13.95" customHeight="1">
      <c r="M14042"/>
      <c r="N14042"/>
      <c r="O14042"/>
      <c r="P14042"/>
      <c r="Q14042"/>
      <c r="R14042"/>
      <c r="S14042"/>
    </row>
    <row r="14043" spans="13:19" ht="13.95" customHeight="1">
      <c r="M14043"/>
      <c r="N14043"/>
      <c r="O14043"/>
      <c r="P14043"/>
      <c r="Q14043"/>
      <c r="R14043"/>
      <c r="S14043"/>
    </row>
    <row r="14044" spans="13:19" ht="13.95" customHeight="1">
      <c r="M14044"/>
      <c r="N14044"/>
      <c r="O14044"/>
      <c r="P14044"/>
      <c r="Q14044"/>
      <c r="R14044"/>
      <c r="S14044"/>
    </row>
    <row r="14045" spans="13:19" ht="13.95" customHeight="1">
      <c r="M14045"/>
      <c r="N14045"/>
      <c r="O14045"/>
      <c r="P14045"/>
      <c r="Q14045"/>
      <c r="R14045"/>
      <c r="S14045"/>
    </row>
    <row r="14046" spans="13:19" ht="13.95" customHeight="1">
      <c r="M14046"/>
      <c r="N14046"/>
      <c r="O14046"/>
      <c r="P14046"/>
      <c r="Q14046"/>
      <c r="R14046"/>
      <c r="S14046"/>
    </row>
    <row r="14047" spans="13:19" ht="13.95" customHeight="1">
      <c r="M14047"/>
      <c r="N14047"/>
      <c r="O14047"/>
      <c r="P14047"/>
      <c r="Q14047"/>
      <c r="R14047"/>
      <c r="S14047"/>
    </row>
    <row r="14048" spans="13:19" ht="13.95" customHeight="1">
      <c r="M14048"/>
      <c r="N14048"/>
      <c r="O14048"/>
      <c r="P14048"/>
      <c r="Q14048"/>
      <c r="R14048"/>
      <c r="S14048"/>
    </row>
    <row r="14049" spans="13:19" ht="13.95" customHeight="1">
      <c r="M14049"/>
      <c r="N14049"/>
      <c r="O14049"/>
      <c r="P14049"/>
      <c r="Q14049"/>
      <c r="R14049"/>
      <c r="S14049"/>
    </row>
    <row r="14050" spans="13:19" ht="13.95" customHeight="1">
      <c r="M14050"/>
      <c r="N14050"/>
      <c r="O14050"/>
      <c r="P14050"/>
      <c r="Q14050"/>
      <c r="R14050"/>
      <c r="S14050"/>
    </row>
    <row r="14051" spans="13:19" ht="13.95" customHeight="1">
      <c r="M14051"/>
      <c r="N14051"/>
      <c r="O14051"/>
      <c r="P14051"/>
      <c r="Q14051"/>
      <c r="R14051"/>
      <c r="S14051"/>
    </row>
    <row r="14052" spans="13:19" ht="13.95" customHeight="1">
      <c r="M14052"/>
      <c r="N14052"/>
      <c r="O14052"/>
      <c r="P14052"/>
      <c r="Q14052"/>
      <c r="R14052"/>
      <c r="S14052"/>
    </row>
    <row r="14053" spans="13:19" ht="13.95" customHeight="1">
      <c r="M14053"/>
      <c r="N14053"/>
      <c r="O14053"/>
      <c r="P14053"/>
      <c r="Q14053"/>
      <c r="R14053"/>
      <c r="S14053"/>
    </row>
    <row r="14054" spans="13:19" ht="13.95" customHeight="1">
      <c r="M14054"/>
      <c r="N14054"/>
      <c r="O14054"/>
      <c r="P14054"/>
      <c r="Q14054"/>
      <c r="R14054"/>
      <c r="S14054"/>
    </row>
    <row r="14055" spans="13:19" ht="13.95" customHeight="1">
      <c r="M14055"/>
      <c r="N14055"/>
      <c r="O14055"/>
      <c r="P14055"/>
      <c r="Q14055"/>
      <c r="R14055"/>
      <c r="S14055"/>
    </row>
    <row r="14056" spans="13:19" ht="13.95" customHeight="1">
      <c r="M14056"/>
      <c r="N14056"/>
      <c r="O14056"/>
      <c r="P14056"/>
      <c r="Q14056"/>
      <c r="R14056"/>
      <c r="S14056"/>
    </row>
    <row r="14057" spans="13:19" ht="13.95" customHeight="1">
      <c r="M14057"/>
      <c r="N14057"/>
      <c r="O14057"/>
      <c r="P14057"/>
      <c r="Q14057"/>
      <c r="R14057"/>
      <c r="S14057"/>
    </row>
    <row r="14058" spans="13:19" ht="13.95" customHeight="1">
      <c r="M14058"/>
      <c r="N14058"/>
      <c r="O14058"/>
      <c r="P14058"/>
      <c r="Q14058"/>
      <c r="R14058"/>
      <c r="S14058"/>
    </row>
    <row r="14059" spans="13:19" ht="13.95" customHeight="1">
      <c r="M14059"/>
      <c r="N14059"/>
      <c r="O14059"/>
      <c r="P14059"/>
      <c r="Q14059"/>
      <c r="R14059"/>
      <c r="S14059"/>
    </row>
    <row r="14060" spans="13:19" ht="13.95" customHeight="1">
      <c r="M14060"/>
      <c r="N14060"/>
      <c r="O14060"/>
      <c r="P14060"/>
      <c r="Q14060"/>
      <c r="R14060"/>
      <c r="S14060"/>
    </row>
    <row r="14061" spans="13:19" ht="13.95" customHeight="1">
      <c r="M14061"/>
      <c r="N14061"/>
      <c r="O14061"/>
      <c r="P14061"/>
      <c r="Q14061"/>
      <c r="R14061"/>
      <c r="S14061"/>
    </row>
    <row r="14062" spans="13:19" ht="13.95" customHeight="1">
      <c r="M14062"/>
      <c r="N14062"/>
      <c r="O14062"/>
      <c r="P14062"/>
      <c r="Q14062"/>
      <c r="R14062"/>
      <c r="S14062"/>
    </row>
    <row r="14063" spans="13:19" ht="13.95" customHeight="1">
      <c r="M14063"/>
      <c r="N14063"/>
      <c r="O14063"/>
      <c r="P14063"/>
      <c r="Q14063"/>
      <c r="R14063"/>
      <c r="S14063"/>
    </row>
    <row r="14064" spans="13:19" ht="13.95" customHeight="1">
      <c r="M14064"/>
      <c r="N14064"/>
      <c r="O14064"/>
      <c r="P14064"/>
      <c r="Q14064"/>
      <c r="R14064"/>
      <c r="S14064"/>
    </row>
    <row r="14065" spans="13:19" ht="13.95" customHeight="1">
      <c r="M14065"/>
      <c r="N14065"/>
      <c r="O14065"/>
      <c r="P14065"/>
      <c r="Q14065"/>
      <c r="R14065"/>
      <c r="S14065"/>
    </row>
    <row r="14066" spans="13:19" ht="13.95" customHeight="1">
      <c r="M14066"/>
      <c r="N14066"/>
      <c r="O14066"/>
      <c r="P14066"/>
      <c r="Q14066"/>
      <c r="R14066"/>
      <c r="S14066"/>
    </row>
    <row r="14067" spans="13:19" ht="13.95" customHeight="1">
      <c r="M14067"/>
      <c r="N14067"/>
      <c r="O14067"/>
      <c r="P14067"/>
      <c r="Q14067"/>
      <c r="R14067"/>
      <c r="S14067"/>
    </row>
    <row r="14068" spans="13:19" ht="13.95" customHeight="1">
      <c r="M14068"/>
      <c r="N14068"/>
      <c r="O14068"/>
      <c r="P14068"/>
      <c r="Q14068"/>
      <c r="R14068"/>
      <c r="S14068"/>
    </row>
    <row r="14069" spans="13:19" ht="13.95" customHeight="1">
      <c r="M14069"/>
      <c r="N14069"/>
      <c r="O14069"/>
      <c r="P14069"/>
      <c r="Q14069"/>
      <c r="R14069"/>
      <c r="S14069"/>
    </row>
    <row r="14070" spans="13:19" ht="13.95" customHeight="1">
      <c r="M14070"/>
      <c r="N14070"/>
      <c r="O14070"/>
      <c r="P14070"/>
      <c r="Q14070"/>
      <c r="R14070"/>
      <c r="S14070"/>
    </row>
    <row r="14071" spans="13:19" ht="13.95" customHeight="1">
      <c r="M14071"/>
      <c r="N14071"/>
      <c r="O14071"/>
      <c r="P14071"/>
      <c r="Q14071"/>
      <c r="R14071"/>
      <c r="S14071"/>
    </row>
    <row r="14072" spans="13:19" ht="13.95" customHeight="1">
      <c r="M14072"/>
      <c r="N14072"/>
      <c r="O14072"/>
      <c r="P14072"/>
      <c r="Q14072"/>
      <c r="R14072"/>
      <c r="S14072"/>
    </row>
    <row r="14073" spans="13:19" ht="13.95" customHeight="1">
      <c r="M14073"/>
      <c r="N14073"/>
      <c r="O14073"/>
      <c r="P14073"/>
      <c r="Q14073"/>
      <c r="R14073"/>
      <c r="S14073"/>
    </row>
    <row r="14074" spans="13:19" ht="13.95" customHeight="1">
      <c r="M14074"/>
      <c r="N14074"/>
      <c r="O14074"/>
      <c r="P14074"/>
      <c r="Q14074"/>
      <c r="R14074"/>
      <c r="S14074"/>
    </row>
    <row r="14075" spans="13:19" ht="13.95" customHeight="1">
      <c r="M14075"/>
      <c r="N14075"/>
      <c r="O14075"/>
      <c r="P14075"/>
      <c r="Q14075"/>
      <c r="R14075"/>
      <c r="S14075"/>
    </row>
    <row r="14076" spans="13:19" ht="13.95" customHeight="1">
      <c r="M14076"/>
      <c r="N14076"/>
      <c r="O14076"/>
      <c r="P14076"/>
      <c r="Q14076"/>
      <c r="R14076"/>
      <c r="S14076"/>
    </row>
    <row r="14077" spans="13:19" ht="13.95" customHeight="1">
      <c r="M14077"/>
      <c r="N14077"/>
      <c r="O14077"/>
      <c r="P14077"/>
      <c r="Q14077"/>
      <c r="R14077"/>
      <c r="S14077"/>
    </row>
    <row r="14078" spans="13:19" ht="13.95" customHeight="1">
      <c r="M14078"/>
      <c r="N14078"/>
      <c r="O14078"/>
      <c r="P14078"/>
      <c r="Q14078"/>
      <c r="R14078"/>
      <c r="S14078"/>
    </row>
    <row r="14079" spans="13:19" ht="13.95" customHeight="1">
      <c r="M14079"/>
      <c r="N14079"/>
      <c r="O14079"/>
      <c r="P14079"/>
      <c r="Q14079"/>
      <c r="R14079"/>
      <c r="S14079"/>
    </row>
    <row r="14080" spans="13:19" ht="13.95" customHeight="1">
      <c r="M14080"/>
      <c r="N14080"/>
      <c r="O14080"/>
      <c r="P14080"/>
      <c r="Q14080"/>
      <c r="R14080"/>
      <c r="S14080"/>
    </row>
    <row r="14081" spans="13:19" ht="13.95" customHeight="1">
      <c r="M14081"/>
      <c r="N14081"/>
      <c r="O14081"/>
      <c r="P14081"/>
      <c r="Q14081"/>
      <c r="R14081"/>
      <c r="S14081"/>
    </row>
    <row r="14082" spans="13:19" ht="13.95" customHeight="1">
      <c r="M14082"/>
      <c r="N14082"/>
      <c r="O14082"/>
      <c r="P14082"/>
      <c r="Q14082"/>
      <c r="R14082"/>
      <c r="S14082"/>
    </row>
    <row r="14083" spans="13:19" ht="13.95" customHeight="1">
      <c r="M14083"/>
      <c r="N14083"/>
      <c r="O14083"/>
      <c r="P14083"/>
      <c r="Q14083"/>
      <c r="R14083"/>
      <c r="S14083"/>
    </row>
    <row r="14084" spans="13:19" ht="13.95" customHeight="1">
      <c r="M14084"/>
      <c r="N14084"/>
      <c r="O14084"/>
      <c r="P14084"/>
      <c r="Q14084"/>
      <c r="R14084"/>
      <c r="S14084"/>
    </row>
    <row r="14085" spans="13:19" ht="13.95" customHeight="1">
      <c r="M14085"/>
      <c r="N14085"/>
      <c r="O14085"/>
      <c r="P14085"/>
      <c r="Q14085"/>
      <c r="R14085"/>
      <c r="S14085"/>
    </row>
    <row r="14086" spans="13:19" ht="13.95" customHeight="1">
      <c r="M14086"/>
      <c r="N14086"/>
      <c r="O14086"/>
      <c r="P14086"/>
      <c r="Q14086"/>
      <c r="R14086"/>
      <c r="S14086"/>
    </row>
    <row r="14087" spans="13:19" ht="13.95" customHeight="1">
      <c r="M14087"/>
      <c r="N14087"/>
      <c r="O14087"/>
      <c r="P14087"/>
      <c r="Q14087"/>
      <c r="R14087"/>
      <c r="S14087"/>
    </row>
    <row r="14088" spans="13:19" ht="13.95" customHeight="1">
      <c r="M14088"/>
      <c r="N14088"/>
      <c r="O14088"/>
      <c r="P14088"/>
      <c r="Q14088"/>
      <c r="R14088"/>
      <c r="S14088"/>
    </row>
    <row r="14089" spans="13:19" ht="13.95" customHeight="1">
      <c r="M14089"/>
      <c r="N14089"/>
      <c r="O14089"/>
      <c r="P14089"/>
      <c r="Q14089"/>
      <c r="R14089"/>
      <c r="S14089"/>
    </row>
    <row r="14090" spans="13:19" ht="13.95" customHeight="1">
      <c r="M14090"/>
      <c r="N14090"/>
      <c r="O14090"/>
      <c r="P14090"/>
      <c r="Q14090"/>
      <c r="R14090"/>
      <c r="S14090"/>
    </row>
    <row r="14091" spans="13:19" ht="13.95" customHeight="1">
      <c r="M14091"/>
      <c r="N14091"/>
      <c r="O14091"/>
      <c r="P14091"/>
      <c r="Q14091"/>
      <c r="R14091"/>
      <c r="S14091"/>
    </row>
    <row r="14092" spans="13:19" ht="13.95" customHeight="1">
      <c r="M14092"/>
      <c r="N14092"/>
      <c r="O14092"/>
      <c r="P14092"/>
      <c r="Q14092"/>
      <c r="R14092"/>
      <c r="S14092"/>
    </row>
    <row r="14093" spans="13:19" ht="13.95" customHeight="1">
      <c r="M14093"/>
      <c r="N14093"/>
      <c r="O14093"/>
      <c r="P14093"/>
      <c r="Q14093"/>
      <c r="R14093"/>
      <c r="S14093"/>
    </row>
    <row r="14094" spans="13:19" ht="13.95" customHeight="1">
      <c r="M14094"/>
      <c r="N14094"/>
      <c r="O14094"/>
      <c r="P14094"/>
      <c r="Q14094"/>
      <c r="R14094"/>
      <c r="S14094"/>
    </row>
    <row r="14095" spans="13:19" ht="13.95" customHeight="1">
      <c r="M14095"/>
      <c r="N14095"/>
      <c r="O14095"/>
      <c r="P14095"/>
      <c r="Q14095"/>
      <c r="R14095"/>
      <c r="S14095"/>
    </row>
    <row r="14096" spans="13:19" ht="13.95" customHeight="1">
      <c r="M14096"/>
      <c r="N14096"/>
      <c r="O14096"/>
      <c r="P14096"/>
      <c r="Q14096"/>
      <c r="R14096"/>
      <c r="S14096"/>
    </row>
    <row r="14097" spans="13:19" ht="13.95" customHeight="1">
      <c r="M14097"/>
      <c r="N14097"/>
      <c r="O14097"/>
      <c r="P14097"/>
      <c r="Q14097"/>
      <c r="R14097"/>
      <c r="S14097"/>
    </row>
    <row r="14098" spans="13:19" ht="13.95" customHeight="1">
      <c r="M14098"/>
      <c r="N14098"/>
      <c r="O14098"/>
      <c r="P14098"/>
      <c r="Q14098"/>
      <c r="R14098"/>
      <c r="S14098"/>
    </row>
    <row r="14099" spans="13:19" ht="13.95" customHeight="1">
      <c r="M14099"/>
      <c r="N14099"/>
      <c r="O14099"/>
      <c r="P14099"/>
      <c r="Q14099"/>
      <c r="R14099"/>
      <c r="S14099"/>
    </row>
    <row r="14100" spans="13:19" ht="13.95" customHeight="1">
      <c r="M14100"/>
      <c r="N14100"/>
      <c r="O14100"/>
      <c r="P14100"/>
      <c r="Q14100"/>
      <c r="R14100"/>
      <c r="S14100"/>
    </row>
    <row r="14101" spans="13:19" ht="13.95" customHeight="1">
      <c r="M14101"/>
      <c r="N14101"/>
      <c r="O14101"/>
      <c r="P14101"/>
      <c r="Q14101"/>
      <c r="R14101"/>
      <c r="S14101"/>
    </row>
    <row r="14102" spans="13:19" ht="13.95" customHeight="1">
      <c r="M14102"/>
      <c r="N14102"/>
      <c r="O14102"/>
      <c r="P14102"/>
      <c r="Q14102"/>
      <c r="R14102"/>
      <c r="S14102"/>
    </row>
    <row r="14103" spans="13:19" ht="13.95" customHeight="1">
      <c r="M14103"/>
      <c r="N14103"/>
      <c r="O14103"/>
      <c r="P14103"/>
      <c r="Q14103"/>
      <c r="R14103"/>
      <c r="S14103"/>
    </row>
    <row r="14104" spans="13:19" ht="13.95" customHeight="1">
      <c r="M14104"/>
      <c r="N14104"/>
      <c r="O14104"/>
      <c r="P14104"/>
      <c r="Q14104"/>
      <c r="R14104"/>
      <c r="S14104"/>
    </row>
    <row r="14105" spans="13:19" ht="13.95" customHeight="1">
      <c r="M14105"/>
      <c r="N14105"/>
      <c r="O14105"/>
      <c r="P14105"/>
      <c r="Q14105"/>
      <c r="R14105"/>
      <c r="S14105"/>
    </row>
    <row r="14106" spans="13:19" ht="13.95" customHeight="1">
      <c r="M14106"/>
      <c r="N14106"/>
      <c r="O14106"/>
      <c r="P14106"/>
      <c r="Q14106"/>
      <c r="R14106"/>
      <c r="S14106"/>
    </row>
    <row r="14107" spans="13:19" ht="13.95" customHeight="1">
      <c r="M14107"/>
      <c r="N14107"/>
      <c r="O14107"/>
      <c r="P14107"/>
      <c r="Q14107"/>
      <c r="R14107"/>
      <c r="S14107"/>
    </row>
    <row r="14108" spans="13:19" ht="13.95" customHeight="1">
      <c r="M14108"/>
      <c r="N14108"/>
      <c r="O14108"/>
      <c r="P14108"/>
      <c r="Q14108"/>
      <c r="R14108"/>
      <c r="S14108"/>
    </row>
    <row r="14109" spans="13:19" ht="13.95" customHeight="1">
      <c r="M14109"/>
      <c r="N14109"/>
      <c r="O14109"/>
      <c r="P14109"/>
      <c r="Q14109"/>
      <c r="R14109"/>
      <c r="S14109"/>
    </row>
    <row r="14110" spans="13:19" ht="13.95" customHeight="1">
      <c r="M14110"/>
      <c r="N14110"/>
      <c r="O14110"/>
      <c r="P14110"/>
      <c r="Q14110"/>
      <c r="R14110"/>
      <c r="S14110"/>
    </row>
    <row r="14111" spans="13:19" ht="13.95" customHeight="1">
      <c r="M14111"/>
      <c r="N14111"/>
      <c r="O14111"/>
      <c r="P14111"/>
      <c r="Q14111"/>
      <c r="R14111"/>
      <c r="S14111"/>
    </row>
    <row r="14112" spans="13:19" ht="13.95" customHeight="1">
      <c r="M14112"/>
      <c r="N14112"/>
      <c r="O14112"/>
      <c r="P14112"/>
      <c r="Q14112"/>
      <c r="R14112"/>
      <c r="S14112"/>
    </row>
    <row r="14113" spans="13:19" ht="13.95" customHeight="1">
      <c r="M14113"/>
      <c r="N14113"/>
      <c r="O14113"/>
      <c r="P14113"/>
      <c r="Q14113"/>
      <c r="R14113"/>
      <c r="S14113"/>
    </row>
    <row r="14114" spans="13:19" ht="13.95" customHeight="1">
      <c r="M14114"/>
      <c r="N14114"/>
      <c r="O14114"/>
      <c r="P14114"/>
      <c r="Q14114"/>
      <c r="R14114"/>
      <c r="S14114"/>
    </row>
    <row r="14115" spans="13:19" ht="13.95" customHeight="1">
      <c r="M14115"/>
      <c r="N14115"/>
      <c r="O14115"/>
      <c r="P14115"/>
      <c r="Q14115"/>
      <c r="R14115"/>
      <c r="S14115"/>
    </row>
    <row r="14116" spans="13:19" ht="13.95" customHeight="1">
      <c r="M14116"/>
      <c r="N14116"/>
      <c r="O14116"/>
      <c r="P14116"/>
      <c r="Q14116"/>
      <c r="R14116"/>
      <c r="S14116"/>
    </row>
    <row r="14117" spans="13:19" ht="13.95" customHeight="1">
      <c r="M14117"/>
      <c r="N14117"/>
      <c r="O14117"/>
      <c r="P14117"/>
      <c r="Q14117"/>
      <c r="R14117"/>
      <c r="S14117"/>
    </row>
    <row r="14118" spans="13:19" ht="13.95" customHeight="1">
      <c r="M14118"/>
      <c r="N14118"/>
      <c r="O14118"/>
      <c r="P14118"/>
      <c r="Q14118"/>
      <c r="R14118"/>
      <c r="S14118"/>
    </row>
    <row r="14119" spans="13:19" ht="13.95" customHeight="1">
      <c r="M14119"/>
      <c r="N14119"/>
      <c r="O14119"/>
      <c r="P14119"/>
      <c r="Q14119"/>
      <c r="R14119"/>
      <c r="S14119"/>
    </row>
    <row r="14120" spans="13:19" ht="13.95" customHeight="1">
      <c r="M14120"/>
      <c r="N14120"/>
      <c r="O14120"/>
      <c r="P14120"/>
      <c r="Q14120"/>
      <c r="R14120"/>
      <c r="S14120"/>
    </row>
    <row r="14121" spans="13:19" ht="13.95" customHeight="1">
      <c r="M14121"/>
      <c r="N14121"/>
      <c r="O14121"/>
      <c r="P14121"/>
      <c r="Q14121"/>
      <c r="R14121"/>
      <c r="S14121"/>
    </row>
    <row r="14122" spans="13:19" ht="13.95" customHeight="1">
      <c r="M14122"/>
      <c r="N14122"/>
      <c r="O14122"/>
      <c r="P14122"/>
      <c r="Q14122"/>
      <c r="R14122"/>
      <c r="S14122"/>
    </row>
    <row r="14123" spans="13:19" ht="13.95" customHeight="1">
      <c r="M14123"/>
      <c r="N14123"/>
      <c r="O14123"/>
      <c r="P14123"/>
      <c r="Q14123"/>
      <c r="R14123"/>
      <c r="S14123"/>
    </row>
    <row r="14124" spans="13:19" ht="13.95" customHeight="1">
      <c r="M14124"/>
      <c r="N14124"/>
      <c r="O14124"/>
      <c r="P14124"/>
      <c r="Q14124"/>
      <c r="R14124"/>
      <c r="S14124"/>
    </row>
    <row r="14125" spans="13:19" ht="13.95" customHeight="1">
      <c r="M14125"/>
      <c r="N14125"/>
      <c r="O14125"/>
      <c r="P14125"/>
      <c r="Q14125"/>
      <c r="R14125"/>
      <c r="S14125"/>
    </row>
    <row r="14126" spans="13:19" ht="13.95" customHeight="1">
      <c r="M14126"/>
      <c r="N14126"/>
      <c r="O14126"/>
      <c r="P14126"/>
      <c r="Q14126"/>
      <c r="R14126"/>
      <c r="S14126"/>
    </row>
    <row r="14127" spans="13:19" ht="13.95" customHeight="1">
      <c r="M14127"/>
      <c r="N14127"/>
      <c r="O14127"/>
      <c r="P14127"/>
      <c r="Q14127"/>
      <c r="R14127"/>
      <c r="S14127"/>
    </row>
    <row r="14128" spans="13:19" ht="13.95" customHeight="1">
      <c r="M14128"/>
      <c r="N14128"/>
      <c r="O14128"/>
      <c r="P14128"/>
      <c r="Q14128"/>
      <c r="R14128"/>
      <c r="S14128"/>
    </row>
    <row r="14129" spans="13:19" ht="13.95" customHeight="1">
      <c r="M14129"/>
      <c r="N14129"/>
      <c r="O14129"/>
      <c r="P14129"/>
      <c r="Q14129"/>
      <c r="R14129"/>
      <c r="S14129"/>
    </row>
    <row r="14130" spans="13:19" ht="13.95" customHeight="1">
      <c r="M14130"/>
      <c r="N14130"/>
      <c r="O14130"/>
      <c r="P14130"/>
      <c r="Q14130"/>
      <c r="R14130"/>
      <c r="S14130"/>
    </row>
    <row r="14131" spans="13:19" ht="13.95" customHeight="1">
      <c r="M14131"/>
      <c r="N14131"/>
      <c r="O14131"/>
      <c r="P14131"/>
      <c r="Q14131"/>
      <c r="R14131"/>
      <c r="S14131"/>
    </row>
    <row r="14132" spans="13:19" ht="13.95" customHeight="1">
      <c r="M14132"/>
      <c r="N14132"/>
      <c r="O14132"/>
      <c r="P14132"/>
      <c r="Q14132"/>
      <c r="R14132"/>
      <c r="S14132"/>
    </row>
    <row r="14133" spans="13:19" ht="13.95" customHeight="1">
      <c r="M14133"/>
      <c r="N14133"/>
      <c r="O14133"/>
      <c r="P14133"/>
      <c r="Q14133"/>
      <c r="R14133"/>
      <c r="S14133"/>
    </row>
    <row r="14134" spans="13:19" ht="13.95" customHeight="1">
      <c r="M14134"/>
      <c r="N14134"/>
      <c r="O14134"/>
      <c r="P14134"/>
      <c r="Q14134"/>
      <c r="R14134"/>
      <c r="S14134"/>
    </row>
    <row r="14135" spans="13:19" ht="13.95" customHeight="1">
      <c r="M14135"/>
      <c r="N14135"/>
      <c r="O14135"/>
      <c r="P14135"/>
      <c r="Q14135"/>
      <c r="R14135"/>
      <c r="S14135"/>
    </row>
    <row r="14136" spans="13:19" ht="13.95" customHeight="1">
      <c r="M14136"/>
      <c r="N14136"/>
      <c r="O14136"/>
      <c r="P14136"/>
      <c r="Q14136"/>
      <c r="R14136"/>
      <c r="S14136"/>
    </row>
    <row r="14137" spans="13:19" ht="13.95" customHeight="1">
      <c r="M14137"/>
      <c r="N14137"/>
      <c r="O14137"/>
      <c r="P14137"/>
      <c r="Q14137"/>
      <c r="R14137"/>
      <c r="S14137"/>
    </row>
    <row r="14138" spans="13:19" ht="13.95" customHeight="1">
      <c r="M14138"/>
      <c r="N14138"/>
      <c r="O14138"/>
      <c r="P14138"/>
      <c r="Q14138"/>
      <c r="R14138"/>
      <c r="S14138"/>
    </row>
    <row r="14139" spans="13:19" ht="13.95" customHeight="1">
      <c r="M14139"/>
      <c r="N14139"/>
      <c r="O14139"/>
      <c r="P14139"/>
      <c r="Q14139"/>
      <c r="R14139"/>
      <c r="S14139"/>
    </row>
    <row r="14140" spans="13:19" ht="13.95" customHeight="1">
      <c r="M14140"/>
      <c r="N14140"/>
      <c r="O14140"/>
      <c r="P14140"/>
      <c r="Q14140"/>
      <c r="R14140"/>
      <c r="S14140"/>
    </row>
    <row r="14141" spans="13:19" ht="13.95" customHeight="1">
      <c r="M14141"/>
      <c r="N14141"/>
      <c r="O14141"/>
      <c r="P14141"/>
      <c r="Q14141"/>
      <c r="R14141"/>
      <c r="S14141"/>
    </row>
    <row r="14142" spans="13:19" ht="13.95" customHeight="1">
      <c r="M14142"/>
      <c r="N14142"/>
      <c r="O14142"/>
      <c r="P14142"/>
      <c r="Q14142"/>
      <c r="R14142"/>
      <c r="S14142"/>
    </row>
    <row r="14143" spans="13:19" ht="13.95" customHeight="1">
      <c r="M14143"/>
      <c r="N14143"/>
      <c r="O14143"/>
      <c r="P14143"/>
      <c r="Q14143"/>
      <c r="R14143"/>
      <c r="S14143"/>
    </row>
    <row r="14144" spans="13:19" ht="13.95" customHeight="1">
      <c r="M14144"/>
      <c r="N14144"/>
      <c r="O14144"/>
      <c r="P14144"/>
      <c r="Q14144"/>
      <c r="R14144"/>
      <c r="S14144"/>
    </row>
    <row r="14145" spans="13:19" ht="13.95" customHeight="1">
      <c r="M14145"/>
      <c r="N14145"/>
      <c r="O14145"/>
      <c r="P14145"/>
      <c r="Q14145"/>
      <c r="R14145"/>
      <c r="S14145"/>
    </row>
    <row r="14146" spans="13:19" ht="13.95" customHeight="1">
      <c r="M14146"/>
      <c r="N14146"/>
      <c r="O14146"/>
      <c r="P14146"/>
      <c r="Q14146"/>
      <c r="R14146"/>
      <c r="S14146"/>
    </row>
    <row r="14147" spans="13:19" ht="13.95" customHeight="1">
      <c r="M14147"/>
      <c r="N14147"/>
      <c r="O14147"/>
      <c r="P14147"/>
      <c r="Q14147"/>
      <c r="R14147"/>
      <c r="S14147"/>
    </row>
    <row r="14148" spans="13:19" ht="13.95" customHeight="1">
      <c r="M14148"/>
      <c r="N14148"/>
      <c r="O14148"/>
      <c r="P14148"/>
      <c r="Q14148"/>
      <c r="R14148"/>
      <c r="S14148"/>
    </row>
    <row r="14149" spans="13:19" ht="13.95" customHeight="1">
      <c r="M14149"/>
      <c r="N14149"/>
      <c r="O14149"/>
      <c r="P14149"/>
      <c r="Q14149"/>
      <c r="R14149"/>
      <c r="S14149"/>
    </row>
    <row r="14150" spans="13:19" ht="13.95" customHeight="1">
      <c r="M14150"/>
      <c r="N14150"/>
      <c r="O14150"/>
      <c r="P14150"/>
      <c r="Q14150"/>
      <c r="R14150"/>
      <c r="S14150"/>
    </row>
    <row r="14151" spans="13:19" ht="13.95" customHeight="1">
      <c r="M14151"/>
      <c r="N14151"/>
      <c r="O14151"/>
      <c r="P14151"/>
      <c r="Q14151"/>
      <c r="R14151"/>
      <c r="S14151"/>
    </row>
    <row r="14152" spans="13:19" ht="13.95" customHeight="1">
      <c r="M14152"/>
      <c r="N14152"/>
      <c r="O14152"/>
      <c r="P14152"/>
      <c r="Q14152"/>
      <c r="R14152"/>
      <c r="S14152"/>
    </row>
    <row r="14153" spans="13:19" ht="13.95" customHeight="1">
      <c r="M14153"/>
      <c r="N14153"/>
      <c r="O14153"/>
      <c r="P14153"/>
      <c r="Q14153"/>
      <c r="R14153"/>
      <c r="S14153"/>
    </row>
    <row r="14154" spans="13:19" ht="13.95" customHeight="1">
      <c r="M14154"/>
      <c r="N14154"/>
      <c r="O14154"/>
      <c r="P14154"/>
      <c r="Q14154"/>
      <c r="R14154"/>
      <c r="S14154"/>
    </row>
    <row r="14155" spans="13:19" ht="13.95" customHeight="1">
      <c r="M14155"/>
      <c r="N14155"/>
      <c r="O14155"/>
      <c r="P14155"/>
      <c r="Q14155"/>
      <c r="R14155"/>
      <c r="S14155"/>
    </row>
    <row r="14156" spans="13:19" ht="13.95" customHeight="1">
      <c r="M14156"/>
      <c r="N14156"/>
      <c r="O14156"/>
      <c r="P14156"/>
      <c r="Q14156"/>
      <c r="R14156"/>
      <c r="S14156"/>
    </row>
    <row r="14157" spans="13:19" ht="13.95" customHeight="1">
      <c r="M14157"/>
      <c r="N14157"/>
      <c r="O14157"/>
      <c r="P14157"/>
      <c r="Q14157"/>
      <c r="R14157"/>
      <c r="S14157"/>
    </row>
    <row r="14158" spans="13:19" ht="13.95" customHeight="1">
      <c r="M14158"/>
      <c r="N14158"/>
      <c r="O14158"/>
      <c r="P14158"/>
      <c r="Q14158"/>
      <c r="R14158"/>
      <c r="S14158"/>
    </row>
    <row r="14159" spans="13:19" ht="13.95" customHeight="1">
      <c r="M14159"/>
      <c r="N14159"/>
      <c r="O14159"/>
      <c r="P14159"/>
      <c r="Q14159"/>
      <c r="R14159"/>
      <c r="S14159"/>
    </row>
    <row r="14160" spans="13:19" ht="13.95" customHeight="1">
      <c r="M14160"/>
      <c r="N14160"/>
      <c r="O14160"/>
      <c r="P14160"/>
      <c r="Q14160"/>
      <c r="R14160"/>
      <c r="S14160"/>
    </row>
    <row r="14161" spans="13:19" ht="13.95" customHeight="1">
      <c r="M14161"/>
      <c r="N14161"/>
      <c r="O14161"/>
      <c r="P14161"/>
      <c r="Q14161"/>
      <c r="R14161"/>
      <c r="S14161"/>
    </row>
    <row r="14162" spans="13:19" ht="13.95" customHeight="1">
      <c r="M14162"/>
      <c r="N14162"/>
      <c r="O14162"/>
      <c r="P14162"/>
      <c r="Q14162"/>
      <c r="R14162"/>
      <c r="S14162"/>
    </row>
    <row r="14163" spans="13:19" ht="13.95" customHeight="1">
      <c r="M14163"/>
      <c r="N14163"/>
      <c r="O14163"/>
      <c r="P14163"/>
      <c r="Q14163"/>
      <c r="R14163"/>
      <c r="S14163"/>
    </row>
    <row r="14164" spans="13:19" ht="13.95" customHeight="1">
      <c r="M14164"/>
      <c r="N14164"/>
      <c r="O14164"/>
      <c r="P14164"/>
      <c r="Q14164"/>
      <c r="R14164"/>
      <c r="S14164"/>
    </row>
    <row r="14165" spans="13:19" ht="13.95" customHeight="1">
      <c r="M14165"/>
      <c r="N14165"/>
      <c r="O14165"/>
      <c r="P14165"/>
      <c r="Q14165"/>
      <c r="R14165"/>
      <c r="S14165"/>
    </row>
    <row r="14166" spans="13:19" ht="13.95" customHeight="1">
      <c r="M14166"/>
      <c r="N14166"/>
      <c r="O14166"/>
      <c r="P14166"/>
      <c r="Q14166"/>
      <c r="R14166"/>
      <c r="S14166"/>
    </row>
    <row r="14167" spans="13:19" ht="13.95" customHeight="1">
      <c r="M14167"/>
      <c r="N14167"/>
      <c r="O14167"/>
      <c r="P14167"/>
      <c r="Q14167"/>
      <c r="R14167"/>
      <c r="S14167"/>
    </row>
    <row r="14168" spans="13:19" ht="13.95" customHeight="1">
      <c r="M14168"/>
      <c r="N14168"/>
      <c r="O14168"/>
      <c r="P14168"/>
      <c r="Q14168"/>
      <c r="R14168"/>
      <c r="S14168"/>
    </row>
    <row r="14169" spans="13:19" ht="13.95" customHeight="1">
      <c r="M14169"/>
      <c r="N14169"/>
      <c r="O14169"/>
      <c r="P14169"/>
      <c r="Q14169"/>
      <c r="R14169"/>
      <c r="S14169"/>
    </row>
    <row r="14170" spans="13:19" ht="13.95" customHeight="1">
      <c r="M14170"/>
      <c r="N14170"/>
      <c r="O14170"/>
      <c r="P14170"/>
      <c r="Q14170"/>
      <c r="R14170"/>
      <c r="S14170"/>
    </row>
    <row r="14171" spans="13:19" ht="13.95" customHeight="1">
      <c r="M14171"/>
      <c r="N14171"/>
      <c r="O14171"/>
      <c r="P14171"/>
      <c r="Q14171"/>
      <c r="R14171"/>
      <c r="S14171"/>
    </row>
    <row r="14172" spans="13:19" ht="13.95" customHeight="1">
      <c r="M14172"/>
      <c r="N14172"/>
      <c r="O14172"/>
      <c r="P14172"/>
      <c r="Q14172"/>
      <c r="R14172"/>
      <c r="S14172"/>
    </row>
    <row r="14173" spans="13:19" ht="13.95" customHeight="1">
      <c r="M14173"/>
      <c r="N14173"/>
      <c r="O14173"/>
      <c r="P14173"/>
      <c r="Q14173"/>
      <c r="R14173"/>
      <c r="S14173"/>
    </row>
    <row r="14174" spans="13:19" ht="13.95" customHeight="1">
      <c r="M14174"/>
      <c r="N14174"/>
      <c r="O14174"/>
      <c r="P14174"/>
      <c r="Q14174"/>
      <c r="R14174"/>
      <c r="S14174"/>
    </row>
    <row r="14175" spans="13:19" ht="13.95" customHeight="1">
      <c r="M14175"/>
      <c r="N14175"/>
      <c r="O14175"/>
      <c r="P14175"/>
      <c r="Q14175"/>
      <c r="R14175"/>
      <c r="S14175"/>
    </row>
    <row r="14176" spans="13:19" ht="13.95" customHeight="1">
      <c r="M14176"/>
      <c r="N14176"/>
      <c r="O14176"/>
      <c r="P14176"/>
      <c r="Q14176"/>
      <c r="R14176"/>
      <c r="S14176"/>
    </row>
    <row r="14177" spans="13:19" ht="13.95" customHeight="1">
      <c r="M14177"/>
      <c r="N14177"/>
      <c r="O14177"/>
      <c r="P14177"/>
      <c r="Q14177"/>
      <c r="R14177"/>
      <c r="S14177"/>
    </row>
    <row r="14178" spans="13:19" ht="13.95" customHeight="1">
      <c r="M14178"/>
      <c r="N14178"/>
      <c r="O14178"/>
      <c r="P14178"/>
      <c r="Q14178"/>
      <c r="R14178"/>
      <c r="S14178"/>
    </row>
    <row r="14179" spans="13:19" ht="13.95" customHeight="1">
      <c r="M14179"/>
      <c r="N14179"/>
      <c r="O14179"/>
      <c r="P14179"/>
      <c r="Q14179"/>
      <c r="R14179"/>
      <c r="S14179"/>
    </row>
    <row r="14180" spans="13:19" ht="13.95" customHeight="1">
      <c r="M14180"/>
      <c r="N14180"/>
      <c r="O14180"/>
      <c r="P14180"/>
      <c r="Q14180"/>
      <c r="R14180"/>
      <c r="S14180"/>
    </row>
    <row r="14181" spans="13:19" ht="13.95" customHeight="1">
      <c r="M14181"/>
      <c r="N14181"/>
      <c r="O14181"/>
      <c r="P14181"/>
      <c r="Q14181"/>
      <c r="R14181"/>
      <c r="S14181"/>
    </row>
    <row r="14182" spans="13:19" ht="13.95" customHeight="1">
      <c r="M14182"/>
      <c r="N14182"/>
      <c r="O14182"/>
      <c r="P14182"/>
      <c r="Q14182"/>
      <c r="R14182"/>
      <c r="S14182"/>
    </row>
    <row r="14183" spans="13:19" ht="13.95" customHeight="1">
      <c r="M14183"/>
      <c r="N14183"/>
      <c r="O14183"/>
      <c r="P14183"/>
      <c r="Q14183"/>
      <c r="R14183"/>
      <c r="S14183"/>
    </row>
    <row r="14184" spans="13:19" ht="13.95" customHeight="1">
      <c r="M14184"/>
      <c r="N14184"/>
      <c r="O14184"/>
      <c r="P14184"/>
      <c r="Q14184"/>
      <c r="R14184"/>
      <c r="S14184"/>
    </row>
    <row r="14185" spans="13:19" ht="13.95" customHeight="1">
      <c r="M14185"/>
      <c r="N14185"/>
      <c r="O14185"/>
      <c r="P14185"/>
      <c r="Q14185"/>
      <c r="R14185"/>
      <c r="S14185"/>
    </row>
    <row r="14186" spans="13:19" ht="13.95" customHeight="1">
      <c r="M14186"/>
      <c r="N14186"/>
      <c r="O14186"/>
      <c r="P14186"/>
      <c r="Q14186"/>
      <c r="R14186"/>
      <c r="S14186"/>
    </row>
    <row r="14187" spans="13:19" ht="13.95" customHeight="1">
      <c r="M14187"/>
      <c r="N14187"/>
      <c r="O14187"/>
      <c r="P14187"/>
      <c r="Q14187"/>
      <c r="R14187"/>
      <c r="S14187"/>
    </row>
    <row r="14188" spans="13:19" ht="13.95" customHeight="1">
      <c r="M14188"/>
      <c r="N14188"/>
      <c r="O14188"/>
      <c r="P14188"/>
      <c r="Q14188"/>
      <c r="R14188"/>
      <c r="S14188"/>
    </row>
    <row r="14189" spans="13:19" ht="13.95" customHeight="1">
      <c r="M14189"/>
      <c r="N14189"/>
      <c r="O14189"/>
      <c r="P14189"/>
      <c r="Q14189"/>
      <c r="R14189"/>
      <c r="S14189"/>
    </row>
    <row r="14190" spans="13:19" ht="13.95" customHeight="1">
      <c r="M14190"/>
      <c r="N14190"/>
      <c r="O14190"/>
      <c r="P14190"/>
      <c r="Q14190"/>
      <c r="R14190"/>
      <c r="S14190"/>
    </row>
    <row r="14191" spans="13:19" ht="13.95" customHeight="1">
      <c r="M14191"/>
      <c r="N14191"/>
      <c r="O14191"/>
      <c r="P14191"/>
      <c r="Q14191"/>
      <c r="R14191"/>
      <c r="S14191"/>
    </row>
    <row r="14192" spans="13:19" ht="13.95" customHeight="1">
      <c r="M14192"/>
      <c r="N14192"/>
      <c r="O14192"/>
      <c r="P14192"/>
      <c r="Q14192"/>
      <c r="R14192"/>
      <c r="S14192"/>
    </row>
    <row r="14193" spans="13:19" ht="13.95" customHeight="1">
      <c r="M14193"/>
      <c r="N14193"/>
      <c r="O14193"/>
      <c r="P14193"/>
      <c r="Q14193"/>
      <c r="R14193"/>
      <c r="S14193"/>
    </row>
    <row r="14194" spans="13:19" ht="13.95" customHeight="1">
      <c r="M14194"/>
      <c r="N14194"/>
      <c r="O14194"/>
      <c r="P14194"/>
      <c r="Q14194"/>
      <c r="R14194"/>
      <c r="S14194"/>
    </row>
    <row r="14195" spans="13:19" ht="13.95" customHeight="1">
      <c r="M14195"/>
      <c r="N14195"/>
      <c r="O14195"/>
      <c r="P14195"/>
      <c r="Q14195"/>
      <c r="R14195"/>
      <c r="S14195"/>
    </row>
    <row r="14196" spans="13:19" ht="13.95" customHeight="1">
      <c r="M14196"/>
      <c r="N14196"/>
      <c r="O14196"/>
      <c r="P14196"/>
      <c r="Q14196"/>
      <c r="R14196"/>
      <c r="S14196"/>
    </row>
    <row r="14197" spans="13:19" ht="13.95" customHeight="1">
      <c r="M14197"/>
      <c r="N14197"/>
      <c r="O14197"/>
      <c r="P14197"/>
      <c r="Q14197"/>
      <c r="R14197"/>
      <c r="S14197"/>
    </row>
    <row r="14198" spans="13:19" ht="13.95" customHeight="1">
      <c r="M14198"/>
      <c r="N14198"/>
      <c r="O14198"/>
      <c r="P14198"/>
      <c r="Q14198"/>
      <c r="R14198"/>
      <c r="S14198"/>
    </row>
    <row r="14199" spans="13:19" ht="13.95" customHeight="1">
      <c r="M14199"/>
      <c r="N14199"/>
      <c r="O14199"/>
      <c r="P14199"/>
      <c r="Q14199"/>
      <c r="R14199"/>
      <c r="S14199"/>
    </row>
    <row r="14200" spans="13:19" ht="13.95" customHeight="1">
      <c r="M14200"/>
      <c r="N14200"/>
      <c r="O14200"/>
      <c r="P14200"/>
      <c r="Q14200"/>
      <c r="R14200"/>
      <c r="S14200"/>
    </row>
    <row r="14201" spans="13:19" ht="13.95" customHeight="1">
      <c r="M14201"/>
      <c r="N14201"/>
      <c r="O14201"/>
      <c r="P14201"/>
      <c r="Q14201"/>
      <c r="R14201"/>
      <c r="S14201"/>
    </row>
    <row r="14202" spans="13:19" ht="13.95" customHeight="1">
      <c r="M14202"/>
      <c r="N14202"/>
      <c r="O14202"/>
      <c r="P14202"/>
      <c r="Q14202"/>
      <c r="R14202"/>
      <c r="S14202"/>
    </row>
    <row r="14203" spans="13:19" ht="13.95" customHeight="1">
      <c r="M14203"/>
      <c r="N14203"/>
      <c r="O14203"/>
      <c r="P14203"/>
      <c r="Q14203"/>
      <c r="R14203"/>
      <c r="S14203"/>
    </row>
    <row r="14204" spans="13:19" ht="13.95" customHeight="1">
      <c r="M14204"/>
      <c r="N14204"/>
      <c r="O14204"/>
      <c r="P14204"/>
      <c r="Q14204"/>
      <c r="R14204"/>
      <c r="S14204"/>
    </row>
    <row r="14205" spans="13:19" ht="13.95" customHeight="1">
      <c r="M14205"/>
      <c r="N14205"/>
      <c r="O14205"/>
      <c r="P14205"/>
      <c r="Q14205"/>
      <c r="R14205"/>
      <c r="S14205"/>
    </row>
    <row r="14206" spans="13:19" ht="13.95" customHeight="1">
      <c r="M14206"/>
      <c r="N14206"/>
      <c r="O14206"/>
      <c r="P14206"/>
      <c r="Q14206"/>
      <c r="R14206"/>
      <c r="S14206"/>
    </row>
    <row r="14207" spans="13:19" ht="13.95" customHeight="1">
      <c r="M14207"/>
      <c r="N14207"/>
      <c r="O14207"/>
      <c r="P14207"/>
      <c r="Q14207"/>
      <c r="R14207"/>
      <c r="S14207"/>
    </row>
    <row r="14208" spans="13:19" ht="13.95" customHeight="1">
      <c r="M14208"/>
      <c r="N14208"/>
      <c r="O14208"/>
      <c r="P14208"/>
      <c r="Q14208"/>
      <c r="R14208"/>
      <c r="S14208"/>
    </row>
    <row r="14209" spans="13:19" ht="13.95" customHeight="1">
      <c r="M14209"/>
      <c r="N14209"/>
      <c r="O14209"/>
      <c r="P14209"/>
      <c r="Q14209"/>
      <c r="R14209"/>
      <c r="S14209"/>
    </row>
    <row r="14210" spans="13:19" ht="13.95" customHeight="1">
      <c r="M14210"/>
      <c r="N14210"/>
      <c r="O14210"/>
      <c r="P14210"/>
      <c r="Q14210"/>
      <c r="R14210"/>
      <c r="S14210"/>
    </row>
    <row r="14211" spans="13:19" ht="13.95" customHeight="1">
      <c r="M14211"/>
      <c r="N14211"/>
      <c r="O14211"/>
      <c r="P14211"/>
      <c r="Q14211"/>
      <c r="R14211"/>
      <c r="S14211"/>
    </row>
    <row r="14212" spans="13:19" ht="13.95" customHeight="1">
      <c r="M14212"/>
      <c r="N14212"/>
      <c r="O14212"/>
      <c r="P14212"/>
      <c r="Q14212"/>
      <c r="R14212"/>
      <c r="S14212"/>
    </row>
    <row r="14213" spans="13:19" ht="13.95" customHeight="1">
      <c r="M14213"/>
      <c r="N14213"/>
      <c r="O14213"/>
      <c r="P14213"/>
      <c r="Q14213"/>
      <c r="R14213"/>
      <c r="S14213"/>
    </row>
    <row r="14214" spans="13:19" ht="13.95" customHeight="1">
      <c r="M14214"/>
      <c r="N14214"/>
      <c r="O14214"/>
      <c r="P14214"/>
      <c r="Q14214"/>
      <c r="R14214"/>
      <c r="S14214"/>
    </row>
    <row r="14215" spans="13:19" ht="13.95" customHeight="1">
      <c r="M14215"/>
      <c r="N14215"/>
      <c r="O14215"/>
      <c r="P14215"/>
      <c r="Q14215"/>
      <c r="R14215"/>
      <c r="S14215"/>
    </row>
    <row r="14216" spans="13:19" ht="13.95" customHeight="1">
      <c r="M14216"/>
      <c r="N14216"/>
      <c r="O14216"/>
      <c r="P14216"/>
      <c r="Q14216"/>
      <c r="R14216"/>
      <c r="S14216"/>
    </row>
    <row r="14217" spans="13:19" ht="13.95" customHeight="1">
      <c r="M14217"/>
      <c r="N14217"/>
      <c r="O14217"/>
      <c r="P14217"/>
      <c r="Q14217"/>
      <c r="R14217"/>
      <c r="S14217"/>
    </row>
    <row r="14218" spans="13:19" ht="13.95" customHeight="1">
      <c r="M14218"/>
      <c r="N14218"/>
      <c r="O14218"/>
      <c r="P14218"/>
      <c r="Q14218"/>
      <c r="R14218"/>
      <c r="S14218"/>
    </row>
    <row r="14219" spans="13:19" ht="13.95" customHeight="1">
      <c r="M14219"/>
      <c r="N14219"/>
      <c r="O14219"/>
      <c r="P14219"/>
      <c r="Q14219"/>
      <c r="R14219"/>
      <c r="S14219"/>
    </row>
    <row r="14220" spans="13:19" ht="13.95" customHeight="1">
      <c r="M14220"/>
      <c r="N14220"/>
      <c r="O14220"/>
      <c r="P14220"/>
      <c r="Q14220"/>
      <c r="R14220"/>
      <c r="S14220"/>
    </row>
    <row r="14221" spans="13:19" ht="13.95" customHeight="1">
      <c r="M14221"/>
      <c r="N14221"/>
      <c r="O14221"/>
      <c r="P14221"/>
      <c r="Q14221"/>
      <c r="R14221"/>
      <c r="S14221"/>
    </row>
    <row r="14222" spans="13:19" ht="13.95" customHeight="1">
      <c r="M14222"/>
      <c r="N14222"/>
      <c r="O14222"/>
      <c r="P14222"/>
      <c r="Q14222"/>
      <c r="R14222"/>
      <c r="S14222"/>
    </row>
    <row r="14223" spans="13:19" ht="13.95" customHeight="1">
      <c r="M14223"/>
      <c r="N14223"/>
      <c r="O14223"/>
      <c r="P14223"/>
      <c r="Q14223"/>
      <c r="R14223"/>
      <c r="S14223"/>
    </row>
    <row r="14224" spans="13:19" ht="13.95" customHeight="1">
      <c r="M14224"/>
      <c r="N14224"/>
      <c r="O14224"/>
      <c r="P14224"/>
      <c r="Q14224"/>
      <c r="R14224"/>
      <c r="S14224"/>
    </row>
    <row r="14225" spans="13:19" ht="13.95" customHeight="1">
      <c r="M14225"/>
      <c r="N14225"/>
      <c r="O14225"/>
      <c r="P14225"/>
      <c r="Q14225"/>
      <c r="R14225"/>
      <c r="S14225"/>
    </row>
    <row r="14226" spans="13:19" ht="13.95" customHeight="1">
      <c r="M14226"/>
      <c r="N14226"/>
      <c r="O14226"/>
      <c r="P14226"/>
      <c r="Q14226"/>
      <c r="R14226"/>
      <c r="S14226"/>
    </row>
    <row r="14227" spans="13:19" ht="13.95" customHeight="1">
      <c r="M14227"/>
      <c r="N14227"/>
      <c r="O14227"/>
      <c r="P14227"/>
      <c r="Q14227"/>
      <c r="R14227"/>
      <c r="S14227"/>
    </row>
    <row r="14228" spans="13:19" ht="13.95" customHeight="1">
      <c r="M14228"/>
      <c r="N14228"/>
      <c r="O14228"/>
      <c r="P14228"/>
      <c r="Q14228"/>
      <c r="R14228"/>
      <c r="S14228"/>
    </row>
    <row r="14229" spans="13:19" ht="13.95" customHeight="1">
      <c r="M14229"/>
      <c r="N14229"/>
      <c r="O14229"/>
      <c r="P14229"/>
      <c r="Q14229"/>
      <c r="R14229"/>
      <c r="S14229"/>
    </row>
    <row r="14230" spans="13:19" ht="13.95" customHeight="1">
      <c r="M14230"/>
      <c r="N14230"/>
      <c r="O14230"/>
      <c r="P14230"/>
      <c r="Q14230"/>
      <c r="R14230"/>
      <c r="S14230"/>
    </row>
    <row r="14231" spans="13:19" ht="13.95" customHeight="1">
      <c r="M14231"/>
      <c r="N14231"/>
      <c r="O14231"/>
      <c r="P14231"/>
      <c r="Q14231"/>
      <c r="R14231"/>
      <c r="S14231"/>
    </row>
    <row r="14232" spans="13:19" ht="13.95" customHeight="1">
      <c r="M14232"/>
      <c r="N14232"/>
      <c r="O14232"/>
      <c r="P14232"/>
      <c r="Q14232"/>
      <c r="R14232"/>
      <c r="S14232"/>
    </row>
    <row r="14233" spans="13:19" ht="13.95" customHeight="1">
      <c r="M14233"/>
      <c r="N14233"/>
      <c r="O14233"/>
      <c r="P14233"/>
      <c r="Q14233"/>
      <c r="R14233"/>
      <c r="S14233"/>
    </row>
    <row r="14234" spans="13:19" ht="13.95" customHeight="1">
      <c r="M14234"/>
      <c r="N14234"/>
      <c r="O14234"/>
      <c r="P14234"/>
      <c r="Q14234"/>
      <c r="R14234"/>
      <c r="S14234"/>
    </row>
    <row r="14235" spans="13:19" ht="13.95" customHeight="1">
      <c r="M14235"/>
      <c r="N14235"/>
      <c r="O14235"/>
      <c r="P14235"/>
      <c r="Q14235"/>
      <c r="R14235"/>
      <c r="S14235"/>
    </row>
    <row r="14236" spans="13:19" ht="13.95" customHeight="1">
      <c r="M14236"/>
      <c r="N14236"/>
      <c r="O14236"/>
      <c r="P14236"/>
      <c r="Q14236"/>
      <c r="R14236"/>
      <c r="S14236"/>
    </row>
    <row r="14237" spans="13:19" ht="13.95" customHeight="1">
      <c r="M14237"/>
      <c r="N14237"/>
      <c r="O14237"/>
      <c r="P14237"/>
      <c r="Q14237"/>
      <c r="R14237"/>
      <c r="S14237"/>
    </row>
    <row r="14238" spans="13:19" ht="13.95" customHeight="1">
      <c r="M14238"/>
      <c r="N14238"/>
      <c r="O14238"/>
      <c r="P14238"/>
      <c r="Q14238"/>
      <c r="R14238"/>
      <c r="S14238"/>
    </row>
    <row r="14239" spans="13:19" ht="13.95" customHeight="1">
      <c r="M14239"/>
      <c r="N14239"/>
      <c r="O14239"/>
      <c r="P14239"/>
      <c r="Q14239"/>
      <c r="R14239"/>
      <c r="S14239"/>
    </row>
    <row r="14240" spans="13:19" ht="13.95" customHeight="1">
      <c r="M14240"/>
      <c r="N14240"/>
      <c r="O14240"/>
      <c r="P14240"/>
      <c r="Q14240"/>
      <c r="R14240"/>
      <c r="S14240"/>
    </row>
    <row r="14241" spans="13:19" ht="13.95" customHeight="1">
      <c r="M14241"/>
      <c r="N14241"/>
      <c r="O14241"/>
      <c r="P14241"/>
      <c r="Q14241"/>
      <c r="R14241"/>
      <c r="S14241"/>
    </row>
    <row r="14242" spans="13:19" ht="13.95" customHeight="1">
      <c r="M14242"/>
      <c r="N14242"/>
      <c r="O14242"/>
      <c r="P14242"/>
      <c r="Q14242"/>
      <c r="R14242"/>
      <c r="S14242"/>
    </row>
    <row r="14243" spans="13:19" ht="13.95" customHeight="1">
      <c r="M14243"/>
      <c r="N14243"/>
      <c r="O14243"/>
      <c r="P14243"/>
      <c r="Q14243"/>
      <c r="R14243"/>
      <c r="S14243"/>
    </row>
    <row r="14244" spans="13:19" ht="13.95" customHeight="1">
      <c r="M14244"/>
      <c r="N14244"/>
      <c r="O14244"/>
      <c r="P14244"/>
      <c r="Q14244"/>
      <c r="R14244"/>
      <c r="S14244"/>
    </row>
    <row r="14245" spans="13:19" ht="13.95" customHeight="1">
      <c r="M14245"/>
      <c r="N14245"/>
      <c r="O14245"/>
      <c r="P14245"/>
      <c r="Q14245"/>
      <c r="R14245"/>
      <c r="S14245"/>
    </row>
    <row r="14246" spans="13:19" ht="13.95" customHeight="1">
      <c r="M14246"/>
      <c r="N14246"/>
      <c r="O14246"/>
      <c r="P14246"/>
      <c r="Q14246"/>
      <c r="R14246"/>
      <c r="S14246"/>
    </row>
    <row r="14247" spans="13:19" ht="13.95" customHeight="1">
      <c r="M14247"/>
      <c r="N14247"/>
      <c r="O14247"/>
      <c r="P14247"/>
      <c r="Q14247"/>
      <c r="R14247"/>
      <c r="S14247"/>
    </row>
    <row r="14248" spans="13:19" ht="13.95" customHeight="1">
      <c r="M14248"/>
      <c r="N14248"/>
      <c r="O14248"/>
      <c r="P14248"/>
      <c r="Q14248"/>
      <c r="R14248"/>
      <c r="S14248"/>
    </row>
    <row r="14249" spans="13:19" ht="13.95" customHeight="1">
      <c r="M14249"/>
      <c r="N14249"/>
      <c r="O14249"/>
      <c r="P14249"/>
      <c r="Q14249"/>
      <c r="R14249"/>
      <c r="S14249"/>
    </row>
    <row r="14250" spans="13:19" ht="13.95" customHeight="1">
      <c r="M14250"/>
      <c r="N14250"/>
      <c r="O14250"/>
      <c r="P14250"/>
      <c r="Q14250"/>
      <c r="R14250"/>
      <c r="S14250"/>
    </row>
    <row r="14251" spans="13:19" ht="13.95" customHeight="1">
      <c r="M14251"/>
      <c r="N14251"/>
      <c r="O14251"/>
      <c r="P14251"/>
      <c r="Q14251"/>
      <c r="R14251"/>
      <c r="S14251"/>
    </row>
    <row r="14252" spans="13:19" ht="13.95" customHeight="1">
      <c r="M14252"/>
      <c r="N14252"/>
      <c r="O14252"/>
      <c r="P14252"/>
      <c r="Q14252"/>
      <c r="R14252"/>
      <c r="S14252"/>
    </row>
    <row r="14253" spans="13:19" ht="13.95" customHeight="1">
      <c r="M14253"/>
      <c r="N14253"/>
      <c r="O14253"/>
      <c r="P14253"/>
      <c r="Q14253"/>
      <c r="R14253"/>
      <c r="S14253"/>
    </row>
    <row r="14254" spans="13:19" ht="13.95" customHeight="1">
      <c r="M14254"/>
      <c r="N14254"/>
      <c r="O14254"/>
      <c r="P14254"/>
      <c r="Q14254"/>
      <c r="R14254"/>
      <c r="S14254"/>
    </row>
    <row r="14255" spans="13:19" ht="13.95" customHeight="1">
      <c r="M14255"/>
      <c r="N14255"/>
      <c r="O14255"/>
      <c r="P14255"/>
      <c r="Q14255"/>
      <c r="R14255"/>
      <c r="S14255"/>
    </row>
    <row r="14256" spans="13:19" ht="13.95" customHeight="1">
      <c r="M14256"/>
      <c r="N14256"/>
      <c r="O14256"/>
      <c r="P14256"/>
      <c r="Q14256"/>
      <c r="R14256"/>
      <c r="S14256"/>
    </row>
    <row r="14257" spans="13:19" ht="13.95" customHeight="1">
      <c r="M14257"/>
      <c r="N14257"/>
      <c r="O14257"/>
      <c r="P14257"/>
      <c r="Q14257"/>
      <c r="R14257"/>
      <c r="S14257"/>
    </row>
    <row r="14258" spans="13:19" ht="13.95" customHeight="1">
      <c r="M14258"/>
      <c r="N14258"/>
      <c r="O14258"/>
      <c r="P14258"/>
      <c r="Q14258"/>
      <c r="R14258"/>
      <c r="S14258"/>
    </row>
    <row r="14259" spans="13:19" ht="13.95" customHeight="1">
      <c r="M14259"/>
      <c r="N14259"/>
      <c r="O14259"/>
      <c r="P14259"/>
      <c r="Q14259"/>
      <c r="R14259"/>
      <c r="S14259"/>
    </row>
    <row r="14260" spans="13:19" ht="13.95" customHeight="1">
      <c r="M14260"/>
      <c r="N14260"/>
      <c r="O14260"/>
      <c r="P14260"/>
      <c r="Q14260"/>
      <c r="R14260"/>
      <c r="S14260"/>
    </row>
    <row r="14261" spans="13:19" ht="13.95" customHeight="1">
      <c r="M14261"/>
      <c r="N14261"/>
      <c r="O14261"/>
      <c r="P14261"/>
      <c r="Q14261"/>
      <c r="R14261"/>
      <c r="S14261"/>
    </row>
    <row r="14262" spans="13:19" ht="13.95" customHeight="1">
      <c r="M14262"/>
      <c r="N14262"/>
      <c r="O14262"/>
      <c r="P14262"/>
      <c r="Q14262"/>
      <c r="R14262"/>
      <c r="S14262"/>
    </row>
    <row r="14263" spans="13:19" ht="13.95" customHeight="1">
      <c r="M14263"/>
      <c r="N14263"/>
      <c r="O14263"/>
      <c r="P14263"/>
      <c r="Q14263"/>
      <c r="R14263"/>
      <c r="S14263"/>
    </row>
    <row r="14264" spans="13:19" ht="13.95" customHeight="1">
      <c r="M14264"/>
      <c r="N14264"/>
      <c r="O14264"/>
      <c r="P14264"/>
      <c r="Q14264"/>
      <c r="R14264"/>
      <c r="S14264"/>
    </row>
    <row r="14265" spans="13:19" ht="13.95" customHeight="1">
      <c r="M14265"/>
      <c r="N14265"/>
      <c r="O14265"/>
      <c r="P14265"/>
      <c r="Q14265"/>
      <c r="R14265"/>
      <c r="S14265"/>
    </row>
    <row r="14266" spans="13:19" ht="13.95" customHeight="1">
      <c r="M14266"/>
      <c r="N14266"/>
      <c r="O14266"/>
      <c r="P14266"/>
      <c r="Q14266"/>
      <c r="R14266"/>
      <c r="S14266"/>
    </row>
    <row r="14267" spans="13:19" ht="13.95" customHeight="1">
      <c r="M14267"/>
      <c r="N14267"/>
      <c r="O14267"/>
      <c r="P14267"/>
      <c r="Q14267"/>
      <c r="R14267"/>
      <c r="S14267"/>
    </row>
    <row r="14268" spans="13:19" ht="13.95" customHeight="1">
      <c r="M14268"/>
      <c r="N14268"/>
      <c r="O14268"/>
      <c r="P14268"/>
      <c r="Q14268"/>
      <c r="R14268"/>
      <c r="S14268"/>
    </row>
    <row r="14269" spans="13:19" ht="13.95" customHeight="1">
      <c r="M14269"/>
      <c r="N14269"/>
      <c r="O14269"/>
      <c r="P14269"/>
      <c r="Q14269"/>
      <c r="R14269"/>
      <c r="S14269"/>
    </row>
    <row r="14270" spans="13:19" ht="13.95" customHeight="1">
      <c r="M14270"/>
      <c r="N14270"/>
      <c r="O14270"/>
      <c r="P14270"/>
      <c r="Q14270"/>
      <c r="R14270"/>
      <c r="S14270"/>
    </row>
    <row r="14271" spans="13:19" ht="13.95" customHeight="1">
      <c r="M14271"/>
      <c r="N14271"/>
      <c r="O14271"/>
      <c r="P14271"/>
      <c r="Q14271"/>
      <c r="R14271"/>
      <c r="S14271"/>
    </row>
    <row r="14272" spans="13:19" ht="13.95" customHeight="1">
      <c r="M14272"/>
      <c r="N14272"/>
      <c r="O14272"/>
      <c r="P14272"/>
      <c r="Q14272"/>
      <c r="R14272"/>
      <c r="S14272"/>
    </row>
    <row r="14273" spans="13:19" ht="13.95" customHeight="1">
      <c r="M14273"/>
      <c r="N14273"/>
      <c r="O14273"/>
      <c r="P14273"/>
      <c r="Q14273"/>
      <c r="R14273"/>
      <c r="S14273"/>
    </row>
    <row r="14274" spans="13:19" ht="13.95" customHeight="1">
      <c r="M14274"/>
      <c r="N14274"/>
      <c r="O14274"/>
      <c r="P14274"/>
      <c r="Q14274"/>
      <c r="R14274"/>
      <c r="S14274"/>
    </row>
    <row r="14275" spans="13:19" ht="13.95" customHeight="1">
      <c r="M14275"/>
      <c r="N14275"/>
      <c r="O14275"/>
      <c r="P14275"/>
      <c r="Q14275"/>
      <c r="R14275"/>
      <c r="S14275"/>
    </row>
    <row r="14276" spans="13:19" ht="13.95" customHeight="1">
      <c r="M14276"/>
      <c r="N14276"/>
      <c r="O14276"/>
      <c r="P14276"/>
      <c r="Q14276"/>
      <c r="R14276"/>
      <c r="S14276"/>
    </row>
    <row r="14277" spans="13:19" ht="13.95" customHeight="1">
      <c r="M14277"/>
      <c r="N14277"/>
      <c r="O14277"/>
      <c r="P14277"/>
      <c r="Q14277"/>
      <c r="R14277"/>
      <c r="S14277"/>
    </row>
    <row r="14278" spans="13:19" ht="13.95" customHeight="1">
      <c r="M14278"/>
      <c r="N14278"/>
      <c r="O14278"/>
      <c r="P14278"/>
      <c r="Q14278"/>
      <c r="R14278"/>
      <c r="S14278"/>
    </row>
    <row r="14279" spans="13:19" ht="13.95" customHeight="1">
      <c r="M14279"/>
      <c r="N14279"/>
      <c r="O14279"/>
      <c r="P14279"/>
      <c r="Q14279"/>
      <c r="R14279"/>
      <c r="S14279"/>
    </row>
    <row r="14280" spans="13:19" ht="13.95" customHeight="1">
      <c r="M14280"/>
      <c r="N14280"/>
      <c r="O14280"/>
      <c r="P14280"/>
      <c r="Q14280"/>
      <c r="R14280"/>
      <c r="S14280"/>
    </row>
    <row r="14281" spans="13:19" ht="13.95" customHeight="1">
      <c r="M14281"/>
      <c r="N14281"/>
      <c r="O14281"/>
      <c r="P14281"/>
      <c r="Q14281"/>
      <c r="R14281"/>
      <c r="S14281"/>
    </row>
    <row r="14282" spans="13:19" ht="13.95" customHeight="1">
      <c r="M14282"/>
      <c r="N14282"/>
      <c r="O14282"/>
      <c r="P14282"/>
      <c r="Q14282"/>
      <c r="R14282"/>
      <c r="S14282"/>
    </row>
    <row r="14283" spans="13:19" ht="13.95" customHeight="1">
      <c r="M14283"/>
      <c r="N14283"/>
      <c r="O14283"/>
      <c r="P14283"/>
      <c r="Q14283"/>
      <c r="R14283"/>
      <c r="S14283"/>
    </row>
    <row r="14284" spans="13:19" ht="13.95" customHeight="1">
      <c r="M14284"/>
      <c r="N14284"/>
      <c r="O14284"/>
      <c r="P14284"/>
      <c r="Q14284"/>
      <c r="R14284"/>
      <c r="S14284"/>
    </row>
    <row r="14285" spans="13:19" ht="13.95" customHeight="1">
      <c r="M14285"/>
      <c r="N14285"/>
      <c r="O14285"/>
      <c r="P14285"/>
      <c r="Q14285"/>
      <c r="R14285"/>
      <c r="S14285"/>
    </row>
    <row r="14286" spans="13:19" ht="13.95" customHeight="1">
      <c r="M14286"/>
      <c r="N14286"/>
      <c r="O14286"/>
      <c r="P14286"/>
      <c r="Q14286"/>
      <c r="R14286"/>
      <c r="S14286"/>
    </row>
    <row r="14287" spans="13:19" ht="13.95" customHeight="1">
      <c r="M14287"/>
      <c r="N14287"/>
      <c r="O14287"/>
      <c r="P14287"/>
      <c r="Q14287"/>
      <c r="R14287"/>
      <c r="S14287"/>
    </row>
    <row r="14288" spans="13:19" ht="13.95" customHeight="1">
      <c r="M14288"/>
      <c r="N14288"/>
      <c r="O14288"/>
      <c r="P14288"/>
      <c r="Q14288"/>
      <c r="R14288"/>
      <c r="S14288"/>
    </row>
    <row r="14289" spans="13:19" ht="13.95" customHeight="1">
      <c r="M14289"/>
      <c r="N14289"/>
      <c r="O14289"/>
      <c r="P14289"/>
      <c r="Q14289"/>
      <c r="R14289"/>
      <c r="S14289"/>
    </row>
    <row r="14290" spans="13:19" ht="13.95" customHeight="1">
      <c r="M14290"/>
      <c r="N14290"/>
      <c r="O14290"/>
      <c r="P14290"/>
      <c r="Q14290"/>
      <c r="R14290"/>
      <c r="S14290"/>
    </row>
    <row r="14291" spans="13:19" ht="13.95" customHeight="1">
      <c r="M14291"/>
      <c r="N14291"/>
      <c r="O14291"/>
      <c r="P14291"/>
      <c r="Q14291"/>
      <c r="R14291"/>
      <c r="S14291"/>
    </row>
    <row r="14292" spans="13:19" ht="13.95" customHeight="1">
      <c r="M14292"/>
      <c r="N14292"/>
      <c r="O14292"/>
      <c r="P14292"/>
      <c r="Q14292"/>
      <c r="R14292"/>
      <c r="S14292"/>
    </row>
    <row r="14293" spans="13:19" ht="13.95" customHeight="1">
      <c r="M14293"/>
      <c r="N14293"/>
      <c r="O14293"/>
      <c r="P14293"/>
      <c r="Q14293"/>
      <c r="R14293"/>
      <c r="S14293"/>
    </row>
    <row r="14294" spans="13:19" ht="13.95" customHeight="1">
      <c r="M14294"/>
      <c r="N14294"/>
      <c r="O14294"/>
      <c r="P14294"/>
      <c r="Q14294"/>
      <c r="R14294"/>
      <c r="S14294"/>
    </row>
    <row r="14295" spans="13:19" ht="13.95" customHeight="1">
      <c r="M14295"/>
      <c r="N14295"/>
      <c r="O14295"/>
      <c r="P14295"/>
      <c r="Q14295"/>
      <c r="R14295"/>
      <c r="S14295"/>
    </row>
    <row r="14296" spans="13:19" ht="13.95" customHeight="1">
      <c r="M14296"/>
      <c r="N14296"/>
      <c r="O14296"/>
      <c r="P14296"/>
      <c r="Q14296"/>
      <c r="R14296"/>
      <c r="S14296"/>
    </row>
    <row r="14297" spans="13:19" ht="13.95" customHeight="1">
      <c r="M14297"/>
      <c r="N14297"/>
      <c r="O14297"/>
      <c r="P14297"/>
      <c r="Q14297"/>
      <c r="R14297"/>
      <c r="S14297"/>
    </row>
    <row r="14298" spans="13:19" ht="13.95" customHeight="1">
      <c r="M14298"/>
      <c r="N14298"/>
      <c r="O14298"/>
      <c r="P14298"/>
      <c r="Q14298"/>
      <c r="R14298"/>
      <c r="S14298"/>
    </row>
    <row r="14299" spans="13:19" ht="13.95" customHeight="1">
      <c r="M14299"/>
      <c r="N14299"/>
      <c r="O14299"/>
      <c r="P14299"/>
      <c r="Q14299"/>
      <c r="R14299"/>
      <c r="S14299"/>
    </row>
    <row r="14300" spans="13:19" ht="13.95" customHeight="1">
      <c r="M14300"/>
      <c r="N14300"/>
      <c r="O14300"/>
      <c r="P14300"/>
      <c r="Q14300"/>
      <c r="R14300"/>
      <c r="S14300"/>
    </row>
    <row r="14301" spans="13:19" ht="13.95" customHeight="1">
      <c r="M14301"/>
      <c r="N14301"/>
      <c r="O14301"/>
      <c r="P14301"/>
      <c r="Q14301"/>
      <c r="R14301"/>
      <c r="S14301"/>
    </row>
    <row r="14302" spans="13:19" ht="13.95" customHeight="1">
      <c r="M14302"/>
      <c r="N14302"/>
      <c r="O14302"/>
      <c r="P14302"/>
      <c r="Q14302"/>
      <c r="R14302"/>
      <c r="S14302"/>
    </row>
    <row r="14303" spans="13:19" ht="13.95" customHeight="1">
      <c r="M14303"/>
      <c r="N14303"/>
      <c r="O14303"/>
      <c r="P14303"/>
      <c r="Q14303"/>
      <c r="R14303"/>
      <c r="S14303"/>
    </row>
    <row r="14304" spans="13:19" ht="13.95" customHeight="1">
      <c r="M14304"/>
      <c r="N14304"/>
      <c r="O14304"/>
      <c r="P14304"/>
      <c r="Q14304"/>
      <c r="R14304"/>
      <c r="S14304"/>
    </row>
    <row r="14305" spans="13:19" ht="13.95" customHeight="1">
      <c r="M14305"/>
      <c r="N14305"/>
      <c r="O14305"/>
      <c r="P14305"/>
      <c r="Q14305"/>
      <c r="R14305"/>
      <c r="S14305"/>
    </row>
    <row r="14306" spans="13:19" ht="13.95" customHeight="1">
      <c r="M14306"/>
      <c r="N14306"/>
      <c r="O14306"/>
      <c r="P14306"/>
      <c r="Q14306"/>
      <c r="R14306"/>
      <c r="S14306"/>
    </row>
    <row r="14307" spans="13:19" ht="13.95" customHeight="1">
      <c r="M14307"/>
      <c r="N14307"/>
      <c r="O14307"/>
      <c r="P14307"/>
      <c r="Q14307"/>
      <c r="R14307"/>
      <c r="S14307"/>
    </row>
    <row r="14308" spans="13:19" ht="13.95" customHeight="1">
      <c r="M14308"/>
      <c r="N14308"/>
      <c r="O14308"/>
      <c r="P14308"/>
      <c r="Q14308"/>
      <c r="R14308"/>
      <c r="S14308"/>
    </row>
    <row r="14309" spans="13:19" ht="13.95" customHeight="1">
      <c r="M14309"/>
      <c r="N14309"/>
      <c r="O14309"/>
      <c r="P14309"/>
      <c r="Q14309"/>
      <c r="R14309"/>
      <c r="S14309"/>
    </row>
    <row r="14310" spans="13:19" ht="13.95" customHeight="1">
      <c r="M14310"/>
      <c r="N14310"/>
      <c r="O14310"/>
      <c r="P14310"/>
      <c r="Q14310"/>
      <c r="R14310"/>
      <c r="S14310"/>
    </row>
    <row r="14311" spans="13:19" ht="13.95" customHeight="1">
      <c r="M14311"/>
      <c r="N14311"/>
      <c r="O14311"/>
      <c r="P14311"/>
      <c r="Q14311"/>
      <c r="R14311"/>
      <c r="S14311"/>
    </row>
    <row r="14312" spans="13:19" ht="13.95" customHeight="1">
      <c r="M14312"/>
      <c r="N14312"/>
      <c r="O14312"/>
      <c r="P14312"/>
      <c r="Q14312"/>
      <c r="R14312"/>
      <c r="S14312"/>
    </row>
    <row r="14313" spans="13:19" ht="13.95" customHeight="1">
      <c r="M14313"/>
      <c r="N14313"/>
      <c r="O14313"/>
      <c r="P14313"/>
      <c r="Q14313"/>
      <c r="R14313"/>
      <c r="S14313"/>
    </row>
    <row r="14314" spans="13:19" ht="13.95" customHeight="1">
      <c r="M14314"/>
      <c r="N14314"/>
      <c r="O14314"/>
      <c r="P14314"/>
      <c r="Q14314"/>
      <c r="R14314"/>
      <c r="S14314"/>
    </row>
    <row r="14315" spans="13:19" ht="13.95" customHeight="1">
      <c r="M14315"/>
      <c r="N14315"/>
      <c r="O14315"/>
      <c r="P14315"/>
      <c r="Q14315"/>
      <c r="R14315"/>
      <c r="S14315"/>
    </row>
    <row r="14316" spans="13:19" ht="13.95" customHeight="1">
      <c r="M14316"/>
      <c r="N14316"/>
      <c r="O14316"/>
      <c r="P14316"/>
      <c r="Q14316"/>
      <c r="R14316"/>
      <c r="S14316"/>
    </row>
    <row r="14317" spans="13:19" ht="13.95" customHeight="1">
      <c r="M14317"/>
      <c r="N14317"/>
      <c r="O14317"/>
      <c r="P14317"/>
      <c r="Q14317"/>
      <c r="R14317"/>
      <c r="S14317"/>
    </row>
    <row r="14318" spans="13:19" ht="13.95" customHeight="1">
      <c r="M14318"/>
      <c r="N14318"/>
      <c r="O14318"/>
      <c r="P14318"/>
      <c r="Q14318"/>
      <c r="R14318"/>
      <c r="S14318"/>
    </row>
    <row r="14319" spans="13:19" ht="13.95" customHeight="1">
      <c r="M14319"/>
      <c r="N14319"/>
      <c r="O14319"/>
      <c r="P14319"/>
      <c r="Q14319"/>
      <c r="R14319"/>
      <c r="S14319"/>
    </row>
    <row r="14320" spans="13:19" ht="13.95" customHeight="1">
      <c r="M14320"/>
      <c r="N14320"/>
      <c r="O14320"/>
      <c r="P14320"/>
      <c r="Q14320"/>
      <c r="R14320"/>
      <c r="S14320"/>
    </row>
    <row r="14321" spans="13:19" ht="13.95" customHeight="1">
      <c r="M14321"/>
      <c r="N14321"/>
      <c r="O14321"/>
      <c r="P14321"/>
      <c r="Q14321"/>
      <c r="R14321"/>
      <c r="S14321"/>
    </row>
    <row r="14322" spans="13:19" ht="13.95" customHeight="1">
      <c r="M14322"/>
      <c r="N14322"/>
      <c r="O14322"/>
      <c r="P14322"/>
      <c r="Q14322"/>
      <c r="R14322"/>
      <c r="S14322"/>
    </row>
    <row r="14323" spans="13:19" ht="13.95" customHeight="1">
      <c r="M14323"/>
      <c r="N14323"/>
      <c r="O14323"/>
      <c r="P14323"/>
      <c r="Q14323"/>
      <c r="R14323"/>
      <c r="S14323"/>
    </row>
    <row r="14324" spans="13:19" ht="13.95" customHeight="1">
      <c r="M14324"/>
      <c r="N14324"/>
      <c r="O14324"/>
      <c r="P14324"/>
      <c r="Q14324"/>
      <c r="R14324"/>
      <c r="S14324"/>
    </row>
    <row r="14325" spans="13:19" ht="13.95" customHeight="1">
      <c r="M14325"/>
      <c r="N14325"/>
      <c r="O14325"/>
      <c r="P14325"/>
      <c r="Q14325"/>
      <c r="R14325"/>
      <c r="S14325"/>
    </row>
    <row r="14326" spans="13:19" ht="13.95" customHeight="1">
      <c r="M14326"/>
      <c r="N14326"/>
      <c r="O14326"/>
      <c r="P14326"/>
      <c r="Q14326"/>
      <c r="R14326"/>
      <c r="S14326"/>
    </row>
    <row r="14327" spans="13:19" ht="13.95" customHeight="1">
      <c r="M14327"/>
      <c r="N14327"/>
      <c r="O14327"/>
      <c r="P14327"/>
      <c r="Q14327"/>
      <c r="R14327"/>
      <c r="S14327"/>
    </row>
    <row r="14328" spans="13:19" ht="13.95" customHeight="1">
      <c r="M14328"/>
      <c r="N14328"/>
      <c r="O14328"/>
      <c r="P14328"/>
      <c r="Q14328"/>
      <c r="R14328"/>
      <c r="S14328"/>
    </row>
    <row r="14329" spans="13:19" ht="13.95" customHeight="1">
      <c r="M14329"/>
      <c r="N14329"/>
      <c r="O14329"/>
      <c r="P14329"/>
      <c r="Q14329"/>
      <c r="R14329"/>
      <c r="S14329"/>
    </row>
    <row r="14330" spans="13:19" ht="13.95" customHeight="1">
      <c r="M14330"/>
      <c r="N14330"/>
      <c r="O14330"/>
      <c r="P14330"/>
      <c r="Q14330"/>
      <c r="R14330"/>
      <c r="S14330"/>
    </row>
    <row r="14331" spans="13:19" ht="13.95" customHeight="1">
      <c r="M14331"/>
      <c r="N14331"/>
      <c r="O14331"/>
      <c r="P14331"/>
      <c r="Q14331"/>
      <c r="R14331"/>
      <c r="S14331"/>
    </row>
    <row r="14332" spans="13:19" ht="13.95" customHeight="1">
      <c r="M14332"/>
      <c r="N14332"/>
      <c r="O14332"/>
      <c r="P14332"/>
      <c r="Q14332"/>
      <c r="R14332"/>
      <c r="S14332"/>
    </row>
    <row r="14333" spans="13:19" ht="13.95" customHeight="1">
      <c r="M14333"/>
      <c r="N14333"/>
      <c r="O14333"/>
      <c r="P14333"/>
      <c r="Q14333"/>
      <c r="R14333"/>
      <c r="S14333"/>
    </row>
    <row r="14334" spans="13:19" ht="13.95" customHeight="1">
      <c r="M14334"/>
      <c r="N14334"/>
      <c r="O14334"/>
      <c r="P14334"/>
      <c r="Q14334"/>
      <c r="R14334"/>
      <c r="S14334"/>
    </row>
    <row r="14335" spans="13:19" ht="13.95" customHeight="1">
      <c r="M14335"/>
      <c r="N14335"/>
      <c r="O14335"/>
      <c r="P14335"/>
      <c r="Q14335"/>
      <c r="R14335"/>
      <c r="S14335"/>
    </row>
    <row r="14336" spans="13:19" ht="13.95" customHeight="1">
      <c r="M14336"/>
      <c r="N14336"/>
      <c r="O14336"/>
      <c r="P14336"/>
      <c r="Q14336"/>
      <c r="R14336"/>
      <c r="S14336"/>
    </row>
    <row r="14337" spans="13:19" ht="13.95" customHeight="1">
      <c r="M14337"/>
      <c r="N14337"/>
      <c r="O14337"/>
      <c r="P14337"/>
      <c r="Q14337"/>
      <c r="R14337"/>
      <c r="S14337"/>
    </row>
    <row r="14338" spans="13:19" ht="13.95" customHeight="1">
      <c r="M14338"/>
      <c r="N14338"/>
      <c r="O14338"/>
      <c r="P14338"/>
      <c r="Q14338"/>
      <c r="R14338"/>
      <c r="S14338"/>
    </row>
    <row r="14339" spans="13:19" ht="13.95" customHeight="1">
      <c r="M14339"/>
      <c r="N14339"/>
      <c r="O14339"/>
      <c r="P14339"/>
      <c r="Q14339"/>
      <c r="R14339"/>
      <c r="S14339"/>
    </row>
    <row r="14340" spans="13:19" ht="13.95" customHeight="1">
      <c r="M14340"/>
      <c r="N14340"/>
      <c r="O14340"/>
      <c r="P14340"/>
      <c r="Q14340"/>
      <c r="R14340"/>
      <c r="S14340"/>
    </row>
    <row r="14341" spans="13:19" ht="13.95" customHeight="1">
      <c r="M14341"/>
      <c r="N14341"/>
      <c r="O14341"/>
      <c r="P14341"/>
      <c r="Q14341"/>
      <c r="R14341"/>
      <c r="S14341"/>
    </row>
    <row r="14342" spans="13:19" ht="13.95" customHeight="1">
      <c r="M14342"/>
      <c r="N14342"/>
      <c r="O14342"/>
      <c r="P14342"/>
      <c r="Q14342"/>
      <c r="R14342"/>
      <c r="S14342"/>
    </row>
    <row r="14343" spans="13:19" ht="13.95" customHeight="1">
      <c r="M14343"/>
      <c r="N14343"/>
      <c r="O14343"/>
      <c r="P14343"/>
      <c r="Q14343"/>
      <c r="R14343"/>
      <c r="S14343"/>
    </row>
    <row r="14344" spans="13:19" ht="13.95" customHeight="1">
      <c r="M14344"/>
      <c r="N14344"/>
      <c r="O14344"/>
      <c r="P14344"/>
      <c r="Q14344"/>
      <c r="R14344"/>
      <c r="S14344"/>
    </row>
    <row r="14345" spans="13:19" ht="13.95" customHeight="1">
      <c r="M14345"/>
      <c r="N14345"/>
      <c r="O14345"/>
      <c r="P14345"/>
      <c r="Q14345"/>
      <c r="R14345"/>
      <c r="S14345"/>
    </row>
    <row r="14346" spans="13:19" ht="13.95" customHeight="1">
      <c r="M14346"/>
      <c r="N14346"/>
      <c r="O14346"/>
      <c r="P14346"/>
      <c r="Q14346"/>
      <c r="R14346"/>
      <c r="S14346"/>
    </row>
    <row r="14347" spans="13:19" ht="13.95" customHeight="1">
      <c r="M14347"/>
      <c r="N14347"/>
      <c r="O14347"/>
      <c r="P14347"/>
      <c r="Q14347"/>
      <c r="R14347"/>
      <c r="S14347"/>
    </row>
    <row r="14348" spans="13:19" ht="13.95" customHeight="1">
      <c r="M14348"/>
      <c r="N14348"/>
      <c r="O14348"/>
      <c r="P14348"/>
      <c r="Q14348"/>
      <c r="R14348"/>
      <c r="S14348"/>
    </row>
    <row r="14349" spans="13:19" ht="13.95" customHeight="1">
      <c r="M14349"/>
      <c r="N14349"/>
      <c r="O14349"/>
      <c r="P14349"/>
      <c r="Q14349"/>
      <c r="R14349"/>
      <c r="S14349"/>
    </row>
    <row r="14350" spans="13:19" ht="13.95" customHeight="1">
      <c r="M14350"/>
      <c r="N14350"/>
      <c r="O14350"/>
      <c r="P14350"/>
      <c r="Q14350"/>
      <c r="R14350"/>
      <c r="S14350"/>
    </row>
    <row r="14351" spans="13:19" ht="13.95" customHeight="1">
      <c r="M14351"/>
      <c r="N14351"/>
      <c r="O14351"/>
      <c r="P14351"/>
      <c r="Q14351"/>
      <c r="R14351"/>
      <c r="S14351"/>
    </row>
    <row r="14352" spans="13:19" ht="13.95" customHeight="1">
      <c r="M14352"/>
      <c r="N14352"/>
      <c r="O14352"/>
      <c r="P14352"/>
      <c r="Q14352"/>
      <c r="R14352"/>
      <c r="S14352"/>
    </row>
    <row r="14353" spans="13:19" ht="13.95" customHeight="1">
      <c r="M14353"/>
      <c r="N14353"/>
      <c r="O14353"/>
      <c r="P14353"/>
      <c r="Q14353"/>
      <c r="R14353"/>
      <c r="S14353"/>
    </row>
    <row r="14354" spans="13:19" ht="13.95" customHeight="1">
      <c r="M14354"/>
      <c r="N14354"/>
      <c r="O14354"/>
      <c r="P14354"/>
      <c r="Q14354"/>
      <c r="R14354"/>
      <c r="S14354"/>
    </row>
    <row r="14355" spans="13:19" ht="13.95" customHeight="1">
      <c r="M14355"/>
      <c r="N14355"/>
      <c r="O14355"/>
      <c r="P14355"/>
      <c r="Q14355"/>
      <c r="R14355"/>
      <c r="S14355"/>
    </row>
    <row r="14356" spans="13:19" ht="13.95" customHeight="1">
      <c r="M14356"/>
      <c r="N14356"/>
      <c r="O14356"/>
      <c r="P14356"/>
      <c r="Q14356"/>
      <c r="R14356"/>
      <c r="S14356"/>
    </row>
    <row r="14357" spans="13:19" ht="13.95" customHeight="1">
      <c r="M14357"/>
      <c r="N14357"/>
      <c r="O14357"/>
      <c r="P14357"/>
      <c r="Q14357"/>
      <c r="R14357"/>
      <c r="S14357"/>
    </row>
    <row r="14358" spans="13:19" ht="13.95" customHeight="1">
      <c r="M14358"/>
      <c r="N14358"/>
      <c r="O14358"/>
      <c r="P14358"/>
      <c r="Q14358"/>
      <c r="R14358"/>
      <c r="S14358"/>
    </row>
    <row r="14359" spans="13:19" ht="13.95" customHeight="1">
      <c r="M14359"/>
      <c r="N14359"/>
      <c r="O14359"/>
      <c r="P14359"/>
      <c r="Q14359"/>
      <c r="R14359"/>
      <c r="S14359"/>
    </row>
    <row r="14360" spans="13:19" ht="13.95" customHeight="1">
      <c r="M14360"/>
      <c r="N14360"/>
      <c r="O14360"/>
      <c r="P14360"/>
      <c r="Q14360"/>
      <c r="R14360"/>
      <c r="S14360"/>
    </row>
    <row r="14361" spans="13:19" ht="13.95" customHeight="1">
      <c r="M14361"/>
      <c r="N14361"/>
      <c r="O14361"/>
      <c r="P14361"/>
      <c r="Q14361"/>
      <c r="R14361"/>
      <c r="S14361"/>
    </row>
    <row r="14362" spans="13:19" ht="13.95" customHeight="1">
      <c r="M14362"/>
      <c r="N14362"/>
      <c r="O14362"/>
      <c r="P14362"/>
      <c r="Q14362"/>
      <c r="R14362"/>
      <c r="S14362"/>
    </row>
    <row r="14363" spans="13:19" ht="13.95" customHeight="1">
      <c r="M14363"/>
      <c r="N14363"/>
      <c r="O14363"/>
      <c r="P14363"/>
      <c r="Q14363"/>
      <c r="R14363"/>
      <c r="S14363"/>
    </row>
    <row r="14364" spans="13:19" ht="13.95" customHeight="1">
      <c r="M14364"/>
      <c r="N14364"/>
      <c r="O14364"/>
      <c r="P14364"/>
      <c r="Q14364"/>
      <c r="R14364"/>
      <c r="S14364"/>
    </row>
    <row r="14365" spans="13:19" ht="13.95" customHeight="1">
      <c r="M14365"/>
      <c r="N14365"/>
      <c r="O14365"/>
      <c r="P14365"/>
      <c r="Q14365"/>
      <c r="R14365"/>
      <c r="S14365"/>
    </row>
    <row r="14366" spans="13:19" ht="13.95" customHeight="1">
      <c r="M14366"/>
      <c r="N14366"/>
      <c r="O14366"/>
      <c r="P14366"/>
      <c r="Q14366"/>
      <c r="R14366"/>
      <c r="S14366"/>
    </row>
    <row r="14367" spans="13:19" ht="13.95" customHeight="1">
      <c r="M14367"/>
      <c r="N14367"/>
      <c r="O14367"/>
      <c r="P14367"/>
      <c r="Q14367"/>
      <c r="R14367"/>
      <c r="S14367"/>
    </row>
    <row r="14368" spans="13:19" ht="13.95" customHeight="1">
      <c r="M14368"/>
      <c r="N14368"/>
      <c r="O14368"/>
      <c r="P14368"/>
      <c r="Q14368"/>
      <c r="R14368"/>
      <c r="S14368"/>
    </row>
    <row r="14369" spans="13:19" ht="13.95" customHeight="1">
      <c r="M14369"/>
      <c r="N14369"/>
      <c r="O14369"/>
      <c r="P14369"/>
      <c r="Q14369"/>
      <c r="R14369"/>
      <c r="S14369"/>
    </row>
    <row r="14370" spans="13:19" ht="13.95" customHeight="1">
      <c r="M14370"/>
      <c r="N14370"/>
      <c r="O14370"/>
      <c r="P14370"/>
      <c r="Q14370"/>
      <c r="R14370"/>
      <c r="S14370"/>
    </row>
    <row r="14371" spans="13:19" ht="13.95" customHeight="1">
      <c r="M14371"/>
      <c r="N14371"/>
      <c r="O14371"/>
      <c r="P14371"/>
      <c r="Q14371"/>
      <c r="R14371"/>
      <c r="S14371"/>
    </row>
    <row r="14372" spans="13:19" ht="13.95" customHeight="1">
      <c r="M14372"/>
      <c r="N14372"/>
      <c r="O14372"/>
      <c r="P14372"/>
      <c r="Q14372"/>
      <c r="R14372"/>
      <c r="S14372"/>
    </row>
    <row r="14373" spans="13:19" ht="13.95" customHeight="1">
      <c r="M14373"/>
      <c r="N14373"/>
      <c r="O14373"/>
      <c r="P14373"/>
      <c r="Q14373"/>
      <c r="R14373"/>
      <c r="S14373"/>
    </row>
    <row r="14374" spans="13:19" ht="13.95" customHeight="1">
      <c r="M14374"/>
      <c r="N14374"/>
      <c r="O14374"/>
      <c r="P14374"/>
      <c r="Q14374"/>
      <c r="R14374"/>
      <c r="S14374"/>
    </row>
    <row r="14375" spans="13:19" ht="13.95" customHeight="1">
      <c r="M14375"/>
      <c r="N14375"/>
      <c r="O14375"/>
      <c r="P14375"/>
      <c r="Q14375"/>
      <c r="R14375"/>
      <c r="S14375"/>
    </row>
    <row r="14376" spans="13:19" ht="13.95" customHeight="1">
      <c r="M14376"/>
      <c r="N14376"/>
      <c r="O14376"/>
      <c r="P14376"/>
      <c r="Q14376"/>
      <c r="R14376"/>
      <c r="S14376"/>
    </row>
    <row r="14377" spans="13:19" ht="13.95" customHeight="1">
      <c r="M14377"/>
      <c r="N14377"/>
      <c r="O14377"/>
      <c r="P14377"/>
      <c r="Q14377"/>
      <c r="R14377"/>
      <c r="S14377"/>
    </row>
    <row r="14378" spans="13:19" ht="13.95" customHeight="1">
      <c r="M14378"/>
      <c r="N14378"/>
      <c r="O14378"/>
      <c r="P14378"/>
      <c r="Q14378"/>
      <c r="R14378"/>
      <c r="S14378"/>
    </row>
    <row r="14379" spans="13:19" ht="13.95" customHeight="1">
      <c r="M14379"/>
      <c r="N14379"/>
      <c r="O14379"/>
      <c r="P14379"/>
      <c r="Q14379"/>
      <c r="R14379"/>
      <c r="S14379"/>
    </row>
    <row r="14380" spans="13:19" ht="13.95" customHeight="1">
      <c r="M14380"/>
      <c r="N14380"/>
      <c r="O14380"/>
      <c r="P14380"/>
      <c r="Q14380"/>
      <c r="R14380"/>
      <c r="S14380"/>
    </row>
    <row r="14381" spans="13:19" ht="13.95" customHeight="1">
      <c r="M14381"/>
      <c r="N14381"/>
      <c r="O14381"/>
      <c r="P14381"/>
      <c r="Q14381"/>
      <c r="R14381"/>
      <c r="S14381"/>
    </row>
    <row r="14382" spans="13:19" ht="13.95" customHeight="1">
      <c r="M14382"/>
      <c r="N14382"/>
      <c r="O14382"/>
      <c r="P14382"/>
      <c r="Q14382"/>
      <c r="R14382"/>
      <c r="S14382"/>
    </row>
    <row r="14383" spans="13:19" ht="13.95" customHeight="1">
      <c r="M14383"/>
      <c r="N14383"/>
      <c r="O14383"/>
      <c r="P14383"/>
      <c r="Q14383"/>
      <c r="R14383"/>
      <c r="S14383"/>
    </row>
    <row r="14384" spans="13:19" ht="13.95" customHeight="1">
      <c r="M14384"/>
      <c r="N14384"/>
      <c r="O14384"/>
      <c r="P14384"/>
      <c r="Q14384"/>
      <c r="R14384"/>
      <c r="S14384"/>
    </row>
    <row r="14385" spans="13:19" ht="13.95" customHeight="1">
      <c r="M14385"/>
      <c r="N14385"/>
      <c r="O14385"/>
      <c r="P14385"/>
      <c r="Q14385"/>
      <c r="R14385"/>
      <c r="S14385"/>
    </row>
    <row r="14386" spans="13:19" ht="13.95" customHeight="1">
      <c r="M14386"/>
      <c r="N14386"/>
      <c r="O14386"/>
      <c r="P14386"/>
      <c r="Q14386"/>
      <c r="R14386"/>
      <c r="S14386"/>
    </row>
    <row r="14387" spans="13:19" ht="13.95" customHeight="1">
      <c r="M14387"/>
      <c r="N14387"/>
      <c r="O14387"/>
      <c r="P14387"/>
      <c r="Q14387"/>
      <c r="R14387"/>
      <c r="S14387"/>
    </row>
    <row r="14388" spans="13:19" ht="13.95" customHeight="1">
      <c r="M14388"/>
      <c r="N14388"/>
      <c r="O14388"/>
      <c r="P14388"/>
      <c r="Q14388"/>
      <c r="R14388"/>
      <c r="S14388"/>
    </row>
    <row r="14389" spans="13:19" ht="13.95" customHeight="1">
      <c r="M14389"/>
      <c r="N14389"/>
      <c r="O14389"/>
      <c r="P14389"/>
      <c r="Q14389"/>
      <c r="R14389"/>
      <c r="S14389"/>
    </row>
    <row r="14390" spans="13:19" ht="13.95" customHeight="1">
      <c r="M14390"/>
      <c r="N14390"/>
      <c r="O14390"/>
      <c r="P14390"/>
      <c r="Q14390"/>
      <c r="R14390"/>
      <c r="S14390"/>
    </row>
    <row r="14391" spans="13:19" ht="13.95" customHeight="1">
      <c r="M14391"/>
      <c r="N14391"/>
      <c r="O14391"/>
      <c r="P14391"/>
      <c r="Q14391"/>
      <c r="R14391"/>
      <c r="S14391"/>
    </row>
    <row r="14392" spans="13:19" ht="13.95" customHeight="1">
      <c r="M14392"/>
      <c r="N14392"/>
      <c r="O14392"/>
      <c r="P14392"/>
      <c r="Q14392"/>
      <c r="R14392"/>
      <c r="S14392"/>
    </row>
    <row r="14393" spans="13:19" ht="13.95" customHeight="1">
      <c r="M14393"/>
      <c r="N14393"/>
      <c r="O14393"/>
      <c r="P14393"/>
      <c r="Q14393"/>
      <c r="R14393"/>
      <c r="S14393"/>
    </row>
    <row r="14394" spans="13:19" ht="13.95" customHeight="1">
      <c r="M14394"/>
      <c r="N14394"/>
      <c r="O14394"/>
      <c r="P14394"/>
      <c r="Q14394"/>
      <c r="R14394"/>
      <c r="S14394"/>
    </row>
    <row r="14395" spans="13:19" ht="13.95" customHeight="1">
      <c r="M14395"/>
      <c r="N14395"/>
      <c r="O14395"/>
      <c r="P14395"/>
      <c r="Q14395"/>
      <c r="R14395"/>
      <c r="S14395"/>
    </row>
    <row r="14396" spans="13:19" ht="13.95" customHeight="1">
      <c r="M14396"/>
      <c r="N14396"/>
      <c r="O14396"/>
      <c r="P14396"/>
      <c r="Q14396"/>
      <c r="R14396"/>
      <c r="S14396"/>
    </row>
    <row r="14397" spans="13:19" ht="13.95" customHeight="1">
      <c r="M14397"/>
      <c r="N14397"/>
      <c r="O14397"/>
      <c r="P14397"/>
      <c r="Q14397"/>
      <c r="R14397"/>
      <c r="S14397"/>
    </row>
    <row r="14398" spans="13:19" ht="13.95" customHeight="1">
      <c r="M14398"/>
      <c r="N14398"/>
      <c r="O14398"/>
      <c r="P14398"/>
      <c r="Q14398"/>
      <c r="R14398"/>
      <c r="S14398"/>
    </row>
    <row r="14399" spans="13:19" ht="13.95" customHeight="1">
      <c r="M14399"/>
      <c r="N14399"/>
      <c r="O14399"/>
      <c r="P14399"/>
      <c r="Q14399"/>
      <c r="R14399"/>
      <c r="S14399"/>
    </row>
    <row r="14400" spans="13:19" ht="13.95" customHeight="1">
      <c r="M14400"/>
      <c r="N14400"/>
      <c r="O14400"/>
      <c r="P14400"/>
      <c r="Q14400"/>
      <c r="R14400"/>
      <c r="S14400"/>
    </row>
    <row r="14401" spans="13:19" ht="13.95" customHeight="1">
      <c r="M14401"/>
      <c r="N14401"/>
      <c r="O14401"/>
      <c r="P14401"/>
      <c r="Q14401"/>
      <c r="R14401"/>
      <c r="S14401"/>
    </row>
    <row r="14402" spans="13:19" ht="13.95" customHeight="1">
      <c r="M14402"/>
      <c r="N14402"/>
      <c r="O14402"/>
      <c r="P14402"/>
      <c r="Q14402"/>
      <c r="R14402"/>
      <c r="S14402"/>
    </row>
    <row r="14403" spans="13:19" ht="13.95" customHeight="1">
      <c r="M14403"/>
      <c r="N14403"/>
      <c r="O14403"/>
      <c r="P14403"/>
      <c r="Q14403"/>
      <c r="R14403"/>
      <c r="S14403"/>
    </row>
    <row r="14404" spans="13:19" ht="13.95" customHeight="1">
      <c r="M14404"/>
      <c r="N14404"/>
      <c r="O14404"/>
      <c r="P14404"/>
      <c r="Q14404"/>
      <c r="R14404"/>
      <c r="S14404"/>
    </row>
    <row r="14405" spans="13:19" ht="13.95" customHeight="1">
      <c r="M14405"/>
      <c r="N14405"/>
      <c r="O14405"/>
      <c r="P14405"/>
      <c r="Q14405"/>
      <c r="R14405"/>
      <c r="S14405"/>
    </row>
    <row r="14406" spans="13:19" ht="13.95" customHeight="1">
      <c r="M14406"/>
      <c r="N14406"/>
      <c r="O14406"/>
      <c r="P14406"/>
      <c r="Q14406"/>
      <c r="R14406"/>
      <c r="S14406"/>
    </row>
    <row r="14407" spans="13:19" ht="13.95" customHeight="1">
      <c r="M14407"/>
      <c r="N14407"/>
      <c r="O14407"/>
      <c r="P14407"/>
      <c r="Q14407"/>
      <c r="R14407"/>
      <c r="S14407"/>
    </row>
    <row r="14408" spans="13:19" ht="13.95" customHeight="1">
      <c r="M14408"/>
      <c r="N14408"/>
      <c r="O14408"/>
      <c r="P14408"/>
      <c r="Q14408"/>
      <c r="R14408"/>
      <c r="S14408"/>
    </row>
    <row r="14409" spans="13:19" ht="13.95" customHeight="1">
      <c r="M14409"/>
      <c r="N14409"/>
      <c r="O14409"/>
      <c r="P14409"/>
      <c r="Q14409"/>
      <c r="R14409"/>
      <c r="S14409"/>
    </row>
    <row r="14410" spans="13:19" ht="13.95" customHeight="1">
      <c r="M14410"/>
      <c r="N14410"/>
      <c r="O14410"/>
      <c r="P14410"/>
      <c r="Q14410"/>
      <c r="R14410"/>
      <c r="S14410"/>
    </row>
    <row r="14411" spans="13:19" ht="13.95" customHeight="1">
      <c r="M14411"/>
      <c r="N14411"/>
      <c r="O14411"/>
      <c r="P14411"/>
      <c r="Q14411"/>
      <c r="R14411"/>
      <c r="S14411"/>
    </row>
    <row r="14412" spans="13:19" ht="13.95" customHeight="1">
      <c r="M14412"/>
      <c r="N14412"/>
      <c r="O14412"/>
      <c r="P14412"/>
      <c r="Q14412"/>
      <c r="R14412"/>
      <c r="S14412"/>
    </row>
    <row r="14413" spans="13:19" ht="13.95" customHeight="1">
      <c r="M14413"/>
      <c r="N14413"/>
      <c r="O14413"/>
      <c r="P14413"/>
      <c r="Q14413"/>
      <c r="R14413"/>
      <c r="S14413"/>
    </row>
    <row r="14414" spans="13:19" ht="13.95" customHeight="1">
      <c r="M14414"/>
      <c r="N14414"/>
      <c r="O14414"/>
      <c r="P14414"/>
      <c r="Q14414"/>
      <c r="R14414"/>
      <c r="S14414"/>
    </row>
    <row r="14415" spans="13:19" ht="13.95" customHeight="1">
      <c r="M14415"/>
      <c r="N14415"/>
      <c r="O14415"/>
      <c r="P14415"/>
      <c r="Q14415"/>
      <c r="R14415"/>
      <c r="S14415"/>
    </row>
    <row r="14416" spans="13:19" ht="13.95" customHeight="1">
      <c r="M14416"/>
      <c r="N14416"/>
      <c r="O14416"/>
      <c r="P14416"/>
      <c r="Q14416"/>
      <c r="R14416"/>
      <c r="S14416"/>
    </row>
    <row r="14417" spans="13:19" ht="13.95" customHeight="1">
      <c r="M14417"/>
      <c r="N14417"/>
      <c r="O14417"/>
      <c r="P14417"/>
      <c r="Q14417"/>
      <c r="R14417"/>
      <c r="S14417"/>
    </row>
    <row r="14418" spans="13:19" ht="13.95" customHeight="1">
      <c r="M14418"/>
      <c r="N14418"/>
      <c r="O14418"/>
      <c r="P14418"/>
      <c r="Q14418"/>
      <c r="R14418"/>
      <c r="S14418"/>
    </row>
    <row r="14419" spans="13:19" ht="13.95" customHeight="1">
      <c r="M14419"/>
      <c r="N14419"/>
      <c r="O14419"/>
      <c r="P14419"/>
      <c r="Q14419"/>
      <c r="R14419"/>
      <c r="S14419"/>
    </row>
    <row r="14420" spans="13:19" ht="13.95" customHeight="1">
      <c r="M14420"/>
      <c r="N14420"/>
      <c r="O14420"/>
      <c r="P14420"/>
      <c r="Q14420"/>
      <c r="R14420"/>
      <c r="S14420"/>
    </row>
    <row r="14421" spans="13:19" ht="13.95" customHeight="1">
      <c r="M14421"/>
      <c r="N14421"/>
      <c r="O14421"/>
      <c r="P14421"/>
      <c r="Q14421"/>
      <c r="R14421"/>
      <c r="S14421"/>
    </row>
    <row r="14422" spans="13:19" ht="13.95" customHeight="1">
      <c r="M14422"/>
      <c r="N14422"/>
      <c r="O14422"/>
      <c r="P14422"/>
      <c r="Q14422"/>
      <c r="R14422"/>
      <c r="S14422"/>
    </row>
    <row r="14423" spans="13:19" ht="13.95" customHeight="1">
      <c r="M14423"/>
      <c r="N14423"/>
      <c r="O14423"/>
      <c r="P14423"/>
      <c r="Q14423"/>
      <c r="R14423"/>
      <c r="S14423"/>
    </row>
    <row r="14424" spans="13:19" ht="13.95" customHeight="1">
      <c r="M14424"/>
      <c r="N14424"/>
      <c r="O14424"/>
      <c r="P14424"/>
      <c r="Q14424"/>
      <c r="R14424"/>
      <c r="S14424"/>
    </row>
    <row r="14425" spans="13:19" ht="13.95" customHeight="1">
      <c r="M14425"/>
      <c r="N14425"/>
      <c r="O14425"/>
      <c r="P14425"/>
      <c r="Q14425"/>
      <c r="R14425"/>
      <c r="S14425"/>
    </row>
    <row r="14426" spans="13:19" ht="13.95" customHeight="1">
      <c r="M14426"/>
      <c r="N14426"/>
      <c r="O14426"/>
      <c r="P14426"/>
      <c r="Q14426"/>
      <c r="R14426"/>
      <c r="S14426"/>
    </row>
    <row r="14427" spans="13:19" ht="13.95" customHeight="1">
      <c r="M14427"/>
      <c r="N14427"/>
      <c r="O14427"/>
      <c r="P14427"/>
      <c r="Q14427"/>
      <c r="R14427"/>
      <c r="S14427"/>
    </row>
    <row r="14428" spans="13:19" ht="13.95" customHeight="1">
      <c r="M14428"/>
      <c r="N14428"/>
      <c r="O14428"/>
      <c r="P14428"/>
      <c r="Q14428"/>
      <c r="R14428"/>
      <c r="S14428"/>
    </row>
    <row r="14429" spans="13:19" ht="13.95" customHeight="1">
      <c r="M14429"/>
      <c r="N14429"/>
      <c r="O14429"/>
      <c r="P14429"/>
      <c r="Q14429"/>
      <c r="R14429"/>
      <c r="S14429"/>
    </row>
    <row r="14430" spans="13:19" ht="13.95" customHeight="1">
      <c r="M14430"/>
      <c r="N14430"/>
      <c r="O14430"/>
      <c r="P14430"/>
      <c r="Q14430"/>
      <c r="R14430"/>
      <c r="S14430"/>
    </row>
    <row r="14431" spans="13:19" ht="13.95" customHeight="1">
      <c r="M14431"/>
      <c r="N14431"/>
      <c r="O14431"/>
      <c r="P14431"/>
      <c r="Q14431"/>
      <c r="R14431"/>
      <c r="S14431"/>
    </row>
    <row r="14432" spans="13:19" ht="13.95" customHeight="1">
      <c r="M14432"/>
      <c r="N14432"/>
      <c r="O14432"/>
      <c r="P14432"/>
      <c r="Q14432"/>
      <c r="R14432"/>
      <c r="S14432"/>
    </row>
    <row r="14433" spans="13:19" ht="13.95" customHeight="1">
      <c r="M14433"/>
      <c r="N14433"/>
      <c r="O14433"/>
      <c r="P14433"/>
      <c r="Q14433"/>
      <c r="R14433"/>
      <c r="S14433"/>
    </row>
    <row r="14434" spans="13:19" ht="13.95" customHeight="1">
      <c r="M14434"/>
      <c r="N14434"/>
      <c r="O14434"/>
      <c r="P14434"/>
      <c r="Q14434"/>
      <c r="R14434"/>
      <c r="S14434"/>
    </row>
    <row r="14435" spans="13:19" ht="13.95" customHeight="1">
      <c r="M14435"/>
      <c r="N14435"/>
      <c r="O14435"/>
      <c r="P14435"/>
      <c r="Q14435"/>
      <c r="R14435"/>
      <c r="S14435"/>
    </row>
    <row r="14436" spans="13:19" ht="13.95" customHeight="1">
      <c r="M14436"/>
      <c r="N14436"/>
      <c r="O14436"/>
      <c r="P14436"/>
      <c r="Q14436"/>
      <c r="R14436"/>
      <c r="S14436"/>
    </row>
    <row r="14437" spans="13:19" ht="13.95" customHeight="1">
      <c r="M14437"/>
      <c r="N14437"/>
      <c r="O14437"/>
      <c r="P14437"/>
      <c r="Q14437"/>
      <c r="R14437"/>
      <c r="S14437"/>
    </row>
    <row r="14438" spans="13:19" ht="13.95" customHeight="1">
      <c r="M14438"/>
      <c r="N14438"/>
      <c r="O14438"/>
      <c r="P14438"/>
      <c r="Q14438"/>
      <c r="R14438"/>
      <c r="S14438"/>
    </row>
    <row r="14439" spans="13:19" ht="13.95" customHeight="1">
      <c r="M14439"/>
      <c r="N14439"/>
      <c r="O14439"/>
      <c r="P14439"/>
      <c r="Q14439"/>
      <c r="R14439"/>
      <c r="S14439"/>
    </row>
    <row r="14440" spans="13:19" ht="13.95" customHeight="1">
      <c r="M14440"/>
      <c r="N14440"/>
      <c r="O14440"/>
      <c r="P14440"/>
      <c r="Q14440"/>
      <c r="R14440"/>
      <c r="S14440"/>
    </row>
    <row r="14441" spans="13:19" ht="13.95" customHeight="1">
      <c r="M14441"/>
      <c r="N14441"/>
      <c r="O14441"/>
      <c r="P14441"/>
      <c r="Q14441"/>
      <c r="R14441"/>
      <c r="S14441"/>
    </row>
    <row r="14442" spans="13:19" ht="13.95" customHeight="1">
      <c r="M14442"/>
      <c r="N14442"/>
      <c r="O14442"/>
      <c r="P14442"/>
      <c r="Q14442"/>
      <c r="R14442"/>
      <c r="S14442"/>
    </row>
    <row r="14443" spans="13:19" ht="13.95" customHeight="1">
      <c r="M14443"/>
      <c r="N14443"/>
      <c r="O14443"/>
      <c r="P14443"/>
      <c r="Q14443"/>
      <c r="R14443"/>
      <c r="S14443"/>
    </row>
    <row r="14444" spans="13:19" ht="13.95" customHeight="1">
      <c r="M14444"/>
      <c r="N14444"/>
      <c r="O14444"/>
      <c r="P14444"/>
      <c r="Q14444"/>
      <c r="R14444"/>
      <c r="S14444"/>
    </row>
    <row r="14445" spans="13:19" ht="13.95" customHeight="1">
      <c r="M14445"/>
      <c r="N14445"/>
      <c r="O14445"/>
      <c r="P14445"/>
      <c r="Q14445"/>
      <c r="R14445"/>
      <c r="S14445"/>
    </row>
    <row r="14446" spans="13:19" ht="13.95" customHeight="1">
      <c r="M14446"/>
      <c r="N14446"/>
      <c r="O14446"/>
      <c r="P14446"/>
      <c r="Q14446"/>
      <c r="R14446"/>
      <c r="S14446"/>
    </row>
    <row r="14447" spans="13:19" ht="13.95" customHeight="1">
      <c r="M14447"/>
      <c r="N14447"/>
      <c r="O14447"/>
      <c r="P14447"/>
      <c r="Q14447"/>
      <c r="R14447"/>
      <c r="S14447"/>
    </row>
    <row r="14448" spans="13:19" ht="13.95" customHeight="1">
      <c r="M14448"/>
      <c r="N14448"/>
      <c r="O14448"/>
      <c r="P14448"/>
      <c r="Q14448"/>
      <c r="R14448"/>
      <c r="S14448"/>
    </row>
    <row r="14449" spans="13:19" ht="13.95" customHeight="1">
      <c r="M14449"/>
      <c r="N14449"/>
      <c r="O14449"/>
      <c r="P14449"/>
      <c r="Q14449"/>
      <c r="R14449"/>
      <c r="S14449"/>
    </row>
    <row r="14450" spans="13:19" ht="13.95" customHeight="1">
      <c r="M14450"/>
      <c r="N14450"/>
      <c r="O14450"/>
      <c r="P14450"/>
      <c r="Q14450"/>
      <c r="R14450"/>
      <c r="S14450"/>
    </row>
    <row r="14451" spans="13:19" ht="13.95" customHeight="1">
      <c r="M14451"/>
      <c r="N14451"/>
      <c r="O14451"/>
      <c r="P14451"/>
      <c r="Q14451"/>
      <c r="R14451"/>
      <c r="S14451"/>
    </row>
    <row r="14452" spans="13:19" ht="13.95" customHeight="1">
      <c r="M14452"/>
      <c r="N14452"/>
      <c r="O14452"/>
      <c r="P14452"/>
      <c r="Q14452"/>
      <c r="R14452"/>
      <c r="S14452"/>
    </row>
    <row r="14453" spans="13:19" ht="13.95" customHeight="1">
      <c r="M14453"/>
      <c r="N14453"/>
      <c r="O14453"/>
      <c r="P14453"/>
      <c r="Q14453"/>
      <c r="R14453"/>
      <c r="S14453"/>
    </row>
    <row r="14454" spans="13:19" ht="13.95" customHeight="1">
      <c r="M14454"/>
      <c r="N14454"/>
      <c r="O14454"/>
      <c r="P14454"/>
      <c r="Q14454"/>
      <c r="R14454"/>
      <c r="S14454"/>
    </row>
    <row r="14455" spans="13:19" ht="13.95" customHeight="1">
      <c r="M14455"/>
      <c r="N14455"/>
      <c r="O14455"/>
      <c r="P14455"/>
      <c r="Q14455"/>
      <c r="R14455"/>
      <c r="S14455"/>
    </row>
    <row r="14456" spans="13:19" ht="13.95" customHeight="1">
      <c r="M14456"/>
      <c r="N14456"/>
      <c r="O14456"/>
      <c r="P14456"/>
      <c r="Q14456"/>
      <c r="R14456"/>
      <c r="S14456"/>
    </row>
    <row r="14457" spans="13:19" ht="13.95" customHeight="1">
      <c r="M14457"/>
      <c r="N14457"/>
      <c r="O14457"/>
      <c r="P14457"/>
      <c r="Q14457"/>
      <c r="R14457"/>
      <c r="S14457"/>
    </row>
    <row r="14458" spans="13:19" ht="13.95" customHeight="1">
      <c r="M14458"/>
      <c r="N14458"/>
      <c r="O14458"/>
      <c r="P14458"/>
      <c r="Q14458"/>
      <c r="R14458"/>
      <c r="S14458"/>
    </row>
    <row r="14459" spans="13:19" ht="13.95" customHeight="1">
      <c r="M14459"/>
      <c r="N14459"/>
      <c r="O14459"/>
      <c r="P14459"/>
      <c r="Q14459"/>
      <c r="R14459"/>
      <c r="S14459"/>
    </row>
    <row r="14460" spans="13:19" ht="13.95" customHeight="1">
      <c r="M14460"/>
      <c r="N14460"/>
      <c r="O14460"/>
      <c r="P14460"/>
      <c r="Q14460"/>
      <c r="R14460"/>
      <c r="S14460"/>
    </row>
    <row r="14461" spans="13:19" ht="13.95" customHeight="1">
      <c r="M14461"/>
      <c r="N14461"/>
      <c r="O14461"/>
      <c r="P14461"/>
      <c r="Q14461"/>
      <c r="R14461"/>
      <c r="S14461"/>
    </row>
    <row r="14462" spans="13:19" ht="13.95" customHeight="1">
      <c r="M14462"/>
      <c r="N14462"/>
      <c r="O14462"/>
      <c r="P14462"/>
      <c r="Q14462"/>
      <c r="R14462"/>
      <c r="S14462"/>
    </row>
    <row r="14463" spans="13:19" ht="13.95" customHeight="1">
      <c r="M14463"/>
      <c r="N14463"/>
      <c r="O14463"/>
      <c r="P14463"/>
      <c r="Q14463"/>
      <c r="R14463"/>
      <c r="S14463"/>
    </row>
    <row r="14464" spans="13:19" ht="13.95" customHeight="1">
      <c r="M14464"/>
      <c r="N14464"/>
      <c r="O14464"/>
      <c r="P14464"/>
      <c r="Q14464"/>
      <c r="R14464"/>
      <c r="S14464"/>
    </row>
    <row r="14465" spans="13:19" ht="13.95" customHeight="1">
      <c r="M14465"/>
      <c r="N14465"/>
      <c r="O14465"/>
      <c r="P14465"/>
      <c r="Q14465"/>
      <c r="R14465"/>
      <c r="S14465"/>
    </row>
    <row r="14466" spans="13:19" ht="13.95" customHeight="1">
      <c r="M14466"/>
      <c r="N14466"/>
      <c r="O14466"/>
      <c r="P14466"/>
      <c r="Q14466"/>
      <c r="R14466"/>
      <c r="S14466"/>
    </row>
    <row r="14467" spans="13:19" ht="13.95" customHeight="1">
      <c r="M14467"/>
      <c r="N14467"/>
      <c r="O14467"/>
      <c r="P14467"/>
      <c r="Q14467"/>
      <c r="R14467"/>
      <c r="S14467"/>
    </row>
    <row r="14468" spans="13:19" ht="13.95" customHeight="1">
      <c r="M14468"/>
      <c r="N14468"/>
      <c r="O14468"/>
      <c r="P14468"/>
      <c r="Q14468"/>
      <c r="R14468"/>
      <c r="S14468"/>
    </row>
    <row r="14469" spans="13:19" ht="13.95" customHeight="1">
      <c r="M14469"/>
      <c r="N14469"/>
      <c r="O14469"/>
      <c r="P14469"/>
      <c r="Q14469"/>
      <c r="R14469"/>
      <c r="S14469"/>
    </row>
    <row r="14470" spans="13:19" ht="13.95" customHeight="1">
      <c r="M14470"/>
      <c r="N14470"/>
      <c r="O14470"/>
      <c r="P14470"/>
      <c r="Q14470"/>
      <c r="R14470"/>
      <c r="S14470"/>
    </row>
    <row r="14471" spans="13:19" ht="13.95" customHeight="1">
      <c r="M14471"/>
      <c r="N14471"/>
      <c r="O14471"/>
      <c r="P14471"/>
      <c r="Q14471"/>
      <c r="R14471"/>
      <c r="S14471"/>
    </row>
    <row r="14472" spans="13:19" ht="13.95" customHeight="1">
      <c r="M14472"/>
      <c r="N14472"/>
      <c r="O14472"/>
      <c r="P14472"/>
      <c r="Q14472"/>
      <c r="R14472"/>
      <c r="S14472"/>
    </row>
    <row r="14473" spans="13:19" ht="13.95" customHeight="1">
      <c r="M14473"/>
      <c r="N14473"/>
      <c r="O14473"/>
      <c r="P14473"/>
      <c r="Q14473"/>
      <c r="R14473"/>
      <c r="S14473"/>
    </row>
    <row r="14474" spans="13:19" ht="13.95" customHeight="1">
      <c r="M14474"/>
      <c r="N14474"/>
      <c r="O14474"/>
      <c r="P14474"/>
      <c r="Q14474"/>
      <c r="R14474"/>
      <c r="S14474"/>
    </row>
    <row r="14475" spans="13:19" ht="13.95" customHeight="1">
      <c r="M14475"/>
      <c r="N14475"/>
      <c r="O14475"/>
      <c r="P14475"/>
      <c r="Q14475"/>
      <c r="R14475"/>
      <c r="S14475"/>
    </row>
    <row r="14476" spans="13:19" ht="13.95" customHeight="1">
      <c r="M14476"/>
      <c r="N14476"/>
      <c r="O14476"/>
      <c r="P14476"/>
      <c r="Q14476"/>
      <c r="R14476"/>
      <c r="S14476"/>
    </row>
    <row r="14477" spans="13:19" ht="13.95" customHeight="1">
      <c r="M14477"/>
      <c r="N14477"/>
      <c r="O14477"/>
      <c r="P14477"/>
      <c r="Q14477"/>
      <c r="R14477"/>
      <c r="S14477"/>
    </row>
    <row r="14478" spans="13:19" ht="13.95" customHeight="1">
      <c r="M14478"/>
      <c r="N14478"/>
      <c r="O14478"/>
      <c r="P14478"/>
      <c r="Q14478"/>
      <c r="R14478"/>
      <c r="S14478"/>
    </row>
    <row r="14479" spans="13:19" ht="13.95" customHeight="1">
      <c r="M14479"/>
      <c r="N14479"/>
      <c r="O14479"/>
      <c r="P14479"/>
      <c r="Q14479"/>
      <c r="R14479"/>
      <c r="S14479"/>
    </row>
    <row r="14480" spans="13:19" ht="13.95" customHeight="1">
      <c r="M14480"/>
      <c r="N14480"/>
      <c r="O14480"/>
      <c r="P14480"/>
      <c r="Q14480"/>
      <c r="R14480"/>
      <c r="S14480"/>
    </row>
    <row r="14481" spans="13:19" ht="13.95" customHeight="1">
      <c r="M14481"/>
      <c r="N14481"/>
      <c r="O14481"/>
      <c r="P14481"/>
      <c r="Q14481"/>
      <c r="R14481"/>
      <c r="S14481"/>
    </row>
    <row r="14482" spans="13:19" ht="13.95" customHeight="1">
      <c r="M14482"/>
      <c r="N14482"/>
      <c r="O14482"/>
      <c r="P14482"/>
      <c r="Q14482"/>
      <c r="R14482"/>
      <c r="S14482"/>
    </row>
    <row r="14483" spans="13:19" ht="13.95" customHeight="1">
      <c r="M14483"/>
      <c r="N14483"/>
      <c r="O14483"/>
      <c r="P14483"/>
      <c r="Q14483"/>
      <c r="R14483"/>
      <c r="S14483"/>
    </row>
    <row r="14484" spans="13:19" ht="13.95" customHeight="1">
      <c r="M14484"/>
      <c r="N14484"/>
      <c r="O14484"/>
      <c r="P14484"/>
      <c r="Q14484"/>
      <c r="R14484"/>
      <c r="S14484"/>
    </row>
    <row r="14485" spans="13:19" ht="13.95" customHeight="1">
      <c r="M14485"/>
      <c r="N14485"/>
      <c r="O14485"/>
      <c r="P14485"/>
      <c r="Q14485"/>
      <c r="R14485"/>
      <c r="S14485"/>
    </row>
    <row r="14486" spans="13:19" ht="13.95" customHeight="1">
      <c r="M14486"/>
      <c r="N14486"/>
      <c r="O14486"/>
      <c r="P14486"/>
      <c r="Q14486"/>
      <c r="R14486"/>
      <c r="S14486"/>
    </row>
    <row r="14487" spans="13:19" ht="13.95" customHeight="1">
      <c r="M14487"/>
      <c r="N14487"/>
      <c r="O14487"/>
      <c r="P14487"/>
      <c r="Q14487"/>
      <c r="R14487"/>
      <c r="S14487"/>
    </row>
    <row r="14488" spans="13:19" ht="13.95" customHeight="1">
      <c r="M14488"/>
      <c r="N14488"/>
      <c r="O14488"/>
      <c r="P14488"/>
      <c r="Q14488"/>
      <c r="R14488"/>
      <c r="S14488"/>
    </row>
    <row r="14489" spans="13:19" ht="13.95" customHeight="1">
      <c r="M14489"/>
      <c r="N14489"/>
      <c r="O14489"/>
      <c r="P14489"/>
      <c r="Q14489"/>
      <c r="R14489"/>
      <c r="S14489"/>
    </row>
    <row r="14490" spans="13:19" ht="13.95" customHeight="1">
      <c r="M14490"/>
      <c r="N14490"/>
      <c r="O14490"/>
      <c r="P14490"/>
      <c r="Q14490"/>
      <c r="R14490"/>
      <c r="S14490"/>
    </row>
    <row r="14491" spans="13:19" ht="13.95" customHeight="1">
      <c r="M14491"/>
      <c r="N14491"/>
      <c r="O14491"/>
      <c r="P14491"/>
      <c r="Q14491"/>
      <c r="R14491"/>
      <c r="S14491"/>
    </row>
    <row r="14492" spans="13:19" ht="13.95" customHeight="1">
      <c r="M14492"/>
      <c r="N14492"/>
      <c r="O14492"/>
      <c r="P14492"/>
      <c r="Q14492"/>
      <c r="R14492"/>
      <c r="S14492"/>
    </row>
    <row r="14493" spans="13:19" ht="13.95" customHeight="1">
      <c r="M14493"/>
      <c r="N14493"/>
      <c r="O14493"/>
      <c r="P14493"/>
      <c r="Q14493"/>
      <c r="R14493"/>
      <c r="S14493"/>
    </row>
    <row r="14494" spans="13:19" ht="13.95" customHeight="1">
      <c r="M14494"/>
      <c r="N14494"/>
      <c r="O14494"/>
      <c r="P14494"/>
      <c r="Q14494"/>
      <c r="R14494"/>
      <c r="S14494"/>
    </row>
    <row r="14495" spans="13:19" ht="13.95" customHeight="1">
      <c r="M14495"/>
      <c r="N14495"/>
      <c r="O14495"/>
      <c r="P14495"/>
      <c r="Q14495"/>
      <c r="R14495"/>
      <c r="S14495"/>
    </row>
    <row r="14496" spans="13:19" ht="13.95" customHeight="1">
      <c r="M14496"/>
      <c r="N14496"/>
      <c r="O14496"/>
      <c r="P14496"/>
      <c r="Q14496"/>
      <c r="R14496"/>
      <c r="S14496"/>
    </row>
    <row r="14497" spans="13:19" ht="13.95" customHeight="1">
      <c r="M14497"/>
      <c r="N14497"/>
      <c r="O14497"/>
      <c r="P14497"/>
      <c r="Q14497"/>
      <c r="R14497"/>
      <c r="S14497"/>
    </row>
    <row r="14498" spans="13:19" ht="13.95" customHeight="1">
      <c r="M14498"/>
      <c r="N14498"/>
      <c r="O14498"/>
      <c r="P14498"/>
      <c r="Q14498"/>
      <c r="R14498"/>
      <c r="S14498"/>
    </row>
    <row r="14499" spans="13:19" ht="13.95" customHeight="1">
      <c r="M14499"/>
      <c r="N14499"/>
      <c r="O14499"/>
      <c r="P14499"/>
      <c r="Q14499"/>
      <c r="R14499"/>
      <c r="S14499"/>
    </row>
    <row r="14500" spans="13:19" ht="13.95" customHeight="1">
      <c r="M14500"/>
      <c r="N14500"/>
      <c r="O14500"/>
      <c r="P14500"/>
      <c r="Q14500"/>
      <c r="R14500"/>
      <c r="S14500"/>
    </row>
    <row r="14501" spans="13:19" ht="13.95" customHeight="1">
      <c r="M14501"/>
      <c r="N14501"/>
      <c r="O14501"/>
      <c r="P14501"/>
      <c r="Q14501"/>
      <c r="R14501"/>
      <c r="S14501"/>
    </row>
    <row r="14502" spans="13:19" ht="13.95" customHeight="1">
      <c r="M14502"/>
      <c r="N14502"/>
      <c r="O14502"/>
      <c r="P14502"/>
      <c r="Q14502"/>
      <c r="R14502"/>
      <c r="S14502"/>
    </row>
    <row r="14503" spans="13:19" ht="13.95" customHeight="1">
      <c r="M14503"/>
      <c r="N14503"/>
      <c r="O14503"/>
      <c r="P14503"/>
      <c r="Q14503"/>
      <c r="R14503"/>
      <c r="S14503"/>
    </row>
    <row r="14504" spans="13:19" ht="13.95" customHeight="1">
      <c r="M14504"/>
      <c r="N14504"/>
      <c r="O14504"/>
      <c r="P14504"/>
      <c r="Q14504"/>
      <c r="R14504"/>
      <c r="S14504"/>
    </row>
    <row r="14505" spans="13:19" ht="13.95" customHeight="1">
      <c r="M14505"/>
      <c r="N14505"/>
      <c r="O14505"/>
      <c r="P14505"/>
      <c r="Q14505"/>
      <c r="R14505"/>
      <c r="S14505"/>
    </row>
    <row r="14506" spans="13:19" ht="13.95" customHeight="1">
      <c r="M14506"/>
      <c r="N14506"/>
      <c r="O14506"/>
      <c r="P14506"/>
      <c r="Q14506"/>
      <c r="R14506"/>
      <c r="S14506"/>
    </row>
    <row r="14507" spans="13:19" ht="13.95" customHeight="1">
      <c r="M14507"/>
      <c r="N14507"/>
      <c r="O14507"/>
      <c r="P14507"/>
      <c r="Q14507"/>
      <c r="R14507"/>
      <c r="S14507"/>
    </row>
    <row r="14508" spans="13:19" ht="13.95" customHeight="1">
      <c r="M14508"/>
      <c r="N14508"/>
      <c r="O14508"/>
      <c r="P14508"/>
      <c r="Q14508"/>
      <c r="R14508"/>
      <c r="S14508"/>
    </row>
    <row r="14509" spans="13:19" ht="13.95" customHeight="1">
      <c r="M14509"/>
      <c r="N14509"/>
      <c r="O14509"/>
      <c r="P14509"/>
      <c r="Q14509"/>
      <c r="R14509"/>
      <c r="S14509"/>
    </row>
    <row r="14510" spans="13:19" ht="13.95" customHeight="1">
      <c r="M14510"/>
      <c r="N14510"/>
      <c r="O14510"/>
      <c r="P14510"/>
      <c r="Q14510"/>
      <c r="R14510"/>
      <c r="S14510"/>
    </row>
    <row r="14511" spans="13:19" ht="13.95" customHeight="1">
      <c r="M14511"/>
      <c r="N14511"/>
      <c r="O14511"/>
      <c r="P14511"/>
      <c r="Q14511"/>
      <c r="R14511"/>
      <c r="S14511"/>
    </row>
    <row r="14512" spans="13:19" ht="13.95" customHeight="1">
      <c r="M14512"/>
      <c r="N14512"/>
      <c r="O14512"/>
      <c r="P14512"/>
      <c r="Q14512"/>
      <c r="R14512"/>
      <c r="S14512"/>
    </row>
    <row r="14513" spans="13:19" ht="13.95" customHeight="1">
      <c r="M14513"/>
      <c r="N14513"/>
      <c r="O14513"/>
      <c r="P14513"/>
      <c r="Q14513"/>
      <c r="R14513"/>
      <c r="S14513"/>
    </row>
    <row r="14514" spans="13:19" ht="13.95" customHeight="1">
      <c r="M14514"/>
      <c r="N14514"/>
      <c r="O14514"/>
      <c r="P14514"/>
      <c r="Q14514"/>
      <c r="R14514"/>
      <c r="S14514"/>
    </row>
    <row r="14515" spans="13:19" ht="13.95" customHeight="1">
      <c r="M14515"/>
      <c r="N14515"/>
      <c r="O14515"/>
      <c r="P14515"/>
      <c r="Q14515"/>
      <c r="R14515"/>
      <c r="S14515"/>
    </row>
    <row r="14516" spans="13:19" ht="13.95" customHeight="1">
      <c r="M14516"/>
      <c r="N14516"/>
      <c r="O14516"/>
      <c r="P14516"/>
      <c r="Q14516"/>
      <c r="R14516"/>
      <c r="S14516"/>
    </row>
    <row r="14517" spans="13:19" ht="13.95" customHeight="1">
      <c r="M14517"/>
      <c r="N14517"/>
      <c r="O14517"/>
      <c r="P14517"/>
      <c r="Q14517"/>
      <c r="R14517"/>
      <c r="S14517"/>
    </row>
    <row r="14518" spans="13:19" ht="13.95" customHeight="1">
      <c r="M14518"/>
      <c r="N14518"/>
      <c r="O14518"/>
      <c r="P14518"/>
      <c r="Q14518"/>
      <c r="R14518"/>
      <c r="S14518"/>
    </row>
    <row r="14519" spans="13:19" ht="13.95" customHeight="1">
      <c r="M14519"/>
      <c r="N14519"/>
      <c r="O14519"/>
      <c r="P14519"/>
      <c r="Q14519"/>
      <c r="R14519"/>
      <c r="S14519"/>
    </row>
    <row r="14520" spans="13:19" ht="13.95" customHeight="1">
      <c r="M14520"/>
      <c r="N14520"/>
      <c r="O14520"/>
      <c r="P14520"/>
      <c r="Q14520"/>
      <c r="R14520"/>
      <c r="S14520"/>
    </row>
    <row r="14521" spans="13:19" ht="13.95" customHeight="1">
      <c r="M14521"/>
      <c r="N14521"/>
      <c r="O14521"/>
      <c r="P14521"/>
      <c r="Q14521"/>
      <c r="R14521"/>
      <c r="S14521"/>
    </row>
    <row r="14522" spans="13:19" ht="13.95" customHeight="1">
      <c r="M14522"/>
      <c r="N14522"/>
      <c r="O14522"/>
      <c r="P14522"/>
      <c r="Q14522"/>
      <c r="R14522"/>
      <c r="S14522"/>
    </row>
    <row r="14523" spans="13:19" ht="13.95" customHeight="1">
      <c r="M14523"/>
      <c r="N14523"/>
      <c r="O14523"/>
      <c r="P14523"/>
      <c r="Q14523"/>
      <c r="R14523"/>
      <c r="S14523"/>
    </row>
    <row r="14524" spans="13:19" ht="13.95" customHeight="1">
      <c r="M14524"/>
      <c r="N14524"/>
      <c r="O14524"/>
      <c r="P14524"/>
      <c r="Q14524"/>
      <c r="R14524"/>
      <c r="S14524"/>
    </row>
    <row r="14525" spans="13:19" ht="13.95" customHeight="1">
      <c r="M14525"/>
      <c r="N14525"/>
      <c r="O14525"/>
      <c r="P14525"/>
      <c r="Q14525"/>
      <c r="R14525"/>
      <c r="S14525"/>
    </row>
    <row r="14526" spans="13:19" ht="13.95" customHeight="1">
      <c r="M14526"/>
      <c r="N14526"/>
      <c r="O14526"/>
      <c r="P14526"/>
      <c r="Q14526"/>
      <c r="R14526"/>
      <c r="S14526"/>
    </row>
    <row r="14527" spans="13:19" ht="13.95" customHeight="1">
      <c r="M14527"/>
      <c r="N14527"/>
      <c r="O14527"/>
      <c r="P14527"/>
      <c r="Q14527"/>
      <c r="R14527"/>
      <c r="S14527"/>
    </row>
    <row r="14528" spans="13:19" ht="13.95" customHeight="1">
      <c r="M14528"/>
      <c r="N14528"/>
      <c r="O14528"/>
      <c r="P14528"/>
      <c r="Q14528"/>
      <c r="R14528"/>
      <c r="S14528"/>
    </row>
    <row r="14529" spans="13:19" ht="13.95" customHeight="1">
      <c r="M14529"/>
      <c r="N14529"/>
      <c r="O14529"/>
      <c r="P14529"/>
      <c r="Q14529"/>
      <c r="R14529"/>
      <c r="S14529"/>
    </row>
    <row r="14530" spans="13:19" ht="13.95" customHeight="1">
      <c r="M14530"/>
      <c r="N14530"/>
      <c r="O14530"/>
      <c r="P14530"/>
      <c r="Q14530"/>
      <c r="R14530"/>
      <c r="S14530"/>
    </row>
    <row r="14531" spans="13:19" ht="13.95" customHeight="1">
      <c r="M14531"/>
      <c r="N14531"/>
      <c r="O14531"/>
      <c r="P14531"/>
      <c r="Q14531"/>
      <c r="R14531"/>
      <c r="S14531"/>
    </row>
    <row r="14532" spans="13:19" ht="13.95" customHeight="1">
      <c r="M14532"/>
      <c r="N14532"/>
      <c r="O14532"/>
      <c r="P14532"/>
      <c r="Q14532"/>
      <c r="R14532"/>
      <c r="S14532"/>
    </row>
    <row r="14533" spans="13:19" ht="13.95" customHeight="1">
      <c r="M14533"/>
      <c r="N14533"/>
      <c r="O14533"/>
      <c r="P14533"/>
      <c r="Q14533"/>
      <c r="R14533"/>
      <c r="S14533"/>
    </row>
    <row r="14534" spans="13:19" ht="13.95" customHeight="1">
      <c r="M14534"/>
      <c r="N14534"/>
      <c r="O14534"/>
      <c r="P14534"/>
      <c r="Q14534"/>
      <c r="R14534"/>
      <c r="S14534"/>
    </row>
    <row r="14535" spans="13:19" ht="13.95" customHeight="1">
      <c r="M14535"/>
      <c r="N14535"/>
      <c r="O14535"/>
      <c r="P14535"/>
      <c r="Q14535"/>
      <c r="R14535"/>
      <c r="S14535"/>
    </row>
    <row r="14536" spans="13:19" ht="13.95" customHeight="1">
      <c r="M14536"/>
      <c r="N14536"/>
      <c r="O14536"/>
      <c r="P14536"/>
      <c r="Q14536"/>
      <c r="R14536"/>
      <c r="S14536"/>
    </row>
    <row r="14537" spans="13:19" ht="13.95" customHeight="1">
      <c r="M14537"/>
      <c r="N14537"/>
      <c r="O14537"/>
      <c r="P14537"/>
      <c r="Q14537"/>
      <c r="R14537"/>
      <c r="S14537"/>
    </row>
    <row r="14538" spans="13:19" ht="13.95" customHeight="1">
      <c r="M14538"/>
      <c r="N14538"/>
      <c r="O14538"/>
      <c r="P14538"/>
      <c r="Q14538"/>
      <c r="R14538"/>
      <c r="S14538"/>
    </row>
    <row r="14539" spans="13:19" ht="13.95" customHeight="1">
      <c r="M14539"/>
      <c r="N14539"/>
      <c r="O14539"/>
      <c r="P14539"/>
      <c r="Q14539"/>
      <c r="R14539"/>
      <c r="S14539"/>
    </row>
    <row r="14540" spans="13:19" ht="13.95" customHeight="1">
      <c r="M14540"/>
      <c r="N14540"/>
      <c r="O14540"/>
      <c r="P14540"/>
      <c r="Q14540"/>
      <c r="R14540"/>
      <c r="S14540"/>
    </row>
    <row r="14541" spans="13:19" ht="13.95" customHeight="1">
      <c r="M14541"/>
      <c r="N14541"/>
      <c r="O14541"/>
      <c r="P14541"/>
      <c r="Q14541"/>
      <c r="R14541"/>
      <c r="S14541"/>
    </row>
    <row r="14542" spans="13:19" ht="13.95" customHeight="1">
      <c r="M14542"/>
      <c r="N14542"/>
      <c r="O14542"/>
      <c r="P14542"/>
      <c r="Q14542"/>
      <c r="R14542"/>
      <c r="S14542"/>
    </row>
    <row r="14543" spans="13:19" ht="13.95" customHeight="1">
      <c r="M14543"/>
      <c r="N14543"/>
      <c r="O14543"/>
      <c r="P14543"/>
      <c r="Q14543"/>
      <c r="R14543"/>
      <c r="S14543"/>
    </row>
    <row r="14544" spans="13:19" ht="13.95" customHeight="1">
      <c r="M14544"/>
      <c r="N14544"/>
      <c r="O14544"/>
      <c r="P14544"/>
      <c r="Q14544"/>
      <c r="R14544"/>
      <c r="S14544"/>
    </row>
    <row r="14545" spans="13:19" ht="13.95" customHeight="1">
      <c r="M14545"/>
      <c r="N14545"/>
      <c r="O14545"/>
      <c r="P14545"/>
      <c r="Q14545"/>
      <c r="R14545"/>
      <c r="S14545"/>
    </row>
    <row r="14546" spans="13:19" ht="13.95" customHeight="1">
      <c r="M14546"/>
      <c r="N14546"/>
      <c r="O14546"/>
      <c r="P14546"/>
      <c r="Q14546"/>
      <c r="R14546"/>
      <c r="S14546"/>
    </row>
    <row r="14547" spans="13:19" ht="13.95" customHeight="1">
      <c r="M14547"/>
      <c r="N14547"/>
      <c r="O14547"/>
      <c r="P14547"/>
      <c r="Q14547"/>
      <c r="R14547"/>
      <c r="S14547"/>
    </row>
    <row r="14548" spans="13:19" ht="13.95" customHeight="1">
      <c r="M14548"/>
      <c r="N14548"/>
      <c r="O14548"/>
      <c r="P14548"/>
      <c r="Q14548"/>
      <c r="R14548"/>
      <c r="S14548"/>
    </row>
    <row r="14549" spans="13:19" ht="13.95" customHeight="1">
      <c r="M14549"/>
      <c r="N14549"/>
      <c r="O14549"/>
      <c r="P14549"/>
      <c r="Q14549"/>
      <c r="R14549"/>
      <c r="S14549"/>
    </row>
    <row r="14550" spans="13:19" ht="13.95" customHeight="1">
      <c r="M14550"/>
      <c r="N14550"/>
      <c r="O14550"/>
      <c r="P14550"/>
      <c r="Q14550"/>
      <c r="R14550"/>
      <c r="S14550"/>
    </row>
    <row r="14551" spans="13:19" ht="13.95" customHeight="1">
      <c r="M14551"/>
      <c r="N14551"/>
      <c r="O14551"/>
      <c r="P14551"/>
      <c r="Q14551"/>
      <c r="R14551"/>
      <c r="S14551"/>
    </row>
    <row r="14552" spans="13:19" ht="13.95" customHeight="1">
      <c r="M14552"/>
      <c r="N14552"/>
      <c r="O14552"/>
      <c r="P14552"/>
      <c r="Q14552"/>
      <c r="R14552"/>
      <c r="S14552"/>
    </row>
    <row r="14553" spans="13:19" ht="13.95" customHeight="1">
      <c r="M14553"/>
      <c r="N14553"/>
      <c r="O14553"/>
      <c r="P14553"/>
      <c r="Q14553"/>
      <c r="R14553"/>
      <c r="S14553"/>
    </row>
    <row r="14554" spans="13:19" ht="13.95" customHeight="1">
      <c r="M14554"/>
      <c r="N14554"/>
      <c r="O14554"/>
      <c r="P14554"/>
      <c r="Q14554"/>
      <c r="R14554"/>
      <c r="S14554"/>
    </row>
    <row r="14555" spans="13:19" ht="13.95" customHeight="1">
      <c r="M14555"/>
      <c r="N14555"/>
      <c r="O14555"/>
      <c r="P14555"/>
      <c r="Q14555"/>
      <c r="R14555"/>
      <c r="S14555"/>
    </row>
    <row r="14556" spans="13:19" ht="13.95" customHeight="1">
      <c r="M14556"/>
      <c r="N14556"/>
      <c r="O14556"/>
      <c r="P14556"/>
      <c r="Q14556"/>
      <c r="R14556"/>
      <c r="S14556"/>
    </row>
    <row r="14557" spans="13:19" ht="13.95" customHeight="1">
      <c r="M14557"/>
      <c r="N14557"/>
      <c r="O14557"/>
      <c r="P14557"/>
      <c r="Q14557"/>
      <c r="R14557"/>
      <c r="S14557"/>
    </row>
    <row r="14558" spans="13:19" ht="13.95" customHeight="1">
      <c r="M14558"/>
      <c r="N14558"/>
      <c r="O14558"/>
      <c r="P14558"/>
      <c r="Q14558"/>
      <c r="R14558"/>
      <c r="S14558"/>
    </row>
    <row r="14559" spans="13:19" ht="13.95" customHeight="1">
      <c r="M14559"/>
      <c r="N14559"/>
      <c r="O14559"/>
      <c r="P14559"/>
      <c r="Q14559"/>
      <c r="R14559"/>
      <c r="S14559"/>
    </row>
    <row r="14560" spans="13:19" ht="13.95" customHeight="1">
      <c r="M14560"/>
      <c r="N14560"/>
      <c r="O14560"/>
      <c r="P14560"/>
      <c r="Q14560"/>
      <c r="R14560"/>
      <c r="S14560"/>
    </row>
    <row r="14561" spans="13:19" ht="13.95" customHeight="1">
      <c r="M14561"/>
      <c r="N14561"/>
      <c r="O14561"/>
      <c r="P14561"/>
      <c r="Q14561"/>
      <c r="R14561"/>
      <c r="S14561"/>
    </row>
    <row r="14562" spans="13:19" ht="13.95" customHeight="1">
      <c r="M14562"/>
      <c r="N14562"/>
      <c r="O14562"/>
      <c r="P14562"/>
      <c r="Q14562"/>
      <c r="R14562"/>
      <c r="S14562"/>
    </row>
    <row r="14563" spans="13:19" ht="13.95" customHeight="1">
      <c r="M14563"/>
      <c r="N14563"/>
      <c r="O14563"/>
      <c r="P14563"/>
      <c r="Q14563"/>
      <c r="R14563"/>
      <c r="S14563"/>
    </row>
    <row r="14564" spans="13:19" ht="13.95" customHeight="1">
      <c r="M14564"/>
      <c r="N14564"/>
      <c r="O14564"/>
      <c r="P14564"/>
      <c r="Q14564"/>
      <c r="R14564"/>
      <c r="S14564"/>
    </row>
    <row r="14565" spans="13:19" ht="13.95" customHeight="1">
      <c r="M14565"/>
      <c r="N14565"/>
      <c r="O14565"/>
      <c r="P14565"/>
      <c r="Q14565"/>
      <c r="R14565"/>
      <c r="S14565"/>
    </row>
    <row r="14566" spans="13:19" ht="13.95" customHeight="1">
      <c r="M14566"/>
      <c r="N14566"/>
      <c r="O14566"/>
      <c r="P14566"/>
      <c r="Q14566"/>
      <c r="R14566"/>
      <c r="S14566"/>
    </row>
    <row r="14567" spans="13:19" ht="13.95" customHeight="1">
      <c r="M14567"/>
      <c r="N14567"/>
      <c r="O14567"/>
      <c r="P14567"/>
      <c r="Q14567"/>
      <c r="R14567"/>
      <c r="S14567"/>
    </row>
    <row r="14568" spans="13:19" ht="13.95" customHeight="1">
      <c r="M14568"/>
      <c r="N14568"/>
      <c r="O14568"/>
      <c r="P14568"/>
      <c r="Q14568"/>
      <c r="R14568"/>
      <c r="S14568"/>
    </row>
    <row r="14569" spans="13:19" ht="13.95" customHeight="1">
      <c r="M14569"/>
      <c r="N14569"/>
      <c r="O14569"/>
      <c r="P14569"/>
      <c r="Q14569"/>
      <c r="R14569"/>
      <c r="S14569"/>
    </row>
    <row r="14570" spans="13:19" ht="13.95" customHeight="1">
      <c r="M14570"/>
      <c r="N14570"/>
      <c r="O14570"/>
      <c r="P14570"/>
      <c r="Q14570"/>
      <c r="R14570"/>
      <c r="S14570"/>
    </row>
    <row r="14571" spans="13:19" ht="13.95" customHeight="1">
      <c r="M14571"/>
      <c r="N14571"/>
      <c r="O14571"/>
      <c r="P14571"/>
      <c r="Q14571"/>
      <c r="R14571"/>
      <c r="S14571"/>
    </row>
    <row r="14572" spans="13:19" ht="13.95" customHeight="1">
      <c r="M14572"/>
      <c r="N14572"/>
      <c r="O14572"/>
      <c r="P14572"/>
      <c r="Q14572"/>
      <c r="R14572"/>
      <c r="S14572"/>
    </row>
    <row r="14573" spans="13:19" ht="13.95" customHeight="1">
      <c r="M14573"/>
      <c r="N14573"/>
      <c r="O14573"/>
      <c r="P14573"/>
      <c r="Q14573"/>
      <c r="R14573"/>
      <c r="S14573"/>
    </row>
    <row r="14574" spans="13:19" ht="13.95" customHeight="1">
      <c r="M14574"/>
      <c r="N14574"/>
      <c r="O14574"/>
      <c r="P14574"/>
      <c r="Q14574"/>
      <c r="R14574"/>
      <c r="S14574"/>
    </row>
    <row r="14575" spans="13:19" ht="13.95" customHeight="1">
      <c r="M14575"/>
      <c r="N14575"/>
      <c r="O14575"/>
      <c r="P14575"/>
      <c r="Q14575"/>
      <c r="R14575"/>
      <c r="S14575"/>
    </row>
    <row r="14576" spans="13:19" ht="13.95" customHeight="1">
      <c r="M14576"/>
      <c r="N14576"/>
      <c r="O14576"/>
      <c r="P14576"/>
      <c r="Q14576"/>
      <c r="R14576"/>
      <c r="S14576"/>
    </row>
    <row r="14577" spans="13:19" ht="13.95" customHeight="1">
      <c r="M14577"/>
      <c r="N14577"/>
      <c r="O14577"/>
      <c r="P14577"/>
      <c r="Q14577"/>
      <c r="R14577"/>
      <c r="S14577"/>
    </row>
    <row r="14578" spans="13:19" ht="13.95" customHeight="1">
      <c r="M14578"/>
      <c r="N14578"/>
      <c r="O14578"/>
      <c r="P14578"/>
      <c r="Q14578"/>
      <c r="R14578"/>
      <c r="S14578"/>
    </row>
    <row r="14579" spans="13:19" ht="13.95" customHeight="1">
      <c r="M14579"/>
      <c r="N14579"/>
      <c r="O14579"/>
      <c r="P14579"/>
      <c r="Q14579"/>
      <c r="R14579"/>
      <c r="S14579"/>
    </row>
    <row r="14580" spans="13:19" ht="13.95" customHeight="1">
      <c r="M14580"/>
      <c r="N14580"/>
      <c r="O14580"/>
      <c r="P14580"/>
      <c r="Q14580"/>
      <c r="R14580"/>
      <c r="S14580"/>
    </row>
    <row r="14581" spans="13:19" ht="13.95" customHeight="1">
      <c r="M14581"/>
      <c r="N14581"/>
      <c r="O14581"/>
      <c r="P14581"/>
      <c r="Q14581"/>
      <c r="R14581"/>
      <c r="S14581"/>
    </row>
    <row r="14582" spans="13:19" ht="13.95" customHeight="1">
      <c r="M14582"/>
      <c r="N14582"/>
      <c r="O14582"/>
      <c r="P14582"/>
      <c r="Q14582"/>
      <c r="R14582"/>
      <c r="S14582"/>
    </row>
    <row r="14583" spans="13:19" ht="13.95" customHeight="1">
      <c r="M14583"/>
      <c r="N14583"/>
      <c r="O14583"/>
      <c r="P14583"/>
      <c r="Q14583"/>
      <c r="R14583"/>
      <c r="S14583"/>
    </row>
    <row r="14584" spans="13:19" ht="13.95" customHeight="1">
      <c r="M14584"/>
      <c r="N14584"/>
      <c r="O14584"/>
      <c r="P14584"/>
      <c r="Q14584"/>
      <c r="R14584"/>
      <c r="S14584"/>
    </row>
    <row r="14585" spans="13:19" ht="13.95" customHeight="1">
      <c r="M14585"/>
      <c r="N14585"/>
      <c r="O14585"/>
      <c r="P14585"/>
      <c r="Q14585"/>
      <c r="R14585"/>
      <c r="S14585"/>
    </row>
    <row r="14586" spans="13:19" ht="13.95" customHeight="1">
      <c r="M14586"/>
      <c r="N14586"/>
      <c r="O14586"/>
      <c r="P14586"/>
      <c r="Q14586"/>
      <c r="R14586"/>
      <c r="S14586"/>
    </row>
    <row r="14587" spans="13:19" ht="13.95" customHeight="1">
      <c r="M14587"/>
      <c r="N14587"/>
      <c r="O14587"/>
      <c r="P14587"/>
      <c r="Q14587"/>
      <c r="R14587"/>
      <c r="S14587"/>
    </row>
    <row r="14588" spans="13:19" ht="13.95" customHeight="1">
      <c r="M14588"/>
      <c r="N14588"/>
      <c r="O14588"/>
      <c r="P14588"/>
      <c r="Q14588"/>
      <c r="R14588"/>
      <c r="S14588"/>
    </row>
    <row r="14589" spans="13:19" ht="13.95" customHeight="1">
      <c r="M14589"/>
      <c r="N14589"/>
      <c r="O14589"/>
      <c r="P14589"/>
      <c r="Q14589"/>
      <c r="R14589"/>
      <c r="S14589"/>
    </row>
    <row r="14590" spans="13:19" ht="13.95" customHeight="1">
      <c r="M14590"/>
      <c r="N14590"/>
      <c r="O14590"/>
      <c r="P14590"/>
      <c r="Q14590"/>
      <c r="R14590"/>
      <c r="S14590"/>
    </row>
    <row r="14591" spans="13:19" ht="13.95" customHeight="1">
      <c r="M14591"/>
      <c r="N14591"/>
      <c r="O14591"/>
      <c r="P14591"/>
      <c r="Q14591"/>
      <c r="R14591"/>
      <c r="S14591"/>
    </row>
    <row r="14592" spans="13:19" ht="13.95" customHeight="1">
      <c r="M14592"/>
      <c r="N14592"/>
      <c r="O14592"/>
      <c r="P14592"/>
      <c r="Q14592"/>
      <c r="R14592"/>
      <c r="S14592"/>
    </row>
    <row r="14593" spans="13:19" ht="13.95" customHeight="1">
      <c r="M14593"/>
      <c r="N14593"/>
      <c r="O14593"/>
      <c r="P14593"/>
      <c r="Q14593"/>
      <c r="R14593"/>
      <c r="S14593"/>
    </row>
    <row r="14594" spans="13:19" ht="13.95" customHeight="1">
      <c r="M14594"/>
      <c r="N14594"/>
      <c r="O14594"/>
      <c r="P14594"/>
      <c r="Q14594"/>
      <c r="R14594"/>
      <c r="S14594"/>
    </row>
    <row r="14595" spans="13:19" ht="13.95" customHeight="1">
      <c r="M14595"/>
      <c r="N14595"/>
      <c r="O14595"/>
      <c r="P14595"/>
      <c r="Q14595"/>
      <c r="R14595"/>
      <c r="S14595"/>
    </row>
    <row r="14596" spans="13:19" ht="13.95" customHeight="1">
      <c r="M14596"/>
      <c r="N14596"/>
      <c r="O14596"/>
      <c r="P14596"/>
      <c r="Q14596"/>
      <c r="R14596"/>
      <c r="S14596"/>
    </row>
    <row r="14597" spans="13:19" ht="13.95" customHeight="1">
      <c r="M14597"/>
      <c r="N14597"/>
      <c r="O14597"/>
      <c r="P14597"/>
      <c r="Q14597"/>
      <c r="R14597"/>
      <c r="S14597"/>
    </row>
    <row r="14598" spans="13:19" ht="13.95" customHeight="1">
      <c r="M14598"/>
      <c r="N14598"/>
      <c r="O14598"/>
      <c r="P14598"/>
      <c r="Q14598"/>
      <c r="R14598"/>
      <c r="S14598"/>
    </row>
    <row r="14599" spans="13:19" ht="13.95" customHeight="1">
      <c r="M14599"/>
      <c r="N14599"/>
      <c r="O14599"/>
      <c r="P14599"/>
      <c r="Q14599"/>
      <c r="R14599"/>
      <c r="S14599"/>
    </row>
    <row r="14600" spans="13:19" ht="13.95" customHeight="1">
      <c r="M14600"/>
      <c r="N14600"/>
      <c r="O14600"/>
      <c r="P14600"/>
      <c r="Q14600"/>
      <c r="R14600"/>
      <c r="S14600"/>
    </row>
    <row r="14601" spans="13:19" ht="13.95" customHeight="1">
      <c r="M14601"/>
      <c r="N14601"/>
      <c r="O14601"/>
      <c r="P14601"/>
      <c r="Q14601"/>
      <c r="R14601"/>
      <c r="S14601"/>
    </row>
    <row r="14602" spans="13:19" ht="13.95" customHeight="1">
      <c r="M14602"/>
      <c r="N14602"/>
      <c r="O14602"/>
      <c r="P14602"/>
      <c r="Q14602"/>
      <c r="R14602"/>
      <c r="S14602"/>
    </row>
    <row r="14603" spans="13:19" ht="13.95" customHeight="1">
      <c r="M14603"/>
      <c r="N14603"/>
      <c r="O14603"/>
      <c r="P14603"/>
      <c r="Q14603"/>
      <c r="R14603"/>
      <c r="S14603"/>
    </row>
    <row r="14604" spans="13:19" ht="13.95" customHeight="1">
      <c r="M14604"/>
      <c r="N14604"/>
      <c r="O14604"/>
      <c r="P14604"/>
      <c r="Q14604"/>
      <c r="R14604"/>
      <c r="S14604"/>
    </row>
    <row r="14605" spans="13:19" ht="13.95" customHeight="1">
      <c r="M14605"/>
      <c r="N14605"/>
      <c r="O14605"/>
      <c r="P14605"/>
      <c r="Q14605"/>
      <c r="R14605"/>
      <c r="S14605"/>
    </row>
    <row r="14606" spans="13:19" ht="13.95" customHeight="1">
      <c r="M14606"/>
      <c r="N14606"/>
      <c r="O14606"/>
      <c r="P14606"/>
      <c r="Q14606"/>
      <c r="R14606"/>
      <c r="S14606"/>
    </row>
    <row r="14607" spans="13:19" ht="13.95" customHeight="1">
      <c r="M14607"/>
      <c r="N14607"/>
      <c r="O14607"/>
      <c r="P14607"/>
      <c r="Q14607"/>
      <c r="R14607"/>
      <c r="S14607"/>
    </row>
    <row r="14608" spans="13:19" ht="13.95" customHeight="1">
      <c r="M14608"/>
      <c r="N14608"/>
      <c r="O14608"/>
      <c r="P14608"/>
      <c r="Q14608"/>
      <c r="R14608"/>
      <c r="S14608"/>
    </row>
    <row r="14609" spans="13:19" ht="13.95" customHeight="1">
      <c r="M14609"/>
      <c r="N14609"/>
      <c r="O14609"/>
      <c r="P14609"/>
      <c r="Q14609"/>
      <c r="R14609"/>
      <c r="S14609"/>
    </row>
    <row r="14610" spans="13:19" ht="13.95" customHeight="1">
      <c r="M14610"/>
      <c r="N14610"/>
      <c r="O14610"/>
      <c r="P14610"/>
      <c r="Q14610"/>
      <c r="R14610"/>
      <c r="S14610"/>
    </row>
    <row r="14611" spans="13:19" ht="13.95" customHeight="1">
      <c r="M14611"/>
      <c r="N14611"/>
      <c r="O14611"/>
      <c r="P14611"/>
      <c r="Q14611"/>
      <c r="R14611"/>
      <c r="S14611"/>
    </row>
    <row r="14612" spans="13:19" ht="13.95" customHeight="1">
      <c r="M14612"/>
      <c r="N14612"/>
      <c r="O14612"/>
      <c r="P14612"/>
      <c r="Q14612"/>
      <c r="R14612"/>
      <c r="S14612"/>
    </row>
    <row r="14613" spans="13:19" ht="13.95" customHeight="1">
      <c r="M14613"/>
      <c r="N14613"/>
      <c r="O14613"/>
      <c r="P14613"/>
      <c r="Q14613"/>
      <c r="R14613"/>
      <c r="S14613"/>
    </row>
    <row r="14614" spans="13:19" ht="13.95" customHeight="1">
      <c r="M14614"/>
      <c r="N14614"/>
      <c r="O14614"/>
      <c r="P14614"/>
      <c r="Q14614"/>
      <c r="R14614"/>
      <c r="S14614"/>
    </row>
    <row r="14615" spans="13:19" ht="13.95" customHeight="1">
      <c r="M14615"/>
      <c r="N14615"/>
      <c r="O14615"/>
      <c r="P14615"/>
      <c r="Q14615"/>
      <c r="R14615"/>
      <c r="S14615"/>
    </row>
    <row r="14616" spans="13:19" ht="13.95" customHeight="1">
      <c r="M14616"/>
      <c r="N14616"/>
      <c r="O14616"/>
      <c r="P14616"/>
      <c r="Q14616"/>
      <c r="R14616"/>
      <c r="S14616"/>
    </row>
    <row r="14617" spans="13:19" ht="13.95" customHeight="1">
      <c r="M14617"/>
      <c r="N14617"/>
      <c r="O14617"/>
      <c r="P14617"/>
      <c r="Q14617"/>
      <c r="R14617"/>
      <c r="S14617"/>
    </row>
    <row r="14618" spans="13:19" ht="13.95" customHeight="1">
      <c r="M14618"/>
      <c r="N14618"/>
      <c r="O14618"/>
      <c r="P14618"/>
      <c r="Q14618"/>
      <c r="R14618"/>
      <c r="S14618"/>
    </row>
    <row r="14619" spans="13:19" ht="13.95" customHeight="1">
      <c r="M14619"/>
      <c r="N14619"/>
      <c r="O14619"/>
      <c r="P14619"/>
      <c r="Q14619"/>
      <c r="R14619"/>
      <c r="S14619"/>
    </row>
    <row r="14620" spans="13:19" ht="13.95" customHeight="1">
      <c r="M14620"/>
      <c r="N14620"/>
      <c r="O14620"/>
      <c r="P14620"/>
      <c r="Q14620"/>
      <c r="R14620"/>
      <c r="S14620"/>
    </row>
    <row r="14621" spans="13:19" ht="13.95" customHeight="1">
      <c r="M14621"/>
      <c r="N14621"/>
      <c r="O14621"/>
      <c r="P14621"/>
      <c r="Q14621"/>
      <c r="R14621"/>
      <c r="S14621"/>
    </row>
    <row r="14622" spans="13:19" ht="13.95" customHeight="1">
      <c r="M14622"/>
      <c r="N14622"/>
      <c r="O14622"/>
      <c r="P14622"/>
      <c r="Q14622"/>
      <c r="R14622"/>
      <c r="S14622"/>
    </row>
    <row r="14623" spans="13:19" ht="13.95" customHeight="1">
      <c r="M14623"/>
      <c r="N14623"/>
      <c r="O14623"/>
      <c r="P14623"/>
      <c r="Q14623"/>
      <c r="R14623"/>
      <c r="S14623"/>
    </row>
    <row r="14624" spans="13:19" ht="13.95" customHeight="1">
      <c r="M14624"/>
      <c r="N14624"/>
      <c r="O14624"/>
      <c r="P14624"/>
      <c r="Q14624"/>
      <c r="R14624"/>
      <c r="S14624"/>
    </row>
    <row r="14625" spans="13:19" ht="13.95" customHeight="1">
      <c r="M14625"/>
      <c r="N14625"/>
      <c r="O14625"/>
      <c r="P14625"/>
      <c r="Q14625"/>
      <c r="R14625"/>
      <c r="S14625"/>
    </row>
    <row r="14626" spans="13:19" ht="13.95" customHeight="1">
      <c r="M14626"/>
      <c r="N14626"/>
      <c r="O14626"/>
      <c r="P14626"/>
      <c r="Q14626"/>
      <c r="R14626"/>
      <c r="S14626"/>
    </row>
    <row r="14627" spans="13:19" ht="13.95" customHeight="1">
      <c r="M14627"/>
      <c r="N14627"/>
      <c r="O14627"/>
      <c r="P14627"/>
      <c r="Q14627"/>
      <c r="R14627"/>
      <c r="S14627"/>
    </row>
    <row r="14628" spans="13:19" ht="13.95" customHeight="1">
      <c r="M14628"/>
      <c r="N14628"/>
      <c r="O14628"/>
      <c r="P14628"/>
      <c r="Q14628"/>
      <c r="R14628"/>
      <c r="S14628"/>
    </row>
    <row r="14629" spans="13:19" ht="13.95" customHeight="1">
      <c r="M14629"/>
      <c r="N14629"/>
      <c r="O14629"/>
      <c r="P14629"/>
      <c r="Q14629"/>
      <c r="R14629"/>
      <c r="S14629"/>
    </row>
    <row r="14630" spans="13:19" ht="13.95" customHeight="1">
      <c r="M14630"/>
      <c r="N14630"/>
      <c r="O14630"/>
      <c r="P14630"/>
      <c r="Q14630"/>
      <c r="R14630"/>
      <c r="S14630"/>
    </row>
    <row r="14631" spans="13:19" ht="13.95" customHeight="1">
      <c r="M14631"/>
      <c r="N14631"/>
      <c r="O14631"/>
      <c r="P14631"/>
      <c r="Q14631"/>
      <c r="R14631"/>
      <c r="S14631"/>
    </row>
    <row r="14632" spans="13:19" ht="13.95" customHeight="1">
      <c r="M14632"/>
      <c r="N14632"/>
      <c r="O14632"/>
      <c r="P14632"/>
      <c r="Q14632"/>
      <c r="R14632"/>
      <c r="S14632"/>
    </row>
    <row r="14633" spans="13:19" ht="13.95" customHeight="1">
      <c r="M14633"/>
      <c r="N14633"/>
      <c r="O14633"/>
      <c r="P14633"/>
      <c r="Q14633"/>
      <c r="R14633"/>
      <c r="S14633"/>
    </row>
    <row r="14634" spans="13:19" ht="13.95" customHeight="1">
      <c r="M14634"/>
      <c r="N14634"/>
      <c r="O14634"/>
      <c r="P14634"/>
      <c r="Q14634"/>
      <c r="R14634"/>
      <c r="S14634"/>
    </row>
    <row r="14635" spans="13:19" ht="13.95" customHeight="1">
      <c r="M14635"/>
      <c r="N14635"/>
      <c r="O14635"/>
      <c r="P14635"/>
      <c r="Q14635"/>
      <c r="R14635"/>
      <c r="S14635"/>
    </row>
    <row r="14636" spans="13:19" ht="13.95" customHeight="1">
      <c r="M14636"/>
      <c r="N14636"/>
      <c r="O14636"/>
      <c r="P14636"/>
      <c r="Q14636"/>
      <c r="R14636"/>
      <c r="S14636"/>
    </row>
    <row r="14637" spans="13:19" ht="13.95" customHeight="1">
      <c r="M14637"/>
      <c r="N14637"/>
      <c r="O14637"/>
      <c r="P14637"/>
      <c r="Q14637"/>
      <c r="R14637"/>
      <c r="S14637"/>
    </row>
    <row r="14638" spans="13:19" ht="13.95" customHeight="1">
      <c r="M14638"/>
      <c r="N14638"/>
      <c r="O14638"/>
      <c r="P14638"/>
      <c r="Q14638"/>
      <c r="R14638"/>
      <c r="S14638"/>
    </row>
    <row r="14639" spans="13:19" ht="13.95" customHeight="1">
      <c r="M14639"/>
      <c r="N14639"/>
      <c r="O14639"/>
      <c r="P14639"/>
      <c r="Q14639"/>
      <c r="R14639"/>
      <c r="S14639"/>
    </row>
    <row r="14640" spans="13:19" ht="13.95" customHeight="1">
      <c r="M14640"/>
      <c r="N14640"/>
      <c r="O14640"/>
      <c r="P14640"/>
      <c r="Q14640"/>
      <c r="R14640"/>
      <c r="S14640"/>
    </row>
    <row r="14641" spans="13:19" ht="13.95" customHeight="1">
      <c r="M14641"/>
      <c r="N14641"/>
      <c r="O14641"/>
      <c r="P14641"/>
      <c r="Q14641"/>
      <c r="R14641"/>
      <c r="S14641"/>
    </row>
    <row r="14642" spans="13:19" ht="13.95" customHeight="1">
      <c r="M14642"/>
      <c r="N14642"/>
      <c r="O14642"/>
      <c r="P14642"/>
      <c r="Q14642"/>
      <c r="R14642"/>
      <c r="S14642"/>
    </row>
    <row r="14643" spans="13:19" ht="13.95" customHeight="1">
      <c r="M14643"/>
      <c r="N14643"/>
      <c r="O14643"/>
      <c r="P14643"/>
      <c r="Q14643"/>
      <c r="R14643"/>
      <c r="S14643"/>
    </row>
    <row r="14644" spans="13:19" ht="13.95" customHeight="1">
      <c r="M14644"/>
      <c r="N14644"/>
      <c r="O14644"/>
      <c r="P14644"/>
      <c r="Q14644"/>
      <c r="R14644"/>
      <c r="S14644"/>
    </row>
    <row r="14645" spans="13:19" ht="13.95" customHeight="1">
      <c r="M14645"/>
      <c r="N14645"/>
      <c r="O14645"/>
      <c r="P14645"/>
      <c r="Q14645"/>
      <c r="R14645"/>
      <c r="S14645"/>
    </row>
    <row r="14646" spans="13:19" ht="13.95" customHeight="1">
      <c r="M14646"/>
      <c r="N14646"/>
      <c r="O14646"/>
      <c r="P14646"/>
      <c r="Q14646"/>
      <c r="R14646"/>
      <c r="S14646"/>
    </row>
    <row r="14647" spans="13:19" ht="13.95" customHeight="1">
      <c r="M14647"/>
      <c r="N14647"/>
      <c r="O14647"/>
      <c r="P14647"/>
      <c r="Q14647"/>
      <c r="R14647"/>
      <c r="S14647"/>
    </row>
    <row r="14648" spans="13:19" ht="13.95" customHeight="1">
      <c r="M14648"/>
      <c r="N14648"/>
      <c r="O14648"/>
      <c r="P14648"/>
      <c r="Q14648"/>
      <c r="R14648"/>
      <c r="S14648"/>
    </row>
    <row r="14649" spans="13:19" ht="13.95" customHeight="1">
      <c r="M14649"/>
      <c r="N14649"/>
      <c r="O14649"/>
      <c r="P14649"/>
      <c r="Q14649"/>
      <c r="R14649"/>
      <c r="S14649"/>
    </row>
    <row r="14650" spans="13:19" ht="13.95" customHeight="1">
      <c r="M14650"/>
      <c r="N14650"/>
      <c r="O14650"/>
      <c r="P14650"/>
      <c r="Q14650"/>
      <c r="R14650"/>
      <c r="S14650"/>
    </row>
    <row r="14651" spans="13:19" ht="13.95" customHeight="1">
      <c r="M14651"/>
      <c r="N14651"/>
      <c r="O14651"/>
      <c r="P14651"/>
      <c r="Q14651"/>
      <c r="R14651"/>
      <c r="S14651"/>
    </row>
    <row r="14652" spans="13:19" ht="13.95" customHeight="1">
      <c r="M14652"/>
      <c r="N14652"/>
      <c r="O14652"/>
      <c r="P14652"/>
      <c r="Q14652"/>
      <c r="R14652"/>
      <c r="S14652"/>
    </row>
    <row r="14653" spans="13:19" ht="13.95" customHeight="1">
      <c r="M14653"/>
      <c r="N14653"/>
      <c r="O14653"/>
      <c r="P14653"/>
      <c r="Q14653"/>
      <c r="R14653"/>
      <c r="S14653"/>
    </row>
    <row r="14654" spans="13:19" ht="13.95" customHeight="1">
      <c r="M14654"/>
      <c r="N14654"/>
      <c r="O14654"/>
      <c r="P14654"/>
      <c r="Q14654"/>
      <c r="R14654"/>
      <c r="S14654"/>
    </row>
    <row r="14655" spans="13:19" ht="13.95" customHeight="1">
      <c r="M14655"/>
      <c r="N14655"/>
      <c r="O14655"/>
      <c r="P14655"/>
      <c r="Q14655"/>
      <c r="R14655"/>
      <c r="S14655"/>
    </row>
    <row r="14656" spans="13:19" ht="13.95" customHeight="1">
      <c r="M14656"/>
      <c r="N14656"/>
      <c r="O14656"/>
      <c r="P14656"/>
      <c r="Q14656"/>
      <c r="R14656"/>
      <c r="S14656"/>
    </row>
    <row r="14657" spans="13:19" ht="13.95" customHeight="1">
      <c r="M14657"/>
      <c r="N14657"/>
      <c r="O14657"/>
      <c r="P14657"/>
      <c r="Q14657"/>
      <c r="R14657"/>
      <c r="S14657"/>
    </row>
    <row r="14658" spans="13:19" ht="13.95" customHeight="1">
      <c r="M14658"/>
      <c r="N14658"/>
      <c r="O14658"/>
      <c r="P14658"/>
      <c r="Q14658"/>
      <c r="R14658"/>
      <c r="S14658"/>
    </row>
    <row r="14659" spans="13:19" ht="13.95" customHeight="1">
      <c r="M14659"/>
      <c r="N14659"/>
      <c r="O14659"/>
      <c r="P14659"/>
      <c r="Q14659"/>
      <c r="R14659"/>
      <c r="S14659"/>
    </row>
    <row r="14660" spans="13:19" ht="13.95" customHeight="1">
      <c r="M14660"/>
      <c r="N14660"/>
      <c r="O14660"/>
      <c r="P14660"/>
      <c r="Q14660"/>
      <c r="R14660"/>
      <c r="S14660"/>
    </row>
    <row r="14661" spans="13:19" ht="13.95" customHeight="1">
      <c r="M14661"/>
      <c r="N14661"/>
      <c r="O14661"/>
      <c r="P14661"/>
      <c r="Q14661"/>
      <c r="R14661"/>
      <c r="S14661"/>
    </row>
    <row r="14662" spans="13:19" ht="13.95" customHeight="1">
      <c r="M14662"/>
      <c r="N14662"/>
      <c r="O14662"/>
      <c r="P14662"/>
      <c r="Q14662"/>
      <c r="R14662"/>
      <c r="S14662"/>
    </row>
    <row r="14663" spans="13:19" ht="13.95" customHeight="1">
      <c r="M14663"/>
      <c r="N14663"/>
      <c r="O14663"/>
      <c r="P14663"/>
      <c r="Q14663"/>
      <c r="R14663"/>
      <c r="S14663"/>
    </row>
    <row r="14664" spans="13:19" ht="13.95" customHeight="1">
      <c r="M14664"/>
      <c r="N14664"/>
      <c r="O14664"/>
      <c r="P14664"/>
      <c r="Q14664"/>
      <c r="R14664"/>
      <c r="S14664"/>
    </row>
    <row r="14665" spans="13:19" ht="13.95" customHeight="1">
      <c r="M14665"/>
      <c r="N14665"/>
      <c r="O14665"/>
      <c r="P14665"/>
      <c r="Q14665"/>
      <c r="R14665"/>
      <c r="S14665"/>
    </row>
    <row r="14666" spans="13:19" ht="13.95" customHeight="1">
      <c r="M14666"/>
      <c r="N14666"/>
      <c r="O14666"/>
      <c r="P14666"/>
      <c r="Q14666"/>
      <c r="R14666"/>
      <c r="S14666"/>
    </row>
    <row r="14667" spans="13:19" ht="13.95" customHeight="1">
      <c r="M14667"/>
      <c r="N14667"/>
      <c r="O14667"/>
      <c r="P14667"/>
      <c r="Q14667"/>
      <c r="R14667"/>
      <c r="S14667"/>
    </row>
    <row r="14668" spans="13:19" ht="13.95" customHeight="1">
      <c r="M14668"/>
      <c r="N14668"/>
      <c r="O14668"/>
      <c r="P14668"/>
      <c r="Q14668"/>
      <c r="R14668"/>
      <c r="S14668"/>
    </row>
    <row r="14669" spans="13:19" ht="13.95" customHeight="1">
      <c r="M14669"/>
      <c r="N14669"/>
      <c r="O14669"/>
      <c r="P14669"/>
      <c r="Q14669"/>
      <c r="R14669"/>
      <c r="S14669"/>
    </row>
    <row r="14670" spans="13:19" ht="13.95" customHeight="1">
      <c r="M14670"/>
      <c r="N14670"/>
      <c r="O14670"/>
      <c r="P14670"/>
      <c r="Q14670"/>
      <c r="R14670"/>
      <c r="S14670"/>
    </row>
    <row r="14671" spans="13:19" ht="13.95" customHeight="1">
      <c r="M14671"/>
      <c r="N14671"/>
      <c r="O14671"/>
      <c r="P14671"/>
      <c r="Q14671"/>
      <c r="R14671"/>
      <c r="S14671"/>
    </row>
    <row r="14672" spans="13:19" ht="13.95" customHeight="1">
      <c r="M14672"/>
      <c r="N14672"/>
      <c r="O14672"/>
      <c r="P14672"/>
      <c r="Q14672"/>
      <c r="R14672"/>
      <c r="S14672"/>
    </row>
    <row r="14673" spans="13:19" ht="13.95" customHeight="1">
      <c r="M14673"/>
      <c r="N14673"/>
      <c r="O14673"/>
      <c r="P14673"/>
      <c r="Q14673"/>
      <c r="R14673"/>
      <c r="S14673"/>
    </row>
    <row r="14674" spans="13:19" ht="13.95" customHeight="1">
      <c r="M14674"/>
      <c r="N14674"/>
      <c r="O14674"/>
      <c r="P14674"/>
      <c r="Q14674"/>
      <c r="R14674"/>
      <c r="S14674"/>
    </row>
    <row r="14675" spans="13:19" ht="13.95" customHeight="1">
      <c r="M14675"/>
      <c r="N14675"/>
      <c r="O14675"/>
      <c r="P14675"/>
      <c r="Q14675"/>
      <c r="R14675"/>
      <c r="S14675"/>
    </row>
    <row r="14676" spans="13:19" ht="13.95" customHeight="1">
      <c r="M14676"/>
      <c r="N14676"/>
      <c r="O14676"/>
      <c r="P14676"/>
      <c r="Q14676"/>
      <c r="R14676"/>
      <c r="S14676"/>
    </row>
    <row r="14677" spans="13:19" ht="13.95" customHeight="1">
      <c r="M14677"/>
      <c r="N14677"/>
      <c r="O14677"/>
      <c r="P14677"/>
      <c r="Q14677"/>
      <c r="R14677"/>
      <c r="S14677"/>
    </row>
    <row r="14678" spans="13:19" ht="13.95" customHeight="1">
      <c r="M14678"/>
      <c r="N14678"/>
      <c r="O14678"/>
      <c r="P14678"/>
      <c r="Q14678"/>
      <c r="R14678"/>
      <c r="S14678"/>
    </row>
    <row r="14679" spans="13:19" ht="13.95" customHeight="1">
      <c r="M14679"/>
      <c r="N14679"/>
      <c r="O14679"/>
      <c r="P14679"/>
      <c r="Q14679"/>
      <c r="R14679"/>
      <c r="S14679"/>
    </row>
    <row r="14680" spans="13:19" ht="13.95" customHeight="1">
      <c r="M14680"/>
      <c r="N14680"/>
      <c r="O14680"/>
      <c r="P14680"/>
      <c r="Q14680"/>
      <c r="R14680"/>
      <c r="S14680"/>
    </row>
    <row r="14681" spans="13:19" ht="13.95" customHeight="1">
      <c r="M14681"/>
      <c r="N14681"/>
      <c r="O14681"/>
      <c r="P14681"/>
      <c r="Q14681"/>
      <c r="R14681"/>
      <c r="S14681"/>
    </row>
    <row r="14682" spans="13:19" ht="13.95" customHeight="1">
      <c r="M14682"/>
      <c r="N14682"/>
      <c r="O14682"/>
      <c r="P14682"/>
      <c r="Q14682"/>
      <c r="R14682"/>
      <c r="S14682"/>
    </row>
    <row r="14683" spans="13:19" ht="13.95" customHeight="1">
      <c r="M14683"/>
      <c r="N14683"/>
      <c r="O14683"/>
      <c r="P14683"/>
      <c r="Q14683"/>
      <c r="R14683"/>
      <c r="S14683"/>
    </row>
    <row r="14684" spans="13:19" ht="13.95" customHeight="1">
      <c r="M14684"/>
      <c r="N14684"/>
      <c r="O14684"/>
      <c r="P14684"/>
      <c r="Q14684"/>
      <c r="R14684"/>
      <c r="S14684"/>
    </row>
    <row r="14685" spans="13:19" ht="13.95" customHeight="1">
      <c r="M14685"/>
      <c r="N14685"/>
      <c r="O14685"/>
      <c r="P14685"/>
      <c r="Q14685"/>
      <c r="R14685"/>
      <c r="S14685"/>
    </row>
    <row r="14686" spans="13:19" ht="13.95" customHeight="1">
      <c r="M14686"/>
      <c r="N14686"/>
      <c r="O14686"/>
      <c r="P14686"/>
      <c r="Q14686"/>
      <c r="R14686"/>
      <c r="S14686"/>
    </row>
    <row r="14687" spans="13:19" ht="13.95" customHeight="1">
      <c r="M14687"/>
      <c r="N14687"/>
      <c r="O14687"/>
      <c r="P14687"/>
      <c r="Q14687"/>
      <c r="R14687"/>
      <c r="S14687"/>
    </row>
    <row r="14688" spans="13:19" ht="13.95" customHeight="1">
      <c r="M14688"/>
      <c r="N14688"/>
      <c r="O14688"/>
      <c r="P14688"/>
      <c r="Q14688"/>
      <c r="R14688"/>
      <c r="S14688"/>
    </row>
    <row r="14689" spans="13:19" ht="13.95" customHeight="1">
      <c r="M14689"/>
      <c r="N14689"/>
      <c r="O14689"/>
      <c r="P14689"/>
      <c r="Q14689"/>
      <c r="R14689"/>
      <c r="S14689"/>
    </row>
    <row r="14690" spans="13:19" ht="13.95" customHeight="1">
      <c r="M14690"/>
      <c r="N14690"/>
      <c r="O14690"/>
      <c r="P14690"/>
      <c r="Q14690"/>
      <c r="R14690"/>
      <c r="S14690"/>
    </row>
    <row r="14691" spans="13:19" ht="13.95" customHeight="1">
      <c r="M14691"/>
      <c r="N14691"/>
      <c r="O14691"/>
      <c r="P14691"/>
      <c r="Q14691"/>
      <c r="R14691"/>
      <c r="S14691"/>
    </row>
    <row r="14692" spans="13:19" ht="13.95" customHeight="1">
      <c r="M14692"/>
      <c r="N14692"/>
      <c r="O14692"/>
      <c r="P14692"/>
      <c r="Q14692"/>
      <c r="R14692"/>
      <c r="S14692"/>
    </row>
    <row r="14693" spans="13:19" ht="13.95" customHeight="1">
      <c r="M14693"/>
      <c r="N14693"/>
      <c r="O14693"/>
      <c r="P14693"/>
      <c r="Q14693"/>
      <c r="R14693"/>
      <c r="S14693"/>
    </row>
    <row r="14694" spans="13:19" ht="13.95" customHeight="1">
      <c r="M14694"/>
      <c r="N14694"/>
      <c r="O14694"/>
      <c r="P14694"/>
      <c r="Q14694"/>
      <c r="R14694"/>
      <c r="S14694"/>
    </row>
    <row r="14695" spans="13:19" ht="13.95" customHeight="1">
      <c r="M14695"/>
      <c r="N14695"/>
      <c r="O14695"/>
      <c r="P14695"/>
      <c r="Q14695"/>
      <c r="R14695"/>
      <c r="S14695"/>
    </row>
    <row r="14696" spans="13:19" ht="13.95" customHeight="1">
      <c r="M14696"/>
      <c r="N14696"/>
      <c r="O14696"/>
      <c r="P14696"/>
      <c r="Q14696"/>
      <c r="R14696"/>
      <c r="S14696"/>
    </row>
    <row r="14697" spans="13:19" ht="13.95" customHeight="1">
      <c r="M14697"/>
      <c r="N14697"/>
      <c r="O14697"/>
      <c r="P14697"/>
      <c r="Q14697"/>
      <c r="R14697"/>
      <c r="S14697"/>
    </row>
    <row r="14698" spans="13:19" ht="13.95" customHeight="1">
      <c r="M14698"/>
      <c r="N14698"/>
      <c r="O14698"/>
      <c r="P14698"/>
      <c r="Q14698"/>
      <c r="R14698"/>
      <c r="S14698"/>
    </row>
    <row r="14699" spans="13:19" ht="13.95" customHeight="1">
      <c r="M14699"/>
      <c r="N14699"/>
      <c r="O14699"/>
      <c r="P14699"/>
      <c r="Q14699"/>
      <c r="R14699"/>
      <c r="S14699"/>
    </row>
    <row r="14700" spans="13:19" ht="13.95" customHeight="1">
      <c r="M14700"/>
      <c r="N14700"/>
      <c r="O14700"/>
      <c r="P14700"/>
      <c r="Q14700"/>
      <c r="R14700"/>
      <c r="S14700"/>
    </row>
    <row r="14701" spans="13:19" ht="13.95" customHeight="1">
      <c r="M14701"/>
      <c r="N14701"/>
      <c r="O14701"/>
      <c r="P14701"/>
      <c r="Q14701"/>
      <c r="R14701"/>
      <c r="S14701"/>
    </row>
    <row r="14702" spans="13:19" ht="13.95" customHeight="1">
      <c r="M14702"/>
      <c r="N14702"/>
      <c r="O14702"/>
      <c r="P14702"/>
      <c r="Q14702"/>
      <c r="R14702"/>
      <c r="S14702"/>
    </row>
    <row r="14703" spans="13:19" ht="13.95" customHeight="1">
      <c r="M14703"/>
      <c r="N14703"/>
      <c r="O14703"/>
      <c r="P14703"/>
      <c r="Q14703"/>
      <c r="R14703"/>
      <c r="S14703"/>
    </row>
    <row r="14704" spans="13:19" ht="13.95" customHeight="1">
      <c r="M14704"/>
      <c r="N14704"/>
      <c r="O14704"/>
      <c r="P14704"/>
      <c r="Q14704"/>
      <c r="R14704"/>
      <c r="S14704"/>
    </row>
    <row r="14705" spans="13:19" ht="13.95" customHeight="1">
      <c r="M14705"/>
      <c r="N14705"/>
      <c r="O14705"/>
      <c r="P14705"/>
      <c r="Q14705"/>
      <c r="R14705"/>
      <c r="S14705"/>
    </row>
    <row r="14706" spans="13:19" ht="13.95" customHeight="1">
      <c r="M14706"/>
      <c r="N14706"/>
      <c r="O14706"/>
      <c r="P14706"/>
      <c r="Q14706"/>
      <c r="R14706"/>
      <c r="S14706"/>
    </row>
    <row r="14707" spans="13:19" ht="13.95" customHeight="1">
      <c r="M14707"/>
      <c r="N14707"/>
      <c r="O14707"/>
      <c r="P14707"/>
      <c r="Q14707"/>
      <c r="R14707"/>
      <c r="S14707"/>
    </row>
    <row r="14708" spans="13:19" ht="13.95" customHeight="1">
      <c r="M14708"/>
      <c r="N14708"/>
      <c r="O14708"/>
      <c r="P14708"/>
      <c r="Q14708"/>
      <c r="R14708"/>
      <c r="S14708"/>
    </row>
    <row r="14709" spans="13:19" ht="13.95" customHeight="1">
      <c r="M14709"/>
      <c r="N14709"/>
      <c r="O14709"/>
      <c r="P14709"/>
      <c r="Q14709"/>
      <c r="R14709"/>
      <c r="S14709"/>
    </row>
    <row r="14710" spans="13:19" ht="13.95" customHeight="1">
      <c r="M14710"/>
      <c r="N14710"/>
      <c r="O14710"/>
      <c r="P14710"/>
      <c r="Q14710"/>
      <c r="R14710"/>
      <c r="S14710"/>
    </row>
    <row r="14711" spans="13:19" ht="13.95" customHeight="1">
      <c r="M14711"/>
      <c r="N14711"/>
      <c r="O14711"/>
      <c r="P14711"/>
      <c r="Q14711"/>
      <c r="R14711"/>
      <c r="S14711"/>
    </row>
    <row r="14712" spans="13:19" ht="13.95" customHeight="1">
      <c r="M14712"/>
      <c r="N14712"/>
      <c r="O14712"/>
      <c r="P14712"/>
      <c r="Q14712"/>
      <c r="R14712"/>
      <c r="S14712"/>
    </row>
    <row r="14713" spans="13:19" ht="13.95" customHeight="1">
      <c r="M14713"/>
      <c r="N14713"/>
      <c r="O14713"/>
      <c r="P14713"/>
      <c r="Q14713"/>
      <c r="R14713"/>
      <c r="S14713"/>
    </row>
    <row r="14714" spans="13:19" ht="13.95" customHeight="1">
      <c r="M14714"/>
      <c r="N14714"/>
      <c r="O14714"/>
      <c r="P14714"/>
      <c r="Q14714"/>
      <c r="R14714"/>
      <c r="S14714"/>
    </row>
    <row r="14715" spans="13:19" ht="13.95" customHeight="1">
      <c r="M14715"/>
      <c r="N14715"/>
      <c r="O14715"/>
      <c r="P14715"/>
      <c r="Q14715"/>
      <c r="R14715"/>
      <c r="S14715"/>
    </row>
    <row r="14716" spans="13:19" ht="13.95" customHeight="1">
      <c r="M14716"/>
      <c r="N14716"/>
      <c r="O14716"/>
      <c r="P14716"/>
      <c r="Q14716"/>
      <c r="R14716"/>
      <c r="S14716"/>
    </row>
    <row r="14717" spans="13:19" ht="13.95" customHeight="1">
      <c r="M14717"/>
      <c r="N14717"/>
      <c r="O14717"/>
      <c r="P14717"/>
      <c r="Q14717"/>
      <c r="R14717"/>
      <c r="S14717"/>
    </row>
    <row r="14718" spans="13:19" ht="13.95" customHeight="1">
      <c r="M14718"/>
      <c r="N14718"/>
      <c r="O14718"/>
      <c r="P14718"/>
      <c r="Q14718"/>
      <c r="R14718"/>
      <c r="S14718"/>
    </row>
    <row r="14719" spans="13:19" ht="13.95" customHeight="1">
      <c r="M14719"/>
      <c r="N14719"/>
      <c r="O14719"/>
      <c r="P14719"/>
      <c r="Q14719"/>
      <c r="R14719"/>
      <c r="S14719"/>
    </row>
    <row r="14720" spans="13:19" ht="13.95" customHeight="1">
      <c r="M14720"/>
      <c r="N14720"/>
      <c r="O14720"/>
      <c r="P14720"/>
      <c r="Q14720"/>
      <c r="R14720"/>
      <c r="S14720"/>
    </row>
    <row r="14721" spans="13:19" ht="13.95" customHeight="1">
      <c r="M14721"/>
      <c r="N14721"/>
      <c r="O14721"/>
      <c r="P14721"/>
      <c r="Q14721"/>
      <c r="R14721"/>
      <c r="S14721"/>
    </row>
    <row r="14722" spans="13:19" ht="13.95" customHeight="1">
      <c r="M14722"/>
      <c r="N14722"/>
      <c r="O14722"/>
      <c r="P14722"/>
      <c r="Q14722"/>
      <c r="R14722"/>
      <c r="S14722"/>
    </row>
    <row r="14723" spans="13:19" ht="13.95" customHeight="1">
      <c r="M14723"/>
      <c r="N14723"/>
      <c r="O14723"/>
      <c r="P14723"/>
      <c r="Q14723"/>
      <c r="R14723"/>
      <c r="S14723"/>
    </row>
    <row r="14724" spans="13:19" ht="13.95" customHeight="1">
      <c r="M14724"/>
      <c r="N14724"/>
      <c r="O14724"/>
      <c r="P14724"/>
      <c r="Q14724"/>
      <c r="R14724"/>
      <c r="S14724"/>
    </row>
    <row r="14725" spans="13:19" ht="13.95" customHeight="1">
      <c r="M14725"/>
      <c r="N14725"/>
      <c r="O14725"/>
      <c r="P14725"/>
      <c r="Q14725"/>
      <c r="R14725"/>
      <c r="S14725"/>
    </row>
    <row r="14726" spans="13:19" ht="13.95" customHeight="1">
      <c r="M14726"/>
      <c r="N14726"/>
      <c r="O14726"/>
      <c r="P14726"/>
      <c r="Q14726"/>
      <c r="R14726"/>
      <c r="S14726"/>
    </row>
    <row r="14727" spans="13:19" ht="13.95" customHeight="1">
      <c r="M14727"/>
      <c r="N14727"/>
      <c r="O14727"/>
      <c r="P14727"/>
      <c r="Q14727"/>
      <c r="R14727"/>
      <c r="S14727"/>
    </row>
    <row r="14728" spans="13:19" ht="13.95" customHeight="1">
      <c r="M14728"/>
      <c r="N14728"/>
      <c r="O14728"/>
      <c r="P14728"/>
      <c r="Q14728"/>
      <c r="R14728"/>
      <c r="S14728"/>
    </row>
    <row r="14729" spans="13:19" ht="13.95" customHeight="1">
      <c r="M14729"/>
      <c r="N14729"/>
      <c r="O14729"/>
      <c r="P14729"/>
      <c r="Q14729"/>
      <c r="R14729"/>
      <c r="S14729"/>
    </row>
    <row r="14730" spans="13:19" ht="13.95" customHeight="1">
      <c r="M14730"/>
      <c r="N14730"/>
      <c r="O14730"/>
      <c r="P14730"/>
      <c r="Q14730"/>
      <c r="R14730"/>
      <c r="S14730"/>
    </row>
    <row r="14731" spans="13:19" ht="13.95" customHeight="1">
      <c r="M14731"/>
      <c r="N14731"/>
      <c r="O14731"/>
      <c r="P14731"/>
      <c r="Q14731"/>
      <c r="R14731"/>
      <c r="S14731"/>
    </row>
    <row r="14732" spans="13:19" ht="13.95" customHeight="1">
      <c r="M14732"/>
      <c r="N14732"/>
      <c r="O14732"/>
      <c r="P14732"/>
      <c r="Q14732"/>
      <c r="R14732"/>
      <c r="S14732"/>
    </row>
    <row r="14733" spans="13:19" ht="13.95" customHeight="1">
      <c r="M14733"/>
      <c r="N14733"/>
      <c r="O14733"/>
      <c r="P14733"/>
      <c r="Q14733"/>
      <c r="R14733"/>
      <c r="S14733"/>
    </row>
    <row r="14734" spans="13:19" ht="13.95" customHeight="1">
      <c r="M14734"/>
      <c r="N14734"/>
      <c r="O14734"/>
      <c r="P14734"/>
      <c r="Q14734"/>
      <c r="R14734"/>
      <c r="S14734"/>
    </row>
    <row r="14735" spans="13:19" ht="13.95" customHeight="1">
      <c r="M14735"/>
      <c r="N14735"/>
      <c r="O14735"/>
      <c r="P14735"/>
      <c r="Q14735"/>
      <c r="R14735"/>
      <c r="S14735"/>
    </row>
    <row r="14736" spans="13:19" ht="13.95" customHeight="1">
      <c r="M14736"/>
      <c r="N14736"/>
      <c r="O14736"/>
      <c r="P14736"/>
      <c r="Q14736"/>
      <c r="R14736"/>
      <c r="S14736"/>
    </row>
    <row r="14737" spans="13:19" ht="13.95" customHeight="1">
      <c r="M14737"/>
      <c r="N14737"/>
      <c r="O14737"/>
      <c r="P14737"/>
      <c r="Q14737"/>
      <c r="R14737"/>
      <c r="S14737"/>
    </row>
    <row r="14738" spans="13:19" ht="13.95" customHeight="1">
      <c r="M14738"/>
      <c r="N14738"/>
      <c r="O14738"/>
      <c r="P14738"/>
      <c r="Q14738"/>
      <c r="R14738"/>
      <c r="S14738"/>
    </row>
    <row r="14739" spans="13:19" ht="13.95" customHeight="1">
      <c r="M14739"/>
      <c r="N14739"/>
      <c r="O14739"/>
      <c r="P14739"/>
      <c r="Q14739"/>
      <c r="R14739"/>
      <c r="S14739"/>
    </row>
    <row r="14740" spans="13:19" ht="13.95" customHeight="1">
      <c r="M14740"/>
      <c r="N14740"/>
      <c r="O14740"/>
      <c r="P14740"/>
      <c r="Q14740"/>
      <c r="R14740"/>
      <c r="S14740"/>
    </row>
    <row r="14741" spans="13:19" ht="13.95" customHeight="1">
      <c r="M14741"/>
      <c r="N14741"/>
      <c r="O14741"/>
      <c r="P14741"/>
      <c r="Q14741"/>
      <c r="R14741"/>
      <c r="S14741"/>
    </row>
    <row r="14742" spans="13:19" ht="13.95" customHeight="1">
      <c r="M14742"/>
      <c r="N14742"/>
      <c r="O14742"/>
      <c r="P14742"/>
      <c r="Q14742"/>
      <c r="R14742"/>
      <c r="S14742"/>
    </row>
    <row r="14743" spans="13:19" ht="13.95" customHeight="1">
      <c r="M14743"/>
      <c r="N14743"/>
      <c r="O14743"/>
      <c r="P14743"/>
      <c r="Q14743"/>
      <c r="R14743"/>
      <c r="S14743"/>
    </row>
    <row r="14744" spans="13:19" ht="13.95" customHeight="1">
      <c r="M14744"/>
      <c r="N14744"/>
      <c r="O14744"/>
      <c r="P14744"/>
      <c r="Q14744"/>
      <c r="R14744"/>
      <c r="S14744"/>
    </row>
    <row r="14745" spans="13:19" ht="13.95" customHeight="1">
      <c r="M14745"/>
      <c r="N14745"/>
      <c r="O14745"/>
      <c r="P14745"/>
      <c r="Q14745"/>
      <c r="R14745"/>
      <c r="S14745"/>
    </row>
    <row r="14746" spans="13:19" ht="13.95" customHeight="1">
      <c r="M14746"/>
      <c r="N14746"/>
      <c r="O14746"/>
      <c r="P14746"/>
      <c r="Q14746"/>
      <c r="R14746"/>
      <c r="S14746"/>
    </row>
    <row r="14747" spans="13:19" ht="13.95" customHeight="1">
      <c r="M14747"/>
      <c r="N14747"/>
      <c r="O14747"/>
      <c r="P14747"/>
      <c r="Q14747"/>
      <c r="R14747"/>
      <c r="S14747"/>
    </row>
    <row r="14748" spans="13:19" ht="13.95" customHeight="1">
      <c r="M14748"/>
      <c r="N14748"/>
      <c r="O14748"/>
      <c r="P14748"/>
      <c r="Q14748"/>
      <c r="R14748"/>
      <c r="S14748"/>
    </row>
    <row r="14749" spans="13:19" ht="13.95" customHeight="1">
      <c r="M14749"/>
      <c r="N14749"/>
      <c r="O14749"/>
      <c r="P14749"/>
      <c r="Q14749"/>
      <c r="R14749"/>
      <c r="S14749"/>
    </row>
    <row r="14750" spans="13:19" ht="13.95" customHeight="1">
      <c r="M14750"/>
      <c r="N14750"/>
      <c r="O14750"/>
      <c r="P14750"/>
      <c r="Q14750"/>
      <c r="R14750"/>
      <c r="S14750"/>
    </row>
    <row r="14751" spans="13:19" ht="13.95" customHeight="1">
      <c r="M14751"/>
      <c r="N14751"/>
      <c r="O14751"/>
      <c r="P14751"/>
      <c r="Q14751"/>
      <c r="R14751"/>
      <c r="S14751"/>
    </row>
    <row r="14752" spans="13:19" ht="13.95" customHeight="1">
      <c r="M14752"/>
      <c r="N14752"/>
      <c r="O14752"/>
      <c r="P14752"/>
      <c r="Q14752"/>
      <c r="R14752"/>
      <c r="S14752"/>
    </row>
    <row r="14753" spans="13:19" ht="13.95" customHeight="1">
      <c r="M14753"/>
      <c r="N14753"/>
      <c r="O14753"/>
      <c r="P14753"/>
      <c r="Q14753"/>
      <c r="R14753"/>
      <c r="S14753"/>
    </row>
    <row r="14754" spans="13:19" ht="13.95" customHeight="1">
      <c r="M14754"/>
      <c r="N14754"/>
      <c r="O14754"/>
      <c r="P14754"/>
      <c r="Q14754"/>
      <c r="R14754"/>
      <c r="S14754"/>
    </row>
    <row r="14755" spans="13:19" ht="13.95" customHeight="1">
      <c r="M14755"/>
      <c r="N14755"/>
      <c r="O14755"/>
      <c r="P14755"/>
      <c r="Q14755"/>
      <c r="R14755"/>
      <c r="S14755"/>
    </row>
    <row r="14756" spans="13:19" ht="13.95" customHeight="1">
      <c r="M14756"/>
      <c r="N14756"/>
      <c r="O14756"/>
      <c r="P14756"/>
      <c r="Q14756"/>
      <c r="R14756"/>
      <c r="S14756"/>
    </row>
    <row r="14757" spans="13:19" ht="13.95" customHeight="1">
      <c r="M14757"/>
      <c r="N14757"/>
      <c r="O14757"/>
      <c r="P14757"/>
      <c r="Q14757"/>
      <c r="R14757"/>
      <c r="S14757"/>
    </row>
    <row r="14758" spans="13:19" ht="13.95" customHeight="1">
      <c r="M14758"/>
      <c r="N14758"/>
      <c r="O14758"/>
      <c r="P14758"/>
      <c r="Q14758"/>
      <c r="R14758"/>
      <c r="S14758"/>
    </row>
    <row r="14759" spans="13:19" ht="13.95" customHeight="1">
      <c r="M14759"/>
      <c r="N14759"/>
      <c r="O14759"/>
      <c r="P14759"/>
      <c r="Q14759"/>
      <c r="R14759"/>
      <c r="S14759"/>
    </row>
    <row r="14760" spans="13:19" ht="13.95" customHeight="1">
      <c r="M14760"/>
      <c r="N14760"/>
      <c r="O14760"/>
      <c r="P14760"/>
      <c r="Q14760"/>
      <c r="R14760"/>
      <c r="S14760"/>
    </row>
    <row r="14761" spans="13:19" ht="13.95" customHeight="1">
      <c r="M14761"/>
      <c r="N14761"/>
      <c r="O14761"/>
      <c r="P14761"/>
      <c r="Q14761"/>
      <c r="R14761"/>
      <c r="S14761"/>
    </row>
    <row r="14762" spans="13:19" ht="13.95" customHeight="1">
      <c r="M14762"/>
      <c r="N14762"/>
      <c r="O14762"/>
      <c r="P14762"/>
      <c r="Q14762"/>
      <c r="R14762"/>
      <c r="S14762"/>
    </row>
    <row r="14763" spans="13:19" ht="13.95" customHeight="1">
      <c r="M14763"/>
      <c r="N14763"/>
      <c r="O14763"/>
      <c r="P14763"/>
      <c r="Q14763"/>
      <c r="R14763"/>
      <c r="S14763"/>
    </row>
    <row r="14764" spans="13:19" ht="13.95" customHeight="1">
      <c r="M14764"/>
      <c r="N14764"/>
      <c r="O14764"/>
      <c r="P14764"/>
      <c r="Q14764"/>
      <c r="R14764"/>
      <c r="S14764"/>
    </row>
    <row r="14765" spans="13:19" ht="13.95" customHeight="1">
      <c r="M14765"/>
      <c r="N14765"/>
      <c r="O14765"/>
      <c r="P14765"/>
      <c r="Q14765"/>
      <c r="R14765"/>
      <c r="S14765"/>
    </row>
    <row r="14766" spans="13:19" ht="13.95" customHeight="1">
      <c r="M14766"/>
      <c r="N14766"/>
      <c r="O14766"/>
      <c r="P14766"/>
      <c r="Q14766"/>
      <c r="R14766"/>
      <c r="S14766"/>
    </row>
    <row r="14767" spans="13:19" ht="13.95" customHeight="1">
      <c r="M14767"/>
      <c r="N14767"/>
      <c r="O14767"/>
      <c r="P14767"/>
      <c r="Q14767"/>
      <c r="R14767"/>
      <c r="S14767"/>
    </row>
    <row r="14768" spans="13:19" ht="13.95" customHeight="1">
      <c r="M14768"/>
      <c r="N14768"/>
      <c r="O14768"/>
      <c r="P14768"/>
      <c r="Q14768"/>
      <c r="R14768"/>
      <c r="S14768"/>
    </row>
    <row r="14769" spans="13:19" ht="13.95" customHeight="1">
      <c r="M14769"/>
      <c r="N14769"/>
      <c r="O14769"/>
      <c r="P14769"/>
      <c r="Q14769"/>
      <c r="R14769"/>
      <c r="S14769"/>
    </row>
    <row r="14770" spans="13:19" ht="13.95" customHeight="1">
      <c r="M14770"/>
      <c r="N14770"/>
      <c r="O14770"/>
      <c r="P14770"/>
      <c r="Q14770"/>
      <c r="R14770"/>
      <c r="S14770"/>
    </row>
    <row r="14771" spans="13:19" ht="13.95" customHeight="1">
      <c r="M14771"/>
      <c r="N14771"/>
      <c r="O14771"/>
      <c r="P14771"/>
      <c r="Q14771"/>
      <c r="R14771"/>
      <c r="S14771"/>
    </row>
    <row r="14772" spans="13:19" ht="13.95" customHeight="1">
      <c r="M14772"/>
      <c r="N14772"/>
      <c r="O14772"/>
      <c r="P14772"/>
      <c r="Q14772"/>
      <c r="R14772"/>
      <c r="S14772"/>
    </row>
    <row r="14773" spans="13:19" ht="13.95" customHeight="1">
      <c r="M14773"/>
      <c r="N14773"/>
      <c r="O14773"/>
      <c r="P14773"/>
      <c r="Q14773"/>
      <c r="R14773"/>
      <c r="S14773"/>
    </row>
    <row r="14774" spans="13:19" ht="13.95" customHeight="1">
      <c r="M14774"/>
      <c r="N14774"/>
      <c r="O14774"/>
      <c r="P14774"/>
      <c r="Q14774"/>
      <c r="R14774"/>
      <c r="S14774"/>
    </row>
    <row r="14775" spans="13:19" ht="13.95" customHeight="1">
      <c r="M14775"/>
      <c r="N14775"/>
      <c r="O14775"/>
      <c r="P14775"/>
      <c r="Q14775"/>
      <c r="R14775"/>
      <c r="S14775"/>
    </row>
    <row r="14776" spans="13:19" ht="13.95" customHeight="1">
      <c r="M14776"/>
      <c r="N14776"/>
      <c r="O14776"/>
      <c r="P14776"/>
      <c r="Q14776"/>
      <c r="R14776"/>
      <c r="S14776"/>
    </row>
    <row r="14777" spans="13:19" ht="13.95" customHeight="1">
      <c r="M14777"/>
      <c r="N14777"/>
      <c r="O14777"/>
      <c r="P14777"/>
      <c r="Q14777"/>
      <c r="R14777"/>
      <c r="S14777"/>
    </row>
    <row r="14778" spans="13:19" ht="13.95" customHeight="1">
      <c r="M14778"/>
      <c r="N14778"/>
      <c r="O14778"/>
      <c r="P14778"/>
      <c r="Q14778"/>
      <c r="R14778"/>
      <c r="S14778"/>
    </row>
    <row r="14779" spans="13:19" ht="13.95" customHeight="1">
      <c r="M14779"/>
      <c r="N14779"/>
      <c r="O14779"/>
      <c r="P14779"/>
      <c r="Q14779"/>
      <c r="R14779"/>
      <c r="S14779"/>
    </row>
    <row r="14780" spans="13:19" ht="13.95" customHeight="1">
      <c r="M14780"/>
      <c r="N14780"/>
      <c r="O14780"/>
      <c r="P14780"/>
      <c r="Q14780"/>
      <c r="R14780"/>
      <c r="S14780"/>
    </row>
    <row r="14781" spans="13:19" ht="13.95" customHeight="1">
      <c r="M14781"/>
      <c r="N14781"/>
      <c r="O14781"/>
      <c r="P14781"/>
      <c r="Q14781"/>
      <c r="R14781"/>
      <c r="S14781"/>
    </row>
    <row r="14782" spans="13:19" ht="13.95" customHeight="1">
      <c r="M14782"/>
      <c r="N14782"/>
      <c r="O14782"/>
      <c r="P14782"/>
      <c r="Q14782"/>
      <c r="R14782"/>
      <c r="S14782"/>
    </row>
    <row r="14783" spans="13:19" ht="13.95" customHeight="1">
      <c r="M14783"/>
      <c r="N14783"/>
      <c r="O14783"/>
      <c r="P14783"/>
      <c r="Q14783"/>
      <c r="R14783"/>
      <c r="S14783"/>
    </row>
    <row r="14784" spans="13:19" ht="13.95" customHeight="1">
      <c r="M14784"/>
      <c r="N14784"/>
      <c r="O14784"/>
      <c r="P14784"/>
      <c r="Q14784"/>
      <c r="R14784"/>
      <c r="S14784"/>
    </row>
    <row r="14785" spans="13:19" ht="13.95" customHeight="1">
      <c r="M14785"/>
      <c r="N14785"/>
      <c r="O14785"/>
      <c r="P14785"/>
      <c r="Q14785"/>
      <c r="R14785"/>
      <c r="S14785"/>
    </row>
    <row r="14786" spans="13:19" ht="13.95" customHeight="1">
      <c r="M14786"/>
      <c r="N14786"/>
      <c r="O14786"/>
      <c r="P14786"/>
      <c r="Q14786"/>
      <c r="R14786"/>
      <c r="S14786"/>
    </row>
    <row r="14787" spans="13:19" ht="13.95" customHeight="1">
      <c r="M14787"/>
      <c r="N14787"/>
      <c r="O14787"/>
      <c r="P14787"/>
      <c r="Q14787"/>
      <c r="R14787"/>
      <c r="S14787"/>
    </row>
    <row r="14788" spans="13:19" ht="13.95" customHeight="1">
      <c r="M14788"/>
      <c r="N14788"/>
      <c r="O14788"/>
      <c r="P14788"/>
      <c r="Q14788"/>
      <c r="R14788"/>
      <c r="S14788"/>
    </row>
    <row r="14789" spans="13:19" ht="13.95" customHeight="1">
      <c r="M14789"/>
      <c r="N14789"/>
      <c r="O14789"/>
      <c r="P14789"/>
      <c r="Q14789"/>
      <c r="R14789"/>
      <c r="S14789"/>
    </row>
    <row r="14790" spans="13:19" ht="13.95" customHeight="1">
      <c r="M14790"/>
      <c r="N14790"/>
      <c r="O14790"/>
      <c r="P14790"/>
      <c r="Q14790"/>
      <c r="R14790"/>
      <c r="S14790"/>
    </row>
    <row r="14791" spans="13:19" ht="13.95" customHeight="1">
      <c r="M14791"/>
      <c r="N14791"/>
      <c r="O14791"/>
      <c r="P14791"/>
      <c r="Q14791"/>
      <c r="R14791"/>
      <c r="S14791"/>
    </row>
    <row r="14792" spans="13:19" ht="13.95" customHeight="1">
      <c r="M14792"/>
      <c r="N14792"/>
      <c r="O14792"/>
      <c r="P14792"/>
      <c r="Q14792"/>
      <c r="R14792"/>
      <c r="S14792"/>
    </row>
    <row r="14793" spans="13:19" ht="13.95" customHeight="1">
      <c r="M14793"/>
      <c r="N14793"/>
      <c r="O14793"/>
      <c r="P14793"/>
      <c r="Q14793"/>
      <c r="R14793"/>
      <c r="S14793"/>
    </row>
    <row r="14794" spans="13:19" ht="13.95" customHeight="1">
      <c r="M14794"/>
      <c r="N14794"/>
      <c r="O14794"/>
      <c r="P14794"/>
      <c r="Q14794"/>
      <c r="R14794"/>
      <c r="S14794"/>
    </row>
    <row r="14795" spans="13:19" ht="13.95" customHeight="1">
      <c r="M14795"/>
      <c r="N14795"/>
      <c r="O14795"/>
      <c r="P14795"/>
      <c r="Q14795"/>
      <c r="R14795"/>
      <c r="S14795"/>
    </row>
    <row r="14796" spans="13:19" ht="13.95" customHeight="1">
      <c r="M14796"/>
      <c r="N14796"/>
      <c r="O14796"/>
      <c r="P14796"/>
      <c r="Q14796"/>
      <c r="R14796"/>
      <c r="S14796"/>
    </row>
    <row r="14797" spans="13:19" ht="13.95" customHeight="1">
      <c r="M14797"/>
      <c r="N14797"/>
      <c r="O14797"/>
      <c r="P14797"/>
      <c r="Q14797"/>
      <c r="R14797"/>
      <c r="S14797"/>
    </row>
    <row r="14798" spans="13:19" ht="13.95" customHeight="1">
      <c r="M14798"/>
      <c r="N14798"/>
      <c r="O14798"/>
      <c r="P14798"/>
      <c r="Q14798"/>
      <c r="R14798"/>
      <c r="S14798"/>
    </row>
    <row r="14799" spans="13:19" ht="13.95" customHeight="1">
      <c r="M14799"/>
      <c r="N14799"/>
      <c r="O14799"/>
      <c r="P14799"/>
      <c r="Q14799"/>
      <c r="R14799"/>
      <c r="S14799"/>
    </row>
    <row r="14800" spans="13:19" ht="13.95" customHeight="1">
      <c r="M14800"/>
      <c r="N14800"/>
      <c r="O14800"/>
      <c r="P14800"/>
      <c r="Q14800"/>
      <c r="R14800"/>
      <c r="S14800"/>
    </row>
    <row r="14801" spans="13:19" ht="13.95" customHeight="1">
      <c r="M14801"/>
      <c r="N14801"/>
      <c r="O14801"/>
      <c r="P14801"/>
      <c r="Q14801"/>
      <c r="R14801"/>
      <c r="S14801"/>
    </row>
    <row r="14802" spans="13:19" ht="13.95" customHeight="1">
      <c r="M14802"/>
      <c r="N14802"/>
      <c r="O14802"/>
      <c r="P14802"/>
      <c r="Q14802"/>
      <c r="R14802"/>
      <c r="S14802"/>
    </row>
    <row r="14803" spans="13:19" ht="13.95" customHeight="1">
      <c r="M14803"/>
      <c r="N14803"/>
      <c r="O14803"/>
      <c r="P14803"/>
      <c r="Q14803"/>
      <c r="R14803"/>
      <c r="S14803"/>
    </row>
    <row r="14804" spans="13:19" ht="13.95" customHeight="1">
      <c r="M14804"/>
      <c r="N14804"/>
      <c r="O14804"/>
      <c r="P14804"/>
      <c r="Q14804"/>
      <c r="R14804"/>
      <c r="S14804"/>
    </row>
    <row r="14805" spans="13:19" ht="13.95" customHeight="1">
      <c r="M14805"/>
      <c r="N14805"/>
      <c r="O14805"/>
      <c r="P14805"/>
      <c r="Q14805"/>
      <c r="R14805"/>
      <c r="S14805"/>
    </row>
    <row r="14806" spans="13:19" ht="13.95" customHeight="1">
      <c r="M14806"/>
      <c r="N14806"/>
      <c r="O14806"/>
      <c r="P14806"/>
      <c r="Q14806"/>
      <c r="R14806"/>
      <c r="S14806"/>
    </row>
    <row r="14807" spans="13:19" ht="13.95" customHeight="1">
      <c r="M14807"/>
      <c r="N14807"/>
      <c r="O14807"/>
      <c r="P14807"/>
      <c r="Q14807"/>
      <c r="R14807"/>
      <c r="S14807"/>
    </row>
    <row r="14808" spans="13:19" ht="13.95" customHeight="1">
      <c r="M14808"/>
      <c r="N14808"/>
      <c r="O14808"/>
      <c r="P14808"/>
      <c r="Q14808"/>
      <c r="R14808"/>
      <c r="S14808"/>
    </row>
    <row r="14809" spans="13:19" ht="13.95" customHeight="1">
      <c r="M14809"/>
      <c r="N14809"/>
      <c r="O14809"/>
      <c r="P14809"/>
      <c r="Q14809"/>
      <c r="R14809"/>
      <c r="S14809"/>
    </row>
    <row r="14810" spans="13:19" ht="13.95" customHeight="1">
      <c r="M14810"/>
      <c r="N14810"/>
      <c r="O14810"/>
      <c r="P14810"/>
      <c r="Q14810"/>
      <c r="R14810"/>
      <c r="S14810"/>
    </row>
    <row r="14811" spans="13:19" ht="13.95" customHeight="1">
      <c r="M14811"/>
      <c r="N14811"/>
      <c r="O14811"/>
      <c r="P14811"/>
      <c r="Q14811"/>
      <c r="R14811"/>
      <c r="S14811"/>
    </row>
    <row r="14812" spans="13:19" ht="13.95" customHeight="1">
      <c r="M14812"/>
      <c r="N14812"/>
      <c r="O14812"/>
      <c r="P14812"/>
      <c r="Q14812"/>
      <c r="R14812"/>
      <c r="S14812"/>
    </row>
    <row r="14813" spans="13:19" ht="13.95" customHeight="1">
      <c r="M14813"/>
      <c r="N14813"/>
      <c r="O14813"/>
      <c r="P14813"/>
      <c r="Q14813"/>
      <c r="R14813"/>
      <c r="S14813"/>
    </row>
    <row r="14814" spans="13:19" ht="13.95" customHeight="1">
      <c r="M14814"/>
      <c r="N14814"/>
      <c r="O14814"/>
      <c r="P14814"/>
      <c r="Q14814"/>
      <c r="R14814"/>
      <c r="S14814"/>
    </row>
    <row r="14815" spans="13:19" ht="13.95" customHeight="1">
      <c r="M14815"/>
      <c r="N14815"/>
      <c r="O14815"/>
      <c r="P14815"/>
      <c r="Q14815"/>
      <c r="R14815"/>
      <c r="S14815"/>
    </row>
    <row r="14816" spans="13:19" ht="13.95" customHeight="1">
      <c r="M14816"/>
      <c r="N14816"/>
      <c r="O14816"/>
      <c r="P14816"/>
      <c r="Q14816"/>
      <c r="R14816"/>
      <c r="S14816"/>
    </row>
    <row r="14817" spans="13:19" ht="13.95" customHeight="1">
      <c r="M14817"/>
      <c r="N14817"/>
      <c r="O14817"/>
      <c r="P14817"/>
      <c r="Q14817"/>
      <c r="R14817"/>
      <c r="S14817"/>
    </row>
    <row r="14818" spans="13:19" ht="13.95" customHeight="1">
      <c r="M14818"/>
      <c r="N14818"/>
      <c r="O14818"/>
      <c r="P14818"/>
      <c r="Q14818"/>
      <c r="R14818"/>
      <c r="S14818"/>
    </row>
    <row r="14819" spans="13:19" ht="13.95" customHeight="1">
      <c r="M14819"/>
      <c r="N14819"/>
      <c r="O14819"/>
      <c r="P14819"/>
      <c r="Q14819"/>
      <c r="R14819"/>
      <c r="S14819"/>
    </row>
    <row r="14820" spans="13:19" ht="13.95" customHeight="1">
      <c r="M14820"/>
      <c r="N14820"/>
      <c r="O14820"/>
      <c r="P14820"/>
      <c r="Q14820"/>
      <c r="R14820"/>
      <c r="S14820"/>
    </row>
    <row r="14821" spans="13:19" ht="13.95" customHeight="1">
      <c r="M14821"/>
      <c r="N14821"/>
      <c r="O14821"/>
      <c r="P14821"/>
      <c r="Q14821"/>
      <c r="R14821"/>
      <c r="S14821"/>
    </row>
    <row r="14822" spans="13:19" ht="13.95" customHeight="1">
      <c r="M14822"/>
      <c r="N14822"/>
      <c r="O14822"/>
      <c r="P14822"/>
      <c r="Q14822"/>
      <c r="R14822"/>
      <c r="S14822"/>
    </row>
    <row r="14823" spans="13:19" ht="13.95" customHeight="1">
      <c r="M14823"/>
      <c r="N14823"/>
      <c r="O14823"/>
      <c r="P14823"/>
      <c r="Q14823"/>
      <c r="R14823"/>
      <c r="S14823"/>
    </row>
    <row r="14824" spans="13:19" ht="13.95" customHeight="1">
      <c r="M14824"/>
      <c r="N14824"/>
      <c r="O14824"/>
      <c r="P14824"/>
      <c r="Q14824"/>
      <c r="R14824"/>
      <c r="S14824"/>
    </row>
    <row r="14825" spans="13:19" ht="13.95" customHeight="1">
      <c r="M14825"/>
      <c r="N14825"/>
      <c r="O14825"/>
      <c r="P14825"/>
      <c r="Q14825"/>
      <c r="R14825"/>
      <c r="S14825"/>
    </row>
    <row r="14826" spans="13:19" ht="13.95" customHeight="1">
      <c r="M14826"/>
      <c r="N14826"/>
      <c r="O14826"/>
      <c r="P14826"/>
      <c r="Q14826"/>
      <c r="R14826"/>
      <c r="S14826"/>
    </row>
    <row r="14827" spans="13:19" ht="13.95" customHeight="1">
      <c r="M14827"/>
      <c r="N14827"/>
      <c r="O14827"/>
      <c r="P14827"/>
      <c r="Q14827"/>
      <c r="R14827"/>
      <c r="S14827"/>
    </row>
    <row r="14828" spans="13:19" ht="13.95" customHeight="1">
      <c r="M14828"/>
      <c r="N14828"/>
      <c r="O14828"/>
      <c r="P14828"/>
      <c r="Q14828"/>
      <c r="R14828"/>
      <c r="S14828"/>
    </row>
    <row r="14829" spans="13:19" ht="13.95" customHeight="1">
      <c r="M14829"/>
      <c r="N14829"/>
      <c r="O14829"/>
      <c r="P14829"/>
      <c r="Q14829"/>
      <c r="R14829"/>
      <c r="S14829"/>
    </row>
    <row r="14830" spans="13:19" ht="13.95" customHeight="1">
      <c r="M14830"/>
      <c r="N14830"/>
      <c r="O14830"/>
      <c r="P14830"/>
      <c r="Q14830"/>
      <c r="R14830"/>
      <c r="S14830"/>
    </row>
    <row r="14831" spans="13:19" ht="13.95" customHeight="1">
      <c r="M14831"/>
      <c r="N14831"/>
      <c r="O14831"/>
      <c r="P14831"/>
      <c r="Q14831"/>
      <c r="R14831"/>
      <c r="S14831"/>
    </row>
    <row r="14832" spans="13:19" ht="13.95" customHeight="1">
      <c r="M14832"/>
      <c r="N14832"/>
      <c r="O14832"/>
      <c r="P14832"/>
      <c r="Q14832"/>
      <c r="R14832"/>
      <c r="S14832"/>
    </row>
    <row r="14833" spans="13:19" ht="13.95" customHeight="1">
      <c r="M14833"/>
      <c r="N14833"/>
      <c r="O14833"/>
      <c r="P14833"/>
      <c r="Q14833"/>
      <c r="R14833"/>
      <c r="S14833"/>
    </row>
    <row r="14834" spans="13:19" ht="13.95" customHeight="1">
      <c r="M14834"/>
      <c r="N14834"/>
      <c r="O14834"/>
      <c r="P14834"/>
      <c r="Q14834"/>
      <c r="R14834"/>
      <c r="S14834"/>
    </row>
    <row r="14835" spans="13:19" ht="13.95" customHeight="1">
      <c r="M14835"/>
      <c r="N14835"/>
      <c r="O14835"/>
      <c r="P14835"/>
      <c r="Q14835"/>
      <c r="R14835"/>
      <c r="S14835"/>
    </row>
    <row r="14836" spans="13:19" ht="13.95" customHeight="1">
      <c r="M14836"/>
      <c r="N14836"/>
      <c r="O14836"/>
      <c r="P14836"/>
      <c r="Q14836"/>
      <c r="R14836"/>
      <c r="S14836"/>
    </row>
    <row r="14837" spans="13:19" ht="13.95" customHeight="1">
      <c r="M14837"/>
      <c r="N14837"/>
      <c r="O14837"/>
      <c r="P14837"/>
      <c r="Q14837"/>
      <c r="R14837"/>
      <c r="S14837"/>
    </row>
    <row r="14838" spans="13:19" ht="13.95" customHeight="1">
      <c r="M14838"/>
      <c r="N14838"/>
      <c r="O14838"/>
      <c r="P14838"/>
      <c r="Q14838"/>
      <c r="R14838"/>
      <c r="S14838"/>
    </row>
    <row r="14839" spans="13:19" ht="13.95" customHeight="1">
      <c r="M14839"/>
      <c r="N14839"/>
      <c r="O14839"/>
      <c r="P14839"/>
      <c r="Q14839"/>
      <c r="R14839"/>
      <c r="S14839"/>
    </row>
    <row r="14840" spans="13:19" ht="13.95" customHeight="1">
      <c r="M14840"/>
      <c r="N14840"/>
      <c r="O14840"/>
      <c r="P14840"/>
      <c r="Q14840"/>
      <c r="R14840"/>
      <c r="S14840"/>
    </row>
    <row r="14841" spans="13:19" ht="13.95" customHeight="1">
      <c r="M14841"/>
      <c r="N14841"/>
      <c r="O14841"/>
      <c r="P14841"/>
      <c r="Q14841"/>
      <c r="R14841"/>
      <c r="S14841"/>
    </row>
    <row r="14842" spans="13:19" ht="13.95" customHeight="1">
      <c r="M14842"/>
      <c r="N14842"/>
      <c r="O14842"/>
      <c r="P14842"/>
      <c r="Q14842"/>
      <c r="R14842"/>
      <c r="S14842"/>
    </row>
    <row r="14843" spans="13:19" ht="13.95" customHeight="1">
      <c r="M14843"/>
      <c r="N14843"/>
      <c r="O14843"/>
      <c r="P14843"/>
      <c r="Q14843"/>
      <c r="R14843"/>
      <c r="S14843"/>
    </row>
    <row r="14844" spans="13:19" ht="13.95" customHeight="1">
      <c r="M14844"/>
      <c r="N14844"/>
      <c r="O14844"/>
      <c r="P14844"/>
      <c r="Q14844"/>
      <c r="R14844"/>
      <c r="S14844"/>
    </row>
    <row r="14845" spans="13:19" ht="13.95" customHeight="1">
      <c r="M14845"/>
      <c r="N14845"/>
      <c r="O14845"/>
      <c r="P14845"/>
      <c r="Q14845"/>
      <c r="R14845"/>
      <c r="S14845"/>
    </row>
    <row r="14846" spans="13:19" ht="13.95" customHeight="1">
      <c r="M14846"/>
      <c r="N14846"/>
      <c r="O14846"/>
      <c r="P14846"/>
      <c r="Q14846"/>
      <c r="R14846"/>
      <c r="S14846"/>
    </row>
    <row r="14847" spans="13:19" ht="13.95" customHeight="1">
      <c r="M14847"/>
      <c r="N14847"/>
      <c r="O14847"/>
      <c r="P14847"/>
      <c r="Q14847"/>
      <c r="R14847"/>
      <c r="S14847"/>
    </row>
    <row r="14848" spans="13:19" ht="13.95" customHeight="1">
      <c r="M14848"/>
      <c r="N14848"/>
      <c r="O14848"/>
      <c r="P14848"/>
      <c r="Q14848"/>
      <c r="R14848"/>
      <c r="S14848"/>
    </row>
    <row r="14849" spans="13:19" ht="13.95" customHeight="1">
      <c r="M14849"/>
      <c r="N14849"/>
      <c r="O14849"/>
      <c r="P14849"/>
      <c r="Q14849"/>
      <c r="R14849"/>
      <c r="S14849"/>
    </row>
    <row r="14850" spans="13:19" ht="13.95" customHeight="1">
      <c r="M14850"/>
      <c r="N14850"/>
      <c r="O14850"/>
      <c r="P14850"/>
      <c r="Q14850"/>
      <c r="R14850"/>
      <c r="S14850"/>
    </row>
    <row r="14851" spans="13:19" ht="13.95" customHeight="1">
      <c r="M14851"/>
      <c r="N14851"/>
      <c r="O14851"/>
      <c r="P14851"/>
      <c r="Q14851"/>
      <c r="R14851"/>
      <c r="S14851"/>
    </row>
    <row r="14852" spans="13:19" ht="13.95" customHeight="1">
      <c r="M14852"/>
      <c r="N14852"/>
      <c r="O14852"/>
      <c r="P14852"/>
      <c r="Q14852"/>
      <c r="R14852"/>
      <c r="S14852"/>
    </row>
    <row r="14853" spans="13:19" ht="13.95" customHeight="1">
      <c r="M14853"/>
      <c r="N14853"/>
      <c r="O14853"/>
      <c r="P14853"/>
      <c r="Q14853"/>
      <c r="R14853"/>
      <c r="S14853"/>
    </row>
    <row r="14854" spans="13:19" ht="13.95" customHeight="1">
      <c r="M14854"/>
      <c r="N14854"/>
      <c r="O14854"/>
      <c r="P14854"/>
      <c r="Q14854"/>
      <c r="R14854"/>
      <c r="S14854"/>
    </row>
    <row r="14855" spans="13:19" ht="13.95" customHeight="1">
      <c r="M14855"/>
      <c r="N14855"/>
      <c r="O14855"/>
      <c r="P14855"/>
      <c r="Q14855"/>
      <c r="R14855"/>
      <c r="S14855"/>
    </row>
    <row r="14856" spans="13:19" ht="13.95" customHeight="1">
      <c r="M14856"/>
      <c r="N14856"/>
      <c r="O14856"/>
      <c r="P14856"/>
      <c r="Q14856"/>
      <c r="R14856"/>
      <c r="S14856"/>
    </row>
    <row r="14857" spans="13:19" ht="13.95" customHeight="1">
      <c r="M14857"/>
      <c r="N14857"/>
      <c r="O14857"/>
      <c r="P14857"/>
      <c r="Q14857"/>
      <c r="R14857"/>
      <c r="S14857"/>
    </row>
    <row r="14858" spans="13:19" ht="13.95" customHeight="1">
      <c r="M14858"/>
      <c r="N14858"/>
      <c r="O14858"/>
      <c r="P14858"/>
      <c r="Q14858"/>
      <c r="R14858"/>
      <c r="S14858"/>
    </row>
    <row r="14859" spans="13:19" ht="13.95" customHeight="1">
      <c r="M14859"/>
      <c r="N14859"/>
      <c r="O14859"/>
      <c r="P14859"/>
      <c r="Q14859"/>
      <c r="R14859"/>
      <c r="S14859"/>
    </row>
    <row r="14860" spans="13:19" ht="13.95" customHeight="1">
      <c r="M14860"/>
      <c r="N14860"/>
      <c r="O14860"/>
      <c r="P14860"/>
      <c r="Q14860"/>
      <c r="R14860"/>
      <c r="S14860"/>
    </row>
    <row r="14861" spans="13:19" ht="13.95" customHeight="1">
      <c r="M14861"/>
      <c r="N14861"/>
      <c r="O14861"/>
      <c r="P14861"/>
      <c r="Q14861"/>
      <c r="R14861"/>
      <c r="S14861"/>
    </row>
    <row r="14862" spans="13:19" ht="13.95" customHeight="1">
      <c r="M14862"/>
      <c r="N14862"/>
      <c r="O14862"/>
      <c r="P14862"/>
      <c r="Q14862"/>
      <c r="R14862"/>
      <c r="S14862"/>
    </row>
    <row r="14863" spans="13:19" ht="13.95" customHeight="1">
      <c r="M14863"/>
      <c r="N14863"/>
      <c r="O14863"/>
      <c r="P14863"/>
      <c r="Q14863"/>
      <c r="R14863"/>
      <c r="S14863"/>
    </row>
    <row r="14864" spans="13:19" ht="13.95" customHeight="1">
      <c r="M14864"/>
      <c r="N14864"/>
      <c r="O14864"/>
      <c r="P14864"/>
      <c r="Q14864"/>
      <c r="R14864"/>
      <c r="S14864"/>
    </row>
    <row r="14865" spans="13:19" ht="13.95" customHeight="1">
      <c r="M14865"/>
      <c r="N14865"/>
      <c r="O14865"/>
      <c r="P14865"/>
      <c r="Q14865"/>
      <c r="R14865"/>
      <c r="S14865"/>
    </row>
    <row r="14866" spans="13:19" ht="13.95" customHeight="1">
      <c r="M14866"/>
      <c r="N14866"/>
      <c r="O14866"/>
      <c r="P14866"/>
      <c r="Q14866"/>
      <c r="R14866"/>
      <c r="S14866"/>
    </row>
    <row r="14867" spans="13:19" ht="13.95" customHeight="1">
      <c r="M14867"/>
      <c r="N14867"/>
      <c r="O14867"/>
      <c r="P14867"/>
      <c r="Q14867"/>
      <c r="R14867"/>
      <c r="S14867"/>
    </row>
    <row r="14868" spans="13:19" ht="13.95" customHeight="1">
      <c r="M14868"/>
      <c r="N14868"/>
      <c r="O14868"/>
      <c r="P14868"/>
      <c r="Q14868"/>
      <c r="R14868"/>
      <c r="S14868"/>
    </row>
    <row r="14869" spans="13:19" ht="13.95" customHeight="1">
      <c r="M14869"/>
      <c r="N14869"/>
      <c r="O14869"/>
      <c r="P14869"/>
      <c r="Q14869"/>
      <c r="R14869"/>
      <c r="S14869"/>
    </row>
    <row r="14870" spans="13:19" ht="13.95" customHeight="1">
      <c r="M14870"/>
      <c r="N14870"/>
      <c r="O14870"/>
      <c r="P14870"/>
      <c r="Q14870"/>
      <c r="R14870"/>
      <c r="S14870"/>
    </row>
    <row r="14871" spans="13:19" ht="13.95" customHeight="1">
      <c r="M14871"/>
      <c r="N14871"/>
      <c r="O14871"/>
      <c r="P14871"/>
      <c r="Q14871"/>
      <c r="R14871"/>
      <c r="S14871"/>
    </row>
    <row r="14872" spans="13:19" ht="13.95" customHeight="1">
      <c r="M14872"/>
      <c r="N14872"/>
      <c r="O14872"/>
      <c r="P14872"/>
      <c r="Q14872"/>
      <c r="R14872"/>
      <c r="S14872"/>
    </row>
    <row r="14873" spans="13:19" ht="13.95" customHeight="1">
      <c r="M14873"/>
      <c r="N14873"/>
      <c r="O14873"/>
      <c r="P14873"/>
      <c r="Q14873"/>
      <c r="R14873"/>
      <c r="S14873"/>
    </row>
    <row r="14874" spans="13:19" ht="13.95" customHeight="1">
      <c r="M14874"/>
      <c r="N14874"/>
      <c r="O14874"/>
      <c r="P14874"/>
      <c r="Q14874"/>
      <c r="R14874"/>
      <c r="S14874"/>
    </row>
    <row r="14875" spans="13:19" ht="13.95" customHeight="1">
      <c r="M14875"/>
      <c r="N14875"/>
      <c r="O14875"/>
      <c r="P14875"/>
      <c r="Q14875"/>
      <c r="R14875"/>
      <c r="S14875"/>
    </row>
    <row r="14876" spans="13:19" ht="13.95" customHeight="1">
      <c r="M14876"/>
      <c r="N14876"/>
      <c r="O14876"/>
      <c r="P14876"/>
      <c r="Q14876"/>
      <c r="R14876"/>
      <c r="S14876"/>
    </row>
    <row r="14877" spans="13:19" ht="13.95" customHeight="1">
      <c r="M14877"/>
      <c r="N14877"/>
      <c r="O14877"/>
      <c r="P14877"/>
      <c r="Q14877"/>
      <c r="R14877"/>
      <c r="S14877"/>
    </row>
    <row r="14878" spans="13:19" ht="13.95" customHeight="1">
      <c r="M14878"/>
      <c r="N14878"/>
      <c r="O14878"/>
      <c r="P14878"/>
      <c r="Q14878"/>
      <c r="R14878"/>
      <c r="S14878"/>
    </row>
    <row r="14879" spans="13:19" ht="13.95" customHeight="1">
      <c r="M14879"/>
      <c r="N14879"/>
      <c r="O14879"/>
      <c r="P14879"/>
      <c r="Q14879"/>
      <c r="R14879"/>
      <c r="S14879"/>
    </row>
    <row r="14880" spans="13:19" ht="13.95" customHeight="1">
      <c r="M14880"/>
      <c r="N14880"/>
      <c r="O14880"/>
      <c r="P14880"/>
      <c r="Q14880"/>
      <c r="R14880"/>
      <c r="S14880"/>
    </row>
    <row r="14881" spans="13:19" ht="13.95" customHeight="1">
      <c r="M14881"/>
      <c r="N14881"/>
      <c r="O14881"/>
      <c r="P14881"/>
      <c r="Q14881"/>
      <c r="R14881"/>
      <c r="S14881"/>
    </row>
    <row r="14882" spans="13:19" ht="13.95" customHeight="1">
      <c r="M14882"/>
      <c r="N14882"/>
      <c r="O14882"/>
      <c r="P14882"/>
      <c r="Q14882"/>
      <c r="R14882"/>
      <c r="S14882"/>
    </row>
    <row r="14883" spans="13:19" ht="13.95" customHeight="1">
      <c r="M14883"/>
      <c r="N14883"/>
      <c r="O14883"/>
      <c r="P14883"/>
      <c r="Q14883"/>
      <c r="R14883"/>
      <c r="S14883"/>
    </row>
    <row r="14884" spans="13:19" ht="13.95" customHeight="1">
      <c r="M14884"/>
      <c r="N14884"/>
      <c r="O14884"/>
      <c r="P14884"/>
      <c r="Q14884"/>
      <c r="R14884"/>
      <c r="S14884"/>
    </row>
    <row r="14885" spans="13:19" ht="13.95" customHeight="1">
      <c r="M14885"/>
      <c r="N14885"/>
      <c r="O14885"/>
      <c r="P14885"/>
      <c r="Q14885"/>
      <c r="R14885"/>
      <c r="S14885"/>
    </row>
    <row r="14886" spans="13:19" ht="13.95" customHeight="1">
      <c r="M14886"/>
      <c r="N14886"/>
      <c r="O14886"/>
      <c r="P14886"/>
      <c r="Q14886"/>
      <c r="R14886"/>
      <c r="S14886"/>
    </row>
    <row r="14887" spans="13:19" ht="13.95" customHeight="1">
      <c r="M14887"/>
      <c r="N14887"/>
      <c r="O14887"/>
      <c r="P14887"/>
      <c r="Q14887"/>
      <c r="R14887"/>
      <c r="S14887"/>
    </row>
    <row r="14888" spans="13:19" ht="13.95" customHeight="1">
      <c r="M14888"/>
      <c r="N14888"/>
      <c r="O14888"/>
      <c r="P14888"/>
      <c r="Q14888"/>
      <c r="R14888"/>
      <c r="S14888"/>
    </row>
    <row r="14889" spans="13:19" ht="13.95" customHeight="1">
      <c r="M14889"/>
      <c r="N14889"/>
      <c r="O14889"/>
      <c r="P14889"/>
      <c r="Q14889"/>
      <c r="R14889"/>
      <c r="S14889"/>
    </row>
    <row r="14890" spans="13:19" ht="13.95" customHeight="1">
      <c r="M14890"/>
      <c r="N14890"/>
      <c r="O14890"/>
      <c r="P14890"/>
      <c r="Q14890"/>
      <c r="R14890"/>
      <c r="S14890"/>
    </row>
    <row r="14891" spans="13:19" ht="13.95" customHeight="1">
      <c r="M14891"/>
      <c r="N14891"/>
      <c r="O14891"/>
      <c r="P14891"/>
      <c r="Q14891"/>
      <c r="R14891"/>
      <c r="S14891"/>
    </row>
    <row r="14892" spans="13:19" ht="13.95" customHeight="1">
      <c r="M14892"/>
      <c r="N14892"/>
      <c r="O14892"/>
      <c r="P14892"/>
      <c r="Q14892"/>
      <c r="R14892"/>
      <c r="S14892"/>
    </row>
    <row r="14893" spans="13:19" ht="13.95" customHeight="1">
      <c r="M14893"/>
      <c r="N14893"/>
      <c r="O14893"/>
      <c r="P14893"/>
      <c r="Q14893"/>
      <c r="R14893"/>
      <c r="S14893"/>
    </row>
    <row r="14894" spans="13:19" ht="13.95" customHeight="1">
      <c r="M14894"/>
      <c r="N14894"/>
      <c r="O14894"/>
      <c r="P14894"/>
      <c r="Q14894"/>
      <c r="R14894"/>
      <c r="S14894"/>
    </row>
    <row r="14895" spans="13:19" ht="13.95" customHeight="1">
      <c r="M14895"/>
      <c r="N14895"/>
      <c r="O14895"/>
      <c r="P14895"/>
      <c r="Q14895"/>
      <c r="R14895"/>
      <c r="S14895"/>
    </row>
    <row r="14896" spans="13:19" ht="13.95" customHeight="1">
      <c r="M14896"/>
      <c r="N14896"/>
      <c r="O14896"/>
      <c r="P14896"/>
      <c r="Q14896"/>
      <c r="R14896"/>
      <c r="S14896"/>
    </row>
    <row r="14897" spans="13:19" ht="13.95" customHeight="1">
      <c r="M14897"/>
      <c r="N14897"/>
      <c r="O14897"/>
      <c r="P14897"/>
      <c r="Q14897"/>
      <c r="R14897"/>
      <c r="S14897"/>
    </row>
    <row r="14898" spans="13:19" ht="13.95" customHeight="1">
      <c r="M14898"/>
      <c r="N14898"/>
      <c r="O14898"/>
      <c r="P14898"/>
      <c r="Q14898"/>
      <c r="R14898"/>
      <c r="S14898"/>
    </row>
    <row r="14899" spans="13:19" ht="13.95" customHeight="1">
      <c r="M14899"/>
      <c r="N14899"/>
      <c r="O14899"/>
      <c r="P14899"/>
      <c r="Q14899"/>
      <c r="R14899"/>
      <c r="S14899"/>
    </row>
    <row r="14900" spans="13:19" ht="13.95" customHeight="1">
      <c r="M14900"/>
      <c r="N14900"/>
      <c r="O14900"/>
      <c r="P14900"/>
      <c r="Q14900"/>
      <c r="R14900"/>
      <c r="S14900"/>
    </row>
    <row r="14901" spans="13:19" ht="13.95" customHeight="1">
      <c r="M14901"/>
      <c r="N14901"/>
      <c r="O14901"/>
      <c r="P14901"/>
      <c r="Q14901"/>
      <c r="R14901"/>
      <c r="S14901"/>
    </row>
    <row r="14902" spans="13:19" ht="13.95" customHeight="1">
      <c r="M14902"/>
      <c r="N14902"/>
      <c r="O14902"/>
      <c r="P14902"/>
      <c r="Q14902"/>
      <c r="R14902"/>
      <c r="S14902"/>
    </row>
    <row r="14903" spans="13:19" ht="13.95" customHeight="1">
      <c r="M14903"/>
      <c r="N14903"/>
      <c r="O14903"/>
      <c r="P14903"/>
      <c r="Q14903"/>
      <c r="R14903"/>
      <c r="S14903"/>
    </row>
    <row r="14904" spans="13:19" ht="13.95" customHeight="1">
      <c r="M14904"/>
      <c r="N14904"/>
      <c r="O14904"/>
      <c r="P14904"/>
      <c r="Q14904"/>
      <c r="R14904"/>
      <c r="S14904"/>
    </row>
    <row r="14905" spans="13:19" ht="13.95" customHeight="1">
      <c r="M14905"/>
      <c r="N14905"/>
      <c r="O14905"/>
      <c r="P14905"/>
      <c r="Q14905"/>
      <c r="R14905"/>
      <c r="S14905"/>
    </row>
    <row r="14906" spans="13:19" ht="13.95" customHeight="1">
      <c r="M14906"/>
      <c r="N14906"/>
      <c r="O14906"/>
      <c r="P14906"/>
      <c r="Q14906"/>
      <c r="R14906"/>
      <c r="S14906"/>
    </row>
    <row r="14907" spans="13:19" ht="13.95" customHeight="1">
      <c r="M14907"/>
      <c r="N14907"/>
      <c r="O14907"/>
      <c r="P14907"/>
      <c r="Q14907"/>
      <c r="R14907"/>
      <c r="S14907"/>
    </row>
    <row r="14908" spans="13:19" ht="13.95" customHeight="1">
      <c r="M14908"/>
      <c r="N14908"/>
      <c r="O14908"/>
      <c r="P14908"/>
      <c r="Q14908"/>
      <c r="R14908"/>
      <c r="S14908"/>
    </row>
    <row r="14909" spans="13:19" ht="13.95" customHeight="1">
      <c r="M14909"/>
      <c r="N14909"/>
      <c r="O14909"/>
      <c r="P14909"/>
      <c r="Q14909"/>
      <c r="R14909"/>
      <c r="S14909"/>
    </row>
    <row r="14910" spans="13:19" ht="13.95" customHeight="1">
      <c r="M14910"/>
      <c r="N14910"/>
      <c r="O14910"/>
      <c r="P14910"/>
      <c r="Q14910"/>
      <c r="R14910"/>
      <c r="S14910"/>
    </row>
    <row r="14911" spans="13:19" ht="13.95" customHeight="1">
      <c r="M14911"/>
      <c r="N14911"/>
      <c r="O14911"/>
      <c r="P14911"/>
      <c r="Q14911"/>
      <c r="R14911"/>
      <c r="S14911"/>
    </row>
    <row r="14912" spans="13:19" ht="13.95" customHeight="1">
      <c r="M14912"/>
      <c r="N14912"/>
      <c r="O14912"/>
      <c r="P14912"/>
      <c r="Q14912"/>
      <c r="R14912"/>
      <c r="S14912"/>
    </row>
    <row r="14913" spans="13:19" ht="13.95" customHeight="1">
      <c r="M14913"/>
      <c r="N14913"/>
      <c r="O14913"/>
      <c r="P14913"/>
      <c r="Q14913"/>
      <c r="R14913"/>
      <c r="S14913"/>
    </row>
    <row r="14914" spans="13:19" ht="13.95" customHeight="1">
      <c r="M14914"/>
      <c r="N14914"/>
      <c r="O14914"/>
      <c r="P14914"/>
      <c r="Q14914"/>
      <c r="R14914"/>
      <c r="S14914"/>
    </row>
    <row r="14915" spans="13:19" ht="13.95" customHeight="1">
      <c r="M14915"/>
      <c r="N14915"/>
      <c r="O14915"/>
      <c r="P14915"/>
      <c r="Q14915"/>
      <c r="R14915"/>
      <c r="S14915"/>
    </row>
    <row r="14916" spans="13:19" ht="13.95" customHeight="1">
      <c r="M14916"/>
      <c r="N14916"/>
      <c r="O14916"/>
      <c r="P14916"/>
      <c r="Q14916"/>
      <c r="R14916"/>
      <c r="S14916"/>
    </row>
    <row r="14917" spans="13:19" ht="13.95" customHeight="1">
      <c r="M14917"/>
      <c r="N14917"/>
      <c r="O14917"/>
      <c r="P14917"/>
      <c r="Q14917"/>
      <c r="R14917"/>
      <c r="S14917"/>
    </row>
    <row r="14918" spans="13:19" ht="13.95" customHeight="1">
      <c r="M14918"/>
      <c r="N14918"/>
      <c r="O14918"/>
      <c r="P14918"/>
      <c r="Q14918"/>
      <c r="R14918"/>
      <c r="S14918"/>
    </row>
    <row r="14919" spans="13:19" ht="13.95" customHeight="1">
      <c r="M14919"/>
      <c r="N14919"/>
      <c r="O14919"/>
      <c r="P14919"/>
      <c r="Q14919"/>
      <c r="R14919"/>
      <c r="S14919"/>
    </row>
    <row r="14920" spans="13:19" ht="13.95" customHeight="1">
      <c r="M14920"/>
      <c r="N14920"/>
      <c r="O14920"/>
      <c r="P14920"/>
      <c r="Q14920"/>
      <c r="R14920"/>
      <c r="S14920"/>
    </row>
    <row r="14921" spans="13:19" ht="13.95" customHeight="1">
      <c r="M14921"/>
      <c r="N14921"/>
      <c r="O14921"/>
      <c r="P14921"/>
      <c r="Q14921"/>
      <c r="R14921"/>
      <c r="S14921"/>
    </row>
    <row r="14922" spans="13:19" ht="13.95" customHeight="1">
      <c r="M14922"/>
      <c r="N14922"/>
      <c r="O14922"/>
      <c r="P14922"/>
      <c r="Q14922"/>
      <c r="R14922"/>
      <c r="S14922"/>
    </row>
    <row r="14923" spans="13:19" ht="13.95" customHeight="1">
      <c r="M14923"/>
      <c r="N14923"/>
      <c r="O14923"/>
      <c r="P14923"/>
      <c r="Q14923"/>
      <c r="R14923"/>
      <c r="S14923"/>
    </row>
    <row r="14924" spans="13:19" ht="13.95" customHeight="1">
      <c r="M14924"/>
      <c r="N14924"/>
      <c r="O14924"/>
      <c r="P14924"/>
      <c r="Q14924"/>
      <c r="R14924"/>
      <c r="S14924"/>
    </row>
    <row r="14925" spans="13:19" ht="13.95" customHeight="1">
      <c r="M14925"/>
      <c r="N14925"/>
      <c r="O14925"/>
      <c r="P14925"/>
      <c r="Q14925"/>
      <c r="R14925"/>
      <c r="S14925"/>
    </row>
    <row r="14926" spans="13:19" ht="13.95" customHeight="1">
      <c r="M14926"/>
      <c r="N14926"/>
      <c r="O14926"/>
      <c r="P14926"/>
      <c r="Q14926"/>
      <c r="R14926"/>
      <c r="S14926"/>
    </row>
    <row r="14927" spans="13:19" ht="13.95" customHeight="1">
      <c r="M14927"/>
      <c r="N14927"/>
      <c r="O14927"/>
      <c r="P14927"/>
      <c r="Q14927"/>
      <c r="R14927"/>
      <c r="S14927"/>
    </row>
    <row r="14928" spans="13:19" ht="13.95" customHeight="1">
      <c r="M14928"/>
      <c r="N14928"/>
      <c r="O14928"/>
      <c r="P14928"/>
      <c r="Q14928"/>
      <c r="R14928"/>
      <c r="S14928"/>
    </row>
    <row r="14929" spans="13:19" ht="13.95" customHeight="1">
      <c r="M14929"/>
      <c r="N14929"/>
      <c r="O14929"/>
      <c r="P14929"/>
      <c r="Q14929"/>
      <c r="R14929"/>
      <c r="S14929"/>
    </row>
    <row r="14930" spans="13:19" ht="13.95" customHeight="1">
      <c r="M14930"/>
      <c r="N14930"/>
      <c r="O14930"/>
      <c r="P14930"/>
      <c r="Q14930"/>
      <c r="R14930"/>
      <c r="S14930"/>
    </row>
    <row r="14931" spans="13:19" ht="13.95" customHeight="1">
      <c r="M14931"/>
      <c r="N14931"/>
      <c r="O14931"/>
      <c r="P14931"/>
      <c r="Q14931"/>
      <c r="R14931"/>
      <c r="S14931"/>
    </row>
    <row r="14932" spans="13:19" ht="13.95" customHeight="1">
      <c r="M14932"/>
      <c r="N14932"/>
      <c r="O14932"/>
      <c r="P14932"/>
      <c r="Q14932"/>
      <c r="R14932"/>
      <c r="S14932"/>
    </row>
    <row r="14933" spans="13:19" ht="13.95" customHeight="1">
      <c r="M14933"/>
      <c r="N14933"/>
      <c r="O14933"/>
      <c r="P14933"/>
      <c r="Q14933"/>
      <c r="R14933"/>
      <c r="S14933"/>
    </row>
    <row r="14934" spans="13:19" ht="13.95" customHeight="1">
      <c r="M14934"/>
      <c r="N14934"/>
      <c r="O14934"/>
      <c r="P14934"/>
      <c r="Q14934"/>
      <c r="R14934"/>
      <c r="S14934"/>
    </row>
    <row r="14935" spans="13:19" ht="13.95" customHeight="1">
      <c r="M14935"/>
      <c r="N14935"/>
      <c r="O14935"/>
      <c r="P14935"/>
      <c r="Q14935"/>
      <c r="R14935"/>
      <c r="S14935"/>
    </row>
    <row r="14936" spans="13:19" ht="13.95" customHeight="1">
      <c r="M14936"/>
      <c r="N14936"/>
      <c r="O14936"/>
      <c r="P14936"/>
      <c r="Q14936"/>
      <c r="R14936"/>
      <c r="S14936"/>
    </row>
    <row r="14937" spans="13:19" ht="13.95" customHeight="1">
      <c r="M14937"/>
      <c r="N14937"/>
      <c r="O14937"/>
      <c r="P14937"/>
      <c r="Q14937"/>
      <c r="R14937"/>
      <c r="S14937"/>
    </row>
    <row r="14938" spans="13:19" ht="13.95" customHeight="1">
      <c r="M14938"/>
      <c r="N14938"/>
      <c r="O14938"/>
      <c r="P14938"/>
      <c r="Q14938"/>
      <c r="R14938"/>
      <c r="S14938"/>
    </row>
    <row r="14939" spans="13:19" ht="13.95" customHeight="1">
      <c r="M14939"/>
      <c r="N14939"/>
      <c r="O14939"/>
      <c r="P14939"/>
      <c r="Q14939"/>
      <c r="R14939"/>
      <c r="S14939"/>
    </row>
    <row r="14940" spans="13:19" ht="13.95" customHeight="1">
      <c r="M14940"/>
      <c r="N14940"/>
      <c r="O14940"/>
      <c r="P14940"/>
      <c r="Q14940"/>
      <c r="R14940"/>
      <c r="S14940"/>
    </row>
    <row r="14941" spans="13:19" ht="13.95" customHeight="1">
      <c r="M14941"/>
      <c r="N14941"/>
      <c r="O14941"/>
      <c r="P14941"/>
      <c r="Q14941"/>
      <c r="R14941"/>
      <c r="S14941"/>
    </row>
    <row r="14942" spans="13:19" ht="13.95" customHeight="1">
      <c r="M14942"/>
      <c r="N14942"/>
      <c r="O14942"/>
      <c r="P14942"/>
      <c r="Q14942"/>
      <c r="R14942"/>
      <c r="S14942"/>
    </row>
    <row r="14943" spans="13:19" ht="13.95" customHeight="1">
      <c r="M14943"/>
      <c r="N14943"/>
      <c r="O14943"/>
      <c r="P14943"/>
      <c r="Q14943"/>
      <c r="R14943"/>
      <c r="S14943"/>
    </row>
    <row r="14944" spans="13:19" ht="13.95" customHeight="1">
      <c r="M14944"/>
      <c r="N14944"/>
      <c r="O14944"/>
      <c r="P14944"/>
      <c r="Q14944"/>
      <c r="R14944"/>
      <c r="S14944"/>
    </row>
    <row r="14945" spans="13:19" ht="13.95" customHeight="1">
      <c r="M14945"/>
      <c r="N14945"/>
      <c r="O14945"/>
      <c r="P14945"/>
      <c r="Q14945"/>
      <c r="R14945"/>
      <c r="S14945"/>
    </row>
    <row r="14946" spans="13:19" ht="13.95" customHeight="1">
      <c r="M14946"/>
      <c r="N14946"/>
      <c r="O14946"/>
      <c r="P14946"/>
      <c r="Q14946"/>
      <c r="R14946"/>
      <c r="S14946"/>
    </row>
    <row r="14947" spans="13:19" ht="13.95" customHeight="1">
      <c r="M14947"/>
      <c r="N14947"/>
      <c r="O14947"/>
      <c r="P14947"/>
      <c r="Q14947"/>
      <c r="R14947"/>
      <c r="S14947"/>
    </row>
    <row r="14948" spans="13:19" ht="13.95" customHeight="1">
      <c r="M14948"/>
      <c r="N14948"/>
      <c r="O14948"/>
      <c r="P14948"/>
      <c r="Q14948"/>
      <c r="R14948"/>
      <c r="S14948"/>
    </row>
    <row r="14949" spans="13:19" ht="13.95" customHeight="1">
      <c r="M14949"/>
      <c r="N14949"/>
      <c r="O14949"/>
      <c r="P14949"/>
      <c r="Q14949"/>
      <c r="R14949"/>
      <c r="S14949"/>
    </row>
    <row r="14950" spans="13:19" ht="13.95" customHeight="1">
      <c r="M14950"/>
      <c r="N14950"/>
      <c r="O14950"/>
      <c r="P14950"/>
      <c r="Q14950"/>
      <c r="R14950"/>
      <c r="S14950"/>
    </row>
    <row r="14951" spans="13:19" ht="13.95" customHeight="1">
      <c r="M14951"/>
      <c r="N14951"/>
      <c r="O14951"/>
      <c r="P14951"/>
      <c r="Q14951"/>
      <c r="R14951"/>
      <c r="S14951"/>
    </row>
    <row r="14952" spans="13:19" ht="13.95" customHeight="1">
      <c r="M14952"/>
      <c r="N14952"/>
      <c r="O14952"/>
      <c r="P14952"/>
      <c r="Q14952"/>
      <c r="R14952"/>
      <c r="S14952"/>
    </row>
    <row r="14953" spans="13:19" ht="13.95" customHeight="1">
      <c r="M14953"/>
      <c r="N14953"/>
      <c r="O14953"/>
      <c r="P14953"/>
      <c r="Q14953"/>
      <c r="R14953"/>
      <c r="S14953"/>
    </row>
    <row r="14954" spans="13:19" ht="13.95" customHeight="1">
      <c r="M14954"/>
      <c r="N14954"/>
      <c r="O14954"/>
      <c r="P14954"/>
      <c r="Q14954"/>
      <c r="R14954"/>
      <c r="S14954"/>
    </row>
    <row r="14955" spans="13:19" ht="13.95" customHeight="1">
      <c r="M14955"/>
      <c r="N14955"/>
      <c r="O14955"/>
      <c r="P14955"/>
      <c r="Q14955"/>
      <c r="R14955"/>
      <c r="S14955"/>
    </row>
    <row r="14956" spans="13:19" ht="13.95" customHeight="1">
      <c r="M14956"/>
      <c r="N14956"/>
      <c r="O14956"/>
      <c r="P14956"/>
      <c r="Q14956"/>
      <c r="R14956"/>
      <c r="S14956"/>
    </row>
    <row r="14957" spans="13:19" ht="13.95" customHeight="1">
      <c r="M14957"/>
      <c r="N14957"/>
      <c r="O14957"/>
      <c r="P14957"/>
      <c r="Q14957"/>
      <c r="R14957"/>
      <c r="S14957"/>
    </row>
    <row r="14958" spans="13:19" ht="13.95" customHeight="1">
      <c r="M14958"/>
      <c r="N14958"/>
      <c r="O14958"/>
      <c r="P14958"/>
      <c r="Q14958"/>
      <c r="R14958"/>
      <c r="S14958"/>
    </row>
    <row r="14959" spans="13:19" ht="13.95" customHeight="1">
      <c r="M14959"/>
      <c r="N14959"/>
      <c r="O14959"/>
      <c r="P14959"/>
      <c r="Q14959"/>
      <c r="R14959"/>
      <c r="S14959"/>
    </row>
    <row r="14960" spans="13:19" ht="13.95" customHeight="1">
      <c r="M14960"/>
      <c r="N14960"/>
      <c r="O14960"/>
      <c r="P14960"/>
      <c r="Q14960"/>
      <c r="R14960"/>
      <c r="S14960"/>
    </row>
    <row r="14961" spans="13:19" ht="13.95" customHeight="1">
      <c r="M14961"/>
      <c r="N14961"/>
      <c r="O14961"/>
      <c r="P14961"/>
      <c r="Q14961"/>
      <c r="R14961"/>
      <c r="S14961"/>
    </row>
    <row r="14962" spans="13:19" ht="13.95" customHeight="1">
      <c r="M14962"/>
      <c r="N14962"/>
      <c r="O14962"/>
      <c r="P14962"/>
      <c r="Q14962"/>
      <c r="R14962"/>
      <c r="S14962"/>
    </row>
    <row r="14963" spans="13:19" ht="13.95" customHeight="1">
      <c r="M14963"/>
      <c r="N14963"/>
      <c r="O14963"/>
      <c r="P14963"/>
      <c r="Q14963"/>
      <c r="R14963"/>
      <c r="S14963"/>
    </row>
    <row r="14964" spans="13:19" ht="13.95" customHeight="1">
      <c r="M14964"/>
      <c r="N14964"/>
      <c r="O14964"/>
      <c r="P14964"/>
      <c r="Q14964"/>
      <c r="R14964"/>
      <c r="S14964"/>
    </row>
    <row r="14965" spans="13:19" ht="13.95" customHeight="1">
      <c r="M14965"/>
      <c r="N14965"/>
      <c r="O14965"/>
      <c r="P14965"/>
      <c r="Q14965"/>
      <c r="R14965"/>
      <c r="S14965"/>
    </row>
    <row r="14966" spans="13:19" ht="13.95" customHeight="1">
      <c r="M14966"/>
      <c r="N14966"/>
      <c r="O14966"/>
      <c r="P14966"/>
      <c r="Q14966"/>
      <c r="R14966"/>
      <c r="S14966"/>
    </row>
    <row r="14967" spans="13:19" ht="13.95" customHeight="1">
      <c r="M14967"/>
      <c r="N14967"/>
      <c r="O14967"/>
      <c r="P14967"/>
      <c r="Q14967"/>
      <c r="R14967"/>
      <c r="S14967"/>
    </row>
    <row r="14968" spans="13:19" ht="13.95" customHeight="1">
      <c r="M14968"/>
      <c r="N14968"/>
      <c r="O14968"/>
      <c r="P14968"/>
      <c r="Q14968"/>
      <c r="R14968"/>
      <c r="S14968"/>
    </row>
    <row r="14969" spans="13:19" ht="13.95" customHeight="1">
      <c r="M14969"/>
      <c r="N14969"/>
      <c r="O14969"/>
      <c r="P14969"/>
      <c r="Q14969"/>
      <c r="R14969"/>
      <c r="S14969"/>
    </row>
    <row r="14970" spans="13:19" ht="13.95" customHeight="1">
      <c r="M14970"/>
      <c r="N14970"/>
      <c r="O14970"/>
      <c r="P14970"/>
      <c r="Q14970"/>
      <c r="R14970"/>
      <c r="S14970"/>
    </row>
    <row r="14971" spans="13:19" ht="13.95" customHeight="1">
      <c r="M14971"/>
      <c r="N14971"/>
      <c r="O14971"/>
      <c r="P14971"/>
      <c r="Q14971"/>
      <c r="R14971"/>
      <c r="S14971"/>
    </row>
    <row r="14972" spans="13:19" ht="13.95" customHeight="1">
      <c r="M14972"/>
      <c r="N14972"/>
      <c r="O14972"/>
      <c r="P14972"/>
      <c r="Q14972"/>
      <c r="R14972"/>
      <c r="S14972"/>
    </row>
    <row r="14973" spans="13:19" ht="13.95" customHeight="1">
      <c r="M14973"/>
      <c r="N14973"/>
      <c r="O14973"/>
      <c r="P14973"/>
      <c r="Q14973"/>
      <c r="R14973"/>
      <c r="S14973"/>
    </row>
    <row r="14974" spans="13:19" ht="13.95" customHeight="1">
      <c r="M14974"/>
      <c r="N14974"/>
      <c r="O14974"/>
      <c r="P14974"/>
      <c r="Q14974"/>
      <c r="R14974"/>
      <c r="S14974"/>
    </row>
    <row r="14975" spans="13:19" ht="13.95" customHeight="1">
      <c r="M14975"/>
      <c r="N14975"/>
      <c r="O14975"/>
      <c r="P14975"/>
      <c r="Q14975"/>
      <c r="R14975"/>
      <c r="S14975"/>
    </row>
    <row r="14976" spans="13:19" ht="13.95" customHeight="1">
      <c r="M14976"/>
      <c r="N14976"/>
      <c r="O14976"/>
      <c r="P14976"/>
      <c r="Q14976"/>
      <c r="R14976"/>
      <c r="S14976"/>
    </row>
    <row r="14977" spans="13:19" ht="13.95" customHeight="1">
      <c r="M14977"/>
      <c r="N14977"/>
      <c r="O14977"/>
      <c r="P14977"/>
      <c r="Q14977"/>
      <c r="R14977"/>
      <c r="S14977"/>
    </row>
    <row r="14978" spans="13:19" ht="13.95" customHeight="1">
      <c r="M14978"/>
      <c r="N14978"/>
      <c r="O14978"/>
      <c r="P14978"/>
      <c r="Q14978"/>
      <c r="R14978"/>
      <c r="S14978"/>
    </row>
    <row r="14979" spans="13:19" ht="13.95" customHeight="1">
      <c r="M14979"/>
      <c r="N14979"/>
      <c r="O14979"/>
      <c r="P14979"/>
      <c r="Q14979"/>
      <c r="R14979"/>
      <c r="S14979"/>
    </row>
    <row r="14980" spans="13:19" ht="13.95" customHeight="1">
      <c r="M14980"/>
      <c r="N14980"/>
      <c r="O14980"/>
      <c r="P14980"/>
      <c r="Q14980"/>
      <c r="R14980"/>
      <c r="S14980"/>
    </row>
    <row r="14981" spans="13:19" ht="13.95" customHeight="1">
      <c r="M14981"/>
      <c r="N14981"/>
      <c r="O14981"/>
      <c r="P14981"/>
      <c r="Q14981"/>
      <c r="R14981"/>
      <c r="S14981"/>
    </row>
    <row r="14982" spans="13:19" ht="13.95" customHeight="1">
      <c r="M14982"/>
      <c r="N14982"/>
      <c r="O14982"/>
      <c r="P14982"/>
      <c r="Q14982"/>
      <c r="R14982"/>
      <c r="S14982"/>
    </row>
    <row r="14983" spans="13:19" ht="13.95" customHeight="1">
      <c r="M14983"/>
      <c r="N14983"/>
      <c r="O14983"/>
      <c r="P14983"/>
      <c r="Q14983"/>
      <c r="R14983"/>
      <c r="S14983"/>
    </row>
    <row r="14984" spans="13:19" ht="13.95" customHeight="1">
      <c r="M14984"/>
      <c r="N14984"/>
      <c r="O14984"/>
      <c r="P14984"/>
      <c r="Q14984"/>
      <c r="R14984"/>
      <c r="S14984"/>
    </row>
    <row r="14985" spans="13:19" ht="13.95" customHeight="1">
      <c r="M14985"/>
      <c r="N14985"/>
      <c r="O14985"/>
      <c r="P14985"/>
      <c r="Q14985"/>
      <c r="R14985"/>
      <c r="S14985"/>
    </row>
    <row r="14986" spans="13:19" ht="13.95" customHeight="1">
      <c r="M14986"/>
      <c r="N14986"/>
      <c r="O14986"/>
      <c r="P14986"/>
      <c r="Q14986"/>
      <c r="R14986"/>
      <c r="S14986"/>
    </row>
    <row r="14987" spans="13:19" ht="13.95" customHeight="1">
      <c r="M14987"/>
      <c r="N14987"/>
      <c r="O14987"/>
      <c r="P14987"/>
      <c r="Q14987"/>
      <c r="R14987"/>
      <c r="S14987"/>
    </row>
    <row r="14988" spans="13:19" ht="13.95" customHeight="1">
      <c r="M14988"/>
      <c r="N14988"/>
      <c r="O14988"/>
      <c r="P14988"/>
      <c r="Q14988"/>
      <c r="R14988"/>
      <c r="S14988"/>
    </row>
    <row r="14989" spans="13:19" ht="13.95" customHeight="1">
      <c r="M14989"/>
      <c r="N14989"/>
      <c r="O14989"/>
      <c r="P14989"/>
      <c r="Q14989"/>
      <c r="R14989"/>
      <c r="S14989"/>
    </row>
    <row r="14990" spans="13:19" ht="13.95" customHeight="1">
      <c r="M14990"/>
      <c r="N14990"/>
      <c r="O14990"/>
      <c r="P14990"/>
      <c r="Q14990"/>
      <c r="R14990"/>
      <c r="S14990"/>
    </row>
    <row r="14991" spans="13:19" ht="13.95" customHeight="1">
      <c r="M14991"/>
      <c r="N14991"/>
      <c r="O14991"/>
      <c r="P14991"/>
      <c r="Q14991"/>
      <c r="R14991"/>
      <c r="S14991"/>
    </row>
    <row r="14992" spans="13:19" ht="13.95" customHeight="1">
      <c r="M14992"/>
      <c r="N14992"/>
      <c r="O14992"/>
      <c r="P14992"/>
      <c r="Q14992"/>
      <c r="R14992"/>
      <c r="S14992"/>
    </row>
    <row r="14993" spans="13:19" ht="13.95" customHeight="1">
      <c r="M14993"/>
      <c r="N14993"/>
      <c r="O14993"/>
      <c r="P14993"/>
      <c r="Q14993"/>
      <c r="R14993"/>
      <c r="S14993"/>
    </row>
    <row r="14994" spans="13:19" ht="13.95" customHeight="1">
      <c r="M14994"/>
      <c r="N14994"/>
      <c r="O14994"/>
      <c r="P14994"/>
      <c r="Q14994"/>
      <c r="R14994"/>
      <c r="S14994"/>
    </row>
    <row r="14995" spans="13:19" ht="13.95" customHeight="1">
      <c r="M14995"/>
      <c r="N14995"/>
      <c r="O14995"/>
      <c r="P14995"/>
      <c r="Q14995"/>
      <c r="R14995"/>
      <c r="S14995"/>
    </row>
    <row r="14996" spans="13:19" ht="13.95" customHeight="1">
      <c r="M14996"/>
      <c r="N14996"/>
      <c r="O14996"/>
      <c r="P14996"/>
      <c r="Q14996"/>
      <c r="R14996"/>
      <c r="S14996"/>
    </row>
    <row r="14997" spans="13:19" ht="13.95" customHeight="1">
      <c r="M14997"/>
      <c r="N14997"/>
      <c r="O14997"/>
      <c r="P14997"/>
      <c r="Q14997"/>
      <c r="R14997"/>
      <c r="S14997"/>
    </row>
    <row r="14998" spans="13:19" ht="13.95" customHeight="1">
      <c r="M14998"/>
      <c r="N14998"/>
      <c r="O14998"/>
      <c r="P14998"/>
      <c r="Q14998"/>
      <c r="R14998"/>
      <c r="S14998"/>
    </row>
    <row r="14999" spans="13:19" ht="13.95" customHeight="1">
      <c r="M14999"/>
      <c r="N14999"/>
      <c r="O14999"/>
      <c r="P14999"/>
      <c r="Q14999"/>
      <c r="R14999"/>
      <c r="S14999"/>
    </row>
    <row r="15000" spans="13:19" ht="13.95" customHeight="1">
      <c r="M15000"/>
      <c r="N15000"/>
      <c r="O15000"/>
      <c r="P15000"/>
      <c r="Q15000"/>
      <c r="R15000"/>
      <c r="S15000"/>
    </row>
    <row r="15001" spans="13:19" ht="13.95" customHeight="1">
      <c r="M15001"/>
      <c r="N15001"/>
      <c r="O15001"/>
      <c r="P15001"/>
      <c r="Q15001"/>
      <c r="R15001"/>
      <c r="S15001"/>
    </row>
    <row r="15002" spans="13:19" ht="13.95" customHeight="1">
      <c r="M15002"/>
      <c r="N15002"/>
      <c r="O15002"/>
      <c r="P15002"/>
      <c r="Q15002"/>
      <c r="R15002"/>
      <c r="S15002"/>
    </row>
    <row r="15003" spans="13:19" ht="13.95" customHeight="1">
      <c r="M15003"/>
      <c r="N15003"/>
      <c r="O15003"/>
      <c r="P15003"/>
      <c r="Q15003"/>
      <c r="R15003"/>
      <c r="S15003"/>
    </row>
    <row r="15004" spans="13:19" ht="13.95" customHeight="1">
      <c r="M15004"/>
      <c r="N15004"/>
      <c r="O15004"/>
      <c r="P15004"/>
      <c r="Q15004"/>
      <c r="R15004"/>
      <c r="S15004"/>
    </row>
    <row r="15005" spans="13:19" ht="13.95" customHeight="1">
      <c r="M15005"/>
      <c r="N15005"/>
      <c r="O15005"/>
      <c r="P15005"/>
      <c r="Q15005"/>
      <c r="R15005"/>
      <c r="S15005"/>
    </row>
    <row r="15006" spans="13:19" ht="13.95" customHeight="1">
      <c r="M15006"/>
      <c r="N15006"/>
      <c r="O15006"/>
      <c r="P15006"/>
      <c r="Q15006"/>
      <c r="R15006"/>
      <c r="S15006"/>
    </row>
    <row r="15007" spans="13:19" ht="13.95" customHeight="1">
      <c r="M15007"/>
      <c r="N15007"/>
      <c r="O15007"/>
      <c r="P15007"/>
      <c r="Q15007"/>
      <c r="R15007"/>
      <c r="S15007"/>
    </row>
    <row r="15008" spans="13:19" ht="13.95" customHeight="1">
      <c r="M15008"/>
      <c r="N15008"/>
      <c r="O15008"/>
      <c r="P15008"/>
      <c r="Q15008"/>
      <c r="R15008"/>
      <c r="S15008"/>
    </row>
    <row r="15009" spans="13:19" ht="13.95" customHeight="1">
      <c r="M15009"/>
      <c r="N15009"/>
      <c r="O15009"/>
      <c r="P15009"/>
      <c r="Q15009"/>
      <c r="R15009"/>
      <c r="S15009"/>
    </row>
    <row r="15010" spans="13:19" ht="13.95" customHeight="1">
      <c r="M15010"/>
      <c r="N15010"/>
      <c r="O15010"/>
      <c r="P15010"/>
      <c r="Q15010"/>
      <c r="R15010"/>
      <c r="S15010"/>
    </row>
    <row r="15011" spans="13:19" ht="13.95" customHeight="1">
      <c r="M15011"/>
      <c r="N15011"/>
      <c r="O15011"/>
      <c r="P15011"/>
      <c r="Q15011"/>
      <c r="R15011"/>
      <c r="S15011"/>
    </row>
    <row r="15012" spans="13:19" ht="13.95" customHeight="1">
      <c r="M15012"/>
      <c r="N15012"/>
      <c r="O15012"/>
      <c r="P15012"/>
      <c r="Q15012"/>
      <c r="R15012"/>
      <c r="S15012"/>
    </row>
    <row r="15013" spans="13:19" ht="13.95" customHeight="1">
      <c r="M15013"/>
      <c r="N15013"/>
      <c r="O15013"/>
      <c r="P15013"/>
      <c r="Q15013"/>
      <c r="R15013"/>
      <c r="S15013"/>
    </row>
    <row r="15014" spans="13:19" ht="13.95" customHeight="1">
      <c r="M15014"/>
      <c r="N15014"/>
      <c r="O15014"/>
      <c r="P15014"/>
      <c r="Q15014"/>
      <c r="R15014"/>
      <c r="S15014"/>
    </row>
    <row r="15015" spans="13:19" ht="13.95" customHeight="1">
      <c r="M15015"/>
      <c r="N15015"/>
      <c r="O15015"/>
      <c r="P15015"/>
      <c r="Q15015"/>
      <c r="R15015"/>
      <c r="S15015"/>
    </row>
    <row r="15016" spans="13:19" ht="13.95" customHeight="1">
      <c r="M15016"/>
      <c r="N15016"/>
      <c r="O15016"/>
      <c r="P15016"/>
      <c r="Q15016"/>
      <c r="R15016"/>
      <c r="S15016"/>
    </row>
    <row r="15017" spans="13:19" ht="13.95" customHeight="1">
      <c r="M15017"/>
      <c r="N15017"/>
      <c r="O15017"/>
      <c r="P15017"/>
      <c r="Q15017"/>
      <c r="R15017"/>
      <c r="S15017"/>
    </row>
    <row r="15018" spans="13:19" ht="13.95" customHeight="1">
      <c r="M15018"/>
      <c r="N15018"/>
      <c r="O15018"/>
      <c r="P15018"/>
      <c r="Q15018"/>
      <c r="R15018"/>
      <c r="S15018"/>
    </row>
    <row r="15019" spans="13:19" ht="13.95" customHeight="1">
      <c r="M15019"/>
      <c r="N15019"/>
      <c r="O15019"/>
      <c r="P15019"/>
      <c r="Q15019"/>
      <c r="R15019"/>
      <c r="S15019"/>
    </row>
    <row r="15020" spans="13:19" ht="13.95" customHeight="1">
      <c r="M15020"/>
      <c r="N15020"/>
      <c r="O15020"/>
      <c r="P15020"/>
      <c r="Q15020"/>
      <c r="R15020"/>
      <c r="S15020"/>
    </row>
    <row r="15021" spans="13:19" ht="13.95" customHeight="1">
      <c r="M15021"/>
      <c r="N15021"/>
      <c r="O15021"/>
      <c r="P15021"/>
      <c r="Q15021"/>
      <c r="R15021"/>
      <c r="S15021"/>
    </row>
    <row r="15022" spans="13:19" ht="13.95" customHeight="1">
      <c r="M15022"/>
      <c r="N15022"/>
      <c r="O15022"/>
      <c r="P15022"/>
      <c r="Q15022"/>
      <c r="R15022"/>
      <c r="S15022"/>
    </row>
    <row r="15023" spans="13:19" ht="13.95" customHeight="1">
      <c r="M15023"/>
      <c r="N15023"/>
      <c r="O15023"/>
      <c r="P15023"/>
      <c r="Q15023"/>
      <c r="R15023"/>
      <c r="S15023"/>
    </row>
    <row r="15024" spans="13:19" ht="13.95" customHeight="1">
      <c r="M15024"/>
      <c r="N15024"/>
      <c r="O15024"/>
      <c r="P15024"/>
      <c r="Q15024"/>
      <c r="R15024"/>
      <c r="S15024"/>
    </row>
    <row r="15025" spans="13:19" ht="13.95" customHeight="1">
      <c r="M15025"/>
      <c r="N15025"/>
      <c r="O15025"/>
      <c r="P15025"/>
      <c r="Q15025"/>
      <c r="R15025"/>
      <c r="S15025"/>
    </row>
    <row r="15026" spans="13:19" ht="13.95" customHeight="1">
      <c r="M15026"/>
      <c r="N15026"/>
      <c r="O15026"/>
      <c r="P15026"/>
      <c r="Q15026"/>
      <c r="R15026"/>
      <c r="S15026"/>
    </row>
    <row r="15027" spans="13:19" ht="13.95" customHeight="1">
      <c r="M15027"/>
      <c r="N15027"/>
      <c r="O15027"/>
      <c r="P15027"/>
      <c r="Q15027"/>
      <c r="R15027"/>
      <c r="S15027"/>
    </row>
    <row r="15028" spans="13:19" ht="13.95" customHeight="1">
      <c r="M15028"/>
      <c r="N15028"/>
      <c r="O15028"/>
      <c r="P15028"/>
      <c r="Q15028"/>
      <c r="R15028"/>
      <c r="S15028"/>
    </row>
    <row r="15029" spans="13:19" ht="13.95" customHeight="1">
      <c r="M15029"/>
      <c r="N15029"/>
      <c r="O15029"/>
      <c r="P15029"/>
      <c r="Q15029"/>
      <c r="R15029"/>
      <c r="S15029"/>
    </row>
    <row r="15030" spans="13:19" ht="13.95" customHeight="1">
      <c r="M15030"/>
      <c r="N15030"/>
      <c r="O15030"/>
      <c r="P15030"/>
      <c r="Q15030"/>
      <c r="R15030"/>
      <c r="S15030"/>
    </row>
    <row r="15031" spans="13:19" ht="13.95" customHeight="1">
      <c r="M15031"/>
      <c r="N15031"/>
      <c r="O15031"/>
      <c r="P15031"/>
      <c r="Q15031"/>
      <c r="R15031"/>
      <c r="S15031"/>
    </row>
    <row r="15032" spans="13:19" ht="13.95" customHeight="1">
      <c r="M15032"/>
      <c r="N15032"/>
      <c r="O15032"/>
      <c r="P15032"/>
      <c r="Q15032"/>
      <c r="R15032"/>
      <c r="S15032"/>
    </row>
    <row r="15033" spans="13:19" ht="13.95" customHeight="1">
      <c r="M15033"/>
      <c r="N15033"/>
      <c r="O15033"/>
      <c r="P15033"/>
      <c r="Q15033"/>
      <c r="R15033"/>
      <c r="S15033"/>
    </row>
    <row r="15034" spans="13:19" ht="13.95" customHeight="1">
      <c r="M15034"/>
      <c r="N15034"/>
      <c r="O15034"/>
      <c r="P15034"/>
      <c r="Q15034"/>
      <c r="R15034"/>
      <c r="S15034"/>
    </row>
    <row r="15035" spans="13:19" ht="13.95" customHeight="1">
      <c r="M15035"/>
      <c r="N15035"/>
      <c r="O15035"/>
      <c r="P15035"/>
      <c r="Q15035"/>
      <c r="R15035"/>
      <c r="S15035"/>
    </row>
    <row r="15036" spans="13:19" ht="13.95" customHeight="1">
      <c r="M15036"/>
      <c r="N15036"/>
      <c r="O15036"/>
      <c r="P15036"/>
      <c r="Q15036"/>
      <c r="R15036"/>
      <c r="S15036"/>
    </row>
    <row r="15037" spans="13:19" ht="13.95" customHeight="1">
      <c r="M15037"/>
      <c r="N15037"/>
      <c r="O15037"/>
      <c r="P15037"/>
      <c r="Q15037"/>
      <c r="R15037"/>
      <c r="S15037"/>
    </row>
    <row r="15038" spans="13:19" ht="13.95" customHeight="1">
      <c r="M15038"/>
      <c r="N15038"/>
      <c r="O15038"/>
      <c r="P15038"/>
      <c r="Q15038"/>
      <c r="R15038"/>
      <c r="S15038"/>
    </row>
    <row r="15039" spans="13:19" ht="13.95" customHeight="1">
      <c r="M15039"/>
      <c r="N15039"/>
      <c r="O15039"/>
      <c r="P15039"/>
      <c r="Q15039"/>
      <c r="R15039"/>
      <c r="S15039"/>
    </row>
    <row r="15040" spans="13:19" ht="13.95" customHeight="1">
      <c r="M15040"/>
      <c r="N15040"/>
      <c r="O15040"/>
      <c r="P15040"/>
      <c r="Q15040"/>
      <c r="R15040"/>
      <c r="S15040"/>
    </row>
    <row r="15041" spans="13:19" ht="13.95" customHeight="1">
      <c r="M15041"/>
      <c r="N15041"/>
      <c r="O15041"/>
      <c r="P15041"/>
      <c r="Q15041"/>
      <c r="R15041"/>
      <c r="S15041"/>
    </row>
    <row r="15042" spans="13:19" ht="13.95" customHeight="1">
      <c r="M15042"/>
      <c r="N15042"/>
      <c r="O15042"/>
      <c r="P15042"/>
      <c r="Q15042"/>
      <c r="R15042"/>
      <c r="S15042"/>
    </row>
    <row r="15043" spans="13:19" ht="13.95" customHeight="1">
      <c r="M15043"/>
      <c r="N15043"/>
      <c r="O15043"/>
      <c r="P15043"/>
      <c r="Q15043"/>
      <c r="R15043"/>
      <c r="S15043"/>
    </row>
    <row r="15044" spans="13:19" ht="13.95" customHeight="1">
      <c r="M15044"/>
      <c r="N15044"/>
      <c r="O15044"/>
      <c r="P15044"/>
      <c r="Q15044"/>
      <c r="R15044"/>
      <c r="S15044"/>
    </row>
    <row r="15045" spans="13:19" ht="13.95" customHeight="1">
      <c r="M15045"/>
      <c r="N15045"/>
      <c r="O15045"/>
      <c r="P15045"/>
      <c r="Q15045"/>
      <c r="R15045"/>
      <c r="S15045"/>
    </row>
    <row r="15046" spans="13:19" ht="13.95" customHeight="1">
      <c r="M15046"/>
      <c r="N15046"/>
      <c r="O15046"/>
      <c r="P15046"/>
      <c r="Q15046"/>
      <c r="R15046"/>
      <c r="S15046"/>
    </row>
    <row r="15047" spans="13:19" ht="13.95" customHeight="1">
      <c r="M15047"/>
      <c r="N15047"/>
      <c r="O15047"/>
      <c r="P15047"/>
      <c r="Q15047"/>
      <c r="R15047"/>
      <c r="S15047"/>
    </row>
    <row r="15048" spans="13:19" ht="13.95" customHeight="1">
      <c r="M15048"/>
      <c r="N15048"/>
      <c r="O15048"/>
      <c r="P15048"/>
      <c r="Q15048"/>
      <c r="R15048"/>
      <c r="S15048"/>
    </row>
    <row r="15049" spans="13:19" ht="13.95" customHeight="1">
      <c r="M15049"/>
      <c r="N15049"/>
      <c r="O15049"/>
      <c r="P15049"/>
      <c r="Q15049"/>
      <c r="R15049"/>
      <c r="S15049"/>
    </row>
    <row r="15050" spans="13:19" ht="13.95" customHeight="1">
      <c r="M15050"/>
      <c r="N15050"/>
      <c r="O15050"/>
      <c r="P15050"/>
      <c r="Q15050"/>
      <c r="R15050"/>
      <c r="S15050"/>
    </row>
    <row r="15051" spans="13:19" ht="13.95" customHeight="1">
      <c r="M15051"/>
      <c r="N15051"/>
      <c r="O15051"/>
      <c r="P15051"/>
      <c r="Q15051"/>
      <c r="R15051"/>
      <c r="S15051"/>
    </row>
    <row r="15052" spans="13:19" ht="13.95" customHeight="1">
      <c r="M15052"/>
      <c r="N15052"/>
      <c r="O15052"/>
      <c r="P15052"/>
      <c r="Q15052"/>
      <c r="R15052"/>
      <c r="S15052"/>
    </row>
    <row r="15053" spans="13:19" ht="13.95" customHeight="1">
      <c r="M15053"/>
      <c r="N15053"/>
      <c r="O15053"/>
      <c r="P15053"/>
      <c r="Q15053"/>
      <c r="R15053"/>
      <c r="S15053"/>
    </row>
    <row r="15054" spans="13:19" ht="13.95" customHeight="1">
      <c r="M15054"/>
      <c r="N15054"/>
      <c r="O15054"/>
      <c r="P15054"/>
      <c r="Q15054"/>
      <c r="R15054"/>
      <c r="S15054"/>
    </row>
    <row r="15055" spans="13:19" ht="13.95" customHeight="1">
      <c r="M15055"/>
      <c r="N15055"/>
      <c r="O15055"/>
      <c r="P15055"/>
      <c r="Q15055"/>
      <c r="R15055"/>
      <c r="S15055"/>
    </row>
    <row r="15056" spans="13:19" ht="13.95" customHeight="1">
      <c r="M15056"/>
      <c r="N15056"/>
      <c r="O15056"/>
      <c r="P15056"/>
      <c r="Q15056"/>
      <c r="R15056"/>
      <c r="S15056"/>
    </row>
    <row r="15057" spans="13:19" ht="13.95" customHeight="1">
      <c r="M15057"/>
      <c r="N15057"/>
      <c r="O15057"/>
      <c r="P15057"/>
      <c r="Q15057"/>
      <c r="R15057"/>
      <c r="S15057"/>
    </row>
    <row r="15058" spans="13:19" ht="13.95" customHeight="1">
      <c r="M15058"/>
      <c r="N15058"/>
      <c r="O15058"/>
      <c r="P15058"/>
      <c r="Q15058"/>
      <c r="R15058"/>
      <c r="S15058"/>
    </row>
    <row r="15059" spans="13:19" ht="13.95" customHeight="1">
      <c r="M15059"/>
      <c r="N15059"/>
      <c r="O15059"/>
      <c r="P15059"/>
      <c r="Q15059"/>
      <c r="R15059"/>
      <c r="S15059"/>
    </row>
    <row r="15060" spans="13:19" ht="13.95" customHeight="1">
      <c r="M15060"/>
      <c r="N15060"/>
      <c r="O15060"/>
      <c r="P15060"/>
      <c r="Q15060"/>
      <c r="R15060"/>
      <c r="S15060"/>
    </row>
    <row r="15061" spans="13:19" ht="13.95" customHeight="1">
      <c r="M15061"/>
      <c r="N15061"/>
      <c r="O15061"/>
      <c r="P15061"/>
      <c r="Q15061"/>
      <c r="R15061"/>
      <c r="S15061"/>
    </row>
    <row r="15062" spans="13:19" ht="13.95" customHeight="1">
      <c r="M15062"/>
      <c r="N15062"/>
      <c r="O15062"/>
      <c r="P15062"/>
      <c r="Q15062"/>
      <c r="R15062"/>
      <c r="S15062"/>
    </row>
    <row r="15063" spans="13:19" ht="13.95" customHeight="1">
      <c r="M15063"/>
      <c r="N15063"/>
      <c r="O15063"/>
      <c r="P15063"/>
      <c r="Q15063"/>
      <c r="R15063"/>
      <c r="S15063"/>
    </row>
    <row r="15064" spans="13:19" ht="13.95" customHeight="1">
      <c r="M15064"/>
      <c r="N15064"/>
      <c r="O15064"/>
      <c r="P15064"/>
      <c r="Q15064"/>
      <c r="R15064"/>
      <c r="S15064"/>
    </row>
    <row r="15065" spans="13:19" ht="13.95" customHeight="1">
      <c r="M15065"/>
      <c r="N15065"/>
      <c r="O15065"/>
      <c r="P15065"/>
      <c r="Q15065"/>
      <c r="R15065"/>
      <c r="S15065"/>
    </row>
    <row r="15066" spans="13:19" ht="13.95" customHeight="1">
      <c r="M15066"/>
      <c r="N15066"/>
      <c r="O15066"/>
      <c r="P15066"/>
      <c r="Q15066"/>
      <c r="R15066"/>
      <c r="S15066"/>
    </row>
    <row r="15067" spans="13:19" ht="13.95" customHeight="1">
      <c r="M15067"/>
      <c r="N15067"/>
      <c r="O15067"/>
      <c r="P15067"/>
      <c r="Q15067"/>
      <c r="R15067"/>
      <c r="S15067"/>
    </row>
    <row r="15068" spans="13:19" ht="13.95" customHeight="1">
      <c r="M15068"/>
      <c r="N15068"/>
      <c r="O15068"/>
      <c r="P15068"/>
      <c r="Q15068"/>
      <c r="R15068"/>
      <c r="S15068"/>
    </row>
    <row r="15069" spans="13:19" ht="13.95" customHeight="1">
      <c r="M15069"/>
      <c r="N15069"/>
      <c r="O15069"/>
      <c r="P15069"/>
      <c r="Q15069"/>
      <c r="R15069"/>
      <c r="S15069"/>
    </row>
    <row r="15070" spans="13:19" ht="13.95" customHeight="1">
      <c r="M15070"/>
      <c r="N15070"/>
      <c r="O15070"/>
      <c r="P15070"/>
      <c r="Q15070"/>
      <c r="R15070"/>
      <c r="S15070"/>
    </row>
    <row r="15071" spans="13:19" ht="13.95" customHeight="1">
      <c r="M15071"/>
      <c r="N15071"/>
      <c r="O15071"/>
      <c r="P15071"/>
      <c r="Q15071"/>
      <c r="R15071"/>
      <c r="S15071"/>
    </row>
    <row r="15072" spans="13:19" ht="13.95" customHeight="1">
      <c r="M15072"/>
      <c r="N15072"/>
      <c r="O15072"/>
      <c r="P15072"/>
      <c r="Q15072"/>
      <c r="R15072"/>
      <c r="S15072"/>
    </row>
    <row r="15073" spans="13:19" ht="13.95" customHeight="1">
      <c r="M15073"/>
      <c r="N15073"/>
      <c r="O15073"/>
      <c r="P15073"/>
      <c r="Q15073"/>
      <c r="R15073"/>
      <c r="S15073"/>
    </row>
    <row r="15074" spans="13:19" ht="13.95" customHeight="1">
      <c r="M15074"/>
      <c r="N15074"/>
      <c r="O15074"/>
      <c r="P15074"/>
      <c r="Q15074"/>
      <c r="R15074"/>
      <c r="S15074"/>
    </row>
    <row r="15075" spans="13:19" ht="13.95" customHeight="1">
      <c r="M15075"/>
      <c r="N15075"/>
      <c r="O15075"/>
      <c r="P15075"/>
      <c r="Q15075"/>
      <c r="R15075"/>
      <c r="S15075"/>
    </row>
    <row r="15076" spans="13:19" ht="13.95" customHeight="1">
      <c r="M15076"/>
      <c r="N15076"/>
      <c r="O15076"/>
      <c r="P15076"/>
      <c r="Q15076"/>
      <c r="R15076"/>
      <c r="S15076"/>
    </row>
    <row r="15077" spans="13:19" ht="13.95" customHeight="1">
      <c r="M15077"/>
      <c r="N15077"/>
      <c r="O15077"/>
      <c r="P15077"/>
      <c r="Q15077"/>
      <c r="R15077"/>
      <c r="S15077"/>
    </row>
    <row r="15078" spans="13:19" ht="13.95" customHeight="1">
      <c r="M15078"/>
      <c r="N15078"/>
      <c r="O15078"/>
      <c r="P15078"/>
      <c r="Q15078"/>
      <c r="R15078"/>
      <c r="S15078"/>
    </row>
    <row r="15079" spans="13:19" ht="13.95" customHeight="1">
      <c r="M15079"/>
      <c r="N15079"/>
      <c r="O15079"/>
      <c r="P15079"/>
      <c r="Q15079"/>
      <c r="R15079"/>
      <c r="S15079"/>
    </row>
    <row r="15080" spans="13:19" ht="13.95" customHeight="1">
      <c r="M15080"/>
      <c r="N15080"/>
      <c r="O15080"/>
      <c r="P15080"/>
      <c r="Q15080"/>
      <c r="R15080"/>
      <c r="S15080"/>
    </row>
    <row r="15081" spans="13:19" ht="13.95" customHeight="1">
      <c r="M15081"/>
      <c r="N15081"/>
      <c r="O15081"/>
      <c r="P15081"/>
      <c r="Q15081"/>
      <c r="R15081"/>
      <c r="S15081"/>
    </row>
    <row r="15082" spans="13:19" ht="13.95" customHeight="1">
      <c r="M15082"/>
      <c r="N15082"/>
      <c r="O15082"/>
      <c r="P15082"/>
      <c r="Q15082"/>
      <c r="R15082"/>
      <c r="S15082"/>
    </row>
    <row r="15083" spans="13:19" ht="13.95" customHeight="1">
      <c r="M15083"/>
      <c r="N15083"/>
      <c r="O15083"/>
      <c r="P15083"/>
      <c r="Q15083"/>
      <c r="R15083"/>
      <c r="S15083"/>
    </row>
    <row r="15084" spans="13:19" ht="13.95" customHeight="1">
      <c r="M15084"/>
      <c r="N15084"/>
      <c r="O15084"/>
      <c r="P15084"/>
      <c r="Q15084"/>
      <c r="R15084"/>
      <c r="S15084"/>
    </row>
    <row r="15085" spans="13:19" ht="13.95" customHeight="1">
      <c r="M15085"/>
      <c r="N15085"/>
      <c r="O15085"/>
      <c r="P15085"/>
      <c r="Q15085"/>
      <c r="R15085"/>
      <c r="S15085"/>
    </row>
    <row r="15086" spans="13:19" ht="13.95" customHeight="1">
      <c r="M15086"/>
      <c r="N15086"/>
      <c r="O15086"/>
      <c r="P15086"/>
      <c r="Q15086"/>
      <c r="R15086"/>
      <c r="S15086"/>
    </row>
    <row r="15087" spans="13:19" ht="13.95" customHeight="1">
      <c r="M15087"/>
      <c r="N15087"/>
      <c r="O15087"/>
      <c r="P15087"/>
      <c r="Q15087"/>
      <c r="R15087"/>
      <c r="S15087"/>
    </row>
    <row r="15088" spans="13:19" ht="13.95" customHeight="1">
      <c r="M15088"/>
      <c r="N15088"/>
      <c r="O15088"/>
      <c r="P15088"/>
      <c r="Q15088"/>
      <c r="R15088"/>
      <c r="S15088"/>
    </row>
    <row r="15089" spans="13:19" ht="13.95" customHeight="1">
      <c r="M15089"/>
      <c r="N15089"/>
      <c r="O15089"/>
      <c r="P15089"/>
      <c r="Q15089"/>
      <c r="R15089"/>
      <c r="S15089"/>
    </row>
    <row r="15090" spans="13:19" ht="13.95" customHeight="1">
      <c r="M15090"/>
      <c r="N15090"/>
      <c r="O15090"/>
      <c r="P15090"/>
      <c r="Q15090"/>
      <c r="R15090"/>
      <c r="S15090"/>
    </row>
    <row r="15091" spans="13:19" ht="13.95" customHeight="1">
      <c r="M15091"/>
      <c r="N15091"/>
      <c r="O15091"/>
      <c r="P15091"/>
      <c r="Q15091"/>
      <c r="R15091"/>
      <c r="S15091"/>
    </row>
    <row r="15092" spans="13:19" ht="13.95" customHeight="1">
      <c r="M15092"/>
      <c r="N15092"/>
      <c r="O15092"/>
      <c r="P15092"/>
      <c r="Q15092"/>
      <c r="R15092"/>
      <c r="S15092"/>
    </row>
    <row r="15093" spans="13:19" ht="13.95" customHeight="1">
      <c r="M15093"/>
      <c r="N15093"/>
      <c r="O15093"/>
      <c r="P15093"/>
      <c r="Q15093"/>
      <c r="R15093"/>
      <c r="S15093"/>
    </row>
    <row r="15094" spans="13:19" ht="13.95" customHeight="1">
      <c r="M15094"/>
      <c r="N15094"/>
      <c r="O15094"/>
      <c r="P15094"/>
      <c r="Q15094"/>
      <c r="R15094"/>
      <c r="S15094"/>
    </row>
    <row r="15095" spans="13:19" ht="13.95" customHeight="1">
      <c r="M15095"/>
      <c r="N15095"/>
      <c r="O15095"/>
      <c r="P15095"/>
      <c r="Q15095"/>
      <c r="R15095"/>
      <c r="S15095"/>
    </row>
    <row r="15096" spans="13:19" ht="13.95" customHeight="1">
      <c r="M15096"/>
      <c r="N15096"/>
      <c r="O15096"/>
      <c r="P15096"/>
      <c r="Q15096"/>
      <c r="R15096"/>
      <c r="S15096"/>
    </row>
    <row r="15097" spans="13:19" ht="13.95" customHeight="1">
      <c r="M15097"/>
      <c r="N15097"/>
      <c r="O15097"/>
      <c r="P15097"/>
      <c r="Q15097"/>
      <c r="R15097"/>
      <c r="S15097"/>
    </row>
    <row r="15098" spans="13:19" ht="13.95" customHeight="1">
      <c r="M15098"/>
      <c r="N15098"/>
      <c r="O15098"/>
      <c r="P15098"/>
      <c r="Q15098"/>
      <c r="R15098"/>
      <c r="S15098"/>
    </row>
    <row r="15099" spans="13:19" ht="13.95" customHeight="1">
      <c r="M15099"/>
      <c r="N15099"/>
      <c r="O15099"/>
      <c r="P15099"/>
      <c r="Q15099"/>
      <c r="R15099"/>
      <c r="S15099"/>
    </row>
    <row r="15100" spans="13:19" ht="13.95" customHeight="1">
      <c r="M15100"/>
      <c r="N15100"/>
      <c r="O15100"/>
      <c r="P15100"/>
      <c r="Q15100"/>
      <c r="R15100"/>
      <c r="S15100"/>
    </row>
    <row r="15101" spans="13:19" ht="13.95" customHeight="1">
      <c r="M15101"/>
      <c r="N15101"/>
      <c r="O15101"/>
      <c r="P15101"/>
      <c r="Q15101"/>
      <c r="R15101"/>
      <c r="S15101"/>
    </row>
    <row r="15102" spans="13:19" ht="13.95" customHeight="1">
      <c r="M15102"/>
      <c r="N15102"/>
      <c r="O15102"/>
      <c r="P15102"/>
      <c r="Q15102"/>
      <c r="R15102"/>
      <c r="S15102"/>
    </row>
    <row r="15103" spans="13:19" ht="13.95" customHeight="1">
      <c r="M15103"/>
      <c r="N15103"/>
      <c r="O15103"/>
      <c r="P15103"/>
      <c r="Q15103"/>
      <c r="R15103"/>
      <c r="S15103"/>
    </row>
    <row r="15104" spans="13:19" ht="13.95" customHeight="1">
      <c r="M15104"/>
      <c r="N15104"/>
      <c r="O15104"/>
      <c r="P15104"/>
      <c r="Q15104"/>
      <c r="R15104"/>
      <c r="S15104"/>
    </row>
    <row r="15105" spans="13:19" ht="13.95" customHeight="1">
      <c r="M15105"/>
      <c r="N15105"/>
      <c r="O15105"/>
      <c r="P15105"/>
      <c r="Q15105"/>
      <c r="R15105"/>
      <c r="S15105"/>
    </row>
    <row r="15106" spans="13:19" ht="13.95" customHeight="1">
      <c r="M15106"/>
      <c r="N15106"/>
      <c r="O15106"/>
      <c r="P15106"/>
      <c r="Q15106"/>
      <c r="R15106"/>
      <c r="S15106"/>
    </row>
    <row r="15107" spans="13:19" ht="13.95" customHeight="1">
      <c r="M15107"/>
      <c r="N15107"/>
      <c r="O15107"/>
      <c r="P15107"/>
      <c r="Q15107"/>
      <c r="R15107"/>
      <c r="S15107"/>
    </row>
    <row r="15108" spans="13:19" ht="13.95" customHeight="1">
      <c r="M15108"/>
      <c r="N15108"/>
      <c r="O15108"/>
      <c r="P15108"/>
      <c r="Q15108"/>
      <c r="R15108"/>
      <c r="S15108"/>
    </row>
    <row r="15109" spans="13:19" ht="13.95" customHeight="1">
      <c r="M15109"/>
      <c r="N15109"/>
      <c r="O15109"/>
      <c r="P15109"/>
      <c r="Q15109"/>
      <c r="R15109"/>
      <c r="S15109"/>
    </row>
    <row r="15110" spans="13:19" ht="13.95" customHeight="1">
      <c r="M15110"/>
      <c r="N15110"/>
      <c r="O15110"/>
      <c r="P15110"/>
      <c r="Q15110"/>
      <c r="R15110"/>
      <c r="S15110"/>
    </row>
    <row r="15111" spans="13:19" ht="13.95" customHeight="1">
      <c r="M15111"/>
      <c r="N15111"/>
      <c r="O15111"/>
      <c r="P15111"/>
      <c r="Q15111"/>
      <c r="R15111"/>
      <c r="S15111"/>
    </row>
    <row r="15112" spans="13:19" ht="13.95" customHeight="1">
      <c r="M15112"/>
      <c r="N15112"/>
      <c r="O15112"/>
      <c r="P15112"/>
      <c r="Q15112"/>
      <c r="R15112"/>
      <c r="S15112"/>
    </row>
    <row r="15113" spans="13:19" ht="13.95" customHeight="1">
      <c r="M15113"/>
      <c r="N15113"/>
      <c r="O15113"/>
      <c r="P15113"/>
      <c r="Q15113"/>
      <c r="R15113"/>
      <c r="S15113"/>
    </row>
    <row r="15114" spans="13:19" ht="13.95" customHeight="1">
      <c r="M15114"/>
      <c r="N15114"/>
      <c r="O15114"/>
      <c r="P15114"/>
      <c r="Q15114"/>
      <c r="R15114"/>
      <c r="S15114"/>
    </row>
    <row r="15115" spans="13:19" ht="13.95" customHeight="1">
      <c r="M15115"/>
      <c r="N15115"/>
      <c r="O15115"/>
      <c r="P15115"/>
      <c r="Q15115"/>
      <c r="R15115"/>
      <c r="S15115"/>
    </row>
    <row r="15116" spans="13:19" ht="13.95" customHeight="1">
      <c r="M15116"/>
      <c r="N15116"/>
      <c r="O15116"/>
      <c r="P15116"/>
      <c r="Q15116"/>
      <c r="R15116"/>
      <c r="S15116"/>
    </row>
    <row r="15117" spans="13:19" ht="13.95" customHeight="1">
      <c r="M15117"/>
      <c r="N15117"/>
      <c r="O15117"/>
      <c r="P15117"/>
      <c r="Q15117"/>
      <c r="R15117"/>
      <c r="S15117"/>
    </row>
    <row r="15118" spans="13:19" ht="13.95" customHeight="1">
      <c r="M15118"/>
      <c r="N15118"/>
      <c r="O15118"/>
      <c r="P15118"/>
      <c r="Q15118"/>
      <c r="R15118"/>
      <c r="S15118"/>
    </row>
    <row r="15119" spans="13:19" ht="13.95" customHeight="1">
      <c r="M15119"/>
      <c r="N15119"/>
      <c r="O15119"/>
      <c r="P15119"/>
      <c r="Q15119"/>
      <c r="R15119"/>
      <c r="S15119"/>
    </row>
    <row r="15120" spans="13:19" ht="13.95" customHeight="1">
      <c r="M15120"/>
      <c r="N15120"/>
      <c r="O15120"/>
      <c r="P15120"/>
      <c r="Q15120"/>
      <c r="R15120"/>
      <c r="S15120"/>
    </row>
    <row r="15121" spans="13:19" ht="13.95" customHeight="1">
      <c r="M15121"/>
      <c r="N15121"/>
      <c r="O15121"/>
      <c r="P15121"/>
      <c r="Q15121"/>
      <c r="R15121"/>
      <c r="S15121"/>
    </row>
    <row r="15122" spans="13:19" ht="13.95" customHeight="1">
      <c r="M15122"/>
      <c r="N15122"/>
      <c r="O15122"/>
      <c r="P15122"/>
      <c r="Q15122"/>
      <c r="R15122"/>
      <c r="S15122"/>
    </row>
    <row r="15123" spans="13:19" ht="13.95" customHeight="1">
      <c r="M15123"/>
      <c r="N15123"/>
      <c r="O15123"/>
      <c r="P15123"/>
      <c r="Q15123"/>
      <c r="R15123"/>
      <c r="S15123"/>
    </row>
    <row r="15124" spans="13:19" ht="13.95" customHeight="1">
      <c r="M15124"/>
      <c r="N15124"/>
      <c r="O15124"/>
      <c r="P15124"/>
      <c r="Q15124"/>
      <c r="R15124"/>
      <c r="S15124"/>
    </row>
    <row r="15125" spans="13:19" ht="13.95" customHeight="1">
      <c r="M15125"/>
      <c r="N15125"/>
      <c r="O15125"/>
      <c r="P15125"/>
      <c r="Q15125"/>
      <c r="R15125"/>
      <c r="S15125"/>
    </row>
    <row r="15126" spans="13:19" ht="13.95" customHeight="1">
      <c r="M15126"/>
      <c r="N15126"/>
      <c r="O15126"/>
      <c r="P15126"/>
      <c r="Q15126"/>
      <c r="R15126"/>
      <c r="S15126"/>
    </row>
    <row r="15127" spans="13:19" ht="13.95" customHeight="1">
      <c r="M15127"/>
      <c r="N15127"/>
      <c r="O15127"/>
      <c r="P15127"/>
      <c r="Q15127"/>
      <c r="R15127"/>
      <c r="S15127"/>
    </row>
    <row r="15128" spans="13:19" ht="13.95" customHeight="1">
      <c r="M15128"/>
      <c r="N15128"/>
      <c r="O15128"/>
      <c r="P15128"/>
      <c r="Q15128"/>
      <c r="R15128"/>
      <c r="S15128"/>
    </row>
    <row r="15129" spans="13:19" ht="13.95" customHeight="1">
      <c r="M15129"/>
      <c r="N15129"/>
      <c r="O15129"/>
      <c r="P15129"/>
      <c r="Q15129"/>
      <c r="R15129"/>
      <c r="S15129"/>
    </row>
    <row r="15130" spans="13:19" ht="13.95" customHeight="1">
      <c r="M15130"/>
      <c r="N15130"/>
      <c r="O15130"/>
      <c r="P15130"/>
      <c r="Q15130"/>
      <c r="R15130"/>
      <c r="S15130"/>
    </row>
    <row r="15131" spans="13:19" ht="13.95" customHeight="1">
      <c r="M15131"/>
      <c r="N15131"/>
      <c r="O15131"/>
      <c r="P15131"/>
      <c r="Q15131"/>
      <c r="R15131"/>
      <c r="S15131"/>
    </row>
    <row r="15132" spans="13:19" ht="13.95" customHeight="1">
      <c r="M15132"/>
      <c r="N15132"/>
      <c r="O15132"/>
      <c r="P15132"/>
      <c r="Q15132"/>
      <c r="R15132"/>
      <c r="S15132"/>
    </row>
    <row r="15133" spans="13:19" ht="13.95" customHeight="1">
      <c r="M15133"/>
      <c r="N15133"/>
      <c r="O15133"/>
      <c r="P15133"/>
      <c r="Q15133"/>
      <c r="R15133"/>
      <c r="S15133"/>
    </row>
    <row r="15134" spans="13:19" ht="13.95" customHeight="1">
      <c r="M15134"/>
      <c r="N15134"/>
      <c r="O15134"/>
      <c r="P15134"/>
      <c r="Q15134"/>
      <c r="R15134"/>
      <c r="S15134"/>
    </row>
    <row r="15135" spans="13:19" ht="13.95" customHeight="1">
      <c r="M15135"/>
      <c r="N15135"/>
      <c r="O15135"/>
      <c r="P15135"/>
      <c r="Q15135"/>
      <c r="R15135"/>
      <c r="S15135"/>
    </row>
    <row r="15136" spans="13:19" ht="13.95" customHeight="1">
      <c r="M15136"/>
      <c r="N15136"/>
      <c r="O15136"/>
      <c r="P15136"/>
      <c r="Q15136"/>
      <c r="R15136"/>
      <c r="S15136"/>
    </row>
    <row r="15137" spans="13:19" ht="13.95" customHeight="1">
      <c r="M15137"/>
      <c r="N15137"/>
      <c r="O15137"/>
      <c r="P15137"/>
      <c r="Q15137"/>
      <c r="R15137"/>
      <c r="S15137"/>
    </row>
    <row r="15138" spans="13:19" ht="13.95" customHeight="1">
      <c r="M15138"/>
      <c r="N15138"/>
      <c r="O15138"/>
      <c r="P15138"/>
      <c r="Q15138"/>
      <c r="R15138"/>
      <c r="S15138"/>
    </row>
    <row r="15139" spans="13:19" ht="13.95" customHeight="1">
      <c r="M15139"/>
      <c r="N15139"/>
      <c r="O15139"/>
      <c r="P15139"/>
      <c r="Q15139"/>
      <c r="R15139"/>
      <c r="S15139"/>
    </row>
    <row r="15140" spans="13:19" ht="13.95" customHeight="1">
      <c r="M15140"/>
      <c r="N15140"/>
      <c r="O15140"/>
      <c r="P15140"/>
      <c r="Q15140"/>
      <c r="R15140"/>
      <c r="S15140"/>
    </row>
    <row r="15141" spans="13:19" ht="13.95" customHeight="1">
      <c r="M15141"/>
      <c r="N15141"/>
      <c r="O15141"/>
      <c r="P15141"/>
      <c r="Q15141"/>
      <c r="R15141"/>
      <c r="S15141"/>
    </row>
    <row r="15142" spans="13:19" ht="13.95" customHeight="1">
      <c r="M15142"/>
      <c r="N15142"/>
      <c r="O15142"/>
      <c r="P15142"/>
      <c r="Q15142"/>
      <c r="R15142"/>
      <c r="S15142"/>
    </row>
    <row r="15143" spans="13:19" ht="13.95" customHeight="1">
      <c r="M15143"/>
      <c r="N15143"/>
      <c r="O15143"/>
      <c r="P15143"/>
      <c r="Q15143"/>
      <c r="R15143"/>
      <c r="S15143"/>
    </row>
    <row r="15144" spans="13:19" ht="13.95" customHeight="1">
      <c r="M15144"/>
      <c r="N15144"/>
      <c r="O15144"/>
      <c r="P15144"/>
      <c r="Q15144"/>
      <c r="R15144"/>
      <c r="S15144"/>
    </row>
    <row r="15145" spans="13:19" ht="13.95" customHeight="1">
      <c r="M15145"/>
      <c r="N15145"/>
      <c r="O15145"/>
      <c r="P15145"/>
      <c r="Q15145"/>
      <c r="R15145"/>
      <c r="S15145"/>
    </row>
    <row r="15146" spans="13:19" ht="13.95" customHeight="1">
      <c r="M15146"/>
      <c r="N15146"/>
      <c r="O15146"/>
      <c r="P15146"/>
      <c r="Q15146"/>
      <c r="R15146"/>
      <c r="S15146"/>
    </row>
    <row r="15147" spans="13:19" ht="13.95" customHeight="1">
      <c r="M15147"/>
      <c r="N15147"/>
      <c r="O15147"/>
      <c r="P15147"/>
      <c r="Q15147"/>
      <c r="R15147"/>
      <c r="S15147"/>
    </row>
    <row r="15148" spans="13:19" ht="13.95" customHeight="1">
      <c r="M15148"/>
      <c r="N15148"/>
      <c r="O15148"/>
      <c r="P15148"/>
      <c r="Q15148"/>
      <c r="R15148"/>
      <c r="S15148"/>
    </row>
    <row r="15149" spans="13:19" ht="13.95" customHeight="1">
      <c r="M15149"/>
      <c r="N15149"/>
      <c r="O15149"/>
      <c r="P15149"/>
      <c r="Q15149"/>
      <c r="R15149"/>
      <c r="S15149"/>
    </row>
    <row r="15150" spans="13:19" ht="13.95" customHeight="1">
      <c r="M15150"/>
      <c r="N15150"/>
      <c r="O15150"/>
      <c r="P15150"/>
      <c r="Q15150"/>
      <c r="R15150"/>
      <c r="S15150"/>
    </row>
    <row r="15151" spans="13:19" ht="13.95" customHeight="1">
      <c r="M15151"/>
      <c r="N15151"/>
      <c r="O15151"/>
      <c r="P15151"/>
      <c r="Q15151"/>
      <c r="R15151"/>
      <c r="S15151"/>
    </row>
    <row r="15152" spans="13:19" ht="13.95" customHeight="1">
      <c r="M15152"/>
      <c r="N15152"/>
      <c r="O15152"/>
      <c r="P15152"/>
      <c r="Q15152"/>
      <c r="R15152"/>
      <c r="S15152"/>
    </row>
    <row r="15153" spans="13:19" ht="13.95" customHeight="1">
      <c r="M15153"/>
      <c r="N15153"/>
      <c r="O15153"/>
      <c r="P15153"/>
      <c r="Q15153"/>
      <c r="R15153"/>
      <c r="S15153"/>
    </row>
    <row r="15154" spans="13:19" ht="13.95" customHeight="1">
      <c r="M15154"/>
      <c r="N15154"/>
      <c r="O15154"/>
      <c r="P15154"/>
      <c r="Q15154"/>
      <c r="R15154"/>
      <c r="S15154"/>
    </row>
    <row r="15155" spans="13:19" ht="13.95" customHeight="1">
      <c r="M15155"/>
      <c r="N15155"/>
      <c r="O15155"/>
      <c r="P15155"/>
      <c r="Q15155"/>
      <c r="R15155"/>
      <c r="S15155"/>
    </row>
    <row r="15156" spans="13:19" ht="13.95" customHeight="1">
      <c r="M15156"/>
      <c r="N15156"/>
      <c r="O15156"/>
      <c r="P15156"/>
      <c r="Q15156"/>
      <c r="R15156"/>
      <c r="S15156"/>
    </row>
    <row r="15157" spans="13:19" ht="13.95" customHeight="1">
      <c r="M15157"/>
      <c r="N15157"/>
      <c r="O15157"/>
      <c r="P15157"/>
      <c r="Q15157"/>
      <c r="R15157"/>
      <c r="S15157"/>
    </row>
    <row r="15158" spans="13:19" ht="13.95" customHeight="1">
      <c r="M15158"/>
      <c r="N15158"/>
      <c r="O15158"/>
      <c r="P15158"/>
      <c r="Q15158"/>
      <c r="R15158"/>
      <c r="S15158"/>
    </row>
    <row r="15159" spans="13:19" ht="13.95" customHeight="1">
      <c r="M15159"/>
      <c r="N15159"/>
      <c r="O15159"/>
      <c r="P15159"/>
      <c r="Q15159"/>
      <c r="R15159"/>
      <c r="S15159"/>
    </row>
    <row r="15160" spans="13:19" ht="13.95" customHeight="1">
      <c r="M15160"/>
      <c r="N15160"/>
      <c r="O15160"/>
      <c r="P15160"/>
      <c r="Q15160"/>
      <c r="R15160"/>
      <c r="S15160"/>
    </row>
    <row r="15161" spans="13:19" ht="13.95" customHeight="1">
      <c r="M15161"/>
      <c r="N15161"/>
      <c r="O15161"/>
      <c r="P15161"/>
      <c r="Q15161"/>
      <c r="R15161"/>
      <c r="S15161"/>
    </row>
    <row r="15162" spans="13:19" ht="13.95" customHeight="1">
      <c r="M15162"/>
      <c r="N15162"/>
      <c r="O15162"/>
      <c r="P15162"/>
      <c r="Q15162"/>
      <c r="R15162"/>
      <c r="S15162"/>
    </row>
    <row r="15163" spans="13:19" ht="13.95" customHeight="1">
      <c r="M15163"/>
      <c r="N15163"/>
      <c r="O15163"/>
      <c r="P15163"/>
      <c r="Q15163"/>
      <c r="R15163"/>
      <c r="S15163"/>
    </row>
    <row r="15164" spans="13:19" ht="13.95" customHeight="1">
      <c r="M15164"/>
      <c r="N15164"/>
      <c r="O15164"/>
      <c r="P15164"/>
      <c r="Q15164"/>
      <c r="R15164"/>
      <c r="S15164"/>
    </row>
    <row r="15165" spans="13:19" ht="13.95" customHeight="1">
      <c r="M15165"/>
      <c r="N15165"/>
      <c r="O15165"/>
      <c r="P15165"/>
      <c r="Q15165"/>
      <c r="R15165"/>
      <c r="S15165"/>
    </row>
    <row r="15166" spans="13:19" ht="13.95" customHeight="1">
      <c r="M15166"/>
      <c r="N15166"/>
      <c r="O15166"/>
      <c r="P15166"/>
      <c r="Q15166"/>
      <c r="R15166"/>
      <c r="S15166"/>
    </row>
    <row r="15167" spans="13:19" ht="13.95" customHeight="1">
      <c r="M15167"/>
      <c r="N15167"/>
      <c r="O15167"/>
      <c r="P15167"/>
      <c r="Q15167"/>
      <c r="R15167"/>
      <c r="S15167"/>
    </row>
    <row r="15168" spans="13:19" ht="13.95" customHeight="1">
      <c r="M15168"/>
      <c r="N15168"/>
      <c r="O15168"/>
      <c r="P15168"/>
      <c r="Q15168"/>
      <c r="R15168"/>
      <c r="S15168"/>
    </row>
    <row r="15169" spans="13:19" ht="13.95" customHeight="1">
      <c r="M15169"/>
      <c r="N15169"/>
      <c r="O15169"/>
      <c r="P15169"/>
      <c r="Q15169"/>
      <c r="R15169"/>
      <c r="S15169"/>
    </row>
    <row r="15170" spans="13:19" ht="13.95" customHeight="1">
      <c r="M15170"/>
      <c r="N15170"/>
      <c r="O15170"/>
      <c r="P15170"/>
      <c r="Q15170"/>
      <c r="R15170"/>
      <c r="S15170"/>
    </row>
    <row r="15171" spans="13:19" ht="13.95" customHeight="1">
      <c r="M15171"/>
      <c r="N15171"/>
      <c r="O15171"/>
      <c r="P15171"/>
      <c r="Q15171"/>
      <c r="R15171"/>
      <c r="S15171"/>
    </row>
    <row r="15172" spans="13:19" ht="13.95" customHeight="1">
      <c r="M15172"/>
      <c r="N15172"/>
      <c r="O15172"/>
      <c r="P15172"/>
      <c r="Q15172"/>
      <c r="R15172"/>
      <c r="S15172"/>
    </row>
    <row r="15173" spans="13:19" ht="13.95" customHeight="1">
      <c r="M15173"/>
      <c r="N15173"/>
      <c r="O15173"/>
      <c r="P15173"/>
      <c r="Q15173"/>
      <c r="R15173"/>
      <c r="S15173"/>
    </row>
    <row r="15174" spans="13:19" ht="13.95" customHeight="1">
      <c r="M15174"/>
      <c r="N15174"/>
      <c r="O15174"/>
      <c r="P15174"/>
      <c r="Q15174"/>
      <c r="R15174"/>
      <c r="S15174"/>
    </row>
    <row r="15175" spans="13:19" ht="13.95" customHeight="1">
      <c r="M15175"/>
      <c r="N15175"/>
      <c r="O15175"/>
      <c r="P15175"/>
      <c r="Q15175"/>
      <c r="R15175"/>
      <c r="S15175"/>
    </row>
    <row r="15176" spans="13:19" ht="13.95" customHeight="1">
      <c r="M15176"/>
      <c r="N15176"/>
      <c r="O15176"/>
      <c r="P15176"/>
      <c r="Q15176"/>
      <c r="R15176"/>
      <c r="S15176"/>
    </row>
    <row r="15177" spans="13:19" ht="13.95" customHeight="1">
      <c r="M15177"/>
      <c r="N15177"/>
      <c r="O15177"/>
      <c r="P15177"/>
      <c r="Q15177"/>
      <c r="R15177"/>
      <c r="S15177"/>
    </row>
    <row r="15178" spans="13:19" ht="13.95" customHeight="1">
      <c r="M15178"/>
      <c r="N15178"/>
      <c r="O15178"/>
      <c r="P15178"/>
      <c r="Q15178"/>
      <c r="R15178"/>
      <c r="S15178"/>
    </row>
    <row r="15179" spans="13:19" ht="13.95" customHeight="1">
      <c r="M15179"/>
      <c r="N15179"/>
      <c r="O15179"/>
      <c r="P15179"/>
      <c r="Q15179"/>
      <c r="R15179"/>
      <c r="S15179"/>
    </row>
    <row r="15180" spans="13:19" ht="13.95" customHeight="1">
      <c r="M15180"/>
      <c r="N15180"/>
      <c r="O15180"/>
      <c r="P15180"/>
      <c r="Q15180"/>
      <c r="R15180"/>
      <c r="S15180"/>
    </row>
    <row r="15181" spans="13:19" ht="13.95" customHeight="1">
      <c r="M15181"/>
      <c r="N15181"/>
      <c r="O15181"/>
      <c r="P15181"/>
      <c r="Q15181"/>
      <c r="R15181"/>
      <c r="S15181"/>
    </row>
    <row r="15182" spans="13:19" ht="13.95" customHeight="1">
      <c r="M15182"/>
      <c r="N15182"/>
      <c r="O15182"/>
      <c r="P15182"/>
      <c r="Q15182"/>
      <c r="R15182"/>
      <c r="S15182"/>
    </row>
    <row r="15183" spans="13:19" ht="13.95" customHeight="1">
      <c r="M15183"/>
      <c r="N15183"/>
      <c r="O15183"/>
      <c r="P15183"/>
      <c r="Q15183"/>
      <c r="R15183"/>
      <c r="S15183"/>
    </row>
    <row r="15184" spans="13:19" ht="13.95" customHeight="1">
      <c r="M15184"/>
      <c r="N15184"/>
      <c r="O15184"/>
      <c r="P15184"/>
      <c r="Q15184"/>
      <c r="R15184"/>
      <c r="S15184"/>
    </row>
    <row r="15185" spans="13:19" ht="13.95" customHeight="1">
      <c r="M15185"/>
      <c r="N15185"/>
      <c r="O15185"/>
      <c r="P15185"/>
      <c r="Q15185"/>
      <c r="R15185"/>
      <c r="S15185"/>
    </row>
    <row r="15186" spans="13:19" ht="13.95" customHeight="1">
      <c r="M15186"/>
      <c r="N15186"/>
      <c r="O15186"/>
      <c r="P15186"/>
      <c r="Q15186"/>
      <c r="R15186"/>
      <c r="S15186"/>
    </row>
    <row r="15187" spans="13:19" ht="13.95" customHeight="1">
      <c r="M15187"/>
      <c r="N15187"/>
      <c r="O15187"/>
      <c r="P15187"/>
      <c r="Q15187"/>
      <c r="R15187"/>
      <c r="S15187"/>
    </row>
    <row r="15188" spans="13:19" ht="13.95" customHeight="1">
      <c r="M15188"/>
      <c r="N15188"/>
      <c r="O15188"/>
      <c r="P15188"/>
      <c r="Q15188"/>
      <c r="R15188"/>
      <c r="S15188"/>
    </row>
    <row r="15189" spans="13:19" ht="13.95" customHeight="1">
      <c r="M15189"/>
      <c r="N15189"/>
      <c r="O15189"/>
      <c r="P15189"/>
      <c r="Q15189"/>
      <c r="R15189"/>
      <c r="S15189"/>
    </row>
    <row r="15190" spans="13:19" ht="13.95" customHeight="1">
      <c r="M15190"/>
      <c r="N15190"/>
      <c r="O15190"/>
      <c r="P15190"/>
      <c r="Q15190"/>
      <c r="R15190"/>
      <c r="S15190"/>
    </row>
    <row r="15191" spans="13:19" ht="13.95" customHeight="1">
      <c r="M15191"/>
      <c r="N15191"/>
      <c r="O15191"/>
      <c r="P15191"/>
      <c r="Q15191"/>
      <c r="R15191"/>
      <c r="S15191"/>
    </row>
    <row r="15192" spans="13:19" ht="13.95" customHeight="1">
      <c r="M15192"/>
      <c r="N15192"/>
      <c r="O15192"/>
      <c r="P15192"/>
      <c r="Q15192"/>
      <c r="R15192"/>
      <c r="S15192"/>
    </row>
    <row r="15193" spans="13:19" ht="13.95" customHeight="1">
      <c r="M15193"/>
      <c r="N15193"/>
      <c r="O15193"/>
      <c r="P15193"/>
      <c r="Q15193"/>
      <c r="R15193"/>
      <c r="S15193"/>
    </row>
    <row r="15194" spans="13:19" ht="13.95" customHeight="1">
      <c r="M15194"/>
      <c r="N15194"/>
      <c r="O15194"/>
      <c r="P15194"/>
      <c r="Q15194"/>
      <c r="R15194"/>
      <c r="S15194"/>
    </row>
    <row r="15195" spans="13:19" ht="13.95" customHeight="1">
      <c r="M15195"/>
      <c r="N15195"/>
      <c r="O15195"/>
      <c r="P15195"/>
      <c r="Q15195"/>
      <c r="R15195"/>
      <c r="S15195"/>
    </row>
    <row r="15196" spans="13:19" ht="13.95" customHeight="1">
      <c r="M15196"/>
      <c r="N15196"/>
      <c r="O15196"/>
      <c r="P15196"/>
      <c r="Q15196"/>
      <c r="R15196"/>
      <c r="S15196"/>
    </row>
    <row r="15197" spans="13:19" ht="13.95" customHeight="1">
      <c r="M15197"/>
      <c r="N15197"/>
      <c r="O15197"/>
      <c r="P15197"/>
      <c r="Q15197"/>
      <c r="R15197"/>
      <c r="S15197"/>
    </row>
    <row r="15198" spans="13:19" ht="13.95" customHeight="1">
      <c r="M15198"/>
      <c r="N15198"/>
      <c r="O15198"/>
      <c r="P15198"/>
      <c r="Q15198"/>
      <c r="R15198"/>
      <c r="S15198"/>
    </row>
    <row r="15199" spans="13:19" ht="13.95" customHeight="1">
      <c r="M15199"/>
      <c r="N15199"/>
      <c r="O15199"/>
      <c r="P15199"/>
      <c r="Q15199"/>
      <c r="R15199"/>
      <c r="S15199"/>
    </row>
    <row r="15200" spans="13:19" ht="13.95" customHeight="1">
      <c r="M15200"/>
      <c r="N15200"/>
      <c r="O15200"/>
      <c r="P15200"/>
      <c r="Q15200"/>
      <c r="R15200"/>
      <c r="S15200"/>
    </row>
    <row r="15201" spans="13:19" ht="13.95" customHeight="1">
      <c r="M15201"/>
      <c r="N15201"/>
      <c r="O15201"/>
      <c r="P15201"/>
      <c r="Q15201"/>
      <c r="R15201"/>
      <c r="S15201"/>
    </row>
    <row r="15202" spans="13:19" ht="13.95" customHeight="1">
      <c r="M15202"/>
      <c r="N15202"/>
      <c r="O15202"/>
      <c r="P15202"/>
      <c r="Q15202"/>
      <c r="R15202"/>
      <c r="S15202"/>
    </row>
    <row r="15203" spans="13:19" ht="13.95" customHeight="1">
      <c r="M15203"/>
      <c r="N15203"/>
      <c r="O15203"/>
      <c r="P15203"/>
      <c r="Q15203"/>
      <c r="R15203"/>
      <c r="S15203"/>
    </row>
    <row r="15204" spans="13:19" ht="13.95" customHeight="1">
      <c r="M15204"/>
      <c r="N15204"/>
      <c r="O15204"/>
      <c r="P15204"/>
      <c r="Q15204"/>
      <c r="R15204"/>
      <c r="S15204"/>
    </row>
    <row r="15205" spans="13:19" ht="13.95" customHeight="1">
      <c r="M15205"/>
      <c r="N15205"/>
      <c r="O15205"/>
      <c r="P15205"/>
      <c r="Q15205"/>
      <c r="R15205"/>
      <c r="S15205"/>
    </row>
    <row r="15206" spans="13:19" ht="13.95" customHeight="1">
      <c r="M15206"/>
      <c r="N15206"/>
      <c r="O15206"/>
      <c r="P15206"/>
      <c r="Q15206"/>
      <c r="R15206"/>
      <c r="S15206"/>
    </row>
    <row r="15207" spans="13:19" ht="13.95" customHeight="1">
      <c r="M15207"/>
      <c r="N15207"/>
      <c r="O15207"/>
      <c r="P15207"/>
      <c r="Q15207"/>
      <c r="R15207"/>
      <c r="S15207"/>
    </row>
    <row r="15208" spans="13:19" ht="13.95" customHeight="1">
      <c r="M15208"/>
      <c r="N15208"/>
      <c r="O15208"/>
      <c r="P15208"/>
      <c r="Q15208"/>
      <c r="R15208"/>
      <c r="S15208"/>
    </row>
    <row r="15209" spans="13:19" ht="13.95" customHeight="1">
      <c r="M15209"/>
      <c r="N15209"/>
      <c r="O15209"/>
      <c r="P15209"/>
      <c r="Q15209"/>
      <c r="R15209"/>
      <c r="S15209"/>
    </row>
    <row r="15210" spans="13:19" ht="13.95" customHeight="1">
      <c r="M15210"/>
      <c r="N15210"/>
      <c r="O15210"/>
      <c r="P15210"/>
      <c r="Q15210"/>
      <c r="R15210"/>
      <c r="S15210"/>
    </row>
    <row r="15211" spans="13:19" ht="13.95" customHeight="1">
      <c r="M15211"/>
      <c r="N15211"/>
      <c r="O15211"/>
      <c r="P15211"/>
      <c r="Q15211"/>
      <c r="R15211"/>
      <c r="S15211"/>
    </row>
    <row r="15212" spans="13:19" ht="13.95" customHeight="1">
      <c r="M15212"/>
      <c r="N15212"/>
      <c r="O15212"/>
      <c r="P15212"/>
      <c r="Q15212"/>
      <c r="R15212"/>
      <c r="S15212"/>
    </row>
    <row r="15213" spans="13:19" ht="13.95" customHeight="1">
      <c r="M15213"/>
      <c r="N15213"/>
      <c r="O15213"/>
      <c r="P15213"/>
      <c r="Q15213"/>
      <c r="R15213"/>
      <c r="S15213"/>
    </row>
    <row r="15214" spans="13:19" ht="13.95" customHeight="1">
      <c r="M15214"/>
      <c r="N15214"/>
      <c r="O15214"/>
      <c r="P15214"/>
      <c r="Q15214"/>
      <c r="R15214"/>
      <c r="S15214"/>
    </row>
    <row r="15215" spans="13:19" ht="13.95" customHeight="1">
      <c r="M15215"/>
      <c r="N15215"/>
      <c r="O15215"/>
      <c r="P15215"/>
      <c r="Q15215"/>
      <c r="R15215"/>
      <c r="S15215"/>
    </row>
    <row r="15216" spans="13:19" ht="13.95" customHeight="1">
      <c r="M15216"/>
      <c r="N15216"/>
      <c r="O15216"/>
      <c r="P15216"/>
      <c r="Q15216"/>
      <c r="R15216"/>
      <c r="S15216"/>
    </row>
    <row r="15217" spans="13:19" ht="13.95" customHeight="1">
      <c r="M15217"/>
      <c r="N15217"/>
      <c r="O15217"/>
      <c r="P15217"/>
      <c r="Q15217"/>
      <c r="R15217"/>
      <c r="S15217"/>
    </row>
    <row r="15218" spans="13:19" ht="13.95" customHeight="1">
      <c r="M15218"/>
      <c r="N15218"/>
      <c r="O15218"/>
      <c r="P15218"/>
      <c r="Q15218"/>
      <c r="R15218"/>
      <c r="S15218"/>
    </row>
    <row r="15219" spans="13:19" ht="13.95" customHeight="1">
      <c r="M15219"/>
      <c r="N15219"/>
      <c r="O15219"/>
      <c r="P15219"/>
      <c r="Q15219"/>
      <c r="R15219"/>
      <c r="S15219"/>
    </row>
    <row r="15220" spans="13:19" ht="13.95" customHeight="1">
      <c r="M15220"/>
      <c r="N15220"/>
      <c r="O15220"/>
      <c r="P15220"/>
      <c r="Q15220"/>
      <c r="R15220"/>
      <c r="S15220"/>
    </row>
    <row r="15221" spans="13:19" ht="13.95" customHeight="1">
      <c r="M15221"/>
      <c r="N15221"/>
      <c r="O15221"/>
      <c r="P15221"/>
      <c r="Q15221"/>
      <c r="R15221"/>
      <c r="S15221"/>
    </row>
    <row r="15222" spans="13:19" ht="13.95" customHeight="1">
      <c r="M15222"/>
      <c r="N15222"/>
      <c r="O15222"/>
      <c r="P15222"/>
      <c r="Q15222"/>
      <c r="R15222"/>
      <c r="S15222"/>
    </row>
    <row r="15223" spans="13:19" ht="13.95" customHeight="1">
      <c r="M15223"/>
      <c r="N15223"/>
      <c r="O15223"/>
      <c r="P15223"/>
      <c r="Q15223"/>
      <c r="R15223"/>
      <c r="S15223"/>
    </row>
    <row r="15224" spans="13:19" ht="13.95" customHeight="1">
      <c r="M15224"/>
      <c r="N15224"/>
      <c r="O15224"/>
      <c r="P15224"/>
      <c r="Q15224"/>
      <c r="R15224"/>
      <c r="S15224"/>
    </row>
    <row r="15225" spans="13:19" ht="13.95" customHeight="1">
      <c r="M15225"/>
      <c r="N15225"/>
      <c r="O15225"/>
      <c r="P15225"/>
      <c r="Q15225"/>
      <c r="R15225"/>
      <c r="S15225"/>
    </row>
    <row r="15226" spans="13:19" ht="13.95" customHeight="1">
      <c r="M15226"/>
      <c r="N15226"/>
      <c r="O15226"/>
      <c r="P15226"/>
      <c r="Q15226"/>
      <c r="R15226"/>
      <c r="S15226"/>
    </row>
    <row r="15227" spans="13:19" ht="13.95" customHeight="1">
      <c r="M15227"/>
      <c r="N15227"/>
      <c r="O15227"/>
      <c r="P15227"/>
      <c r="Q15227"/>
      <c r="R15227"/>
      <c r="S15227"/>
    </row>
    <row r="15228" spans="13:19" ht="13.95" customHeight="1">
      <c r="M15228"/>
      <c r="N15228"/>
      <c r="O15228"/>
      <c r="P15228"/>
      <c r="Q15228"/>
      <c r="R15228"/>
      <c r="S15228"/>
    </row>
    <row r="15229" spans="13:19" ht="13.95" customHeight="1">
      <c r="M15229"/>
      <c r="N15229"/>
      <c r="O15229"/>
      <c r="P15229"/>
      <c r="Q15229"/>
      <c r="R15229"/>
      <c r="S15229"/>
    </row>
    <row r="15230" spans="13:19" ht="13.95" customHeight="1">
      <c r="M15230"/>
      <c r="N15230"/>
      <c r="O15230"/>
      <c r="P15230"/>
      <c r="Q15230"/>
      <c r="R15230"/>
      <c r="S15230"/>
    </row>
    <row r="15231" spans="13:19" ht="13.95" customHeight="1">
      <c r="M15231"/>
      <c r="N15231"/>
      <c r="O15231"/>
      <c r="P15231"/>
      <c r="Q15231"/>
      <c r="R15231"/>
      <c r="S15231"/>
    </row>
    <row r="15232" spans="13:19" ht="13.95" customHeight="1">
      <c r="M15232"/>
      <c r="N15232"/>
      <c r="O15232"/>
      <c r="P15232"/>
      <c r="Q15232"/>
      <c r="R15232"/>
      <c r="S15232"/>
    </row>
    <row r="15233" spans="13:19" ht="13.95" customHeight="1">
      <c r="M15233"/>
      <c r="N15233"/>
      <c r="O15233"/>
      <c r="P15233"/>
      <c r="Q15233"/>
      <c r="R15233"/>
      <c r="S15233"/>
    </row>
    <row r="15234" spans="13:19" ht="13.95" customHeight="1">
      <c r="M15234"/>
      <c r="N15234"/>
      <c r="O15234"/>
      <c r="P15234"/>
      <c r="Q15234"/>
      <c r="R15234"/>
      <c r="S15234"/>
    </row>
    <row r="15235" spans="13:19" ht="13.95" customHeight="1">
      <c r="M15235"/>
      <c r="N15235"/>
      <c r="O15235"/>
      <c r="P15235"/>
      <c r="Q15235"/>
      <c r="R15235"/>
      <c r="S15235"/>
    </row>
    <row r="15236" spans="13:19" ht="13.95" customHeight="1">
      <c r="M15236"/>
      <c r="N15236"/>
      <c r="O15236"/>
      <c r="P15236"/>
      <c r="Q15236"/>
      <c r="R15236"/>
      <c r="S15236"/>
    </row>
    <row r="15237" spans="13:19" ht="13.95" customHeight="1">
      <c r="M15237"/>
      <c r="N15237"/>
      <c r="O15237"/>
      <c r="P15237"/>
      <c r="Q15237"/>
      <c r="R15237"/>
      <c r="S15237"/>
    </row>
    <row r="15238" spans="13:19" ht="13.95" customHeight="1">
      <c r="M15238"/>
      <c r="N15238"/>
      <c r="O15238"/>
      <c r="P15238"/>
      <c r="Q15238"/>
      <c r="R15238"/>
      <c r="S15238"/>
    </row>
    <row r="15239" spans="13:19" ht="13.95" customHeight="1">
      <c r="M15239"/>
      <c r="N15239"/>
      <c r="O15239"/>
      <c r="P15239"/>
      <c r="Q15239"/>
      <c r="R15239"/>
      <c r="S15239"/>
    </row>
    <row r="15240" spans="13:19" ht="13.95" customHeight="1">
      <c r="M15240"/>
      <c r="N15240"/>
      <c r="O15240"/>
      <c r="P15240"/>
      <c r="Q15240"/>
      <c r="R15240"/>
      <c r="S15240"/>
    </row>
    <row r="15241" spans="13:19" ht="13.95" customHeight="1">
      <c r="M15241"/>
      <c r="N15241"/>
      <c r="O15241"/>
      <c r="P15241"/>
      <c r="Q15241"/>
      <c r="R15241"/>
      <c r="S15241"/>
    </row>
    <row r="15242" spans="13:19" ht="13.95" customHeight="1">
      <c r="M15242"/>
      <c r="N15242"/>
      <c r="O15242"/>
      <c r="P15242"/>
      <c r="Q15242"/>
      <c r="R15242"/>
      <c r="S15242"/>
    </row>
    <row r="15243" spans="13:19" ht="13.95" customHeight="1">
      <c r="M15243"/>
      <c r="N15243"/>
      <c r="O15243"/>
      <c r="P15243"/>
      <c r="Q15243"/>
      <c r="R15243"/>
      <c r="S15243"/>
    </row>
    <row r="15244" spans="13:19" ht="13.95" customHeight="1">
      <c r="M15244"/>
      <c r="N15244"/>
      <c r="O15244"/>
      <c r="P15244"/>
      <c r="Q15244"/>
      <c r="R15244"/>
      <c r="S15244"/>
    </row>
    <row r="15245" spans="13:19" ht="13.95" customHeight="1">
      <c r="M15245"/>
      <c r="N15245"/>
      <c r="O15245"/>
      <c r="P15245"/>
      <c r="Q15245"/>
      <c r="R15245"/>
      <c r="S15245"/>
    </row>
    <row r="15246" spans="13:19" ht="13.95" customHeight="1">
      <c r="M15246"/>
      <c r="N15246"/>
      <c r="O15246"/>
      <c r="P15246"/>
      <c r="Q15246"/>
      <c r="R15246"/>
      <c r="S15246"/>
    </row>
    <row r="15247" spans="13:19" ht="13.95" customHeight="1">
      <c r="M15247"/>
      <c r="N15247"/>
      <c r="O15247"/>
      <c r="P15247"/>
      <c r="Q15247"/>
      <c r="R15247"/>
      <c r="S15247"/>
    </row>
    <row r="15248" spans="13:19" ht="13.95" customHeight="1">
      <c r="M15248"/>
      <c r="N15248"/>
      <c r="O15248"/>
      <c r="P15248"/>
      <c r="Q15248"/>
      <c r="R15248"/>
      <c r="S15248"/>
    </row>
    <row r="15249" spans="13:19" ht="13.95" customHeight="1">
      <c r="M15249"/>
      <c r="N15249"/>
      <c r="O15249"/>
      <c r="P15249"/>
      <c r="Q15249"/>
      <c r="R15249"/>
      <c r="S15249"/>
    </row>
    <row r="15250" spans="13:19" ht="13.95" customHeight="1">
      <c r="M15250"/>
      <c r="N15250"/>
      <c r="O15250"/>
      <c r="P15250"/>
      <c r="Q15250"/>
      <c r="R15250"/>
      <c r="S15250"/>
    </row>
    <row r="15251" spans="13:19" ht="13.95" customHeight="1">
      <c r="M15251"/>
      <c r="N15251"/>
      <c r="O15251"/>
      <c r="P15251"/>
      <c r="Q15251"/>
      <c r="R15251"/>
      <c r="S15251"/>
    </row>
    <row r="15252" spans="13:19" ht="13.95" customHeight="1">
      <c r="M15252"/>
      <c r="N15252"/>
      <c r="O15252"/>
      <c r="P15252"/>
      <c r="Q15252"/>
      <c r="R15252"/>
      <c r="S15252"/>
    </row>
    <row r="15253" spans="13:19" ht="13.95" customHeight="1">
      <c r="M15253"/>
      <c r="N15253"/>
      <c r="O15253"/>
      <c r="P15253"/>
      <c r="Q15253"/>
      <c r="R15253"/>
      <c r="S15253"/>
    </row>
    <row r="15254" spans="13:19" ht="13.95" customHeight="1">
      <c r="M15254"/>
      <c r="N15254"/>
      <c r="O15254"/>
      <c r="P15254"/>
      <c r="Q15254"/>
      <c r="R15254"/>
      <c r="S15254"/>
    </row>
    <row r="15255" spans="13:19" ht="13.95" customHeight="1">
      <c r="M15255"/>
      <c r="N15255"/>
      <c r="O15255"/>
      <c r="P15255"/>
      <c r="Q15255"/>
      <c r="R15255"/>
      <c r="S15255"/>
    </row>
    <row r="15256" spans="13:19" ht="13.95" customHeight="1">
      <c r="M15256"/>
      <c r="N15256"/>
      <c r="O15256"/>
      <c r="P15256"/>
      <c r="Q15256"/>
      <c r="R15256"/>
      <c r="S15256"/>
    </row>
    <row r="15257" spans="13:19" ht="13.95" customHeight="1">
      <c r="M15257"/>
      <c r="N15257"/>
      <c r="O15257"/>
      <c r="P15257"/>
      <c r="Q15257"/>
      <c r="R15257"/>
      <c r="S15257"/>
    </row>
    <row r="15258" spans="13:19" ht="13.95" customHeight="1">
      <c r="M15258"/>
      <c r="N15258"/>
      <c r="O15258"/>
      <c r="P15258"/>
      <c r="Q15258"/>
      <c r="R15258"/>
      <c r="S15258"/>
    </row>
    <row r="15259" spans="13:19" ht="13.95" customHeight="1">
      <c r="M15259"/>
      <c r="N15259"/>
      <c r="O15259"/>
      <c r="P15259"/>
      <c r="Q15259"/>
      <c r="R15259"/>
      <c r="S15259"/>
    </row>
    <row r="15260" spans="13:19" ht="13.95" customHeight="1">
      <c r="M15260"/>
      <c r="N15260"/>
      <c r="O15260"/>
      <c r="P15260"/>
      <c r="Q15260"/>
      <c r="R15260"/>
      <c r="S15260"/>
    </row>
    <row r="15261" spans="13:19" ht="13.95" customHeight="1">
      <c r="M15261"/>
      <c r="N15261"/>
      <c r="O15261"/>
      <c r="P15261"/>
      <c r="Q15261"/>
      <c r="R15261"/>
      <c r="S15261"/>
    </row>
    <row r="15262" spans="13:19" ht="13.95" customHeight="1">
      <c r="M15262"/>
      <c r="N15262"/>
      <c r="O15262"/>
      <c r="P15262"/>
      <c r="Q15262"/>
      <c r="R15262"/>
      <c r="S15262"/>
    </row>
    <row r="15263" spans="13:19" ht="13.95" customHeight="1">
      <c r="M15263"/>
      <c r="N15263"/>
      <c r="O15263"/>
      <c r="P15263"/>
      <c r="Q15263"/>
      <c r="R15263"/>
      <c r="S15263"/>
    </row>
    <row r="15264" spans="13:19" ht="13.95" customHeight="1">
      <c r="M15264"/>
      <c r="N15264"/>
      <c r="O15264"/>
      <c r="P15264"/>
      <c r="Q15264"/>
      <c r="R15264"/>
      <c r="S15264"/>
    </row>
    <row r="15265" spans="13:19" ht="13.95" customHeight="1">
      <c r="M15265"/>
      <c r="N15265"/>
      <c r="O15265"/>
      <c r="P15265"/>
      <c r="Q15265"/>
      <c r="R15265"/>
      <c r="S15265"/>
    </row>
    <row r="15266" spans="13:19" ht="13.95" customHeight="1">
      <c r="M15266"/>
      <c r="N15266"/>
      <c r="O15266"/>
      <c r="P15266"/>
      <c r="Q15266"/>
      <c r="R15266"/>
      <c r="S15266"/>
    </row>
    <row r="15267" spans="13:19" ht="13.95" customHeight="1">
      <c r="M15267"/>
      <c r="N15267"/>
      <c r="O15267"/>
      <c r="P15267"/>
      <c r="Q15267"/>
      <c r="R15267"/>
      <c r="S15267"/>
    </row>
    <row r="15268" spans="13:19" ht="13.95" customHeight="1">
      <c r="M15268"/>
      <c r="N15268"/>
      <c r="O15268"/>
      <c r="P15268"/>
      <c r="Q15268"/>
      <c r="R15268"/>
      <c r="S15268"/>
    </row>
    <row r="15269" spans="13:19" ht="13.95" customHeight="1">
      <c r="M15269"/>
      <c r="N15269"/>
      <c r="O15269"/>
      <c r="P15269"/>
      <c r="Q15269"/>
      <c r="R15269"/>
      <c r="S15269"/>
    </row>
    <row r="15270" spans="13:19" ht="13.95" customHeight="1">
      <c r="M15270"/>
      <c r="N15270"/>
      <c r="O15270"/>
      <c r="P15270"/>
      <c r="Q15270"/>
      <c r="R15270"/>
      <c r="S15270"/>
    </row>
    <row r="15271" spans="13:19" ht="13.95" customHeight="1">
      <c r="M15271"/>
      <c r="N15271"/>
      <c r="O15271"/>
      <c r="P15271"/>
      <c r="Q15271"/>
      <c r="R15271"/>
      <c r="S15271"/>
    </row>
    <row r="15272" spans="13:19" ht="13.95" customHeight="1">
      <c r="M15272"/>
      <c r="N15272"/>
      <c r="O15272"/>
      <c r="P15272"/>
      <c r="Q15272"/>
      <c r="R15272"/>
      <c r="S15272"/>
    </row>
    <row r="15273" spans="13:19" ht="13.95" customHeight="1">
      <c r="M15273"/>
      <c r="N15273"/>
      <c r="O15273"/>
      <c r="P15273"/>
      <c r="Q15273"/>
      <c r="R15273"/>
      <c r="S15273"/>
    </row>
    <row r="15274" spans="13:19" ht="13.95" customHeight="1">
      <c r="M15274"/>
      <c r="N15274"/>
      <c r="O15274"/>
      <c r="P15274"/>
      <c r="Q15274"/>
      <c r="R15274"/>
      <c r="S15274"/>
    </row>
    <row r="15275" spans="13:19" ht="13.95" customHeight="1">
      <c r="M15275"/>
      <c r="N15275"/>
      <c r="O15275"/>
      <c r="P15275"/>
      <c r="Q15275"/>
      <c r="R15275"/>
      <c r="S15275"/>
    </row>
    <row r="15276" spans="13:19" ht="13.95" customHeight="1">
      <c r="M15276"/>
      <c r="N15276"/>
      <c r="O15276"/>
      <c r="P15276"/>
      <c r="Q15276"/>
      <c r="R15276"/>
      <c r="S15276"/>
    </row>
    <row r="15277" spans="13:19" ht="13.95" customHeight="1">
      <c r="M15277"/>
      <c r="N15277"/>
      <c r="O15277"/>
      <c r="P15277"/>
      <c r="Q15277"/>
      <c r="R15277"/>
      <c r="S15277"/>
    </row>
    <row r="15278" spans="13:19" ht="13.95" customHeight="1">
      <c r="M15278"/>
      <c r="N15278"/>
      <c r="O15278"/>
      <c r="P15278"/>
      <c r="Q15278"/>
      <c r="R15278"/>
      <c r="S15278"/>
    </row>
    <row r="15279" spans="13:19" ht="13.95" customHeight="1">
      <c r="M15279"/>
      <c r="N15279"/>
      <c r="O15279"/>
      <c r="P15279"/>
      <c r="Q15279"/>
      <c r="R15279"/>
      <c r="S15279"/>
    </row>
    <row r="15280" spans="13:19" ht="13.95" customHeight="1">
      <c r="M15280"/>
      <c r="N15280"/>
      <c r="O15280"/>
      <c r="P15280"/>
      <c r="Q15280"/>
      <c r="R15280"/>
      <c r="S15280"/>
    </row>
    <row r="15281" spans="13:19" ht="13.95" customHeight="1">
      <c r="M15281"/>
      <c r="N15281"/>
      <c r="O15281"/>
      <c r="P15281"/>
      <c r="Q15281"/>
      <c r="R15281"/>
      <c r="S15281"/>
    </row>
    <row r="15282" spans="13:19" ht="13.95" customHeight="1">
      <c r="M15282"/>
      <c r="N15282"/>
      <c r="O15282"/>
      <c r="P15282"/>
      <c r="Q15282"/>
      <c r="R15282"/>
      <c r="S15282"/>
    </row>
    <row r="15283" spans="13:19" ht="13.95" customHeight="1">
      <c r="M15283"/>
      <c r="N15283"/>
      <c r="O15283"/>
      <c r="P15283"/>
      <c r="Q15283"/>
      <c r="R15283"/>
      <c r="S15283"/>
    </row>
    <row r="15284" spans="13:19" ht="13.95" customHeight="1">
      <c r="M15284"/>
      <c r="N15284"/>
      <c r="O15284"/>
      <c r="P15284"/>
      <c r="Q15284"/>
      <c r="R15284"/>
      <c r="S15284"/>
    </row>
    <row r="15285" spans="13:19" ht="13.95" customHeight="1">
      <c r="M15285"/>
      <c r="N15285"/>
      <c r="O15285"/>
      <c r="P15285"/>
      <c r="Q15285"/>
      <c r="R15285"/>
      <c r="S15285"/>
    </row>
    <row r="15286" spans="13:19" ht="13.95" customHeight="1">
      <c r="M15286"/>
      <c r="N15286"/>
      <c r="O15286"/>
      <c r="P15286"/>
      <c r="Q15286"/>
      <c r="R15286"/>
      <c r="S15286"/>
    </row>
    <row r="15287" spans="13:19" ht="13.95" customHeight="1">
      <c r="M15287"/>
      <c r="N15287"/>
      <c r="O15287"/>
      <c r="P15287"/>
      <c r="Q15287"/>
      <c r="R15287"/>
      <c r="S15287"/>
    </row>
    <row r="15288" spans="13:19" ht="13.95" customHeight="1">
      <c r="M15288"/>
      <c r="N15288"/>
      <c r="O15288"/>
      <c r="P15288"/>
      <c r="Q15288"/>
      <c r="R15288"/>
      <c r="S15288"/>
    </row>
    <row r="15289" spans="13:19" ht="13.95" customHeight="1">
      <c r="M15289"/>
      <c r="N15289"/>
      <c r="O15289"/>
      <c r="P15289"/>
      <c r="Q15289"/>
      <c r="R15289"/>
      <c r="S15289"/>
    </row>
    <row r="15290" spans="13:19" ht="13.95" customHeight="1">
      <c r="M15290"/>
      <c r="N15290"/>
      <c r="O15290"/>
      <c r="P15290"/>
      <c r="Q15290"/>
      <c r="R15290"/>
      <c r="S15290"/>
    </row>
    <row r="15291" spans="13:19" ht="13.95" customHeight="1">
      <c r="M15291"/>
      <c r="N15291"/>
      <c r="O15291"/>
      <c r="P15291"/>
      <c r="Q15291"/>
      <c r="R15291"/>
      <c r="S15291"/>
    </row>
    <row r="15292" spans="13:19" ht="13.95" customHeight="1">
      <c r="M15292"/>
      <c r="N15292"/>
      <c r="O15292"/>
      <c r="P15292"/>
      <c r="Q15292"/>
      <c r="R15292"/>
      <c r="S15292"/>
    </row>
    <row r="15293" spans="13:19" ht="13.95" customHeight="1">
      <c r="M15293"/>
      <c r="N15293"/>
      <c r="O15293"/>
      <c r="P15293"/>
      <c r="Q15293"/>
      <c r="R15293"/>
      <c r="S15293"/>
    </row>
    <row r="15294" spans="13:19" ht="13.95" customHeight="1">
      <c r="M15294"/>
      <c r="N15294"/>
      <c r="O15294"/>
      <c r="P15294"/>
      <c r="Q15294"/>
      <c r="R15294"/>
      <c r="S15294"/>
    </row>
    <row r="15295" spans="13:19" ht="13.95" customHeight="1">
      <c r="M15295"/>
      <c r="N15295"/>
      <c r="O15295"/>
      <c r="P15295"/>
      <c r="Q15295"/>
      <c r="R15295"/>
      <c r="S15295"/>
    </row>
    <row r="15296" spans="13:19" ht="13.95" customHeight="1">
      <c r="M15296"/>
      <c r="N15296"/>
      <c r="O15296"/>
      <c r="P15296"/>
      <c r="Q15296"/>
      <c r="R15296"/>
      <c r="S15296"/>
    </row>
    <row r="15297" spans="13:19" ht="13.95" customHeight="1">
      <c r="M15297"/>
      <c r="N15297"/>
      <c r="O15297"/>
      <c r="P15297"/>
      <c r="Q15297"/>
      <c r="R15297"/>
      <c r="S15297"/>
    </row>
    <row r="15298" spans="13:19" ht="13.95" customHeight="1">
      <c r="M15298"/>
      <c r="N15298"/>
      <c r="O15298"/>
      <c r="P15298"/>
      <c r="Q15298"/>
      <c r="R15298"/>
      <c r="S15298"/>
    </row>
    <row r="15299" spans="13:19" ht="13.95" customHeight="1">
      <c r="M15299"/>
      <c r="N15299"/>
      <c r="O15299"/>
      <c r="P15299"/>
      <c r="Q15299"/>
      <c r="R15299"/>
      <c r="S15299"/>
    </row>
    <row r="15300" spans="13:19" ht="13.95" customHeight="1">
      <c r="M15300"/>
      <c r="N15300"/>
      <c r="O15300"/>
      <c r="P15300"/>
      <c r="Q15300"/>
      <c r="R15300"/>
      <c r="S15300"/>
    </row>
    <row r="15301" spans="13:19" ht="13.95" customHeight="1">
      <c r="M15301"/>
      <c r="N15301"/>
      <c r="O15301"/>
      <c r="P15301"/>
      <c r="Q15301"/>
      <c r="R15301"/>
      <c r="S15301"/>
    </row>
    <row r="15302" spans="13:19" ht="13.95" customHeight="1">
      <c r="M15302"/>
      <c r="N15302"/>
      <c r="O15302"/>
      <c r="P15302"/>
      <c r="Q15302"/>
      <c r="R15302"/>
      <c r="S15302"/>
    </row>
    <row r="15303" spans="13:19" ht="13.95" customHeight="1">
      <c r="M15303"/>
      <c r="N15303"/>
      <c r="O15303"/>
      <c r="P15303"/>
      <c r="Q15303"/>
      <c r="R15303"/>
      <c r="S15303"/>
    </row>
    <row r="15304" spans="13:19" ht="13.95" customHeight="1">
      <c r="M15304"/>
      <c r="N15304"/>
      <c r="O15304"/>
      <c r="P15304"/>
      <c r="Q15304"/>
      <c r="R15304"/>
      <c r="S15304"/>
    </row>
    <row r="15305" spans="13:19" ht="13.95" customHeight="1">
      <c r="M15305"/>
      <c r="N15305"/>
      <c r="O15305"/>
      <c r="P15305"/>
      <c r="Q15305"/>
      <c r="R15305"/>
      <c r="S15305"/>
    </row>
    <row r="15306" spans="13:19" ht="13.95" customHeight="1">
      <c r="M15306"/>
      <c r="N15306"/>
      <c r="O15306"/>
      <c r="P15306"/>
      <c r="Q15306"/>
      <c r="R15306"/>
      <c r="S15306"/>
    </row>
    <row r="15307" spans="13:19" ht="13.95" customHeight="1">
      <c r="M15307"/>
      <c r="N15307"/>
      <c r="O15307"/>
      <c r="P15307"/>
      <c r="Q15307"/>
      <c r="R15307"/>
      <c r="S15307"/>
    </row>
    <row r="15308" spans="13:19" ht="13.95" customHeight="1">
      <c r="M15308"/>
      <c r="N15308"/>
      <c r="O15308"/>
      <c r="P15308"/>
      <c r="Q15308"/>
      <c r="R15308"/>
      <c r="S15308"/>
    </row>
    <row r="15309" spans="13:19" ht="13.95" customHeight="1">
      <c r="M15309"/>
      <c r="N15309"/>
      <c r="O15309"/>
      <c r="P15309"/>
      <c r="Q15309"/>
      <c r="R15309"/>
      <c r="S15309"/>
    </row>
    <row r="15310" spans="13:19" ht="13.95" customHeight="1">
      <c r="M15310"/>
      <c r="N15310"/>
      <c r="O15310"/>
      <c r="P15310"/>
      <c r="Q15310"/>
      <c r="R15310"/>
      <c r="S15310"/>
    </row>
    <row r="15311" spans="13:19" ht="13.95" customHeight="1">
      <c r="M15311"/>
      <c r="N15311"/>
      <c r="O15311"/>
      <c r="P15311"/>
      <c r="Q15311"/>
      <c r="R15311"/>
      <c r="S15311"/>
    </row>
    <row r="15312" spans="13:19" ht="13.95" customHeight="1">
      <c r="M15312"/>
      <c r="N15312"/>
      <c r="O15312"/>
      <c r="P15312"/>
      <c r="Q15312"/>
      <c r="R15312"/>
      <c r="S15312"/>
    </row>
    <row r="15313" spans="13:19" ht="13.95" customHeight="1">
      <c r="M15313"/>
      <c r="N15313"/>
      <c r="O15313"/>
      <c r="P15313"/>
      <c r="Q15313"/>
      <c r="R15313"/>
      <c r="S15313"/>
    </row>
    <row r="15314" spans="13:19" ht="13.95" customHeight="1">
      <c r="M15314"/>
      <c r="N15314"/>
      <c r="O15314"/>
      <c r="P15314"/>
      <c r="Q15314"/>
      <c r="R15314"/>
      <c r="S15314"/>
    </row>
    <row r="15315" spans="13:19" ht="13.95" customHeight="1">
      <c r="M15315"/>
      <c r="N15315"/>
      <c r="O15315"/>
      <c r="P15315"/>
      <c r="Q15315"/>
      <c r="R15315"/>
      <c r="S15315"/>
    </row>
    <row r="15316" spans="13:19" ht="13.95" customHeight="1">
      <c r="M15316"/>
      <c r="N15316"/>
      <c r="O15316"/>
      <c r="P15316"/>
      <c r="Q15316"/>
      <c r="R15316"/>
      <c r="S15316"/>
    </row>
    <row r="15317" spans="13:19" ht="13.95" customHeight="1">
      <c r="M15317"/>
      <c r="N15317"/>
      <c r="O15317"/>
      <c r="P15317"/>
      <c r="Q15317"/>
      <c r="R15317"/>
      <c r="S15317"/>
    </row>
    <row r="15318" spans="13:19" ht="13.95" customHeight="1">
      <c r="M15318"/>
      <c r="N15318"/>
      <c r="O15318"/>
      <c r="P15318"/>
      <c r="Q15318"/>
      <c r="R15318"/>
      <c r="S15318"/>
    </row>
    <row r="15319" spans="13:19" ht="13.95" customHeight="1">
      <c r="M15319"/>
      <c r="N15319"/>
      <c r="O15319"/>
      <c r="P15319"/>
      <c r="Q15319"/>
      <c r="R15319"/>
      <c r="S15319"/>
    </row>
    <row r="15320" spans="13:19" ht="13.95" customHeight="1">
      <c r="M15320"/>
      <c r="N15320"/>
      <c r="O15320"/>
      <c r="P15320"/>
      <c r="Q15320"/>
      <c r="R15320"/>
      <c r="S15320"/>
    </row>
    <row r="15321" spans="13:19" ht="13.95" customHeight="1">
      <c r="M15321"/>
      <c r="N15321"/>
      <c r="O15321"/>
      <c r="P15321"/>
      <c r="Q15321"/>
      <c r="R15321"/>
      <c r="S15321"/>
    </row>
    <row r="15322" spans="13:19" ht="13.95" customHeight="1">
      <c r="M15322"/>
      <c r="N15322"/>
      <c r="O15322"/>
      <c r="P15322"/>
      <c r="Q15322"/>
      <c r="R15322"/>
      <c r="S15322"/>
    </row>
    <row r="15323" spans="13:19" ht="13.95" customHeight="1">
      <c r="M15323"/>
      <c r="N15323"/>
      <c r="O15323"/>
      <c r="P15323"/>
      <c r="Q15323"/>
      <c r="R15323"/>
      <c r="S15323"/>
    </row>
    <row r="15324" spans="13:19" ht="13.95" customHeight="1">
      <c r="M15324"/>
      <c r="N15324"/>
      <c r="O15324"/>
      <c r="P15324"/>
      <c r="Q15324"/>
      <c r="R15324"/>
      <c r="S15324"/>
    </row>
    <row r="15325" spans="13:19" ht="13.95" customHeight="1">
      <c r="M15325"/>
      <c r="N15325"/>
      <c r="O15325"/>
      <c r="P15325"/>
      <c r="Q15325"/>
      <c r="R15325"/>
      <c r="S15325"/>
    </row>
    <row r="15326" spans="13:19" ht="13.95" customHeight="1">
      <c r="M15326"/>
      <c r="N15326"/>
      <c r="O15326"/>
      <c r="P15326"/>
      <c r="Q15326"/>
      <c r="R15326"/>
      <c r="S15326"/>
    </row>
    <row r="15327" spans="13:19" ht="13.95" customHeight="1">
      <c r="M15327"/>
      <c r="N15327"/>
      <c r="O15327"/>
      <c r="P15327"/>
      <c r="Q15327"/>
      <c r="R15327"/>
      <c r="S15327"/>
    </row>
    <row r="15328" spans="13:19" ht="13.95" customHeight="1">
      <c r="M15328"/>
      <c r="N15328"/>
      <c r="O15328"/>
      <c r="P15328"/>
      <c r="Q15328"/>
      <c r="R15328"/>
      <c r="S15328"/>
    </row>
    <row r="15329" spans="13:19" ht="13.95" customHeight="1">
      <c r="M15329"/>
      <c r="N15329"/>
      <c r="O15329"/>
      <c r="P15329"/>
      <c r="Q15329"/>
      <c r="R15329"/>
      <c r="S15329"/>
    </row>
    <row r="15330" spans="13:19" ht="13.95" customHeight="1">
      <c r="M15330"/>
      <c r="N15330"/>
      <c r="O15330"/>
      <c r="P15330"/>
      <c r="Q15330"/>
      <c r="R15330"/>
      <c r="S15330"/>
    </row>
    <row r="15331" spans="13:19" ht="13.95" customHeight="1">
      <c r="M15331"/>
      <c r="N15331"/>
      <c r="O15331"/>
      <c r="P15331"/>
      <c r="Q15331"/>
      <c r="R15331"/>
      <c r="S15331"/>
    </row>
    <row r="15332" spans="13:19" ht="13.95" customHeight="1">
      <c r="M15332"/>
      <c r="N15332"/>
      <c r="O15332"/>
      <c r="P15332"/>
      <c r="Q15332"/>
      <c r="R15332"/>
      <c r="S15332"/>
    </row>
    <row r="15333" spans="13:19" ht="13.95" customHeight="1">
      <c r="M15333"/>
      <c r="N15333"/>
      <c r="O15333"/>
      <c r="P15333"/>
      <c r="Q15333"/>
      <c r="R15333"/>
      <c r="S15333"/>
    </row>
    <row r="15334" spans="13:19" ht="13.95" customHeight="1">
      <c r="M15334"/>
      <c r="N15334"/>
      <c r="O15334"/>
      <c r="P15334"/>
      <c r="Q15334"/>
      <c r="R15334"/>
      <c r="S15334"/>
    </row>
    <row r="15335" spans="13:19" ht="13.95" customHeight="1">
      <c r="M15335"/>
      <c r="N15335"/>
      <c r="O15335"/>
      <c r="P15335"/>
      <c r="Q15335"/>
      <c r="R15335"/>
      <c r="S15335"/>
    </row>
    <row r="15336" spans="13:19" ht="13.95" customHeight="1">
      <c r="M15336"/>
      <c r="N15336"/>
      <c r="O15336"/>
      <c r="P15336"/>
      <c r="Q15336"/>
      <c r="R15336"/>
      <c r="S15336"/>
    </row>
    <row r="15337" spans="13:19" ht="13.95" customHeight="1">
      <c r="M15337"/>
      <c r="N15337"/>
      <c r="O15337"/>
      <c r="P15337"/>
      <c r="Q15337"/>
      <c r="R15337"/>
      <c r="S15337"/>
    </row>
    <row r="15338" spans="13:19" ht="13.95" customHeight="1">
      <c r="M15338"/>
      <c r="N15338"/>
      <c r="O15338"/>
      <c r="P15338"/>
      <c r="Q15338"/>
      <c r="R15338"/>
      <c r="S15338"/>
    </row>
    <row r="15339" spans="13:19" ht="13.95" customHeight="1">
      <c r="M15339"/>
      <c r="N15339"/>
      <c r="O15339"/>
      <c r="P15339"/>
      <c r="Q15339"/>
      <c r="R15339"/>
      <c r="S15339"/>
    </row>
    <row r="15340" spans="13:19" ht="13.95" customHeight="1">
      <c r="M15340"/>
      <c r="N15340"/>
      <c r="O15340"/>
      <c r="P15340"/>
      <c r="Q15340"/>
      <c r="R15340"/>
      <c r="S15340"/>
    </row>
    <row r="15341" spans="13:19" ht="13.95" customHeight="1">
      <c r="M15341"/>
      <c r="N15341"/>
      <c r="O15341"/>
      <c r="P15341"/>
      <c r="Q15341"/>
      <c r="R15341"/>
      <c r="S15341"/>
    </row>
    <row r="15342" spans="13:19" ht="13.95" customHeight="1">
      <c r="M15342"/>
      <c r="N15342"/>
      <c r="O15342"/>
      <c r="P15342"/>
      <c r="Q15342"/>
      <c r="R15342"/>
      <c r="S15342"/>
    </row>
    <row r="15343" spans="13:19" ht="13.95" customHeight="1">
      <c r="M15343"/>
      <c r="N15343"/>
      <c r="O15343"/>
      <c r="P15343"/>
      <c r="Q15343"/>
      <c r="R15343"/>
      <c r="S15343"/>
    </row>
    <row r="15344" spans="13:19" ht="13.95" customHeight="1">
      <c r="M15344"/>
      <c r="N15344"/>
      <c r="O15344"/>
      <c r="P15344"/>
      <c r="Q15344"/>
      <c r="R15344"/>
      <c r="S15344"/>
    </row>
    <row r="15345" spans="13:19" ht="13.95" customHeight="1">
      <c r="M15345"/>
      <c r="N15345"/>
      <c r="O15345"/>
      <c r="P15345"/>
      <c r="Q15345"/>
      <c r="R15345"/>
      <c r="S15345"/>
    </row>
    <row r="15346" spans="13:19" ht="13.95" customHeight="1">
      <c r="M15346"/>
      <c r="N15346"/>
      <c r="O15346"/>
      <c r="P15346"/>
      <c r="Q15346"/>
      <c r="R15346"/>
      <c r="S15346"/>
    </row>
    <row r="15347" spans="13:19" ht="13.95" customHeight="1">
      <c r="M15347"/>
      <c r="N15347"/>
      <c r="O15347"/>
      <c r="P15347"/>
      <c r="Q15347"/>
      <c r="R15347"/>
      <c r="S15347"/>
    </row>
    <row r="15348" spans="13:19" ht="13.95" customHeight="1">
      <c r="M15348"/>
      <c r="N15348"/>
      <c r="O15348"/>
      <c r="P15348"/>
      <c r="Q15348"/>
      <c r="R15348"/>
      <c r="S15348"/>
    </row>
    <row r="15349" spans="13:19" ht="13.95" customHeight="1">
      <c r="M15349"/>
      <c r="N15349"/>
      <c r="O15349"/>
      <c r="P15349"/>
      <c r="Q15349"/>
      <c r="R15349"/>
      <c r="S15349"/>
    </row>
    <row r="15350" spans="13:19" ht="13.95" customHeight="1">
      <c r="M15350"/>
      <c r="N15350"/>
      <c r="O15350"/>
      <c r="P15350"/>
      <c r="Q15350"/>
      <c r="R15350"/>
      <c r="S15350"/>
    </row>
    <row r="15351" spans="13:19" ht="13.95" customHeight="1">
      <c r="M15351"/>
      <c r="N15351"/>
      <c r="O15351"/>
      <c r="P15351"/>
      <c r="Q15351"/>
      <c r="R15351"/>
      <c r="S15351"/>
    </row>
    <row r="15352" spans="13:19" ht="13.95" customHeight="1">
      <c r="M15352"/>
      <c r="N15352"/>
      <c r="O15352"/>
      <c r="P15352"/>
      <c r="Q15352"/>
      <c r="R15352"/>
      <c r="S15352"/>
    </row>
    <row r="15353" spans="13:19" ht="13.95" customHeight="1">
      <c r="M15353"/>
      <c r="N15353"/>
      <c r="O15353"/>
      <c r="P15353"/>
      <c r="Q15353"/>
      <c r="R15353"/>
      <c r="S15353"/>
    </row>
    <row r="15354" spans="13:19" ht="13.95" customHeight="1">
      <c r="M15354"/>
      <c r="N15354"/>
      <c r="O15354"/>
      <c r="P15354"/>
      <c r="Q15354"/>
      <c r="R15354"/>
      <c r="S15354"/>
    </row>
    <row r="15355" spans="13:19" ht="13.95" customHeight="1">
      <c r="M15355"/>
      <c r="N15355"/>
      <c r="O15355"/>
      <c r="P15355"/>
      <c r="Q15355"/>
      <c r="R15355"/>
      <c r="S15355"/>
    </row>
    <row r="15356" spans="13:19" ht="13.95" customHeight="1">
      <c r="M15356"/>
      <c r="N15356"/>
      <c r="O15356"/>
      <c r="P15356"/>
      <c r="Q15356"/>
      <c r="R15356"/>
      <c r="S15356"/>
    </row>
    <row r="15357" spans="13:19" ht="13.95" customHeight="1">
      <c r="M15357"/>
      <c r="N15357"/>
      <c r="O15357"/>
      <c r="P15357"/>
      <c r="Q15357"/>
      <c r="R15357"/>
      <c r="S15357"/>
    </row>
    <row r="15358" spans="13:19" ht="13.95" customHeight="1">
      <c r="M15358"/>
      <c r="N15358"/>
      <c r="O15358"/>
      <c r="P15358"/>
      <c r="Q15358"/>
      <c r="R15358"/>
      <c r="S15358"/>
    </row>
    <row r="15359" spans="13:19" ht="13.95" customHeight="1">
      <c r="M15359"/>
      <c r="N15359"/>
      <c r="O15359"/>
      <c r="P15359"/>
      <c r="Q15359"/>
      <c r="R15359"/>
      <c r="S15359"/>
    </row>
    <row r="15360" spans="13:19" ht="13.95" customHeight="1">
      <c r="M15360"/>
      <c r="N15360"/>
      <c r="O15360"/>
      <c r="P15360"/>
      <c r="Q15360"/>
      <c r="R15360"/>
      <c r="S15360"/>
    </row>
    <row r="15361" spans="13:19" ht="13.95" customHeight="1">
      <c r="M15361"/>
      <c r="N15361"/>
      <c r="O15361"/>
      <c r="P15361"/>
      <c r="Q15361"/>
      <c r="R15361"/>
      <c r="S15361"/>
    </row>
    <row r="15362" spans="13:19" ht="13.95" customHeight="1">
      <c r="M15362"/>
      <c r="N15362"/>
      <c r="O15362"/>
      <c r="P15362"/>
      <c r="Q15362"/>
      <c r="R15362"/>
      <c r="S15362"/>
    </row>
    <row r="15363" spans="13:19" ht="13.95" customHeight="1">
      <c r="M15363"/>
      <c r="N15363"/>
      <c r="O15363"/>
      <c r="P15363"/>
      <c r="Q15363"/>
      <c r="R15363"/>
      <c r="S15363"/>
    </row>
    <row r="15364" spans="13:19" ht="13.95" customHeight="1">
      <c r="M15364"/>
      <c r="N15364"/>
      <c r="O15364"/>
      <c r="P15364"/>
      <c r="Q15364"/>
      <c r="R15364"/>
      <c r="S15364"/>
    </row>
    <row r="15365" spans="13:19" ht="13.95" customHeight="1">
      <c r="M15365"/>
      <c r="N15365"/>
      <c r="O15365"/>
      <c r="P15365"/>
      <c r="Q15365"/>
      <c r="R15365"/>
      <c r="S15365"/>
    </row>
    <row r="15366" spans="13:19" ht="13.95" customHeight="1">
      <c r="M15366"/>
      <c r="N15366"/>
      <c r="O15366"/>
      <c r="P15366"/>
      <c r="Q15366"/>
      <c r="R15366"/>
      <c r="S15366"/>
    </row>
    <row r="15367" spans="13:19" ht="13.95" customHeight="1">
      <c r="M15367"/>
      <c r="N15367"/>
      <c r="O15367"/>
      <c r="P15367"/>
      <c r="Q15367"/>
      <c r="R15367"/>
      <c r="S15367"/>
    </row>
    <row r="15368" spans="13:19" ht="13.95" customHeight="1">
      <c r="M15368"/>
      <c r="N15368"/>
      <c r="O15368"/>
      <c r="P15368"/>
      <c r="Q15368"/>
      <c r="R15368"/>
      <c r="S15368"/>
    </row>
    <row r="15369" spans="13:19" ht="13.95" customHeight="1">
      <c r="M15369"/>
      <c r="N15369"/>
      <c r="O15369"/>
      <c r="P15369"/>
      <c r="Q15369"/>
      <c r="R15369"/>
      <c r="S15369"/>
    </row>
    <row r="15370" spans="13:19" ht="13.95" customHeight="1">
      <c r="M15370"/>
      <c r="N15370"/>
      <c r="O15370"/>
      <c r="P15370"/>
      <c r="Q15370"/>
      <c r="R15370"/>
      <c r="S15370"/>
    </row>
    <row r="15371" spans="13:19" ht="13.95" customHeight="1">
      <c r="M15371"/>
      <c r="N15371"/>
      <c r="O15371"/>
      <c r="P15371"/>
      <c r="Q15371"/>
      <c r="R15371"/>
      <c r="S15371"/>
    </row>
    <row r="15372" spans="13:19" ht="13.95" customHeight="1">
      <c r="M15372"/>
      <c r="N15372"/>
      <c r="O15372"/>
      <c r="P15372"/>
      <c r="Q15372"/>
      <c r="R15372"/>
      <c r="S15372"/>
    </row>
    <row r="15373" spans="13:19" ht="13.95" customHeight="1">
      <c r="M15373"/>
      <c r="N15373"/>
      <c r="O15373"/>
      <c r="P15373"/>
      <c r="Q15373"/>
      <c r="R15373"/>
      <c r="S15373"/>
    </row>
    <row r="15374" spans="13:19" ht="13.95" customHeight="1">
      <c r="M15374"/>
      <c r="N15374"/>
      <c r="O15374"/>
      <c r="P15374"/>
      <c r="Q15374"/>
      <c r="R15374"/>
      <c r="S15374"/>
    </row>
    <row r="15375" spans="13:19" ht="13.95" customHeight="1">
      <c r="M15375"/>
      <c r="N15375"/>
      <c r="O15375"/>
      <c r="P15375"/>
      <c r="Q15375"/>
      <c r="R15375"/>
      <c r="S15375"/>
    </row>
    <row r="15376" spans="13:19" ht="13.95" customHeight="1">
      <c r="M15376"/>
      <c r="N15376"/>
      <c r="O15376"/>
      <c r="P15376"/>
      <c r="Q15376"/>
      <c r="R15376"/>
      <c r="S15376"/>
    </row>
    <row r="15377" spans="13:19" ht="13.95" customHeight="1">
      <c r="M15377"/>
      <c r="N15377"/>
      <c r="O15377"/>
      <c r="P15377"/>
      <c r="Q15377"/>
      <c r="R15377"/>
      <c r="S15377"/>
    </row>
    <row r="15378" spans="13:19" ht="13.95" customHeight="1">
      <c r="M15378"/>
      <c r="N15378"/>
      <c r="O15378"/>
      <c r="P15378"/>
      <c r="Q15378"/>
      <c r="R15378"/>
      <c r="S15378"/>
    </row>
    <row r="15379" spans="13:19" ht="13.95" customHeight="1">
      <c r="M15379"/>
      <c r="N15379"/>
      <c r="O15379"/>
      <c r="P15379"/>
      <c r="Q15379"/>
      <c r="R15379"/>
      <c r="S15379"/>
    </row>
    <row r="15380" spans="13:19" ht="13.95" customHeight="1">
      <c r="M15380"/>
      <c r="N15380"/>
      <c r="O15380"/>
      <c r="P15380"/>
      <c r="Q15380"/>
      <c r="R15380"/>
      <c r="S15380"/>
    </row>
    <row r="15381" spans="13:19" ht="13.95" customHeight="1">
      <c r="M15381"/>
      <c r="N15381"/>
      <c r="O15381"/>
      <c r="P15381"/>
      <c r="Q15381"/>
      <c r="R15381"/>
      <c r="S15381"/>
    </row>
    <row r="15382" spans="13:19" ht="13.95" customHeight="1">
      <c r="M15382"/>
      <c r="N15382"/>
      <c r="O15382"/>
      <c r="P15382"/>
      <c r="Q15382"/>
      <c r="R15382"/>
      <c r="S15382"/>
    </row>
    <row r="15383" spans="13:19" ht="13.95" customHeight="1">
      <c r="M15383"/>
      <c r="N15383"/>
      <c r="O15383"/>
      <c r="P15383"/>
      <c r="Q15383"/>
      <c r="R15383"/>
      <c r="S15383"/>
    </row>
    <row r="15384" spans="13:19" ht="13.95" customHeight="1">
      <c r="M15384"/>
      <c r="N15384"/>
      <c r="O15384"/>
      <c r="P15384"/>
      <c r="Q15384"/>
      <c r="R15384"/>
      <c r="S15384"/>
    </row>
    <row r="15385" spans="13:19" ht="13.95" customHeight="1">
      <c r="M15385"/>
      <c r="N15385"/>
      <c r="O15385"/>
      <c r="P15385"/>
      <c r="Q15385"/>
      <c r="R15385"/>
      <c r="S15385"/>
    </row>
    <row r="15386" spans="13:19" ht="13.95" customHeight="1">
      <c r="M15386"/>
      <c r="N15386"/>
      <c r="O15386"/>
      <c r="P15386"/>
      <c r="Q15386"/>
      <c r="R15386"/>
      <c r="S15386"/>
    </row>
    <row r="15387" spans="13:19" ht="13.95" customHeight="1">
      <c r="M15387"/>
      <c r="N15387"/>
      <c r="O15387"/>
      <c r="P15387"/>
      <c r="Q15387"/>
      <c r="R15387"/>
      <c r="S15387"/>
    </row>
    <row r="15388" spans="13:19" ht="13.95" customHeight="1">
      <c r="M15388"/>
      <c r="N15388"/>
      <c r="O15388"/>
      <c r="P15388"/>
      <c r="Q15388"/>
      <c r="R15388"/>
      <c r="S15388"/>
    </row>
    <row r="15389" spans="13:19" ht="13.95" customHeight="1">
      <c r="M15389"/>
      <c r="N15389"/>
      <c r="O15389"/>
      <c r="P15389"/>
      <c r="Q15389"/>
      <c r="R15389"/>
      <c r="S15389"/>
    </row>
    <row r="15390" spans="13:19" ht="13.95" customHeight="1">
      <c r="M15390"/>
      <c r="N15390"/>
      <c r="O15390"/>
      <c r="P15390"/>
      <c r="Q15390"/>
      <c r="R15390"/>
      <c r="S15390"/>
    </row>
    <row r="15391" spans="13:19" ht="13.95" customHeight="1">
      <c r="M15391"/>
      <c r="N15391"/>
      <c r="O15391"/>
      <c r="P15391"/>
      <c r="Q15391"/>
      <c r="R15391"/>
      <c r="S15391"/>
    </row>
    <row r="15392" spans="13:19" ht="13.95" customHeight="1">
      <c r="M15392"/>
      <c r="N15392"/>
      <c r="O15392"/>
      <c r="P15392"/>
      <c r="Q15392"/>
      <c r="R15392"/>
      <c r="S15392"/>
    </row>
    <row r="15393" spans="13:19" ht="13.95" customHeight="1">
      <c r="M15393"/>
      <c r="N15393"/>
      <c r="O15393"/>
      <c r="P15393"/>
      <c r="Q15393"/>
      <c r="R15393"/>
      <c r="S15393"/>
    </row>
    <row r="15394" spans="13:19" ht="13.95" customHeight="1">
      <c r="M15394"/>
      <c r="N15394"/>
      <c r="O15394"/>
      <c r="P15394"/>
      <c r="Q15394"/>
      <c r="R15394"/>
      <c r="S15394"/>
    </row>
    <row r="15395" spans="13:19" ht="13.95" customHeight="1">
      <c r="M15395"/>
      <c r="N15395"/>
      <c r="O15395"/>
      <c r="P15395"/>
      <c r="Q15395"/>
      <c r="R15395"/>
      <c r="S15395"/>
    </row>
    <row r="15396" spans="13:19" ht="13.95" customHeight="1">
      <c r="M15396"/>
      <c r="N15396"/>
      <c r="O15396"/>
      <c r="P15396"/>
      <c r="Q15396"/>
      <c r="R15396"/>
      <c r="S15396"/>
    </row>
    <row r="15397" spans="13:19" ht="13.95" customHeight="1">
      <c r="M15397"/>
      <c r="N15397"/>
      <c r="O15397"/>
      <c r="P15397"/>
      <c r="Q15397"/>
      <c r="R15397"/>
      <c r="S15397"/>
    </row>
    <row r="15398" spans="13:19" ht="13.95" customHeight="1">
      <c r="M15398"/>
      <c r="N15398"/>
      <c r="O15398"/>
      <c r="P15398"/>
      <c r="Q15398"/>
      <c r="R15398"/>
      <c r="S15398"/>
    </row>
    <row r="15399" spans="13:19" ht="13.95" customHeight="1">
      <c r="M15399"/>
      <c r="N15399"/>
      <c r="O15399"/>
      <c r="P15399"/>
      <c r="Q15399"/>
      <c r="R15399"/>
      <c r="S15399"/>
    </row>
    <row r="15400" spans="13:19" ht="13.95" customHeight="1">
      <c r="M15400"/>
      <c r="N15400"/>
      <c r="O15400"/>
      <c r="P15400"/>
      <c r="Q15400"/>
      <c r="R15400"/>
      <c r="S15400"/>
    </row>
    <row r="15401" spans="13:19" ht="13.95" customHeight="1">
      <c r="M15401"/>
      <c r="N15401"/>
      <c r="O15401"/>
      <c r="P15401"/>
      <c r="Q15401"/>
      <c r="R15401"/>
      <c r="S15401"/>
    </row>
    <row r="15402" spans="13:19" ht="13.95" customHeight="1">
      <c r="M15402"/>
      <c r="N15402"/>
      <c r="O15402"/>
      <c r="P15402"/>
      <c r="Q15402"/>
      <c r="R15402"/>
      <c r="S15402"/>
    </row>
    <row r="15403" spans="13:19" ht="13.95" customHeight="1">
      <c r="M15403"/>
      <c r="N15403"/>
      <c r="O15403"/>
      <c r="P15403"/>
      <c r="Q15403"/>
      <c r="R15403"/>
      <c r="S15403"/>
    </row>
    <row r="15404" spans="13:19" ht="13.95" customHeight="1">
      <c r="M15404"/>
      <c r="N15404"/>
      <c r="O15404"/>
      <c r="P15404"/>
      <c r="Q15404"/>
      <c r="R15404"/>
      <c r="S15404"/>
    </row>
    <row r="15405" spans="13:19" ht="13.95" customHeight="1">
      <c r="M15405"/>
      <c r="N15405"/>
      <c r="O15405"/>
      <c r="P15405"/>
      <c r="Q15405"/>
      <c r="R15405"/>
      <c r="S15405"/>
    </row>
    <row r="15406" spans="13:19" ht="13.95" customHeight="1">
      <c r="M15406"/>
      <c r="N15406"/>
      <c r="O15406"/>
      <c r="P15406"/>
      <c r="Q15406"/>
      <c r="R15406"/>
      <c r="S15406"/>
    </row>
    <row r="15407" spans="13:19" ht="13.95" customHeight="1">
      <c r="M15407"/>
      <c r="N15407"/>
      <c r="O15407"/>
      <c r="P15407"/>
      <c r="Q15407"/>
      <c r="R15407"/>
      <c r="S15407"/>
    </row>
    <row r="15408" spans="13:19" ht="13.95" customHeight="1">
      <c r="M15408"/>
      <c r="N15408"/>
      <c r="O15408"/>
      <c r="P15408"/>
      <c r="Q15408"/>
      <c r="R15408"/>
      <c r="S15408"/>
    </row>
    <row r="15409" spans="13:19" ht="13.95" customHeight="1">
      <c r="M15409"/>
      <c r="N15409"/>
      <c r="O15409"/>
      <c r="P15409"/>
      <c r="Q15409"/>
      <c r="R15409"/>
      <c r="S15409"/>
    </row>
    <row r="15410" spans="13:19" ht="13.95" customHeight="1">
      <c r="M15410"/>
      <c r="N15410"/>
      <c r="O15410"/>
      <c r="P15410"/>
      <c r="Q15410"/>
      <c r="R15410"/>
      <c r="S15410"/>
    </row>
    <row r="15411" spans="13:19" ht="13.95" customHeight="1">
      <c r="M15411"/>
      <c r="N15411"/>
      <c r="O15411"/>
      <c r="P15411"/>
      <c r="Q15411"/>
      <c r="R15411"/>
      <c r="S15411"/>
    </row>
    <row r="15412" spans="13:19" ht="13.95" customHeight="1">
      <c r="M15412"/>
      <c r="N15412"/>
      <c r="O15412"/>
      <c r="P15412"/>
      <c r="Q15412"/>
      <c r="R15412"/>
      <c r="S15412"/>
    </row>
    <row r="15413" spans="13:19" ht="13.95" customHeight="1">
      <c r="M15413"/>
      <c r="N15413"/>
      <c r="O15413"/>
      <c r="P15413"/>
      <c r="Q15413"/>
      <c r="R15413"/>
      <c r="S15413"/>
    </row>
    <row r="15414" spans="13:19" ht="13.95" customHeight="1">
      <c r="M15414"/>
      <c r="N15414"/>
      <c r="O15414"/>
      <c r="P15414"/>
      <c r="Q15414"/>
      <c r="R15414"/>
      <c r="S15414"/>
    </row>
    <row r="15415" spans="13:19" ht="13.95" customHeight="1">
      <c r="M15415"/>
      <c r="N15415"/>
      <c r="O15415"/>
      <c r="P15415"/>
      <c r="Q15415"/>
      <c r="R15415"/>
      <c r="S15415"/>
    </row>
    <row r="15416" spans="13:19" ht="13.95" customHeight="1">
      <c r="M15416"/>
      <c r="N15416"/>
      <c r="O15416"/>
      <c r="P15416"/>
      <c r="Q15416"/>
      <c r="R15416"/>
      <c r="S15416"/>
    </row>
    <row r="15417" spans="13:19" ht="13.95" customHeight="1">
      <c r="M15417"/>
      <c r="N15417"/>
      <c r="O15417"/>
      <c r="P15417"/>
      <c r="Q15417"/>
      <c r="R15417"/>
      <c r="S15417"/>
    </row>
    <row r="15418" spans="13:19" ht="13.95" customHeight="1">
      <c r="M15418"/>
      <c r="N15418"/>
      <c r="O15418"/>
      <c r="P15418"/>
      <c r="Q15418"/>
      <c r="R15418"/>
      <c r="S15418"/>
    </row>
    <row r="15419" spans="13:19" ht="13.95" customHeight="1">
      <c r="M15419"/>
      <c r="N15419"/>
      <c r="O15419"/>
      <c r="P15419"/>
      <c r="Q15419"/>
      <c r="R15419"/>
      <c r="S15419"/>
    </row>
    <row r="15420" spans="13:19" ht="13.95" customHeight="1">
      <c r="M15420"/>
      <c r="N15420"/>
      <c r="O15420"/>
      <c r="P15420"/>
      <c r="Q15420"/>
      <c r="R15420"/>
      <c r="S15420"/>
    </row>
    <row r="15421" spans="13:19" ht="13.95" customHeight="1">
      <c r="M15421"/>
      <c r="N15421"/>
      <c r="O15421"/>
      <c r="P15421"/>
      <c r="Q15421"/>
      <c r="R15421"/>
      <c r="S15421"/>
    </row>
    <row r="15422" spans="13:19" ht="13.95" customHeight="1">
      <c r="M15422"/>
      <c r="N15422"/>
      <c r="O15422"/>
      <c r="P15422"/>
      <c r="Q15422"/>
      <c r="R15422"/>
      <c r="S15422"/>
    </row>
    <row r="15423" spans="13:19" ht="13.95" customHeight="1">
      <c r="M15423"/>
      <c r="N15423"/>
      <c r="O15423"/>
      <c r="P15423"/>
      <c r="Q15423"/>
      <c r="R15423"/>
      <c r="S15423"/>
    </row>
    <row r="15424" spans="13:19" ht="13.95" customHeight="1">
      <c r="M15424"/>
      <c r="N15424"/>
      <c r="O15424"/>
      <c r="P15424"/>
      <c r="Q15424"/>
      <c r="R15424"/>
      <c r="S15424"/>
    </row>
    <row r="15425" spans="13:19" ht="13.95" customHeight="1">
      <c r="M15425"/>
      <c r="N15425"/>
      <c r="O15425"/>
      <c r="P15425"/>
      <c r="Q15425"/>
      <c r="R15425"/>
      <c r="S15425"/>
    </row>
    <row r="15426" spans="13:19" ht="13.95" customHeight="1">
      <c r="M15426"/>
      <c r="N15426"/>
      <c r="O15426"/>
      <c r="P15426"/>
      <c r="Q15426"/>
      <c r="R15426"/>
      <c r="S15426"/>
    </row>
    <row r="15427" spans="13:19" ht="13.95" customHeight="1">
      <c r="M15427"/>
      <c r="N15427"/>
      <c r="O15427"/>
      <c r="P15427"/>
      <c r="Q15427"/>
      <c r="R15427"/>
      <c r="S15427"/>
    </row>
    <row r="15428" spans="13:19" ht="13.95" customHeight="1">
      <c r="M15428"/>
      <c r="N15428"/>
      <c r="O15428"/>
      <c r="P15428"/>
      <c r="Q15428"/>
      <c r="R15428"/>
      <c r="S15428"/>
    </row>
    <row r="15429" spans="13:19" ht="13.95" customHeight="1">
      <c r="M15429"/>
      <c r="N15429"/>
      <c r="O15429"/>
      <c r="P15429"/>
      <c r="Q15429"/>
      <c r="R15429"/>
      <c r="S15429"/>
    </row>
    <row r="15430" spans="13:19" ht="13.95" customHeight="1">
      <c r="M15430"/>
      <c r="N15430"/>
      <c r="O15430"/>
      <c r="P15430"/>
      <c r="Q15430"/>
      <c r="R15430"/>
      <c r="S15430"/>
    </row>
    <row r="15431" spans="13:19" ht="13.95" customHeight="1">
      <c r="M15431"/>
      <c r="N15431"/>
      <c r="O15431"/>
      <c r="P15431"/>
      <c r="Q15431"/>
      <c r="R15431"/>
      <c r="S15431"/>
    </row>
    <row r="15432" spans="13:19" ht="13.95" customHeight="1">
      <c r="M15432"/>
      <c r="N15432"/>
      <c r="O15432"/>
      <c r="P15432"/>
      <c r="Q15432"/>
      <c r="R15432"/>
      <c r="S15432"/>
    </row>
    <row r="15433" spans="13:19" ht="13.95" customHeight="1">
      <c r="M15433"/>
      <c r="N15433"/>
      <c r="O15433"/>
      <c r="P15433"/>
      <c r="Q15433"/>
      <c r="R15433"/>
      <c r="S15433"/>
    </row>
    <row r="15434" spans="13:19" ht="13.95" customHeight="1">
      <c r="M15434"/>
      <c r="N15434"/>
      <c r="O15434"/>
      <c r="P15434"/>
      <c r="Q15434"/>
      <c r="R15434"/>
      <c r="S15434"/>
    </row>
    <row r="15435" spans="13:19" ht="13.95" customHeight="1">
      <c r="M15435"/>
      <c r="N15435"/>
      <c r="O15435"/>
      <c r="P15435"/>
      <c r="Q15435"/>
      <c r="R15435"/>
      <c r="S15435"/>
    </row>
    <row r="15436" spans="13:19" ht="13.95" customHeight="1">
      <c r="M15436"/>
      <c r="N15436"/>
      <c r="O15436"/>
      <c r="P15436"/>
      <c r="Q15436"/>
      <c r="R15436"/>
      <c r="S15436"/>
    </row>
    <row r="15437" spans="13:19" ht="13.95" customHeight="1">
      <c r="M15437"/>
      <c r="N15437"/>
      <c r="O15437"/>
      <c r="P15437"/>
      <c r="Q15437"/>
      <c r="R15437"/>
      <c r="S15437"/>
    </row>
    <row r="15438" spans="13:19" ht="13.95" customHeight="1">
      <c r="M15438"/>
      <c r="N15438"/>
      <c r="O15438"/>
      <c r="P15438"/>
      <c r="Q15438"/>
      <c r="R15438"/>
      <c r="S15438"/>
    </row>
    <row r="15439" spans="13:19" ht="13.95" customHeight="1">
      <c r="M15439"/>
      <c r="N15439"/>
      <c r="O15439"/>
      <c r="P15439"/>
      <c r="Q15439"/>
      <c r="R15439"/>
      <c r="S15439"/>
    </row>
    <row r="15440" spans="13:19" ht="13.95" customHeight="1">
      <c r="M15440"/>
      <c r="N15440"/>
      <c r="O15440"/>
      <c r="P15440"/>
      <c r="Q15440"/>
      <c r="R15440"/>
      <c r="S15440"/>
    </row>
    <row r="15441" spans="13:19" ht="13.95" customHeight="1">
      <c r="M15441"/>
      <c r="N15441"/>
      <c r="O15441"/>
      <c r="P15441"/>
      <c r="Q15441"/>
      <c r="R15441"/>
      <c r="S15441"/>
    </row>
    <row r="15442" spans="13:19" ht="13.95" customHeight="1">
      <c r="M15442"/>
      <c r="N15442"/>
      <c r="O15442"/>
      <c r="P15442"/>
      <c r="Q15442"/>
      <c r="R15442"/>
      <c r="S15442"/>
    </row>
    <row r="15443" spans="13:19" ht="13.95" customHeight="1">
      <c r="M15443"/>
      <c r="N15443"/>
      <c r="O15443"/>
      <c r="P15443"/>
      <c r="Q15443"/>
      <c r="R15443"/>
      <c r="S15443"/>
    </row>
    <row r="15444" spans="13:19" ht="13.95" customHeight="1">
      <c r="M15444"/>
      <c r="N15444"/>
      <c r="O15444"/>
      <c r="P15444"/>
      <c r="Q15444"/>
      <c r="R15444"/>
      <c r="S15444"/>
    </row>
    <row r="15445" spans="13:19" ht="13.95" customHeight="1">
      <c r="M15445"/>
      <c r="N15445"/>
      <c r="O15445"/>
      <c r="P15445"/>
      <c r="Q15445"/>
      <c r="R15445"/>
      <c r="S15445"/>
    </row>
    <row r="15446" spans="13:19" ht="13.95" customHeight="1">
      <c r="M15446"/>
      <c r="N15446"/>
      <c r="O15446"/>
      <c r="P15446"/>
      <c r="Q15446"/>
      <c r="R15446"/>
      <c r="S15446"/>
    </row>
    <row r="15447" spans="13:19" ht="13.95" customHeight="1">
      <c r="M15447"/>
      <c r="N15447"/>
      <c r="O15447"/>
      <c r="P15447"/>
      <c r="Q15447"/>
      <c r="R15447"/>
      <c r="S15447"/>
    </row>
    <row r="15448" spans="13:19" ht="13.95" customHeight="1">
      <c r="M15448"/>
      <c r="N15448"/>
      <c r="O15448"/>
      <c r="P15448"/>
      <c r="Q15448"/>
      <c r="R15448"/>
      <c r="S15448"/>
    </row>
    <row r="15449" spans="13:19" ht="13.95" customHeight="1">
      <c r="M15449"/>
      <c r="N15449"/>
      <c r="O15449"/>
      <c r="P15449"/>
      <c r="Q15449"/>
      <c r="R15449"/>
      <c r="S15449"/>
    </row>
    <row r="15450" spans="13:19" ht="13.95" customHeight="1">
      <c r="M15450"/>
      <c r="N15450"/>
      <c r="O15450"/>
      <c r="P15450"/>
      <c r="Q15450"/>
      <c r="R15450"/>
      <c r="S15450"/>
    </row>
    <row r="15451" spans="13:19" ht="13.95" customHeight="1">
      <c r="M15451"/>
      <c r="N15451"/>
      <c r="O15451"/>
      <c r="P15451"/>
      <c r="Q15451"/>
      <c r="R15451"/>
      <c r="S15451"/>
    </row>
    <row r="15452" spans="13:19" ht="13.95" customHeight="1">
      <c r="M15452"/>
      <c r="N15452"/>
      <c r="O15452"/>
      <c r="P15452"/>
      <c r="Q15452"/>
      <c r="R15452"/>
      <c r="S15452"/>
    </row>
    <row r="15453" spans="13:19" ht="13.95" customHeight="1">
      <c r="M15453"/>
      <c r="N15453"/>
      <c r="O15453"/>
      <c r="P15453"/>
      <c r="Q15453"/>
      <c r="R15453"/>
      <c r="S15453"/>
    </row>
    <row r="15454" spans="13:19" ht="13.95" customHeight="1">
      <c r="M15454"/>
      <c r="N15454"/>
      <c r="O15454"/>
      <c r="P15454"/>
      <c r="Q15454"/>
      <c r="R15454"/>
      <c r="S15454"/>
    </row>
    <row r="15455" spans="13:19" ht="13.95" customHeight="1">
      <c r="M15455"/>
      <c r="N15455"/>
      <c r="O15455"/>
      <c r="P15455"/>
      <c r="Q15455"/>
      <c r="R15455"/>
      <c r="S15455"/>
    </row>
    <row r="15456" spans="13:19" ht="13.95" customHeight="1">
      <c r="M15456"/>
      <c r="N15456"/>
      <c r="O15456"/>
      <c r="P15456"/>
      <c r="Q15456"/>
      <c r="R15456"/>
      <c r="S15456"/>
    </row>
    <row r="15457" spans="13:19" ht="13.95" customHeight="1">
      <c r="M15457"/>
      <c r="N15457"/>
      <c r="O15457"/>
      <c r="P15457"/>
      <c r="Q15457"/>
      <c r="R15457"/>
      <c r="S15457"/>
    </row>
    <row r="15458" spans="13:19" ht="13.95" customHeight="1">
      <c r="M15458"/>
      <c r="N15458"/>
      <c r="O15458"/>
      <c r="P15458"/>
      <c r="Q15458"/>
      <c r="R15458"/>
      <c r="S15458"/>
    </row>
    <row r="15459" spans="13:19" ht="13.95" customHeight="1">
      <c r="M15459"/>
      <c r="N15459"/>
      <c r="O15459"/>
      <c r="P15459"/>
      <c r="Q15459"/>
      <c r="R15459"/>
      <c r="S15459"/>
    </row>
    <row r="15460" spans="13:19" ht="13.95" customHeight="1">
      <c r="M15460"/>
      <c r="N15460"/>
      <c r="O15460"/>
      <c r="P15460"/>
      <c r="Q15460"/>
      <c r="R15460"/>
      <c r="S15460"/>
    </row>
    <row r="15461" spans="13:19" ht="13.95" customHeight="1">
      <c r="M15461"/>
      <c r="N15461"/>
      <c r="O15461"/>
      <c r="P15461"/>
      <c r="Q15461"/>
      <c r="R15461"/>
      <c r="S15461"/>
    </row>
    <row r="15462" spans="13:19" ht="13.95" customHeight="1">
      <c r="M15462"/>
      <c r="N15462"/>
      <c r="O15462"/>
      <c r="P15462"/>
      <c r="Q15462"/>
      <c r="R15462"/>
      <c r="S15462"/>
    </row>
    <row r="15463" spans="13:19" ht="13.95" customHeight="1">
      <c r="M15463"/>
      <c r="N15463"/>
      <c r="O15463"/>
      <c r="P15463"/>
      <c r="Q15463"/>
      <c r="R15463"/>
      <c r="S15463"/>
    </row>
    <row r="15464" spans="13:19" ht="13.95" customHeight="1">
      <c r="M15464"/>
      <c r="N15464"/>
      <c r="O15464"/>
      <c r="P15464"/>
      <c r="Q15464"/>
      <c r="R15464"/>
      <c r="S15464"/>
    </row>
    <row r="15465" spans="13:19" ht="13.95" customHeight="1">
      <c r="M15465"/>
      <c r="N15465"/>
      <c r="O15465"/>
      <c r="P15465"/>
      <c r="Q15465"/>
      <c r="R15465"/>
      <c r="S15465"/>
    </row>
    <row r="15466" spans="13:19" ht="13.95" customHeight="1">
      <c r="M15466"/>
      <c r="N15466"/>
      <c r="O15466"/>
      <c r="P15466"/>
      <c r="Q15466"/>
      <c r="R15466"/>
      <c r="S15466"/>
    </row>
    <row r="15467" spans="13:19" ht="13.95" customHeight="1">
      <c r="M15467"/>
      <c r="N15467"/>
      <c r="O15467"/>
      <c r="P15467"/>
      <c r="Q15467"/>
      <c r="R15467"/>
      <c r="S15467"/>
    </row>
    <row r="15468" spans="13:19" ht="13.95" customHeight="1">
      <c r="M15468"/>
      <c r="N15468"/>
      <c r="O15468"/>
      <c r="P15468"/>
      <c r="Q15468"/>
      <c r="R15468"/>
      <c r="S15468"/>
    </row>
    <row r="15469" spans="13:19" ht="13.95" customHeight="1">
      <c r="M15469"/>
      <c r="N15469"/>
      <c r="O15469"/>
      <c r="P15469"/>
      <c r="Q15469"/>
      <c r="R15469"/>
      <c r="S15469"/>
    </row>
    <row r="15470" spans="13:19" ht="13.95" customHeight="1">
      <c r="M15470"/>
      <c r="N15470"/>
      <c r="O15470"/>
      <c r="P15470"/>
      <c r="Q15470"/>
      <c r="R15470"/>
      <c r="S15470"/>
    </row>
    <row r="15471" spans="13:19" ht="13.95" customHeight="1">
      <c r="M15471"/>
      <c r="N15471"/>
      <c r="O15471"/>
      <c r="P15471"/>
      <c r="Q15471"/>
      <c r="R15471"/>
      <c r="S15471"/>
    </row>
    <row r="15472" spans="13:19" ht="13.95" customHeight="1">
      <c r="M15472"/>
      <c r="N15472"/>
      <c r="O15472"/>
      <c r="P15472"/>
      <c r="Q15472"/>
      <c r="R15472"/>
      <c r="S15472"/>
    </row>
    <row r="15473" spans="13:19" ht="13.95" customHeight="1">
      <c r="M15473"/>
      <c r="N15473"/>
      <c r="O15473"/>
      <c r="P15473"/>
      <c r="Q15473"/>
      <c r="R15473"/>
      <c r="S15473"/>
    </row>
    <row r="15474" spans="13:19" ht="13.95" customHeight="1">
      <c r="M15474"/>
      <c r="N15474"/>
      <c r="O15474"/>
      <c r="P15474"/>
      <c r="Q15474"/>
      <c r="R15474"/>
      <c r="S15474"/>
    </row>
    <row r="15475" spans="13:19" ht="13.95" customHeight="1">
      <c r="M15475"/>
      <c r="N15475"/>
      <c r="O15475"/>
      <c r="P15475"/>
      <c r="Q15475"/>
      <c r="R15475"/>
      <c r="S15475"/>
    </row>
    <row r="15476" spans="13:19" ht="13.95" customHeight="1">
      <c r="M15476"/>
      <c r="N15476"/>
      <c r="O15476"/>
      <c r="P15476"/>
      <c r="Q15476"/>
      <c r="R15476"/>
      <c r="S15476"/>
    </row>
    <row r="15477" spans="13:19" ht="13.95" customHeight="1">
      <c r="M15477"/>
      <c r="N15477"/>
      <c r="O15477"/>
      <c r="P15477"/>
      <c r="Q15477"/>
      <c r="R15477"/>
      <c r="S15477"/>
    </row>
    <row r="15478" spans="13:19" ht="13.95" customHeight="1">
      <c r="M15478"/>
      <c r="N15478"/>
      <c r="O15478"/>
      <c r="P15478"/>
      <c r="Q15478"/>
      <c r="R15478"/>
      <c r="S15478"/>
    </row>
    <row r="15479" spans="13:19" ht="13.95" customHeight="1">
      <c r="M15479"/>
      <c r="N15479"/>
      <c r="O15479"/>
      <c r="P15479"/>
      <c r="Q15479"/>
      <c r="R15479"/>
      <c r="S15479"/>
    </row>
    <row r="15480" spans="13:19" ht="13.95" customHeight="1">
      <c r="M15480"/>
      <c r="N15480"/>
      <c r="O15480"/>
      <c r="P15480"/>
      <c r="Q15480"/>
      <c r="R15480"/>
      <c r="S15480"/>
    </row>
    <row r="15481" spans="13:19" ht="13.95" customHeight="1">
      <c r="M15481"/>
      <c r="N15481"/>
      <c r="O15481"/>
      <c r="P15481"/>
      <c r="Q15481"/>
      <c r="R15481"/>
      <c r="S15481"/>
    </row>
    <row r="15482" spans="13:19" ht="13.95" customHeight="1">
      <c r="M15482"/>
      <c r="N15482"/>
      <c r="O15482"/>
      <c r="P15482"/>
      <c r="Q15482"/>
      <c r="R15482"/>
      <c r="S15482"/>
    </row>
    <row r="15483" spans="13:19" ht="13.95" customHeight="1">
      <c r="M15483"/>
      <c r="N15483"/>
      <c r="O15483"/>
      <c r="P15483"/>
      <c r="Q15483"/>
      <c r="R15483"/>
      <c r="S15483"/>
    </row>
    <row r="15484" spans="13:19" ht="13.95" customHeight="1">
      <c r="M15484"/>
      <c r="N15484"/>
      <c r="O15484"/>
      <c r="P15484"/>
      <c r="Q15484"/>
      <c r="R15484"/>
      <c r="S15484"/>
    </row>
    <row r="15485" spans="13:19" ht="13.95" customHeight="1">
      <c r="M15485"/>
      <c r="N15485"/>
      <c r="O15485"/>
      <c r="P15485"/>
      <c r="Q15485"/>
      <c r="R15485"/>
      <c r="S15485"/>
    </row>
    <row r="15486" spans="13:19" ht="13.95" customHeight="1">
      <c r="M15486"/>
      <c r="N15486"/>
      <c r="O15486"/>
      <c r="P15486"/>
      <c r="Q15486"/>
      <c r="R15486"/>
      <c r="S15486"/>
    </row>
    <row r="15487" spans="13:19" ht="13.95" customHeight="1">
      <c r="M15487"/>
      <c r="N15487"/>
      <c r="O15487"/>
      <c r="P15487"/>
      <c r="Q15487"/>
      <c r="R15487"/>
      <c r="S15487"/>
    </row>
    <row r="15488" spans="13:19" ht="13.95" customHeight="1">
      <c r="M15488"/>
      <c r="N15488"/>
      <c r="O15488"/>
      <c r="P15488"/>
      <c r="Q15488"/>
      <c r="R15488"/>
      <c r="S15488"/>
    </row>
    <row r="15489" spans="13:19" ht="13.95" customHeight="1">
      <c r="M15489"/>
      <c r="N15489"/>
      <c r="O15489"/>
      <c r="P15489"/>
      <c r="Q15489"/>
      <c r="R15489"/>
      <c r="S15489"/>
    </row>
    <row r="15490" spans="13:19" ht="13.95" customHeight="1">
      <c r="M15490"/>
      <c r="N15490"/>
      <c r="O15490"/>
      <c r="P15490"/>
      <c r="Q15490"/>
      <c r="R15490"/>
      <c r="S15490"/>
    </row>
    <row r="15491" spans="13:19" ht="13.95" customHeight="1">
      <c r="M15491"/>
      <c r="N15491"/>
      <c r="O15491"/>
      <c r="P15491"/>
      <c r="Q15491"/>
      <c r="R15491"/>
      <c r="S15491"/>
    </row>
    <row r="15492" spans="13:19" ht="13.95" customHeight="1">
      <c r="M15492"/>
      <c r="N15492"/>
      <c r="O15492"/>
      <c r="P15492"/>
      <c r="Q15492"/>
      <c r="R15492"/>
      <c r="S15492"/>
    </row>
    <row r="15493" spans="13:19" ht="13.95" customHeight="1">
      <c r="M15493"/>
      <c r="N15493"/>
      <c r="O15493"/>
      <c r="P15493"/>
      <c r="Q15493"/>
      <c r="R15493"/>
      <c r="S15493"/>
    </row>
    <row r="15494" spans="13:19" ht="13.95" customHeight="1">
      <c r="M15494"/>
      <c r="N15494"/>
      <c r="O15494"/>
      <c r="P15494"/>
      <c r="Q15494"/>
      <c r="R15494"/>
      <c r="S15494"/>
    </row>
    <row r="15495" spans="13:19" ht="13.95" customHeight="1">
      <c r="M15495"/>
      <c r="N15495"/>
      <c r="O15495"/>
      <c r="P15495"/>
      <c r="Q15495"/>
      <c r="R15495"/>
      <c r="S15495"/>
    </row>
    <row r="15496" spans="13:19" ht="13.95" customHeight="1">
      <c r="M15496"/>
      <c r="N15496"/>
      <c r="O15496"/>
      <c r="P15496"/>
      <c r="Q15496"/>
      <c r="R15496"/>
      <c r="S15496"/>
    </row>
    <row r="15497" spans="13:19" ht="13.95" customHeight="1">
      <c r="M15497"/>
      <c r="N15497"/>
      <c r="O15497"/>
      <c r="P15497"/>
      <c r="Q15497"/>
      <c r="R15497"/>
      <c r="S15497"/>
    </row>
    <row r="15498" spans="13:19" ht="13.95" customHeight="1">
      <c r="M15498"/>
      <c r="N15498"/>
      <c r="O15498"/>
      <c r="P15498"/>
      <c r="Q15498"/>
      <c r="R15498"/>
      <c r="S15498"/>
    </row>
    <row r="15499" spans="13:19" ht="13.95" customHeight="1">
      <c r="M15499"/>
      <c r="N15499"/>
      <c r="O15499"/>
      <c r="P15499"/>
      <c r="Q15499"/>
      <c r="R15499"/>
      <c r="S15499"/>
    </row>
    <row r="15500" spans="13:19" ht="13.95" customHeight="1">
      <c r="M15500"/>
      <c r="N15500"/>
      <c r="O15500"/>
      <c r="P15500"/>
      <c r="Q15500"/>
      <c r="R15500"/>
      <c r="S15500"/>
    </row>
    <row r="15501" spans="13:19" ht="13.95" customHeight="1">
      <c r="M15501"/>
      <c r="N15501"/>
      <c r="O15501"/>
      <c r="P15501"/>
      <c r="Q15501"/>
      <c r="R15501"/>
      <c r="S15501"/>
    </row>
    <row r="15502" spans="13:19" ht="13.95" customHeight="1">
      <c r="M15502"/>
      <c r="N15502"/>
      <c r="O15502"/>
      <c r="P15502"/>
      <c r="Q15502"/>
      <c r="R15502"/>
      <c r="S15502"/>
    </row>
    <row r="15503" spans="13:19" ht="13.95" customHeight="1">
      <c r="M15503"/>
      <c r="N15503"/>
      <c r="O15503"/>
      <c r="P15503"/>
      <c r="Q15503"/>
      <c r="R15503"/>
      <c r="S15503"/>
    </row>
    <row r="15504" spans="13:19" ht="13.95" customHeight="1">
      <c r="M15504"/>
      <c r="N15504"/>
      <c r="O15504"/>
      <c r="P15504"/>
      <c r="Q15504"/>
      <c r="R15504"/>
      <c r="S15504"/>
    </row>
    <row r="15505" spans="13:19" ht="13.95" customHeight="1">
      <c r="M15505"/>
      <c r="N15505"/>
      <c r="O15505"/>
      <c r="P15505"/>
      <c r="Q15505"/>
      <c r="R15505"/>
      <c r="S15505"/>
    </row>
    <row r="15506" spans="13:19" ht="13.95" customHeight="1">
      <c r="M15506"/>
      <c r="N15506"/>
      <c r="O15506"/>
      <c r="P15506"/>
      <c r="Q15506"/>
      <c r="R15506"/>
      <c r="S15506"/>
    </row>
    <row r="15507" spans="13:19" ht="13.95" customHeight="1">
      <c r="M15507"/>
      <c r="N15507"/>
      <c r="O15507"/>
      <c r="P15507"/>
      <c r="Q15507"/>
      <c r="R15507"/>
      <c r="S15507"/>
    </row>
    <row r="15508" spans="13:19" ht="13.95" customHeight="1">
      <c r="M15508"/>
      <c r="N15508"/>
      <c r="O15508"/>
      <c r="P15508"/>
      <c r="Q15508"/>
      <c r="R15508"/>
      <c r="S15508"/>
    </row>
    <row r="15509" spans="13:19" ht="13.95" customHeight="1">
      <c r="M15509"/>
      <c r="N15509"/>
      <c r="O15509"/>
      <c r="P15509"/>
      <c r="Q15509"/>
      <c r="R15509"/>
      <c r="S15509"/>
    </row>
    <row r="15510" spans="13:19" ht="13.95" customHeight="1">
      <c r="M15510"/>
      <c r="N15510"/>
      <c r="O15510"/>
      <c r="P15510"/>
      <c r="Q15510"/>
      <c r="R15510"/>
      <c r="S15510"/>
    </row>
    <row r="15511" spans="13:19" ht="13.95" customHeight="1">
      <c r="M15511"/>
      <c r="N15511"/>
      <c r="O15511"/>
      <c r="P15511"/>
      <c r="Q15511"/>
      <c r="R15511"/>
      <c r="S15511"/>
    </row>
    <row r="15512" spans="13:19" ht="13.95" customHeight="1">
      <c r="M15512"/>
      <c r="N15512"/>
      <c r="O15512"/>
      <c r="P15512"/>
      <c r="Q15512"/>
      <c r="R15512"/>
      <c r="S15512"/>
    </row>
    <row r="15513" spans="13:19" ht="13.95" customHeight="1">
      <c r="M15513"/>
      <c r="N15513"/>
      <c r="O15513"/>
      <c r="P15513"/>
      <c r="Q15513"/>
      <c r="R15513"/>
      <c r="S15513"/>
    </row>
    <row r="15514" spans="13:19" ht="13.95" customHeight="1">
      <c r="M15514"/>
      <c r="N15514"/>
      <c r="O15514"/>
      <c r="P15514"/>
      <c r="Q15514"/>
      <c r="R15514"/>
      <c r="S15514"/>
    </row>
    <row r="15515" spans="13:19" ht="13.95" customHeight="1">
      <c r="M15515"/>
      <c r="N15515"/>
      <c r="O15515"/>
      <c r="P15515"/>
      <c r="Q15515"/>
      <c r="R15515"/>
      <c r="S15515"/>
    </row>
    <row r="15516" spans="13:19" ht="13.95" customHeight="1">
      <c r="M15516"/>
      <c r="N15516"/>
      <c r="O15516"/>
      <c r="P15516"/>
      <c r="Q15516"/>
      <c r="R15516"/>
      <c r="S15516"/>
    </row>
    <row r="15517" spans="13:19" ht="13.95" customHeight="1">
      <c r="M15517"/>
      <c r="N15517"/>
      <c r="O15517"/>
      <c r="P15517"/>
      <c r="Q15517"/>
      <c r="R15517"/>
      <c r="S15517"/>
    </row>
    <row r="15518" spans="13:19" ht="13.95" customHeight="1">
      <c r="M15518"/>
      <c r="N15518"/>
      <c r="O15518"/>
      <c r="P15518"/>
      <c r="Q15518"/>
      <c r="R15518"/>
      <c r="S15518"/>
    </row>
    <row r="15519" spans="13:19" ht="13.95" customHeight="1">
      <c r="M15519"/>
      <c r="N15519"/>
      <c r="O15519"/>
      <c r="P15519"/>
      <c r="Q15519"/>
      <c r="R15519"/>
      <c r="S15519"/>
    </row>
    <row r="15520" spans="13:19" ht="13.95" customHeight="1">
      <c r="M15520"/>
      <c r="N15520"/>
      <c r="O15520"/>
      <c r="P15520"/>
      <c r="Q15520"/>
      <c r="R15520"/>
      <c r="S15520"/>
    </row>
    <row r="15521" spans="13:19" ht="13.95" customHeight="1">
      <c r="M15521"/>
      <c r="N15521"/>
      <c r="O15521"/>
      <c r="P15521"/>
      <c r="Q15521"/>
      <c r="R15521"/>
      <c r="S15521"/>
    </row>
    <row r="15522" spans="13:19" ht="13.95" customHeight="1">
      <c r="M15522"/>
      <c r="N15522"/>
      <c r="O15522"/>
      <c r="P15522"/>
      <c r="Q15522"/>
      <c r="R15522"/>
      <c r="S15522"/>
    </row>
    <row r="15523" spans="13:19" ht="13.95" customHeight="1">
      <c r="M15523"/>
      <c r="N15523"/>
      <c r="O15523"/>
      <c r="P15523"/>
      <c r="Q15523"/>
      <c r="R15523"/>
      <c r="S15523"/>
    </row>
    <row r="15524" spans="13:19" ht="13.95" customHeight="1">
      <c r="M15524"/>
      <c r="N15524"/>
      <c r="O15524"/>
      <c r="P15524"/>
      <c r="Q15524"/>
      <c r="R15524"/>
      <c r="S15524"/>
    </row>
    <row r="15525" spans="13:19" ht="13.95" customHeight="1">
      <c r="M15525"/>
      <c r="N15525"/>
      <c r="O15525"/>
      <c r="P15525"/>
      <c r="Q15525"/>
      <c r="R15525"/>
      <c r="S15525"/>
    </row>
    <row r="15526" spans="13:19" ht="13.95" customHeight="1">
      <c r="M15526"/>
      <c r="N15526"/>
      <c r="O15526"/>
      <c r="P15526"/>
      <c r="Q15526"/>
      <c r="R15526"/>
      <c r="S15526"/>
    </row>
    <row r="15527" spans="13:19" ht="13.95" customHeight="1">
      <c r="M15527"/>
      <c r="N15527"/>
      <c r="O15527"/>
      <c r="P15527"/>
      <c r="Q15527"/>
      <c r="R15527"/>
      <c r="S15527"/>
    </row>
    <row r="15528" spans="13:19" ht="13.95" customHeight="1">
      <c r="M15528"/>
      <c r="N15528"/>
      <c r="O15528"/>
      <c r="P15528"/>
      <c r="Q15528"/>
      <c r="R15528"/>
      <c r="S15528"/>
    </row>
    <row r="15529" spans="13:19" ht="13.95" customHeight="1">
      <c r="M15529"/>
      <c r="N15529"/>
      <c r="O15529"/>
      <c r="P15529"/>
      <c r="Q15529"/>
      <c r="R15529"/>
      <c r="S15529"/>
    </row>
    <row r="15530" spans="13:19" ht="13.95" customHeight="1">
      <c r="M15530"/>
      <c r="N15530"/>
      <c r="O15530"/>
      <c r="P15530"/>
      <c r="Q15530"/>
      <c r="R15530"/>
      <c r="S15530"/>
    </row>
    <row r="15531" spans="13:19" ht="13.95" customHeight="1">
      <c r="M15531"/>
      <c r="N15531"/>
      <c r="O15531"/>
      <c r="P15531"/>
      <c r="Q15531"/>
      <c r="R15531"/>
      <c r="S15531"/>
    </row>
    <row r="15532" spans="13:19" ht="13.95" customHeight="1">
      <c r="M15532"/>
      <c r="N15532"/>
      <c r="O15532"/>
      <c r="P15532"/>
      <c r="Q15532"/>
      <c r="R15532"/>
      <c r="S15532"/>
    </row>
    <row r="15533" spans="13:19" ht="13.95" customHeight="1">
      <c r="M15533"/>
      <c r="N15533"/>
      <c r="O15533"/>
      <c r="P15533"/>
      <c r="Q15533"/>
      <c r="R15533"/>
      <c r="S15533"/>
    </row>
    <row r="15534" spans="13:19" ht="13.95" customHeight="1">
      <c r="M15534"/>
      <c r="N15534"/>
      <c r="O15534"/>
      <c r="P15534"/>
      <c r="Q15534"/>
      <c r="R15534"/>
      <c r="S15534"/>
    </row>
    <row r="15535" spans="13:19" ht="13.95" customHeight="1">
      <c r="M15535"/>
      <c r="N15535"/>
      <c r="O15535"/>
      <c r="P15535"/>
      <c r="Q15535"/>
      <c r="R15535"/>
      <c r="S15535"/>
    </row>
    <row r="15536" spans="13:19" ht="13.95" customHeight="1">
      <c r="M15536"/>
      <c r="N15536"/>
      <c r="O15536"/>
      <c r="P15536"/>
      <c r="Q15536"/>
      <c r="R15536"/>
      <c r="S15536"/>
    </row>
    <row r="15537" spans="13:19" ht="13.95" customHeight="1">
      <c r="M15537"/>
      <c r="N15537"/>
      <c r="O15537"/>
      <c r="P15537"/>
      <c r="Q15537"/>
      <c r="R15537"/>
      <c r="S15537"/>
    </row>
    <row r="15538" spans="13:19" ht="13.95" customHeight="1">
      <c r="M15538"/>
      <c r="N15538"/>
      <c r="O15538"/>
      <c r="P15538"/>
      <c r="Q15538"/>
      <c r="R15538"/>
      <c r="S15538"/>
    </row>
    <row r="15539" spans="13:19" ht="13.95" customHeight="1">
      <c r="M15539"/>
      <c r="N15539"/>
      <c r="O15539"/>
      <c r="P15539"/>
      <c r="Q15539"/>
      <c r="R15539"/>
      <c r="S15539"/>
    </row>
    <row r="15540" spans="13:19" ht="13.95" customHeight="1">
      <c r="M15540"/>
      <c r="N15540"/>
      <c r="O15540"/>
      <c r="P15540"/>
      <c r="Q15540"/>
      <c r="R15540"/>
      <c r="S15540"/>
    </row>
    <row r="15541" spans="13:19" ht="13.95" customHeight="1">
      <c r="M15541"/>
      <c r="N15541"/>
      <c r="O15541"/>
      <c r="P15541"/>
      <c r="Q15541"/>
      <c r="R15541"/>
      <c r="S15541"/>
    </row>
    <row r="15542" spans="13:19" ht="13.95" customHeight="1">
      <c r="M15542"/>
      <c r="N15542"/>
      <c r="O15542"/>
      <c r="P15542"/>
      <c r="Q15542"/>
      <c r="R15542"/>
      <c r="S15542"/>
    </row>
    <row r="15543" spans="13:19" ht="13.95" customHeight="1">
      <c r="M15543"/>
      <c r="N15543"/>
      <c r="O15543"/>
      <c r="P15543"/>
      <c r="Q15543"/>
      <c r="R15543"/>
      <c r="S15543"/>
    </row>
    <row r="15544" spans="13:19" ht="13.95" customHeight="1">
      <c r="M15544"/>
      <c r="N15544"/>
      <c r="O15544"/>
      <c r="P15544"/>
      <c r="Q15544"/>
      <c r="R15544"/>
      <c r="S15544"/>
    </row>
    <row r="15545" spans="13:19" ht="13.95" customHeight="1">
      <c r="M15545"/>
      <c r="N15545"/>
      <c r="O15545"/>
      <c r="P15545"/>
      <c r="Q15545"/>
      <c r="R15545"/>
      <c r="S15545"/>
    </row>
    <row r="15546" spans="13:19" ht="13.95" customHeight="1">
      <c r="M15546"/>
      <c r="N15546"/>
      <c r="O15546"/>
      <c r="P15546"/>
      <c r="Q15546"/>
      <c r="R15546"/>
      <c r="S15546"/>
    </row>
    <row r="15547" spans="13:19" ht="13.95" customHeight="1">
      <c r="M15547"/>
      <c r="N15547"/>
      <c r="O15547"/>
      <c r="P15547"/>
      <c r="Q15547"/>
      <c r="R15547"/>
      <c r="S15547"/>
    </row>
    <row r="15548" spans="13:19" ht="13.95" customHeight="1">
      <c r="M15548"/>
      <c r="N15548"/>
      <c r="O15548"/>
      <c r="P15548"/>
      <c r="Q15548"/>
      <c r="R15548"/>
      <c r="S15548"/>
    </row>
    <row r="15549" spans="13:19" ht="13.95" customHeight="1">
      <c r="M15549"/>
      <c r="N15549"/>
      <c r="O15549"/>
      <c r="P15549"/>
      <c r="Q15549"/>
      <c r="R15549"/>
      <c r="S15549"/>
    </row>
    <row r="15550" spans="13:19" ht="13.95" customHeight="1">
      <c r="M15550"/>
      <c r="N15550"/>
      <c r="O15550"/>
      <c r="P15550"/>
      <c r="Q15550"/>
      <c r="R15550"/>
      <c r="S15550"/>
    </row>
    <row r="15551" spans="13:19" ht="13.95" customHeight="1">
      <c r="M15551"/>
      <c r="N15551"/>
      <c r="O15551"/>
      <c r="P15551"/>
      <c r="Q15551"/>
      <c r="R15551"/>
      <c r="S15551"/>
    </row>
    <row r="15552" spans="13:19" ht="13.95" customHeight="1">
      <c r="M15552"/>
      <c r="N15552"/>
      <c r="O15552"/>
      <c r="P15552"/>
      <c r="Q15552"/>
      <c r="R15552"/>
      <c r="S15552"/>
    </row>
    <row r="15553" spans="13:19" ht="13.95" customHeight="1">
      <c r="M15553"/>
      <c r="N15553"/>
      <c r="O15553"/>
      <c r="P15553"/>
      <c r="Q15553"/>
      <c r="R15553"/>
      <c r="S15553"/>
    </row>
    <row r="15554" spans="13:19" ht="13.95" customHeight="1">
      <c r="M15554"/>
      <c r="N15554"/>
      <c r="O15554"/>
      <c r="P15554"/>
      <c r="Q15554"/>
      <c r="R15554"/>
      <c r="S15554"/>
    </row>
    <row r="15555" spans="13:19" ht="13.95" customHeight="1">
      <c r="M15555"/>
      <c r="N15555"/>
      <c r="O15555"/>
      <c r="P15555"/>
      <c r="Q15555"/>
      <c r="R15555"/>
      <c r="S15555"/>
    </row>
    <row r="15556" spans="13:19" ht="13.95" customHeight="1">
      <c r="M15556"/>
      <c r="N15556"/>
      <c r="O15556"/>
      <c r="P15556"/>
      <c r="Q15556"/>
      <c r="R15556"/>
      <c r="S15556"/>
    </row>
    <row r="15557" spans="13:19" ht="13.95" customHeight="1">
      <c r="M15557"/>
      <c r="N15557"/>
      <c r="O15557"/>
      <c r="P15557"/>
      <c r="Q15557"/>
      <c r="R15557"/>
      <c r="S15557"/>
    </row>
    <row r="15558" spans="13:19" ht="13.95" customHeight="1">
      <c r="M15558"/>
      <c r="N15558"/>
      <c r="O15558"/>
      <c r="P15558"/>
      <c r="Q15558"/>
      <c r="R15558"/>
      <c r="S15558"/>
    </row>
    <row r="15559" spans="13:19" ht="13.95" customHeight="1">
      <c r="M15559"/>
      <c r="N15559"/>
      <c r="O15559"/>
      <c r="P15559"/>
      <c r="Q15559"/>
      <c r="R15559"/>
      <c r="S15559"/>
    </row>
    <row r="15560" spans="13:19" ht="13.95" customHeight="1">
      <c r="M15560"/>
      <c r="N15560"/>
      <c r="O15560"/>
      <c r="P15560"/>
      <c r="Q15560"/>
      <c r="R15560"/>
      <c r="S15560"/>
    </row>
    <row r="15561" spans="13:19" ht="13.95" customHeight="1">
      <c r="M15561"/>
      <c r="N15561"/>
      <c r="O15561"/>
      <c r="P15561"/>
      <c r="Q15561"/>
      <c r="R15561"/>
      <c r="S15561"/>
    </row>
    <row r="15562" spans="13:19" ht="13.95" customHeight="1">
      <c r="M15562"/>
      <c r="N15562"/>
      <c r="O15562"/>
      <c r="P15562"/>
      <c r="Q15562"/>
      <c r="R15562"/>
      <c r="S15562"/>
    </row>
    <row r="15563" spans="13:19" ht="13.95" customHeight="1">
      <c r="M15563"/>
      <c r="N15563"/>
      <c r="O15563"/>
      <c r="P15563"/>
      <c r="Q15563"/>
      <c r="R15563"/>
      <c r="S15563"/>
    </row>
    <row r="15564" spans="13:19" ht="13.95" customHeight="1">
      <c r="M15564"/>
      <c r="N15564"/>
      <c r="O15564"/>
      <c r="P15564"/>
      <c r="Q15564"/>
      <c r="R15564"/>
      <c r="S15564"/>
    </row>
    <row r="15565" spans="13:19" ht="13.95" customHeight="1">
      <c r="M15565"/>
      <c r="N15565"/>
      <c r="O15565"/>
      <c r="P15565"/>
      <c r="Q15565"/>
      <c r="R15565"/>
      <c r="S15565"/>
    </row>
    <row r="15566" spans="13:19" ht="13.95" customHeight="1">
      <c r="M15566"/>
      <c r="N15566"/>
      <c r="O15566"/>
      <c r="P15566"/>
      <c r="Q15566"/>
      <c r="R15566"/>
      <c r="S15566"/>
    </row>
    <row r="15567" spans="13:19" ht="13.95" customHeight="1">
      <c r="M15567"/>
      <c r="N15567"/>
      <c r="O15567"/>
      <c r="P15567"/>
      <c r="Q15567"/>
      <c r="R15567"/>
      <c r="S15567"/>
    </row>
    <row r="15568" spans="13:19" ht="13.95" customHeight="1">
      <c r="M15568"/>
      <c r="N15568"/>
      <c r="O15568"/>
      <c r="P15568"/>
      <c r="Q15568"/>
      <c r="R15568"/>
      <c r="S15568"/>
    </row>
    <row r="15569" spans="13:19" ht="13.95" customHeight="1">
      <c r="M15569"/>
      <c r="N15569"/>
      <c r="O15569"/>
      <c r="P15569"/>
      <c r="Q15569"/>
      <c r="R15569"/>
      <c r="S15569"/>
    </row>
    <row r="15570" spans="13:19" ht="13.95" customHeight="1">
      <c r="M15570"/>
      <c r="N15570"/>
      <c r="O15570"/>
      <c r="P15570"/>
      <c r="Q15570"/>
      <c r="R15570"/>
      <c r="S15570"/>
    </row>
    <row r="15571" spans="13:19" ht="13.95" customHeight="1">
      <c r="M15571"/>
      <c r="N15571"/>
      <c r="O15571"/>
      <c r="P15571"/>
      <c r="Q15571"/>
      <c r="R15571"/>
      <c r="S15571"/>
    </row>
    <row r="15572" spans="13:19" ht="13.95" customHeight="1">
      <c r="M15572"/>
      <c r="N15572"/>
      <c r="O15572"/>
      <c r="P15572"/>
      <c r="Q15572"/>
      <c r="R15572"/>
      <c r="S15572"/>
    </row>
    <row r="15573" spans="13:19" ht="13.95" customHeight="1">
      <c r="M15573"/>
      <c r="N15573"/>
      <c r="O15573"/>
      <c r="P15573"/>
      <c r="Q15573"/>
      <c r="R15573"/>
      <c r="S15573"/>
    </row>
    <row r="15574" spans="13:19" ht="13.95" customHeight="1">
      <c r="M15574"/>
      <c r="N15574"/>
      <c r="O15574"/>
      <c r="P15574"/>
      <c r="Q15574"/>
      <c r="R15574"/>
      <c r="S15574"/>
    </row>
    <row r="15575" spans="13:19" ht="13.95" customHeight="1">
      <c r="M15575"/>
      <c r="N15575"/>
      <c r="O15575"/>
      <c r="P15575"/>
      <c r="Q15575"/>
      <c r="R15575"/>
      <c r="S15575"/>
    </row>
    <row r="15576" spans="13:19" ht="13.95" customHeight="1">
      <c r="M15576"/>
      <c r="N15576"/>
      <c r="O15576"/>
      <c r="P15576"/>
      <c r="Q15576"/>
      <c r="R15576"/>
      <c r="S15576"/>
    </row>
    <row r="15577" spans="13:19" ht="13.95" customHeight="1">
      <c r="M15577"/>
      <c r="N15577"/>
      <c r="O15577"/>
      <c r="P15577"/>
      <c r="Q15577"/>
      <c r="R15577"/>
      <c r="S15577"/>
    </row>
    <row r="15578" spans="13:19" ht="13.95" customHeight="1">
      <c r="M15578"/>
      <c r="N15578"/>
      <c r="O15578"/>
      <c r="P15578"/>
      <c r="Q15578"/>
      <c r="R15578"/>
      <c r="S15578"/>
    </row>
    <row r="15579" spans="13:19" ht="13.95" customHeight="1">
      <c r="M15579"/>
      <c r="N15579"/>
      <c r="O15579"/>
      <c r="P15579"/>
      <c r="Q15579"/>
      <c r="R15579"/>
      <c r="S15579"/>
    </row>
    <row r="15580" spans="13:19" ht="13.95" customHeight="1">
      <c r="M15580"/>
      <c r="N15580"/>
      <c r="O15580"/>
      <c r="P15580"/>
      <c r="Q15580"/>
      <c r="R15580"/>
      <c r="S15580"/>
    </row>
    <row r="15581" spans="13:19" ht="13.95" customHeight="1">
      <c r="M15581"/>
      <c r="N15581"/>
      <c r="O15581"/>
      <c r="P15581"/>
      <c r="Q15581"/>
      <c r="R15581"/>
      <c r="S15581"/>
    </row>
    <row r="15582" spans="13:19" ht="13.95" customHeight="1">
      <c r="M15582"/>
      <c r="N15582"/>
      <c r="O15582"/>
      <c r="P15582"/>
      <c r="Q15582"/>
      <c r="R15582"/>
      <c r="S15582"/>
    </row>
    <row r="15583" spans="13:19" ht="13.95" customHeight="1">
      <c r="M15583"/>
      <c r="N15583"/>
      <c r="O15583"/>
      <c r="P15583"/>
      <c r="Q15583"/>
      <c r="R15583"/>
      <c r="S15583"/>
    </row>
    <row r="15584" spans="13:19" ht="13.95" customHeight="1">
      <c r="M15584"/>
      <c r="N15584"/>
      <c r="O15584"/>
      <c r="P15584"/>
      <c r="Q15584"/>
      <c r="R15584"/>
      <c r="S15584"/>
    </row>
    <row r="15585" spans="13:19" ht="13.95" customHeight="1">
      <c r="M15585"/>
      <c r="N15585"/>
      <c r="O15585"/>
      <c r="P15585"/>
      <c r="Q15585"/>
      <c r="R15585"/>
      <c r="S15585"/>
    </row>
    <row r="15586" spans="13:19" ht="13.95" customHeight="1">
      <c r="M15586"/>
      <c r="N15586"/>
      <c r="O15586"/>
      <c r="P15586"/>
      <c r="Q15586"/>
      <c r="R15586"/>
      <c r="S15586"/>
    </row>
    <row r="15587" spans="13:19" ht="13.95" customHeight="1">
      <c r="M15587"/>
      <c r="N15587"/>
      <c r="O15587"/>
      <c r="P15587"/>
      <c r="Q15587"/>
      <c r="R15587"/>
      <c r="S15587"/>
    </row>
    <row r="15588" spans="13:19" ht="13.95" customHeight="1">
      <c r="M15588"/>
      <c r="N15588"/>
      <c r="O15588"/>
      <c r="P15588"/>
      <c r="Q15588"/>
      <c r="R15588"/>
      <c r="S15588"/>
    </row>
    <row r="15589" spans="13:19" ht="13.95" customHeight="1">
      <c r="M15589"/>
      <c r="N15589"/>
      <c r="O15589"/>
      <c r="P15589"/>
      <c r="Q15589"/>
      <c r="R15589"/>
      <c r="S15589"/>
    </row>
    <row r="15590" spans="13:19" ht="13.95" customHeight="1">
      <c r="M15590"/>
      <c r="N15590"/>
      <c r="O15590"/>
      <c r="P15590"/>
      <c r="Q15590"/>
      <c r="R15590"/>
      <c r="S15590"/>
    </row>
    <row r="15591" spans="13:19" ht="13.95" customHeight="1">
      <c r="M15591"/>
      <c r="N15591"/>
      <c r="O15591"/>
      <c r="P15591"/>
      <c r="Q15591"/>
      <c r="R15591"/>
      <c r="S15591"/>
    </row>
    <row r="15592" spans="13:19" ht="13.95" customHeight="1">
      <c r="M15592"/>
      <c r="N15592"/>
      <c r="O15592"/>
      <c r="P15592"/>
      <c r="Q15592"/>
      <c r="R15592"/>
      <c r="S15592"/>
    </row>
    <row r="15593" spans="13:19" ht="13.95" customHeight="1">
      <c r="M15593"/>
      <c r="N15593"/>
      <c r="O15593"/>
      <c r="P15593"/>
      <c r="Q15593"/>
      <c r="R15593"/>
      <c r="S15593"/>
    </row>
    <row r="15594" spans="13:19" ht="13.95" customHeight="1">
      <c r="M15594"/>
      <c r="N15594"/>
      <c r="O15594"/>
      <c r="P15594"/>
      <c r="Q15594"/>
      <c r="R15594"/>
      <c r="S15594"/>
    </row>
    <row r="15595" spans="13:19" ht="13.95" customHeight="1">
      <c r="M15595"/>
      <c r="N15595"/>
      <c r="O15595"/>
      <c r="P15595"/>
      <c r="Q15595"/>
      <c r="R15595"/>
      <c r="S15595"/>
    </row>
    <row r="15596" spans="13:19" ht="13.95" customHeight="1">
      <c r="M15596"/>
      <c r="N15596"/>
      <c r="O15596"/>
      <c r="P15596"/>
      <c r="Q15596"/>
      <c r="R15596"/>
      <c r="S15596"/>
    </row>
    <row r="15597" spans="13:19" ht="13.95" customHeight="1">
      <c r="M15597"/>
      <c r="N15597"/>
      <c r="O15597"/>
      <c r="P15597"/>
      <c r="Q15597"/>
      <c r="R15597"/>
      <c r="S15597"/>
    </row>
    <row r="15598" spans="13:19" ht="13.95" customHeight="1">
      <c r="M15598"/>
      <c r="N15598"/>
      <c r="O15598"/>
      <c r="P15598"/>
      <c r="Q15598"/>
      <c r="R15598"/>
      <c r="S15598"/>
    </row>
    <row r="15599" spans="13:19" ht="13.95" customHeight="1">
      <c r="M15599"/>
      <c r="N15599"/>
      <c r="O15599"/>
      <c r="P15599"/>
      <c r="Q15599"/>
      <c r="R15599"/>
      <c r="S15599"/>
    </row>
    <row r="15600" spans="13:19" ht="13.95" customHeight="1">
      <c r="M15600"/>
      <c r="N15600"/>
      <c r="O15600"/>
      <c r="P15600"/>
      <c r="Q15600"/>
      <c r="R15600"/>
      <c r="S15600"/>
    </row>
    <row r="15601" spans="13:19" ht="13.95" customHeight="1">
      <c r="M15601"/>
      <c r="N15601"/>
      <c r="O15601"/>
      <c r="P15601"/>
      <c r="Q15601"/>
      <c r="R15601"/>
      <c r="S15601"/>
    </row>
    <row r="15602" spans="13:19" ht="13.95" customHeight="1">
      <c r="M15602"/>
      <c r="N15602"/>
      <c r="O15602"/>
      <c r="P15602"/>
      <c r="Q15602"/>
      <c r="R15602"/>
      <c r="S15602"/>
    </row>
    <row r="15603" spans="13:19" ht="13.95" customHeight="1">
      <c r="M15603"/>
      <c r="N15603"/>
      <c r="O15603"/>
      <c r="P15603"/>
      <c r="Q15603"/>
      <c r="R15603"/>
      <c r="S15603"/>
    </row>
    <row r="15604" spans="13:19" ht="13.95" customHeight="1">
      <c r="M15604"/>
      <c r="N15604"/>
      <c r="O15604"/>
      <c r="P15604"/>
      <c r="Q15604"/>
      <c r="R15604"/>
      <c r="S15604"/>
    </row>
    <row r="15605" spans="13:19" ht="13.95" customHeight="1">
      <c r="M15605"/>
      <c r="N15605"/>
      <c r="O15605"/>
      <c r="P15605"/>
      <c r="Q15605"/>
      <c r="R15605"/>
      <c r="S15605"/>
    </row>
    <row r="15606" spans="13:19" ht="13.95" customHeight="1">
      <c r="M15606"/>
      <c r="N15606"/>
      <c r="O15606"/>
      <c r="P15606"/>
      <c r="Q15606"/>
      <c r="R15606"/>
      <c r="S15606"/>
    </row>
    <row r="15607" spans="13:19" ht="13.95" customHeight="1">
      <c r="M15607"/>
      <c r="N15607"/>
      <c r="O15607"/>
      <c r="P15607"/>
      <c r="Q15607"/>
      <c r="R15607"/>
      <c r="S15607"/>
    </row>
    <row r="15608" spans="13:19" ht="13.95" customHeight="1">
      <c r="M15608"/>
      <c r="N15608"/>
      <c r="O15608"/>
      <c r="P15608"/>
      <c r="Q15608"/>
      <c r="R15608"/>
      <c r="S15608"/>
    </row>
    <row r="15609" spans="13:19" ht="13.95" customHeight="1">
      <c r="M15609"/>
      <c r="N15609"/>
      <c r="O15609"/>
      <c r="P15609"/>
      <c r="Q15609"/>
      <c r="R15609"/>
      <c r="S15609"/>
    </row>
    <row r="15610" spans="13:19" ht="13.95" customHeight="1">
      <c r="M15610"/>
      <c r="N15610"/>
      <c r="O15610"/>
      <c r="P15610"/>
      <c r="Q15610"/>
      <c r="R15610"/>
      <c r="S15610"/>
    </row>
    <row r="15611" spans="13:19" ht="13.95" customHeight="1">
      <c r="M15611"/>
      <c r="N15611"/>
      <c r="O15611"/>
      <c r="P15611"/>
      <c r="Q15611"/>
      <c r="R15611"/>
      <c r="S15611"/>
    </row>
    <row r="15612" spans="13:19" ht="13.95" customHeight="1">
      <c r="M15612"/>
      <c r="N15612"/>
      <c r="O15612"/>
      <c r="P15612"/>
      <c r="Q15612"/>
      <c r="R15612"/>
      <c r="S15612"/>
    </row>
    <row r="15613" spans="13:19" ht="13.95" customHeight="1">
      <c r="M15613"/>
      <c r="N15613"/>
      <c r="O15613"/>
      <c r="P15613"/>
      <c r="Q15613"/>
      <c r="R15613"/>
      <c r="S15613"/>
    </row>
    <row r="15614" spans="13:19" ht="13.95" customHeight="1">
      <c r="M15614"/>
      <c r="N15614"/>
      <c r="O15614"/>
      <c r="P15614"/>
      <c r="Q15614"/>
      <c r="R15614"/>
      <c r="S15614"/>
    </row>
    <row r="15615" spans="13:19" ht="13.95" customHeight="1">
      <c r="M15615"/>
      <c r="N15615"/>
      <c r="O15615"/>
      <c r="P15615"/>
      <c r="Q15615"/>
      <c r="R15615"/>
      <c r="S15615"/>
    </row>
    <row r="15616" spans="13:19" ht="13.95" customHeight="1">
      <c r="M15616"/>
      <c r="N15616"/>
      <c r="O15616"/>
      <c r="P15616"/>
      <c r="Q15616"/>
      <c r="R15616"/>
      <c r="S15616"/>
    </row>
    <row r="15617" spans="13:19" ht="13.95" customHeight="1">
      <c r="M15617"/>
      <c r="N15617"/>
      <c r="O15617"/>
      <c r="P15617"/>
      <c r="Q15617"/>
      <c r="R15617"/>
      <c r="S15617"/>
    </row>
    <row r="15618" spans="13:19" ht="13.95" customHeight="1">
      <c r="M15618"/>
      <c r="N15618"/>
      <c r="O15618"/>
      <c r="P15618"/>
      <c r="Q15618"/>
      <c r="R15618"/>
      <c r="S15618"/>
    </row>
    <row r="15619" spans="13:19" ht="13.95" customHeight="1">
      <c r="M15619"/>
      <c r="N15619"/>
      <c r="O15619"/>
      <c r="P15619"/>
      <c r="Q15619"/>
      <c r="R15619"/>
      <c r="S15619"/>
    </row>
    <row r="15620" spans="13:19" ht="13.95" customHeight="1">
      <c r="M15620"/>
      <c r="N15620"/>
      <c r="O15620"/>
      <c r="P15620"/>
      <c r="Q15620"/>
      <c r="R15620"/>
      <c r="S15620"/>
    </row>
    <row r="15621" spans="13:19" ht="13.95" customHeight="1">
      <c r="M15621"/>
      <c r="N15621"/>
      <c r="O15621"/>
      <c r="P15621"/>
      <c r="Q15621"/>
      <c r="R15621"/>
      <c r="S15621"/>
    </row>
    <row r="15622" spans="13:19" ht="13.95" customHeight="1">
      <c r="M15622"/>
      <c r="N15622"/>
      <c r="O15622"/>
      <c r="P15622"/>
      <c r="Q15622"/>
      <c r="R15622"/>
      <c r="S15622"/>
    </row>
    <row r="15623" spans="13:19" ht="13.95" customHeight="1">
      <c r="M15623"/>
      <c r="N15623"/>
      <c r="O15623"/>
      <c r="P15623"/>
      <c r="Q15623"/>
      <c r="R15623"/>
      <c r="S15623"/>
    </row>
    <row r="15624" spans="13:19" ht="13.95" customHeight="1">
      <c r="M15624"/>
      <c r="N15624"/>
      <c r="O15624"/>
      <c r="P15624"/>
      <c r="Q15624"/>
      <c r="R15624"/>
      <c r="S15624"/>
    </row>
    <row r="15625" spans="13:19" ht="13.95" customHeight="1">
      <c r="M15625"/>
      <c r="N15625"/>
      <c r="O15625"/>
      <c r="P15625"/>
      <c r="Q15625"/>
      <c r="R15625"/>
      <c r="S15625"/>
    </row>
    <row r="15626" spans="13:19" ht="13.95" customHeight="1">
      <c r="M15626"/>
      <c r="N15626"/>
      <c r="O15626"/>
      <c r="P15626"/>
      <c r="Q15626"/>
      <c r="R15626"/>
      <c r="S15626"/>
    </row>
    <row r="15627" spans="13:19" ht="13.95" customHeight="1">
      <c r="M15627"/>
      <c r="N15627"/>
      <c r="O15627"/>
      <c r="P15627"/>
      <c r="Q15627"/>
      <c r="R15627"/>
      <c r="S15627"/>
    </row>
    <row r="15628" spans="13:19" ht="13.95" customHeight="1">
      <c r="M15628"/>
      <c r="N15628"/>
      <c r="O15628"/>
      <c r="P15628"/>
      <c r="Q15628"/>
      <c r="R15628"/>
      <c r="S15628"/>
    </row>
    <row r="15629" spans="13:19" ht="13.95" customHeight="1">
      <c r="M15629"/>
      <c r="N15629"/>
      <c r="O15629"/>
      <c r="P15629"/>
      <c r="Q15629"/>
      <c r="R15629"/>
      <c r="S15629"/>
    </row>
    <row r="15630" spans="13:19" ht="13.95" customHeight="1">
      <c r="M15630"/>
      <c r="N15630"/>
      <c r="O15630"/>
      <c r="P15630"/>
      <c r="Q15630"/>
      <c r="R15630"/>
      <c r="S15630"/>
    </row>
    <row r="15631" spans="13:19" ht="13.95" customHeight="1">
      <c r="M15631"/>
      <c r="N15631"/>
      <c r="O15631"/>
      <c r="P15631"/>
      <c r="Q15631"/>
      <c r="R15631"/>
      <c r="S15631"/>
    </row>
    <row r="15632" spans="13:19" ht="13.95" customHeight="1">
      <c r="M15632"/>
      <c r="N15632"/>
      <c r="O15632"/>
      <c r="P15632"/>
      <c r="Q15632"/>
      <c r="R15632"/>
      <c r="S15632"/>
    </row>
    <row r="15633" spans="13:19" ht="13.95" customHeight="1">
      <c r="M15633"/>
      <c r="N15633"/>
      <c r="O15633"/>
      <c r="P15633"/>
      <c r="Q15633"/>
      <c r="R15633"/>
      <c r="S15633"/>
    </row>
    <row r="15634" spans="13:19" ht="13.95" customHeight="1">
      <c r="M15634"/>
      <c r="N15634"/>
      <c r="O15634"/>
      <c r="P15634"/>
      <c r="Q15634"/>
      <c r="R15634"/>
      <c r="S15634"/>
    </row>
    <row r="15635" spans="13:19" ht="13.95" customHeight="1">
      <c r="M15635"/>
      <c r="N15635"/>
      <c r="O15635"/>
      <c r="P15635"/>
      <c r="Q15635"/>
      <c r="R15635"/>
      <c r="S15635"/>
    </row>
    <row r="15636" spans="13:19" ht="13.95" customHeight="1">
      <c r="M15636"/>
      <c r="N15636"/>
      <c r="O15636"/>
      <c r="P15636"/>
      <c r="Q15636"/>
      <c r="R15636"/>
      <c r="S15636"/>
    </row>
    <row r="15637" spans="13:19" ht="13.95" customHeight="1">
      <c r="M15637"/>
      <c r="N15637"/>
      <c r="O15637"/>
      <c r="P15637"/>
      <c r="Q15637"/>
      <c r="R15637"/>
      <c r="S15637"/>
    </row>
    <row r="15638" spans="13:19" ht="13.95" customHeight="1">
      <c r="M15638"/>
      <c r="N15638"/>
      <c r="O15638"/>
      <c r="P15638"/>
      <c r="Q15638"/>
      <c r="R15638"/>
      <c r="S15638"/>
    </row>
    <row r="15639" spans="13:19" ht="13.95" customHeight="1">
      <c r="M15639"/>
      <c r="N15639"/>
      <c r="O15639"/>
      <c r="P15639"/>
      <c r="Q15639"/>
      <c r="R15639"/>
      <c r="S15639"/>
    </row>
    <row r="15640" spans="13:19" ht="13.95" customHeight="1">
      <c r="M15640"/>
      <c r="N15640"/>
      <c r="O15640"/>
      <c r="P15640"/>
      <c r="Q15640"/>
      <c r="R15640"/>
      <c r="S15640"/>
    </row>
    <row r="15641" spans="13:19" ht="13.95" customHeight="1">
      <c r="M15641"/>
      <c r="N15641"/>
      <c r="O15641"/>
      <c r="P15641"/>
      <c r="Q15641"/>
      <c r="R15641"/>
      <c r="S15641"/>
    </row>
    <row r="15642" spans="13:19" ht="13.95" customHeight="1">
      <c r="M15642"/>
      <c r="N15642"/>
      <c r="O15642"/>
      <c r="P15642"/>
      <c r="Q15642"/>
      <c r="R15642"/>
      <c r="S15642"/>
    </row>
    <row r="15643" spans="13:19" ht="13.95" customHeight="1">
      <c r="M15643"/>
      <c r="N15643"/>
      <c r="O15643"/>
      <c r="P15643"/>
      <c r="Q15643"/>
      <c r="R15643"/>
      <c r="S15643"/>
    </row>
    <row r="15644" spans="13:19" ht="13.95" customHeight="1">
      <c r="M15644"/>
      <c r="N15644"/>
      <c r="O15644"/>
      <c r="P15644"/>
      <c r="Q15644"/>
      <c r="R15644"/>
      <c r="S15644"/>
    </row>
    <row r="15645" spans="13:19" ht="13.95" customHeight="1">
      <c r="M15645"/>
      <c r="N15645"/>
      <c r="O15645"/>
      <c r="P15645"/>
      <c r="Q15645"/>
      <c r="R15645"/>
      <c r="S15645"/>
    </row>
    <row r="15646" spans="13:19" ht="13.95" customHeight="1">
      <c r="M15646"/>
      <c r="N15646"/>
      <c r="O15646"/>
      <c r="P15646"/>
      <c r="Q15646"/>
      <c r="R15646"/>
      <c r="S15646"/>
    </row>
    <row r="15647" spans="13:19" ht="13.95" customHeight="1">
      <c r="M15647"/>
      <c r="N15647"/>
      <c r="O15647"/>
      <c r="P15647"/>
      <c r="Q15647"/>
      <c r="R15647"/>
      <c r="S15647"/>
    </row>
    <row r="15648" spans="13:19" ht="13.95" customHeight="1">
      <c r="M15648"/>
      <c r="N15648"/>
      <c r="O15648"/>
      <c r="P15648"/>
      <c r="Q15648"/>
      <c r="R15648"/>
      <c r="S15648"/>
    </row>
    <row r="15649" spans="13:19" ht="13.95" customHeight="1">
      <c r="M15649"/>
      <c r="N15649"/>
      <c r="O15649"/>
      <c r="P15649"/>
      <c r="Q15649"/>
      <c r="R15649"/>
      <c r="S15649"/>
    </row>
    <row r="15650" spans="13:19" ht="13.95" customHeight="1">
      <c r="M15650"/>
      <c r="N15650"/>
      <c r="O15650"/>
      <c r="P15650"/>
      <c r="Q15650"/>
      <c r="R15650"/>
      <c r="S15650"/>
    </row>
    <row r="15651" spans="13:19" ht="13.95" customHeight="1">
      <c r="M15651"/>
      <c r="N15651"/>
      <c r="O15651"/>
      <c r="P15651"/>
      <c r="Q15651"/>
      <c r="R15651"/>
      <c r="S15651"/>
    </row>
    <row r="15652" spans="13:19" ht="13.95" customHeight="1">
      <c r="M15652"/>
      <c r="N15652"/>
      <c r="O15652"/>
      <c r="P15652"/>
      <c r="Q15652"/>
      <c r="R15652"/>
      <c r="S15652"/>
    </row>
    <row r="15653" spans="13:19" ht="13.95" customHeight="1">
      <c r="M15653"/>
      <c r="N15653"/>
      <c r="O15653"/>
      <c r="P15653"/>
      <c r="Q15653"/>
      <c r="R15653"/>
      <c r="S15653"/>
    </row>
    <row r="15654" spans="13:19" ht="13.95" customHeight="1">
      <c r="M15654"/>
      <c r="N15654"/>
      <c r="O15654"/>
      <c r="P15654"/>
      <c r="Q15654"/>
      <c r="R15654"/>
      <c r="S15654"/>
    </row>
    <row r="15655" spans="13:19" ht="13.95" customHeight="1">
      <c r="M15655"/>
      <c r="N15655"/>
      <c r="O15655"/>
      <c r="P15655"/>
      <c r="Q15655"/>
      <c r="R15655"/>
      <c r="S15655"/>
    </row>
    <row r="15656" spans="13:19" ht="13.95" customHeight="1">
      <c r="M15656"/>
      <c r="N15656"/>
      <c r="O15656"/>
      <c r="P15656"/>
      <c r="Q15656"/>
      <c r="R15656"/>
      <c r="S15656"/>
    </row>
    <row r="15657" spans="13:19" ht="13.95" customHeight="1">
      <c r="M15657"/>
      <c r="N15657"/>
      <c r="O15657"/>
      <c r="P15657"/>
      <c r="Q15657"/>
      <c r="R15657"/>
      <c r="S15657"/>
    </row>
    <row r="15658" spans="13:19" ht="13.95" customHeight="1">
      <c r="M15658"/>
      <c r="N15658"/>
      <c r="O15658"/>
      <c r="P15658"/>
      <c r="Q15658"/>
      <c r="R15658"/>
      <c r="S15658"/>
    </row>
    <row r="15659" spans="13:19" ht="13.95" customHeight="1">
      <c r="M15659"/>
      <c r="N15659"/>
      <c r="O15659"/>
      <c r="P15659"/>
      <c r="Q15659"/>
      <c r="R15659"/>
      <c r="S15659"/>
    </row>
    <row r="15660" spans="13:19" ht="13.95" customHeight="1">
      <c r="M15660"/>
      <c r="N15660"/>
      <c r="O15660"/>
      <c r="P15660"/>
      <c r="Q15660"/>
      <c r="R15660"/>
      <c r="S15660"/>
    </row>
    <row r="15661" spans="13:19" ht="13.95" customHeight="1">
      <c r="M15661"/>
      <c r="N15661"/>
      <c r="O15661"/>
      <c r="P15661"/>
      <c r="Q15661"/>
      <c r="R15661"/>
      <c r="S15661"/>
    </row>
    <row r="15662" spans="13:19" ht="13.95" customHeight="1">
      <c r="M15662"/>
      <c r="N15662"/>
      <c r="O15662"/>
      <c r="P15662"/>
      <c r="Q15662"/>
      <c r="R15662"/>
      <c r="S15662"/>
    </row>
    <row r="15663" spans="13:19" ht="13.95" customHeight="1">
      <c r="M15663"/>
      <c r="N15663"/>
      <c r="O15663"/>
      <c r="P15663"/>
      <c r="Q15663"/>
      <c r="R15663"/>
      <c r="S15663"/>
    </row>
    <row r="15664" spans="13:19" ht="13.95" customHeight="1">
      <c r="M15664"/>
      <c r="N15664"/>
      <c r="O15664"/>
      <c r="P15664"/>
      <c r="Q15664"/>
      <c r="R15664"/>
      <c r="S15664"/>
    </row>
    <row r="15665" spans="13:19" ht="13.95" customHeight="1">
      <c r="M15665"/>
      <c r="N15665"/>
      <c r="O15665"/>
      <c r="P15665"/>
      <c r="Q15665"/>
      <c r="R15665"/>
      <c r="S15665"/>
    </row>
    <row r="15666" spans="13:19" ht="13.95" customHeight="1">
      <c r="M15666"/>
      <c r="N15666"/>
      <c r="O15666"/>
      <c r="P15666"/>
      <c r="Q15666"/>
      <c r="R15666"/>
      <c r="S15666"/>
    </row>
    <row r="15667" spans="13:19" ht="13.95" customHeight="1">
      <c r="M15667"/>
      <c r="N15667"/>
      <c r="O15667"/>
      <c r="P15667"/>
      <c r="Q15667"/>
      <c r="R15667"/>
      <c r="S15667"/>
    </row>
    <row r="15668" spans="13:19" ht="13.95" customHeight="1">
      <c r="M15668"/>
      <c r="N15668"/>
      <c r="O15668"/>
      <c r="P15668"/>
      <c r="Q15668"/>
      <c r="R15668"/>
      <c r="S15668"/>
    </row>
    <row r="15669" spans="13:19" ht="13.95" customHeight="1">
      <c r="M15669"/>
      <c r="N15669"/>
      <c r="O15669"/>
      <c r="P15669"/>
      <c r="Q15669"/>
      <c r="R15669"/>
      <c r="S15669"/>
    </row>
    <row r="15670" spans="13:19" ht="13.95" customHeight="1">
      <c r="M15670"/>
      <c r="N15670"/>
      <c r="O15670"/>
      <c r="P15670"/>
      <c r="Q15670"/>
      <c r="R15670"/>
      <c r="S15670"/>
    </row>
    <row r="15671" spans="13:19" ht="13.95" customHeight="1">
      <c r="M15671"/>
      <c r="N15671"/>
      <c r="O15671"/>
      <c r="P15671"/>
      <c r="Q15671"/>
      <c r="R15671"/>
      <c r="S15671"/>
    </row>
    <row r="15672" spans="13:19" ht="13.95" customHeight="1">
      <c r="M15672"/>
      <c r="N15672"/>
      <c r="O15672"/>
      <c r="P15672"/>
      <c r="Q15672"/>
      <c r="R15672"/>
      <c r="S15672"/>
    </row>
    <row r="15673" spans="13:19" ht="13.95" customHeight="1">
      <c r="M15673"/>
      <c r="N15673"/>
      <c r="O15673"/>
      <c r="P15673"/>
      <c r="Q15673"/>
      <c r="R15673"/>
      <c r="S15673"/>
    </row>
    <row r="15674" spans="13:19" ht="13.95" customHeight="1">
      <c r="M15674"/>
      <c r="N15674"/>
      <c r="O15674"/>
      <c r="P15674"/>
      <c r="Q15674"/>
      <c r="R15674"/>
      <c r="S15674"/>
    </row>
    <row r="15675" spans="13:19" ht="13.95" customHeight="1">
      <c r="M15675"/>
      <c r="N15675"/>
      <c r="O15675"/>
      <c r="P15675"/>
      <c r="Q15675"/>
      <c r="R15675"/>
      <c r="S15675"/>
    </row>
    <row r="15676" spans="13:19" ht="13.95" customHeight="1">
      <c r="M15676"/>
      <c r="N15676"/>
      <c r="O15676"/>
      <c r="P15676"/>
      <c r="Q15676"/>
      <c r="R15676"/>
      <c r="S15676"/>
    </row>
    <row r="15677" spans="13:19" ht="13.95" customHeight="1">
      <c r="M15677"/>
      <c r="N15677"/>
      <c r="O15677"/>
      <c r="P15677"/>
      <c r="Q15677"/>
      <c r="R15677"/>
      <c r="S15677"/>
    </row>
    <row r="15678" spans="13:19" ht="13.95" customHeight="1">
      <c r="M15678"/>
      <c r="N15678"/>
      <c r="O15678"/>
      <c r="P15678"/>
      <c r="Q15678"/>
      <c r="R15678"/>
      <c r="S15678"/>
    </row>
    <row r="15679" spans="13:19" ht="13.95" customHeight="1">
      <c r="M15679"/>
      <c r="N15679"/>
      <c r="O15679"/>
      <c r="P15679"/>
      <c r="Q15679"/>
      <c r="R15679"/>
      <c r="S15679"/>
    </row>
    <row r="15680" spans="13:19" ht="13.95" customHeight="1">
      <c r="M15680"/>
      <c r="N15680"/>
      <c r="O15680"/>
      <c r="P15680"/>
      <c r="Q15680"/>
      <c r="R15680"/>
      <c r="S15680"/>
    </row>
    <row r="15681" spans="13:19" ht="13.95" customHeight="1">
      <c r="M15681"/>
      <c r="N15681"/>
      <c r="O15681"/>
      <c r="P15681"/>
      <c r="Q15681"/>
      <c r="R15681"/>
      <c r="S15681"/>
    </row>
    <row r="15682" spans="13:19" ht="13.95" customHeight="1">
      <c r="M15682"/>
      <c r="N15682"/>
      <c r="O15682"/>
      <c r="P15682"/>
      <c r="Q15682"/>
      <c r="R15682"/>
      <c r="S15682"/>
    </row>
    <row r="15683" spans="13:19" ht="13.95" customHeight="1">
      <c r="M15683"/>
      <c r="N15683"/>
      <c r="O15683"/>
      <c r="P15683"/>
      <c r="Q15683"/>
      <c r="R15683"/>
      <c r="S15683"/>
    </row>
    <row r="15684" spans="13:19" ht="13.95" customHeight="1">
      <c r="M15684"/>
      <c r="N15684"/>
      <c r="O15684"/>
      <c r="P15684"/>
      <c r="Q15684"/>
      <c r="R15684"/>
      <c r="S15684"/>
    </row>
    <row r="15685" spans="13:19" ht="13.95" customHeight="1">
      <c r="M15685"/>
      <c r="N15685"/>
      <c r="O15685"/>
      <c r="P15685"/>
      <c r="Q15685"/>
      <c r="R15685"/>
      <c r="S15685"/>
    </row>
    <row r="15686" spans="13:19" ht="13.95" customHeight="1">
      <c r="M15686"/>
      <c r="N15686"/>
      <c r="O15686"/>
      <c r="P15686"/>
      <c r="Q15686"/>
      <c r="R15686"/>
      <c r="S15686"/>
    </row>
    <row r="15687" spans="13:19" ht="13.95" customHeight="1">
      <c r="M15687"/>
      <c r="N15687"/>
      <c r="O15687"/>
      <c r="P15687"/>
      <c r="Q15687"/>
      <c r="R15687"/>
      <c r="S15687"/>
    </row>
    <row r="15688" spans="13:19" ht="13.95" customHeight="1">
      <c r="M15688"/>
      <c r="N15688"/>
      <c r="O15688"/>
      <c r="P15688"/>
      <c r="Q15688"/>
      <c r="R15688"/>
      <c r="S15688"/>
    </row>
    <row r="15689" spans="13:19" ht="13.95" customHeight="1">
      <c r="M15689"/>
      <c r="N15689"/>
      <c r="O15689"/>
      <c r="P15689"/>
      <c r="Q15689"/>
      <c r="R15689"/>
      <c r="S15689"/>
    </row>
    <row r="15690" spans="13:19" ht="13.95" customHeight="1">
      <c r="M15690"/>
      <c r="N15690"/>
      <c r="O15690"/>
      <c r="P15690"/>
      <c r="Q15690"/>
      <c r="R15690"/>
      <c r="S15690"/>
    </row>
    <row r="15691" spans="13:19" ht="13.95" customHeight="1">
      <c r="M15691"/>
      <c r="N15691"/>
      <c r="O15691"/>
      <c r="P15691"/>
      <c r="Q15691"/>
      <c r="R15691"/>
      <c r="S15691"/>
    </row>
    <row r="15692" spans="13:19" ht="13.95" customHeight="1">
      <c r="M15692"/>
      <c r="N15692"/>
      <c r="O15692"/>
      <c r="P15692"/>
      <c r="Q15692"/>
      <c r="R15692"/>
      <c r="S15692"/>
    </row>
    <row r="15693" spans="13:19" ht="13.95" customHeight="1">
      <c r="M15693"/>
      <c r="N15693"/>
      <c r="O15693"/>
      <c r="P15693"/>
      <c r="Q15693"/>
      <c r="R15693"/>
      <c r="S15693"/>
    </row>
    <row r="15694" spans="13:19" ht="13.95" customHeight="1">
      <c r="M15694"/>
      <c r="N15694"/>
      <c r="O15694"/>
      <c r="P15694"/>
      <c r="Q15694"/>
      <c r="R15694"/>
      <c r="S15694"/>
    </row>
    <row r="15695" spans="13:19" ht="13.95" customHeight="1">
      <c r="M15695"/>
      <c r="N15695"/>
      <c r="O15695"/>
      <c r="P15695"/>
      <c r="Q15695"/>
      <c r="R15695"/>
      <c r="S15695"/>
    </row>
    <row r="15696" spans="13:19" ht="13.95" customHeight="1">
      <c r="M15696"/>
      <c r="N15696"/>
      <c r="O15696"/>
      <c r="P15696"/>
      <c r="Q15696"/>
      <c r="R15696"/>
      <c r="S15696"/>
    </row>
    <row r="15697" spans="13:19" ht="13.95" customHeight="1">
      <c r="M15697"/>
      <c r="N15697"/>
      <c r="O15697"/>
      <c r="P15697"/>
      <c r="Q15697"/>
      <c r="R15697"/>
      <c r="S15697"/>
    </row>
    <row r="15698" spans="13:19" ht="13.95" customHeight="1">
      <c r="M15698"/>
      <c r="N15698"/>
      <c r="O15698"/>
      <c r="P15698"/>
      <c r="Q15698"/>
      <c r="R15698"/>
      <c r="S15698"/>
    </row>
    <row r="15699" spans="13:19" ht="13.95" customHeight="1">
      <c r="M15699"/>
      <c r="N15699"/>
      <c r="O15699"/>
      <c r="P15699"/>
      <c r="Q15699"/>
      <c r="R15699"/>
      <c r="S15699"/>
    </row>
    <row r="15700" spans="13:19" ht="13.95" customHeight="1">
      <c r="M15700"/>
      <c r="N15700"/>
      <c r="O15700"/>
      <c r="P15700"/>
      <c r="Q15700"/>
      <c r="R15700"/>
      <c r="S15700"/>
    </row>
    <row r="15701" spans="13:19" ht="13.95" customHeight="1">
      <c r="M15701"/>
      <c r="N15701"/>
      <c r="O15701"/>
      <c r="P15701"/>
      <c r="Q15701"/>
      <c r="R15701"/>
      <c r="S15701"/>
    </row>
    <row r="15702" spans="13:19" ht="13.95" customHeight="1">
      <c r="M15702"/>
      <c r="N15702"/>
      <c r="O15702"/>
      <c r="P15702"/>
      <c r="Q15702"/>
      <c r="R15702"/>
      <c r="S15702"/>
    </row>
    <row r="15703" spans="13:19" ht="13.95" customHeight="1">
      <c r="M15703"/>
      <c r="N15703"/>
      <c r="O15703"/>
      <c r="P15703"/>
      <c r="Q15703"/>
      <c r="R15703"/>
      <c r="S15703"/>
    </row>
    <row r="15704" spans="13:19" ht="13.95" customHeight="1">
      <c r="M15704"/>
      <c r="N15704"/>
      <c r="O15704"/>
      <c r="P15704"/>
      <c r="Q15704"/>
      <c r="R15704"/>
      <c r="S15704"/>
    </row>
    <row r="15705" spans="13:19" ht="13.95" customHeight="1">
      <c r="M15705"/>
      <c r="N15705"/>
      <c r="O15705"/>
      <c r="P15705"/>
      <c r="Q15705"/>
      <c r="R15705"/>
      <c r="S15705"/>
    </row>
    <row r="15706" spans="13:19" ht="13.95" customHeight="1">
      <c r="M15706"/>
      <c r="N15706"/>
      <c r="O15706"/>
      <c r="P15706"/>
      <c r="Q15706"/>
      <c r="R15706"/>
      <c r="S15706"/>
    </row>
    <row r="15707" spans="13:19" ht="13.95" customHeight="1">
      <c r="M15707"/>
      <c r="N15707"/>
      <c r="O15707"/>
      <c r="P15707"/>
      <c r="Q15707"/>
      <c r="R15707"/>
      <c r="S15707"/>
    </row>
    <row r="15708" spans="13:19" ht="13.95" customHeight="1">
      <c r="M15708"/>
      <c r="N15708"/>
      <c r="O15708"/>
      <c r="P15708"/>
      <c r="Q15708"/>
      <c r="R15708"/>
      <c r="S15708"/>
    </row>
    <row r="15709" spans="13:19" ht="13.95" customHeight="1">
      <c r="M15709"/>
      <c r="N15709"/>
      <c r="O15709"/>
      <c r="P15709"/>
      <c r="Q15709"/>
      <c r="R15709"/>
      <c r="S15709"/>
    </row>
    <row r="15710" spans="13:19" ht="13.95" customHeight="1">
      <c r="M15710"/>
      <c r="N15710"/>
      <c r="O15710"/>
      <c r="P15710"/>
      <c r="Q15710"/>
      <c r="R15710"/>
      <c r="S15710"/>
    </row>
    <row r="15711" spans="13:19" ht="13.95" customHeight="1">
      <c r="M15711"/>
      <c r="N15711"/>
      <c r="O15711"/>
      <c r="P15711"/>
      <c r="Q15711"/>
      <c r="R15711"/>
      <c r="S15711"/>
    </row>
    <row r="15712" spans="13:19" ht="13.95" customHeight="1">
      <c r="M15712"/>
      <c r="N15712"/>
      <c r="O15712"/>
      <c r="P15712"/>
      <c r="Q15712"/>
      <c r="R15712"/>
      <c r="S15712"/>
    </row>
    <row r="15713" spans="13:19" ht="13.95" customHeight="1">
      <c r="M15713"/>
      <c r="N15713"/>
      <c r="O15713"/>
      <c r="P15713"/>
      <c r="Q15713"/>
      <c r="R15713"/>
      <c r="S15713"/>
    </row>
    <row r="15714" spans="13:19" ht="13.95" customHeight="1">
      <c r="M15714"/>
      <c r="N15714"/>
      <c r="O15714"/>
      <c r="P15714"/>
      <c r="Q15714"/>
      <c r="R15714"/>
      <c r="S15714"/>
    </row>
    <row r="15715" spans="13:19" ht="13.95" customHeight="1">
      <c r="M15715"/>
      <c r="N15715"/>
      <c r="O15715"/>
      <c r="P15715"/>
      <c r="Q15715"/>
      <c r="R15715"/>
      <c r="S15715"/>
    </row>
    <row r="15716" spans="13:19" ht="13.95" customHeight="1">
      <c r="M15716"/>
      <c r="N15716"/>
      <c r="O15716"/>
      <c r="P15716"/>
      <c r="Q15716"/>
      <c r="R15716"/>
      <c r="S15716"/>
    </row>
    <row r="15717" spans="13:19" ht="13.95" customHeight="1">
      <c r="M15717"/>
      <c r="N15717"/>
      <c r="O15717"/>
      <c r="P15717"/>
      <c r="Q15717"/>
      <c r="R15717"/>
      <c r="S15717"/>
    </row>
    <row r="15718" spans="13:19" ht="13.95" customHeight="1">
      <c r="M15718"/>
      <c r="N15718"/>
      <c r="O15718"/>
      <c r="P15718"/>
      <c r="Q15718"/>
      <c r="R15718"/>
      <c r="S15718"/>
    </row>
    <row r="15719" spans="13:19" ht="13.95" customHeight="1">
      <c r="M15719"/>
      <c r="N15719"/>
      <c r="O15719"/>
      <c r="P15719"/>
      <c r="Q15719"/>
      <c r="R15719"/>
      <c r="S15719"/>
    </row>
    <row r="15720" spans="13:19" ht="13.95" customHeight="1">
      <c r="M15720"/>
      <c r="N15720"/>
      <c r="O15720"/>
      <c r="P15720"/>
      <c r="Q15720"/>
      <c r="R15720"/>
      <c r="S15720"/>
    </row>
    <row r="15721" spans="13:19" ht="13.95" customHeight="1">
      <c r="M15721"/>
      <c r="N15721"/>
      <c r="O15721"/>
      <c r="P15721"/>
      <c r="Q15721"/>
      <c r="R15721"/>
      <c r="S15721"/>
    </row>
    <row r="15722" spans="13:19" ht="13.95" customHeight="1">
      <c r="M15722"/>
      <c r="N15722"/>
      <c r="O15722"/>
      <c r="P15722"/>
      <c r="Q15722"/>
      <c r="R15722"/>
      <c r="S15722"/>
    </row>
    <row r="15723" spans="13:19" ht="13.95" customHeight="1">
      <c r="M15723"/>
      <c r="N15723"/>
      <c r="O15723"/>
      <c r="P15723"/>
      <c r="Q15723"/>
      <c r="R15723"/>
      <c r="S15723"/>
    </row>
    <row r="15724" spans="13:19" ht="13.95" customHeight="1">
      <c r="M15724"/>
      <c r="N15724"/>
      <c r="O15724"/>
      <c r="P15724"/>
      <c r="Q15724"/>
      <c r="R15724"/>
      <c r="S15724"/>
    </row>
    <row r="15725" spans="13:19" ht="13.95" customHeight="1">
      <c r="M15725"/>
      <c r="N15725"/>
      <c r="O15725"/>
      <c r="P15725"/>
      <c r="Q15725"/>
      <c r="R15725"/>
      <c r="S15725"/>
    </row>
    <row r="15726" spans="13:19" ht="13.95" customHeight="1">
      <c r="M15726"/>
      <c r="N15726"/>
      <c r="O15726"/>
      <c r="P15726"/>
      <c r="Q15726"/>
      <c r="R15726"/>
      <c r="S15726"/>
    </row>
    <row r="15727" spans="13:19" ht="13.95" customHeight="1">
      <c r="M15727"/>
      <c r="N15727"/>
      <c r="O15727"/>
      <c r="P15727"/>
      <c r="Q15727"/>
      <c r="R15727"/>
      <c r="S15727"/>
    </row>
    <row r="15728" spans="13:19" ht="13.95" customHeight="1">
      <c r="M15728"/>
      <c r="N15728"/>
      <c r="O15728"/>
      <c r="P15728"/>
      <c r="Q15728"/>
      <c r="R15728"/>
      <c r="S15728"/>
    </row>
    <row r="15729" spans="13:19" ht="13.95" customHeight="1">
      <c r="M15729"/>
      <c r="N15729"/>
      <c r="O15729"/>
      <c r="P15729"/>
      <c r="Q15729"/>
      <c r="R15729"/>
      <c r="S15729"/>
    </row>
    <row r="15730" spans="13:19" ht="13.95" customHeight="1">
      <c r="M15730"/>
      <c r="N15730"/>
      <c r="O15730"/>
      <c r="P15730"/>
      <c r="Q15730"/>
      <c r="R15730"/>
      <c r="S15730"/>
    </row>
    <row r="15731" spans="13:19" ht="13.95" customHeight="1">
      <c r="M15731"/>
      <c r="N15731"/>
      <c r="O15731"/>
      <c r="P15731"/>
      <c r="Q15731"/>
      <c r="R15731"/>
      <c r="S15731"/>
    </row>
    <row r="15732" spans="13:19" ht="13.95" customHeight="1">
      <c r="M15732"/>
      <c r="N15732"/>
      <c r="O15732"/>
      <c r="P15732"/>
      <c r="Q15732"/>
      <c r="R15732"/>
      <c r="S15732"/>
    </row>
    <row r="15733" spans="13:19" ht="13.95" customHeight="1">
      <c r="M15733"/>
      <c r="N15733"/>
      <c r="O15733"/>
      <c r="P15733"/>
      <c r="Q15733"/>
      <c r="R15733"/>
      <c r="S15733"/>
    </row>
    <row r="15734" spans="13:19" ht="13.95" customHeight="1">
      <c r="M15734"/>
      <c r="N15734"/>
      <c r="O15734"/>
      <c r="P15734"/>
      <c r="Q15734"/>
      <c r="R15734"/>
      <c r="S15734"/>
    </row>
    <row r="15735" spans="13:19" ht="13.95" customHeight="1">
      <c r="M15735"/>
      <c r="N15735"/>
      <c r="O15735"/>
      <c r="P15735"/>
      <c r="Q15735"/>
      <c r="R15735"/>
      <c r="S15735"/>
    </row>
    <row r="15736" spans="13:19" ht="13.95" customHeight="1">
      <c r="M15736"/>
      <c r="N15736"/>
      <c r="O15736"/>
      <c r="P15736"/>
      <c r="Q15736"/>
      <c r="R15736"/>
      <c r="S15736"/>
    </row>
    <row r="15737" spans="13:19" ht="13.95" customHeight="1">
      <c r="M15737"/>
      <c r="N15737"/>
      <c r="O15737"/>
      <c r="P15737"/>
      <c r="Q15737"/>
      <c r="R15737"/>
      <c r="S15737"/>
    </row>
    <row r="15738" spans="13:19" ht="13.95" customHeight="1">
      <c r="M15738"/>
      <c r="N15738"/>
      <c r="O15738"/>
      <c r="P15738"/>
      <c r="Q15738"/>
      <c r="R15738"/>
      <c r="S15738"/>
    </row>
    <row r="15739" spans="13:19" ht="13.95" customHeight="1">
      <c r="M15739"/>
      <c r="N15739"/>
      <c r="O15739"/>
      <c r="P15739"/>
      <c r="Q15739"/>
      <c r="R15739"/>
      <c r="S15739"/>
    </row>
    <row r="15740" spans="13:19" ht="13.95" customHeight="1">
      <c r="M15740"/>
      <c r="N15740"/>
      <c r="O15740"/>
      <c r="P15740"/>
      <c r="Q15740"/>
      <c r="R15740"/>
      <c r="S15740"/>
    </row>
    <row r="15741" spans="13:19" ht="13.95" customHeight="1">
      <c r="M15741"/>
      <c r="N15741"/>
      <c r="O15741"/>
      <c r="P15741"/>
      <c r="Q15741"/>
      <c r="R15741"/>
      <c r="S15741"/>
    </row>
    <row r="15742" spans="13:19" ht="13.95" customHeight="1">
      <c r="M15742"/>
      <c r="N15742"/>
      <c r="O15742"/>
      <c r="P15742"/>
      <c r="Q15742"/>
      <c r="R15742"/>
      <c r="S15742"/>
    </row>
    <row r="15743" spans="13:19" ht="13.95" customHeight="1">
      <c r="M15743"/>
      <c r="N15743"/>
      <c r="O15743"/>
      <c r="P15743"/>
      <c r="Q15743"/>
      <c r="R15743"/>
      <c r="S15743"/>
    </row>
    <row r="15744" spans="13:19" ht="13.95" customHeight="1">
      <c r="M15744"/>
      <c r="N15744"/>
      <c r="O15744"/>
      <c r="P15744"/>
      <c r="Q15744"/>
      <c r="R15744"/>
      <c r="S15744"/>
    </row>
    <row r="15745" spans="13:19" ht="13.95" customHeight="1">
      <c r="M15745"/>
      <c r="N15745"/>
      <c r="O15745"/>
      <c r="P15745"/>
      <c r="Q15745"/>
      <c r="R15745"/>
      <c r="S15745"/>
    </row>
    <row r="15746" spans="13:19" ht="13.95" customHeight="1">
      <c r="M15746"/>
      <c r="N15746"/>
      <c r="O15746"/>
      <c r="P15746"/>
      <c r="Q15746"/>
      <c r="R15746"/>
      <c r="S15746"/>
    </row>
    <row r="15747" spans="13:19" ht="13.95" customHeight="1">
      <c r="M15747"/>
      <c r="N15747"/>
      <c r="O15747"/>
      <c r="P15747"/>
      <c r="Q15747"/>
      <c r="R15747"/>
      <c r="S15747"/>
    </row>
    <row r="15748" spans="13:19" ht="13.95" customHeight="1">
      <c r="M15748"/>
      <c r="N15748"/>
      <c r="O15748"/>
      <c r="P15748"/>
      <c r="Q15748"/>
      <c r="R15748"/>
      <c r="S15748"/>
    </row>
    <row r="15749" spans="13:19" ht="13.95" customHeight="1">
      <c r="M15749"/>
      <c r="N15749"/>
      <c r="O15749"/>
      <c r="P15749"/>
      <c r="Q15749"/>
      <c r="R15749"/>
      <c r="S15749"/>
    </row>
    <row r="15750" spans="13:19" ht="13.95" customHeight="1">
      <c r="M15750"/>
      <c r="N15750"/>
      <c r="O15750"/>
      <c r="P15750"/>
      <c r="Q15750"/>
      <c r="R15750"/>
      <c r="S15750"/>
    </row>
    <row r="15751" spans="13:19" ht="13.95" customHeight="1">
      <c r="M15751"/>
      <c r="N15751"/>
      <c r="O15751"/>
      <c r="P15751"/>
      <c r="Q15751"/>
      <c r="R15751"/>
      <c r="S15751"/>
    </row>
    <row r="15752" spans="13:19" ht="13.95" customHeight="1">
      <c r="M15752"/>
      <c r="N15752"/>
      <c r="O15752"/>
      <c r="P15752"/>
      <c r="Q15752"/>
      <c r="R15752"/>
      <c r="S15752"/>
    </row>
    <row r="15753" spans="13:19" ht="13.95" customHeight="1">
      <c r="M15753"/>
      <c r="N15753"/>
      <c r="O15753"/>
      <c r="P15753"/>
      <c r="Q15753"/>
      <c r="R15753"/>
      <c r="S15753"/>
    </row>
    <row r="15754" spans="13:19" ht="13.95" customHeight="1">
      <c r="M15754"/>
      <c r="N15754"/>
      <c r="O15754"/>
      <c r="P15754"/>
      <c r="Q15754"/>
      <c r="R15754"/>
      <c r="S15754"/>
    </row>
    <row r="15755" spans="13:19" ht="13.95" customHeight="1">
      <c r="M15755"/>
      <c r="N15755"/>
      <c r="O15755"/>
      <c r="P15755"/>
      <c r="Q15755"/>
      <c r="R15755"/>
      <c r="S15755"/>
    </row>
    <row r="15756" spans="13:19" ht="13.95" customHeight="1">
      <c r="M15756"/>
      <c r="N15756"/>
      <c r="O15756"/>
      <c r="P15756"/>
      <c r="Q15756"/>
      <c r="R15756"/>
      <c r="S15756"/>
    </row>
    <row r="15757" spans="13:19" ht="13.95" customHeight="1">
      <c r="M15757"/>
      <c r="N15757"/>
      <c r="O15757"/>
      <c r="P15757"/>
      <c r="Q15757"/>
      <c r="R15757"/>
      <c r="S15757"/>
    </row>
    <row r="15758" spans="13:19" ht="13.95" customHeight="1">
      <c r="M15758"/>
      <c r="N15758"/>
      <c r="O15758"/>
      <c r="P15758"/>
      <c r="Q15758"/>
      <c r="R15758"/>
      <c r="S15758"/>
    </row>
    <row r="15759" spans="13:19" ht="13.95" customHeight="1">
      <c r="M15759"/>
      <c r="N15759"/>
      <c r="O15759"/>
      <c r="P15759"/>
      <c r="Q15759"/>
      <c r="R15759"/>
      <c r="S15759"/>
    </row>
    <row r="15760" spans="13:19" ht="13.95" customHeight="1">
      <c r="M15760"/>
      <c r="N15760"/>
      <c r="O15760"/>
      <c r="P15760"/>
      <c r="Q15760"/>
      <c r="R15760"/>
      <c r="S15760"/>
    </row>
    <row r="15761" spans="13:19" ht="13.95" customHeight="1">
      <c r="M15761"/>
      <c r="N15761"/>
      <c r="O15761"/>
      <c r="P15761"/>
      <c r="Q15761"/>
      <c r="R15761"/>
      <c r="S15761"/>
    </row>
    <row r="15762" spans="13:19" ht="13.95" customHeight="1">
      <c r="M15762"/>
      <c r="N15762"/>
      <c r="O15762"/>
      <c r="P15762"/>
      <c r="Q15762"/>
      <c r="R15762"/>
      <c r="S15762"/>
    </row>
    <row r="15763" spans="13:19" ht="13.95" customHeight="1">
      <c r="M15763"/>
      <c r="N15763"/>
      <c r="O15763"/>
      <c r="P15763"/>
      <c r="Q15763"/>
      <c r="R15763"/>
      <c r="S15763"/>
    </row>
    <row r="15764" spans="13:19" ht="13.95" customHeight="1">
      <c r="M15764"/>
      <c r="N15764"/>
      <c r="O15764"/>
      <c r="P15764"/>
      <c r="Q15764"/>
      <c r="R15764"/>
      <c r="S15764"/>
    </row>
    <row r="15765" spans="13:19" ht="13.95" customHeight="1">
      <c r="M15765"/>
      <c r="N15765"/>
      <c r="O15765"/>
      <c r="P15765"/>
      <c r="Q15765"/>
      <c r="R15765"/>
      <c r="S15765"/>
    </row>
    <row r="15766" spans="13:19" ht="13.95" customHeight="1">
      <c r="M15766"/>
      <c r="N15766"/>
      <c r="O15766"/>
      <c r="P15766"/>
      <c r="Q15766"/>
      <c r="R15766"/>
      <c r="S15766"/>
    </row>
    <row r="15767" spans="13:19" ht="13.95" customHeight="1">
      <c r="M15767"/>
      <c r="N15767"/>
      <c r="O15767"/>
      <c r="P15767"/>
      <c r="Q15767"/>
      <c r="R15767"/>
      <c r="S15767"/>
    </row>
    <row r="15768" spans="13:19" ht="13.95" customHeight="1">
      <c r="M15768"/>
      <c r="N15768"/>
      <c r="O15768"/>
      <c r="P15768"/>
      <c r="Q15768"/>
      <c r="R15768"/>
      <c r="S15768"/>
    </row>
    <row r="15769" spans="13:19" ht="13.95" customHeight="1">
      <c r="M15769"/>
      <c r="N15769"/>
      <c r="O15769"/>
      <c r="P15769"/>
      <c r="Q15769"/>
      <c r="R15769"/>
      <c r="S15769"/>
    </row>
    <row r="15770" spans="13:19" ht="13.95" customHeight="1">
      <c r="M15770"/>
      <c r="N15770"/>
      <c r="O15770"/>
      <c r="P15770"/>
      <c r="Q15770"/>
      <c r="R15770"/>
      <c r="S15770"/>
    </row>
    <row r="15771" spans="13:19" ht="13.95" customHeight="1">
      <c r="M15771"/>
      <c r="N15771"/>
      <c r="O15771"/>
      <c r="P15771"/>
      <c r="Q15771"/>
      <c r="R15771"/>
      <c r="S15771"/>
    </row>
    <row r="15772" spans="13:19" ht="13.95" customHeight="1">
      <c r="M15772"/>
      <c r="N15772"/>
      <c r="O15772"/>
      <c r="P15772"/>
      <c r="Q15772"/>
      <c r="R15772"/>
      <c r="S15772"/>
    </row>
    <row r="15773" spans="13:19" ht="13.95" customHeight="1">
      <c r="M15773"/>
      <c r="N15773"/>
      <c r="O15773"/>
      <c r="P15773"/>
      <c r="Q15773"/>
      <c r="R15773"/>
      <c r="S15773"/>
    </row>
    <row r="15774" spans="13:19" ht="13.95" customHeight="1">
      <c r="M15774"/>
      <c r="N15774"/>
      <c r="O15774"/>
      <c r="P15774"/>
      <c r="Q15774"/>
      <c r="R15774"/>
      <c r="S15774"/>
    </row>
    <row r="15775" spans="13:19" ht="13.95" customHeight="1">
      <c r="M15775"/>
      <c r="N15775"/>
      <c r="O15775"/>
      <c r="P15775"/>
      <c r="Q15775"/>
      <c r="R15775"/>
      <c r="S15775"/>
    </row>
    <row r="15776" spans="13:19" ht="13.95" customHeight="1">
      <c r="M15776"/>
      <c r="N15776"/>
      <c r="O15776"/>
      <c r="P15776"/>
      <c r="Q15776"/>
      <c r="R15776"/>
      <c r="S15776"/>
    </row>
    <row r="15777" spans="13:19" ht="13.95" customHeight="1">
      <c r="M15777"/>
      <c r="N15777"/>
      <c r="O15777"/>
      <c r="P15777"/>
      <c r="Q15777"/>
      <c r="R15777"/>
      <c r="S15777"/>
    </row>
    <row r="15778" spans="13:19" ht="13.95" customHeight="1">
      <c r="M15778"/>
      <c r="N15778"/>
      <c r="O15778"/>
      <c r="P15778"/>
      <c r="Q15778"/>
      <c r="R15778"/>
      <c r="S15778"/>
    </row>
    <row r="15779" spans="13:19" ht="13.95" customHeight="1">
      <c r="M15779"/>
      <c r="N15779"/>
      <c r="O15779"/>
      <c r="P15779"/>
      <c r="Q15779"/>
      <c r="R15779"/>
      <c r="S15779"/>
    </row>
    <row r="15780" spans="13:19" ht="13.95" customHeight="1">
      <c r="M15780"/>
      <c r="N15780"/>
      <c r="O15780"/>
      <c r="P15780"/>
      <c r="Q15780"/>
      <c r="R15780"/>
      <c r="S15780"/>
    </row>
    <row r="15781" spans="13:19" ht="13.95" customHeight="1">
      <c r="M15781"/>
      <c r="N15781"/>
      <c r="O15781"/>
      <c r="P15781"/>
      <c r="Q15781"/>
      <c r="R15781"/>
      <c r="S15781"/>
    </row>
    <row r="15782" spans="13:19" ht="13.95" customHeight="1">
      <c r="M15782"/>
      <c r="N15782"/>
      <c r="O15782"/>
      <c r="P15782"/>
      <c r="Q15782"/>
      <c r="R15782"/>
      <c r="S15782"/>
    </row>
    <row r="15783" spans="13:19" ht="13.95" customHeight="1">
      <c r="M15783"/>
      <c r="N15783"/>
      <c r="O15783"/>
      <c r="P15783"/>
      <c r="Q15783"/>
      <c r="R15783"/>
      <c r="S15783"/>
    </row>
    <row r="15784" spans="13:19" ht="13.95" customHeight="1">
      <c r="M15784"/>
      <c r="N15784"/>
      <c r="O15784"/>
      <c r="P15784"/>
      <c r="Q15784"/>
      <c r="R15784"/>
      <c r="S15784"/>
    </row>
    <row r="15785" spans="13:19" ht="13.95" customHeight="1">
      <c r="M15785"/>
      <c r="N15785"/>
      <c r="O15785"/>
      <c r="P15785"/>
      <c r="Q15785"/>
      <c r="R15785"/>
      <c r="S15785"/>
    </row>
    <row r="15786" spans="13:19" ht="13.95" customHeight="1">
      <c r="M15786"/>
      <c r="N15786"/>
      <c r="O15786"/>
      <c r="P15786"/>
      <c r="Q15786"/>
      <c r="R15786"/>
      <c r="S15786"/>
    </row>
    <row r="15787" spans="13:19" ht="13.95" customHeight="1">
      <c r="M15787"/>
      <c r="N15787"/>
      <c r="O15787"/>
      <c r="P15787"/>
      <c r="Q15787"/>
      <c r="R15787"/>
      <c r="S15787"/>
    </row>
    <row r="15788" spans="13:19" ht="13.95" customHeight="1">
      <c r="M15788"/>
      <c r="N15788"/>
      <c r="O15788"/>
      <c r="P15788"/>
      <c r="Q15788"/>
      <c r="R15788"/>
      <c r="S15788"/>
    </row>
    <row r="15789" spans="13:19" ht="13.95" customHeight="1">
      <c r="M15789"/>
      <c r="N15789"/>
      <c r="O15789"/>
      <c r="P15789"/>
      <c r="Q15789"/>
      <c r="R15789"/>
      <c r="S15789"/>
    </row>
    <row r="15790" spans="13:19" ht="13.95" customHeight="1">
      <c r="M15790"/>
      <c r="N15790"/>
      <c r="O15790"/>
      <c r="P15790"/>
      <c r="Q15790"/>
      <c r="R15790"/>
      <c r="S15790"/>
    </row>
    <row r="15791" spans="13:19" ht="13.95" customHeight="1">
      <c r="M15791"/>
      <c r="N15791"/>
      <c r="O15791"/>
      <c r="P15791"/>
      <c r="Q15791"/>
      <c r="R15791"/>
      <c r="S15791"/>
    </row>
    <row r="15792" spans="13:19" ht="13.95" customHeight="1">
      <c r="M15792"/>
      <c r="N15792"/>
      <c r="O15792"/>
      <c r="P15792"/>
      <c r="Q15792"/>
      <c r="R15792"/>
      <c r="S15792"/>
    </row>
    <row r="15793" spans="13:19" ht="13.95" customHeight="1">
      <c r="M15793"/>
      <c r="N15793"/>
      <c r="O15793"/>
      <c r="P15793"/>
      <c r="Q15793"/>
      <c r="R15793"/>
      <c r="S15793"/>
    </row>
    <row r="15794" spans="13:19" ht="13.95" customHeight="1">
      <c r="M15794"/>
      <c r="N15794"/>
      <c r="O15794"/>
      <c r="P15794"/>
      <c r="Q15794"/>
      <c r="R15794"/>
      <c r="S15794"/>
    </row>
    <row r="15795" spans="13:19" ht="13.95" customHeight="1">
      <c r="M15795"/>
      <c r="N15795"/>
      <c r="O15795"/>
      <c r="P15795"/>
      <c r="Q15795"/>
      <c r="R15795"/>
      <c r="S15795"/>
    </row>
    <row r="15796" spans="13:19" ht="13.95" customHeight="1">
      <c r="M15796"/>
      <c r="N15796"/>
      <c r="O15796"/>
      <c r="P15796"/>
      <c r="Q15796"/>
      <c r="R15796"/>
      <c r="S15796"/>
    </row>
    <row r="15797" spans="13:19" ht="13.95" customHeight="1">
      <c r="M15797"/>
      <c r="N15797"/>
      <c r="O15797"/>
      <c r="P15797"/>
      <c r="Q15797"/>
      <c r="R15797"/>
      <c r="S15797"/>
    </row>
    <row r="15798" spans="13:19" ht="13.95" customHeight="1">
      <c r="M15798"/>
      <c r="N15798"/>
      <c r="O15798"/>
      <c r="P15798"/>
      <c r="Q15798"/>
      <c r="R15798"/>
      <c r="S15798"/>
    </row>
    <row r="15799" spans="13:19" ht="13.95" customHeight="1">
      <c r="M15799"/>
      <c r="N15799"/>
      <c r="O15799"/>
      <c r="P15799"/>
      <c r="Q15799"/>
      <c r="R15799"/>
      <c r="S15799"/>
    </row>
    <row r="15800" spans="13:19" ht="13.95" customHeight="1">
      <c r="M15800"/>
      <c r="N15800"/>
      <c r="O15800"/>
      <c r="P15800"/>
      <c r="Q15800"/>
      <c r="R15800"/>
      <c r="S15800"/>
    </row>
    <row r="15801" spans="13:19" ht="13.95" customHeight="1">
      <c r="M15801"/>
      <c r="N15801"/>
      <c r="O15801"/>
      <c r="P15801"/>
      <c r="Q15801"/>
      <c r="R15801"/>
      <c r="S15801"/>
    </row>
    <row r="15802" spans="13:19" ht="13.95" customHeight="1">
      <c r="M15802"/>
      <c r="N15802"/>
      <c r="O15802"/>
      <c r="P15802"/>
      <c r="Q15802"/>
      <c r="R15802"/>
      <c r="S15802"/>
    </row>
    <row r="15803" spans="13:19" ht="13.95" customHeight="1">
      <c r="M15803"/>
      <c r="N15803"/>
      <c r="O15803"/>
      <c r="P15803"/>
      <c r="Q15803"/>
      <c r="R15803"/>
      <c r="S15803"/>
    </row>
    <row r="15804" spans="13:19" ht="13.95" customHeight="1">
      <c r="M15804"/>
      <c r="N15804"/>
      <c r="O15804"/>
      <c r="P15804"/>
      <c r="Q15804"/>
      <c r="R15804"/>
      <c r="S15804"/>
    </row>
    <row r="15805" spans="13:19" ht="13.95" customHeight="1">
      <c r="M15805"/>
      <c r="N15805"/>
      <c r="O15805"/>
      <c r="P15805"/>
      <c r="Q15805"/>
      <c r="R15805"/>
      <c r="S15805"/>
    </row>
    <row r="15806" spans="13:19" ht="13.95" customHeight="1">
      <c r="M15806"/>
      <c r="N15806"/>
      <c r="O15806"/>
      <c r="P15806"/>
      <c r="Q15806"/>
      <c r="R15806"/>
      <c r="S15806"/>
    </row>
    <row r="15807" spans="13:19" ht="13.95" customHeight="1">
      <c r="M15807"/>
      <c r="N15807"/>
      <c r="O15807"/>
      <c r="P15807"/>
      <c r="Q15807"/>
      <c r="R15807"/>
      <c r="S15807"/>
    </row>
    <row r="15808" spans="13:19" ht="13.95" customHeight="1">
      <c r="M15808"/>
      <c r="N15808"/>
      <c r="O15808"/>
      <c r="P15808"/>
      <c r="Q15808"/>
      <c r="R15808"/>
      <c r="S15808"/>
    </row>
    <row r="15809" spans="13:19" ht="13.95" customHeight="1">
      <c r="M15809"/>
      <c r="N15809"/>
      <c r="O15809"/>
      <c r="P15809"/>
      <c r="Q15809"/>
      <c r="R15809"/>
      <c r="S15809"/>
    </row>
    <row r="15810" spans="13:19" ht="13.95" customHeight="1">
      <c r="M15810"/>
      <c r="N15810"/>
      <c r="O15810"/>
      <c r="P15810"/>
      <c r="Q15810"/>
      <c r="R15810"/>
      <c r="S15810"/>
    </row>
    <row r="15811" spans="13:19" ht="13.95" customHeight="1">
      <c r="M15811"/>
      <c r="N15811"/>
      <c r="O15811"/>
      <c r="P15811"/>
      <c r="Q15811"/>
      <c r="R15811"/>
      <c r="S15811"/>
    </row>
    <row r="15812" spans="13:19" ht="13.95" customHeight="1">
      <c r="M15812"/>
      <c r="N15812"/>
      <c r="O15812"/>
      <c r="P15812"/>
      <c r="Q15812"/>
      <c r="R15812"/>
      <c r="S15812"/>
    </row>
    <row r="15813" spans="13:19" ht="13.95" customHeight="1">
      <c r="M15813"/>
      <c r="N15813"/>
      <c r="O15813"/>
      <c r="P15813"/>
      <c r="Q15813"/>
      <c r="R15813"/>
      <c r="S15813"/>
    </row>
    <row r="15814" spans="13:19" ht="13.95" customHeight="1">
      <c r="M15814"/>
      <c r="N15814"/>
      <c r="O15814"/>
      <c r="P15814"/>
      <c r="Q15814"/>
      <c r="R15814"/>
      <c r="S15814"/>
    </row>
    <row r="15815" spans="13:19" ht="13.95" customHeight="1">
      <c r="M15815"/>
      <c r="N15815"/>
      <c r="O15815"/>
      <c r="P15815"/>
      <c r="Q15815"/>
      <c r="R15815"/>
      <c r="S15815"/>
    </row>
    <row r="15816" spans="13:19" ht="13.95" customHeight="1">
      <c r="M15816"/>
      <c r="N15816"/>
      <c r="O15816"/>
      <c r="P15816"/>
      <c r="Q15816"/>
      <c r="R15816"/>
      <c r="S15816"/>
    </row>
    <row r="15817" spans="13:19" ht="13.95" customHeight="1">
      <c r="M15817"/>
      <c r="N15817"/>
      <c r="O15817"/>
      <c r="P15817"/>
      <c r="Q15817"/>
      <c r="R15817"/>
      <c r="S15817"/>
    </row>
    <row r="15818" spans="13:19" ht="13.95" customHeight="1">
      <c r="M15818"/>
      <c r="N15818"/>
      <c r="O15818"/>
      <c r="P15818"/>
      <c r="Q15818"/>
      <c r="R15818"/>
      <c r="S15818"/>
    </row>
    <row r="15819" spans="13:19" ht="13.95" customHeight="1">
      <c r="M15819"/>
      <c r="N15819"/>
      <c r="O15819"/>
      <c r="P15819"/>
      <c r="Q15819"/>
      <c r="R15819"/>
      <c r="S15819"/>
    </row>
    <row r="15820" spans="13:19" ht="13.95" customHeight="1">
      <c r="M15820"/>
      <c r="N15820"/>
      <c r="O15820"/>
      <c r="P15820"/>
      <c r="Q15820"/>
      <c r="R15820"/>
      <c r="S15820"/>
    </row>
    <row r="15821" spans="13:19" ht="13.95" customHeight="1">
      <c r="M15821"/>
      <c r="N15821"/>
      <c r="O15821"/>
      <c r="P15821"/>
      <c r="Q15821"/>
      <c r="R15821"/>
      <c r="S15821"/>
    </row>
    <row r="15822" spans="13:19" ht="13.95" customHeight="1">
      <c r="M15822"/>
      <c r="N15822"/>
      <c r="O15822"/>
      <c r="P15822"/>
      <c r="Q15822"/>
      <c r="R15822"/>
      <c r="S15822"/>
    </row>
    <row r="15823" spans="13:19" ht="13.95" customHeight="1">
      <c r="M15823"/>
      <c r="N15823"/>
      <c r="O15823"/>
      <c r="P15823"/>
      <c r="Q15823"/>
      <c r="R15823"/>
      <c r="S15823"/>
    </row>
    <row r="15824" spans="13:19" ht="13.95" customHeight="1">
      <c r="M15824"/>
      <c r="N15824"/>
      <c r="O15824"/>
      <c r="P15824"/>
      <c r="Q15824"/>
      <c r="R15824"/>
      <c r="S15824"/>
    </row>
    <row r="15825" spans="13:19" ht="13.95" customHeight="1">
      <c r="M15825"/>
      <c r="N15825"/>
      <c r="O15825"/>
      <c r="P15825"/>
      <c r="Q15825"/>
      <c r="R15825"/>
      <c r="S15825"/>
    </row>
    <row r="15826" spans="13:19" ht="13.95" customHeight="1">
      <c r="M15826"/>
      <c r="N15826"/>
      <c r="O15826"/>
      <c r="P15826"/>
      <c r="Q15826"/>
      <c r="R15826"/>
      <c r="S15826"/>
    </row>
    <row r="15827" spans="13:19" ht="13.95" customHeight="1">
      <c r="M15827"/>
      <c r="N15827"/>
      <c r="O15827"/>
      <c r="P15827"/>
      <c r="Q15827"/>
      <c r="R15827"/>
      <c r="S15827"/>
    </row>
    <row r="15828" spans="13:19" ht="13.95" customHeight="1">
      <c r="M15828"/>
      <c r="N15828"/>
      <c r="O15828"/>
      <c r="P15828"/>
      <c r="Q15828"/>
      <c r="R15828"/>
      <c r="S15828"/>
    </row>
    <row r="15829" spans="13:19" ht="13.95" customHeight="1">
      <c r="M15829"/>
      <c r="N15829"/>
      <c r="O15829"/>
      <c r="P15829"/>
      <c r="Q15829"/>
      <c r="R15829"/>
      <c r="S15829"/>
    </row>
    <row r="15830" spans="13:19" ht="13.95" customHeight="1">
      <c r="M15830"/>
      <c r="N15830"/>
      <c r="O15830"/>
      <c r="P15830"/>
      <c r="Q15830"/>
      <c r="R15830"/>
      <c r="S15830"/>
    </row>
    <row r="15831" spans="13:19" ht="13.95" customHeight="1">
      <c r="M15831"/>
      <c r="N15831"/>
      <c r="O15831"/>
      <c r="P15831"/>
      <c r="Q15831"/>
      <c r="R15831"/>
      <c r="S15831"/>
    </row>
    <row r="15832" spans="13:19" ht="13.95" customHeight="1">
      <c r="M15832"/>
      <c r="N15832"/>
      <c r="O15832"/>
      <c r="P15832"/>
      <c r="Q15832"/>
      <c r="R15832"/>
      <c r="S15832"/>
    </row>
    <row r="15833" spans="13:19" ht="13.95" customHeight="1">
      <c r="M15833"/>
      <c r="N15833"/>
      <c r="O15833"/>
      <c r="P15833"/>
      <c r="Q15833"/>
      <c r="R15833"/>
      <c r="S15833"/>
    </row>
    <row r="15834" spans="13:19" ht="13.95" customHeight="1">
      <c r="M15834"/>
      <c r="N15834"/>
      <c r="O15834"/>
      <c r="P15834"/>
      <c r="Q15834"/>
      <c r="R15834"/>
      <c r="S15834"/>
    </row>
    <row r="15835" spans="13:19" ht="13.95" customHeight="1">
      <c r="M15835"/>
      <c r="N15835"/>
      <c r="O15835"/>
      <c r="P15835"/>
      <c r="Q15835"/>
      <c r="R15835"/>
      <c r="S15835"/>
    </row>
    <row r="15836" spans="13:19" ht="13.95" customHeight="1">
      <c r="M15836"/>
      <c r="N15836"/>
      <c r="O15836"/>
      <c r="P15836"/>
      <c r="Q15836"/>
      <c r="R15836"/>
      <c r="S15836"/>
    </row>
    <row r="15837" spans="13:19" ht="13.95" customHeight="1">
      <c r="M15837"/>
      <c r="N15837"/>
      <c r="O15837"/>
      <c r="P15837"/>
      <c r="Q15837"/>
      <c r="R15837"/>
      <c r="S15837"/>
    </row>
    <row r="15838" spans="13:19" ht="13.95" customHeight="1">
      <c r="M15838"/>
      <c r="N15838"/>
      <c r="O15838"/>
      <c r="P15838"/>
      <c r="Q15838"/>
      <c r="R15838"/>
      <c r="S15838"/>
    </row>
    <row r="15839" spans="13:19" ht="13.95" customHeight="1">
      <c r="M15839"/>
      <c r="N15839"/>
      <c r="O15839"/>
      <c r="P15839"/>
      <c r="Q15839"/>
      <c r="R15839"/>
      <c r="S15839"/>
    </row>
    <row r="15840" spans="13:19" ht="13.95" customHeight="1">
      <c r="M15840"/>
      <c r="N15840"/>
      <c r="O15840"/>
      <c r="P15840"/>
      <c r="Q15840"/>
      <c r="R15840"/>
      <c r="S15840"/>
    </row>
    <row r="15841" spans="13:19" ht="13.95" customHeight="1">
      <c r="M15841"/>
      <c r="N15841"/>
      <c r="O15841"/>
      <c r="P15841"/>
      <c r="Q15841"/>
      <c r="R15841"/>
      <c r="S15841"/>
    </row>
    <row r="15842" spans="13:19" ht="13.95" customHeight="1">
      <c r="M15842"/>
      <c r="N15842"/>
      <c r="O15842"/>
      <c r="P15842"/>
      <c r="Q15842"/>
      <c r="R15842"/>
      <c r="S15842"/>
    </row>
    <row r="15843" spans="13:19" ht="13.95" customHeight="1">
      <c r="M15843"/>
      <c r="N15843"/>
      <c r="O15843"/>
      <c r="P15843"/>
      <c r="Q15843"/>
      <c r="R15843"/>
      <c r="S15843"/>
    </row>
    <row r="15844" spans="13:19" ht="13.95" customHeight="1">
      <c r="M15844"/>
      <c r="N15844"/>
      <c r="O15844"/>
      <c r="P15844"/>
      <c r="Q15844"/>
      <c r="R15844"/>
      <c r="S15844"/>
    </row>
    <row r="15845" spans="13:19" ht="13.95" customHeight="1">
      <c r="M15845"/>
      <c r="N15845"/>
      <c r="O15845"/>
      <c r="P15845"/>
      <c r="Q15845"/>
      <c r="R15845"/>
      <c r="S15845"/>
    </row>
    <row r="15846" spans="13:19" ht="13.95" customHeight="1">
      <c r="M15846"/>
      <c r="N15846"/>
      <c r="O15846"/>
      <c r="P15846"/>
      <c r="Q15846"/>
      <c r="R15846"/>
      <c r="S15846"/>
    </row>
    <row r="15847" spans="13:19" ht="13.95" customHeight="1">
      <c r="M15847"/>
      <c r="N15847"/>
      <c r="O15847"/>
      <c r="P15847"/>
      <c r="Q15847"/>
      <c r="R15847"/>
      <c r="S15847"/>
    </row>
    <row r="15848" spans="13:19" ht="13.95" customHeight="1">
      <c r="M15848"/>
      <c r="N15848"/>
      <c r="O15848"/>
      <c r="P15848"/>
      <c r="Q15848"/>
      <c r="R15848"/>
      <c r="S15848"/>
    </row>
    <row r="15849" spans="13:19" ht="13.95" customHeight="1">
      <c r="M15849"/>
      <c r="N15849"/>
      <c r="O15849"/>
      <c r="P15849"/>
      <c r="Q15849"/>
      <c r="R15849"/>
      <c r="S15849"/>
    </row>
    <row r="15850" spans="13:19" ht="13.95" customHeight="1">
      <c r="M15850"/>
      <c r="N15850"/>
      <c r="O15850"/>
      <c r="P15850"/>
      <c r="Q15850"/>
      <c r="R15850"/>
      <c r="S15850"/>
    </row>
    <row r="15851" spans="13:19" ht="13.95" customHeight="1">
      <c r="M15851"/>
      <c r="N15851"/>
      <c r="O15851"/>
      <c r="P15851"/>
      <c r="Q15851"/>
      <c r="R15851"/>
      <c r="S15851"/>
    </row>
    <row r="15852" spans="13:19" ht="13.95" customHeight="1">
      <c r="M15852"/>
      <c r="N15852"/>
      <c r="O15852"/>
      <c r="P15852"/>
      <c r="Q15852"/>
      <c r="R15852"/>
      <c r="S15852"/>
    </row>
    <row r="15853" spans="13:19" ht="13.95" customHeight="1">
      <c r="M15853"/>
      <c r="N15853"/>
      <c r="O15853"/>
      <c r="P15853"/>
      <c r="Q15853"/>
      <c r="R15853"/>
      <c r="S15853"/>
    </row>
    <row r="15854" spans="13:19" ht="13.95" customHeight="1">
      <c r="M15854"/>
      <c r="N15854"/>
      <c r="O15854"/>
      <c r="P15854"/>
      <c r="Q15854"/>
      <c r="R15854"/>
      <c r="S15854"/>
    </row>
    <row r="15855" spans="13:19" ht="13.95" customHeight="1">
      <c r="M15855"/>
      <c r="N15855"/>
      <c r="O15855"/>
      <c r="P15855"/>
      <c r="Q15855"/>
      <c r="R15855"/>
      <c r="S15855"/>
    </row>
    <row r="15856" spans="13:19" ht="13.95" customHeight="1">
      <c r="M15856"/>
      <c r="N15856"/>
      <c r="O15856"/>
      <c r="P15856"/>
      <c r="Q15856"/>
      <c r="R15856"/>
      <c r="S15856"/>
    </row>
    <row r="15857" spans="13:19" ht="13.95" customHeight="1">
      <c r="M15857"/>
      <c r="N15857"/>
      <c r="O15857"/>
      <c r="P15857"/>
      <c r="Q15857"/>
      <c r="R15857"/>
      <c r="S15857"/>
    </row>
    <row r="15858" spans="13:19" ht="13.95" customHeight="1">
      <c r="M15858"/>
      <c r="N15858"/>
      <c r="O15858"/>
      <c r="P15858"/>
      <c r="Q15858"/>
      <c r="R15858"/>
      <c r="S15858"/>
    </row>
    <row r="15859" spans="13:19" ht="13.95" customHeight="1">
      <c r="M15859"/>
      <c r="N15859"/>
      <c r="O15859"/>
      <c r="P15859"/>
      <c r="Q15859"/>
      <c r="R15859"/>
      <c r="S15859"/>
    </row>
    <row r="15860" spans="13:19" ht="13.95" customHeight="1">
      <c r="M15860"/>
      <c r="N15860"/>
      <c r="O15860"/>
      <c r="P15860"/>
      <c r="Q15860"/>
      <c r="R15860"/>
      <c r="S15860"/>
    </row>
    <row r="15861" spans="13:19" ht="13.95" customHeight="1">
      <c r="M15861"/>
      <c r="N15861"/>
      <c r="O15861"/>
      <c r="P15861"/>
      <c r="Q15861"/>
      <c r="R15861"/>
      <c r="S15861"/>
    </row>
    <row r="15862" spans="13:19" ht="13.95" customHeight="1">
      <c r="M15862"/>
      <c r="N15862"/>
      <c r="O15862"/>
      <c r="P15862"/>
      <c r="Q15862"/>
      <c r="R15862"/>
      <c r="S15862"/>
    </row>
    <row r="15863" spans="13:19" ht="13.95" customHeight="1">
      <c r="M15863"/>
      <c r="N15863"/>
      <c r="O15863"/>
      <c r="P15863"/>
      <c r="Q15863"/>
      <c r="R15863"/>
      <c r="S15863"/>
    </row>
    <row r="15864" spans="13:19" ht="13.95" customHeight="1">
      <c r="M15864"/>
      <c r="N15864"/>
      <c r="O15864"/>
      <c r="P15864"/>
      <c r="Q15864"/>
      <c r="R15864"/>
      <c r="S15864"/>
    </row>
    <row r="15865" spans="13:19" ht="13.95" customHeight="1">
      <c r="M15865"/>
      <c r="N15865"/>
      <c r="O15865"/>
      <c r="P15865"/>
      <c r="Q15865"/>
      <c r="R15865"/>
      <c r="S15865"/>
    </row>
    <row r="15866" spans="13:19" ht="13.95" customHeight="1">
      <c r="M15866"/>
      <c r="N15866"/>
      <c r="O15866"/>
      <c r="P15866"/>
      <c r="Q15866"/>
      <c r="R15866"/>
      <c r="S15866"/>
    </row>
    <row r="15867" spans="13:19" ht="13.95" customHeight="1">
      <c r="M15867"/>
      <c r="N15867"/>
      <c r="O15867"/>
      <c r="P15867"/>
      <c r="Q15867"/>
      <c r="R15867"/>
      <c r="S15867"/>
    </row>
    <row r="15868" spans="13:19" ht="13.95" customHeight="1">
      <c r="M15868"/>
      <c r="N15868"/>
      <c r="O15868"/>
      <c r="P15868"/>
      <c r="Q15868"/>
      <c r="R15868"/>
      <c r="S15868"/>
    </row>
    <row r="15869" spans="13:19" ht="13.95" customHeight="1">
      <c r="M15869"/>
      <c r="N15869"/>
      <c r="O15869"/>
      <c r="P15869"/>
      <c r="Q15869"/>
      <c r="R15869"/>
      <c r="S15869"/>
    </row>
    <row r="15870" spans="13:19" ht="13.95" customHeight="1">
      <c r="M15870"/>
      <c r="N15870"/>
      <c r="O15870"/>
      <c r="P15870"/>
      <c r="Q15870"/>
      <c r="R15870"/>
      <c r="S15870"/>
    </row>
    <row r="15871" spans="13:19" ht="13.95" customHeight="1">
      <c r="M15871"/>
      <c r="N15871"/>
      <c r="O15871"/>
      <c r="P15871"/>
      <c r="Q15871"/>
      <c r="R15871"/>
      <c r="S15871"/>
    </row>
    <row r="15872" spans="13:19" ht="13.95" customHeight="1">
      <c r="M15872"/>
      <c r="N15872"/>
      <c r="O15872"/>
      <c r="P15872"/>
      <c r="Q15872"/>
      <c r="R15872"/>
      <c r="S15872"/>
    </row>
    <row r="15873" spans="13:19" ht="13.95" customHeight="1">
      <c r="M15873"/>
      <c r="N15873"/>
      <c r="O15873"/>
      <c r="P15873"/>
      <c r="Q15873"/>
      <c r="R15873"/>
      <c r="S15873"/>
    </row>
    <row r="15874" spans="13:19" ht="13.95" customHeight="1">
      <c r="M15874"/>
      <c r="N15874"/>
      <c r="O15874"/>
      <c r="P15874"/>
      <c r="Q15874"/>
      <c r="R15874"/>
      <c r="S15874"/>
    </row>
    <row r="15875" spans="13:19" ht="13.95" customHeight="1">
      <c r="M15875"/>
      <c r="N15875"/>
      <c r="O15875"/>
      <c r="P15875"/>
      <c r="Q15875"/>
      <c r="R15875"/>
      <c r="S15875"/>
    </row>
    <row r="15876" spans="13:19" ht="13.95" customHeight="1">
      <c r="M15876"/>
      <c r="N15876"/>
      <c r="O15876"/>
      <c r="P15876"/>
      <c r="Q15876"/>
      <c r="R15876"/>
      <c r="S15876"/>
    </row>
    <row r="15877" spans="13:19" ht="13.95" customHeight="1">
      <c r="M15877"/>
      <c r="N15877"/>
      <c r="O15877"/>
      <c r="P15877"/>
      <c r="Q15877"/>
      <c r="R15877"/>
      <c r="S15877"/>
    </row>
    <row r="15878" spans="13:19" ht="13.95" customHeight="1">
      <c r="M15878"/>
      <c r="N15878"/>
      <c r="O15878"/>
      <c r="P15878"/>
      <c r="Q15878"/>
      <c r="R15878"/>
      <c r="S15878"/>
    </row>
    <row r="15879" spans="13:19" ht="13.95" customHeight="1">
      <c r="M15879"/>
      <c r="N15879"/>
      <c r="O15879"/>
      <c r="P15879"/>
      <c r="Q15879"/>
      <c r="R15879"/>
      <c r="S15879"/>
    </row>
    <row r="15880" spans="13:19" ht="13.95" customHeight="1">
      <c r="M15880"/>
      <c r="N15880"/>
      <c r="O15880"/>
      <c r="P15880"/>
      <c r="Q15880"/>
      <c r="R15880"/>
      <c r="S15880"/>
    </row>
    <row r="15881" spans="13:19" ht="13.95" customHeight="1">
      <c r="M15881"/>
      <c r="N15881"/>
      <c r="O15881"/>
      <c r="P15881"/>
      <c r="Q15881"/>
      <c r="R15881"/>
      <c r="S15881"/>
    </row>
    <row r="15882" spans="13:19" ht="13.95" customHeight="1">
      <c r="M15882"/>
      <c r="N15882"/>
      <c r="O15882"/>
      <c r="P15882"/>
      <c r="Q15882"/>
      <c r="R15882"/>
      <c r="S15882"/>
    </row>
    <row r="15883" spans="13:19" ht="13.95" customHeight="1">
      <c r="M15883"/>
      <c r="N15883"/>
      <c r="O15883"/>
      <c r="P15883"/>
      <c r="Q15883"/>
      <c r="R15883"/>
      <c r="S15883"/>
    </row>
    <row r="15884" spans="13:19" ht="13.95" customHeight="1">
      <c r="M15884"/>
      <c r="N15884"/>
      <c r="O15884"/>
      <c r="P15884"/>
      <c r="Q15884"/>
      <c r="R15884"/>
      <c r="S15884"/>
    </row>
    <row r="15885" spans="13:19" ht="13.95" customHeight="1">
      <c r="M15885"/>
      <c r="N15885"/>
      <c r="O15885"/>
      <c r="P15885"/>
      <c r="Q15885"/>
      <c r="R15885"/>
      <c r="S15885"/>
    </row>
    <row r="15886" spans="13:19" ht="13.95" customHeight="1">
      <c r="M15886"/>
      <c r="N15886"/>
      <c r="O15886"/>
      <c r="P15886"/>
      <c r="Q15886"/>
      <c r="R15886"/>
      <c r="S15886"/>
    </row>
    <row r="15887" spans="13:19" ht="13.95" customHeight="1">
      <c r="M15887"/>
      <c r="N15887"/>
      <c r="O15887"/>
      <c r="P15887"/>
      <c r="Q15887"/>
      <c r="R15887"/>
      <c r="S15887"/>
    </row>
    <row r="15888" spans="13:19" ht="13.95" customHeight="1">
      <c r="M15888"/>
      <c r="N15888"/>
      <c r="O15888"/>
      <c r="P15888"/>
      <c r="Q15888"/>
      <c r="R15888"/>
      <c r="S15888"/>
    </row>
    <row r="15889" spans="13:19" ht="13.95" customHeight="1">
      <c r="M15889"/>
      <c r="N15889"/>
      <c r="O15889"/>
      <c r="P15889"/>
      <c r="Q15889"/>
      <c r="R15889"/>
      <c r="S15889"/>
    </row>
    <row r="15890" spans="13:19" ht="13.95" customHeight="1">
      <c r="M15890"/>
      <c r="N15890"/>
      <c r="O15890"/>
      <c r="P15890"/>
      <c r="Q15890"/>
      <c r="R15890"/>
      <c r="S15890"/>
    </row>
    <row r="15891" spans="13:19" ht="13.95" customHeight="1">
      <c r="M15891"/>
      <c r="N15891"/>
      <c r="O15891"/>
      <c r="P15891"/>
      <c r="Q15891"/>
      <c r="R15891"/>
      <c r="S15891"/>
    </row>
    <row r="15892" spans="13:19" ht="13.95" customHeight="1">
      <c r="M15892"/>
      <c r="N15892"/>
      <c r="O15892"/>
      <c r="P15892"/>
      <c r="Q15892"/>
      <c r="R15892"/>
      <c r="S15892"/>
    </row>
    <row r="15893" spans="13:19" ht="13.95" customHeight="1">
      <c r="M15893"/>
      <c r="N15893"/>
      <c r="O15893"/>
      <c r="P15893"/>
      <c r="Q15893"/>
      <c r="R15893"/>
      <c r="S15893"/>
    </row>
    <row r="15894" spans="13:19" ht="13.95" customHeight="1">
      <c r="M15894"/>
      <c r="N15894"/>
      <c r="O15894"/>
      <c r="P15894"/>
      <c r="Q15894"/>
      <c r="R15894"/>
      <c r="S15894"/>
    </row>
    <row r="15895" spans="13:19" ht="13.95" customHeight="1">
      <c r="M15895"/>
      <c r="N15895"/>
      <c r="O15895"/>
      <c r="P15895"/>
      <c r="Q15895"/>
      <c r="R15895"/>
      <c r="S15895"/>
    </row>
    <row r="15896" spans="13:19" ht="13.95" customHeight="1">
      <c r="M15896"/>
      <c r="N15896"/>
      <c r="O15896"/>
      <c r="P15896"/>
      <c r="Q15896"/>
      <c r="R15896"/>
      <c r="S15896"/>
    </row>
    <row r="15897" spans="13:19" ht="13.95" customHeight="1">
      <c r="M15897"/>
      <c r="N15897"/>
      <c r="O15897"/>
      <c r="P15897"/>
      <c r="Q15897"/>
      <c r="R15897"/>
      <c r="S15897"/>
    </row>
    <row r="15898" spans="13:19" ht="13.95" customHeight="1">
      <c r="M15898"/>
      <c r="N15898"/>
      <c r="O15898"/>
      <c r="P15898"/>
      <c r="Q15898"/>
      <c r="R15898"/>
      <c r="S15898"/>
    </row>
    <row r="15899" spans="13:19" ht="13.95" customHeight="1">
      <c r="M15899"/>
      <c r="N15899"/>
      <c r="O15899"/>
      <c r="P15899"/>
      <c r="Q15899"/>
      <c r="R15899"/>
      <c r="S15899"/>
    </row>
    <row r="15900" spans="13:19" ht="13.95" customHeight="1">
      <c r="M15900"/>
      <c r="N15900"/>
      <c r="O15900"/>
      <c r="P15900"/>
      <c r="Q15900"/>
      <c r="R15900"/>
      <c r="S15900"/>
    </row>
    <row r="15901" spans="13:19" ht="13.95" customHeight="1">
      <c r="M15901"/>
      <c r="N15901"/>
      <c r="O15901"/>
      <c r="P15901"/>
      <c r="Q15901"/>
      <c r="R15901"/>
      <c r="S15901"/>
    </row>
    <row r="15902" spans="13:19" ht="13.95" customHeight="1">
      <c r="M15902"/>
      <c r="N15902"/>
      <c r="O15902"/>
      <c r="P15902"/>
      <c r="Q15902"/>
      <c r="R15902"/>
      <c r="S15902"/>
    </row>
    <row r="15903" spans="13:19" ht="13.95" customHeight="1">
      <c r="M15903"/>
      <c r="N15903"/>
      <c r="O15903"/>
      <c r="P15903"/>
      <c r="Q15903"/>
      <c r="R15903"/>
      <c r="S15903"/>
    </row>
    <row r="15904" spans="13:19" ht="13.95" customHeight="1">
      <c r="M15904"/>
      <c r="N15904"/>
      <c r="O15904"/>
      <c r="P15904"/>
      <c r="Q15904"/>
      <c r="R15904"/>
      <c r="S15904"/>
    </row>
    <row r="15905" spans="13:19" ht="13.95" customHeight="1">
      <c r="M15905"/>
      <c r="N15905"/>
      <c r="O15905"/>
      <c r="P15905"/>
      <c r="Q15905"/>
      <c r="R15905"/>
      <c r="S15905"/>
    </row>
    <row r="15906" spans="13:19" ht="13.95" customHeight="1">
      <c r="M15906"/>
      <c r="N15906"/>
      <c r="O15906"/>
      <c r="P15906"/>
      <c r="Q15906"/>
      <c r="R15906"/>
      <c r="S15906"/>
    </row>
    <row r="15907" spans="13:19" ht="13.95" customHeight="1">
      <c r="M15907"/>
      <c r="N15907"/>
      <c r="O15907"/>
      <c r="P15907"/>
      <c r="Q15907"/>
      <c r="R15907"/>
      <c r="S15907"/>
    </row>
    <row r="15908" spans="13:19" ht="13.95" customHeight="1">
      <c r="M15908"/>
      <c r="N15908"/>
      <c r="O15908"/>
      <c r="P15908"/>
      <c r="Q15908"/>
      <c r="R15908"/>
      <c r="S15908"/>
    </row>
    <row r="15909" spans="13:19" ht="13.95" customHeight="1">
      <c r="M15909"/>
      <c r="N15909"/>
      <c r="O15909"/>
      <c r="P15909"/>
      <c r="Q15909"/>
      <c r="R15909"/>
      <c r="S15909"/>
    </row>
    <row r="15910" spans="13:19" ht="13.95" customHeight="1">
      <c r="M15910"/>
      <c r="N15910"/>
      <c r="O15910"/>
      <c r="P15910"/>
      <c r="Q15910"/>
      <c r="R15910"/>
      <c r="S15910"/>
    </row>
    <row r="15911" spans="13:19" ht="13.95" customHeight="1">
      <c r="M15911"/>
      <c r="N15911"/>
      <c r="O15911"/>
      <c r="P15911"/>
      <c r="Q15911"/>
      <c r="R15911"/>
      <c r="S15911"/>
    </row>
    <row r="15912" spans="13:19" ht="13.95" customHeight="1">
      <c r="M15912"/>
      <c r="N15912"/>
      <c r="O15912"/>
      <c r="P15912"/>
      <c r="Q15912"/>
      <c r="R15912"/>
      <c r="S15912"/>
    </row>
    <row r="15913" spans="13:19" ht="13.95" customHeight="1">
      <c r="M15913"/>
      <c r="N15913"/>
      <c r="O15913"/>
      <c r="P15913"/>
      <c r="Q15913"/>
      <c r="R15913"/>
      <c r="S15913"/>
    </row>
    <row r="15914" spans="13:19" ht="13.95" customHeight="1">
      <c r="M15914"/>
      <c r="N15914"/>
      <c r="O15914"/>
      <c r="P15914"/>
      <c r="Q15914"/>
      <c r="R15914"/>
      <c r="S15914"/>
    </row>
    <row r="15915" spans="13:19" ht="13.95" customHeight="1">
      <c r="M15915"/>
      <c r="N15915"/>
      <c r="O15915"/>
      <c r="P15915"/>
      <c r="Q15915"/>
      <c r="R15915"/>
      <c r="S15915"/>
    </row>
    <row r="15916" spans="13:19" ht="13.95" customHeight="1">
      <c r="M15916"/>
      <c r="N15916"/>
      <c r="O15916"/>
      <c r="P15916"/>
      <c r="Q15916"/>
      <c r="R15916"/>
      <c r="S15916"/>
    </row>
    <row r="15917" spans="13:19" ht="13.95" customHeight="1">
      <c r="M15917"/>
      <c r="N15917"/>
      <c r="O15917"/>
      <c r="P15917"/>
      <c r="Q15917"/>
      <c r="R15917"/>
      <c r="S15917"/>
    </row>
    <row r="15918" spans="13:19" ht="13.95" customHeight="1">
      <c r="M15918"/>
      <c r="N15918"/>
      <c r="O15918"/>
      <c r="P15918"/>
      <c r="Q15918"/>
      <c r="R15918"/>
      <c r="S15918"/>
    </row>
    <row r="15919" spans="13:19" ht="13.95" customHeight="1">
      <c r="M15919"/>
      <c r="N15919"/>
      <c r="O15919"/>
      <c r="P15919"/>
      <c r="Q15919"/>
      <c r="R15919"/>
      <c r="S15919"/>
    </row>
    <row r="15920" spans="13:19" ht="13.95" customHeight="1">
      <c r="M15920"/>
      <c r="N15920"/>
      <c r="O15920"/>
      <c r="P15920"/>
      <c r="Q15920"/>
      <c r="R15920"/>
      <c r="S15920"/>
    </row>
    <row r="15921" spans="13:19" ht="13.95" customHeight="1">
      <c r="M15921"/>
      <c r="N15921"/>
      <c r="O15921"/>
      <c r="P15921"/>
      <c r="Q15921"/>
      <c r="R15921"/>
      <c r="S15921"/>
    </row>
    <row r="15922" spans="13:19" ht="13.95" customHeight="1">
      <c r="M15922"/>
      <c r="N15922"/>
      <c r="O15922"/>
      <c r="P15922"/>
      <c r="Q15922"/>
      <c r="R15922"/>
      <c r="S15922"/>
    </row>
    <row r="15923" spans="13:19" ht="13.95" customHeight="1">
      <c r="M15923"/>
      <c r="N15923"/>
      <c r="O15923"/>
      <c r="P15923"/>
      <c r="Q15923"/>
      <c r="R15923"/>
      <c r="S15923"/>
    </row>
    <row r="15924" spans="13:19" ht="13.95" customHeight="1">
      <c r="M15924"/>
      <c r="N15924"/>
      <c r="O15924"/>
      <c r="P15924"/>
      <c r="Q15924"/>
      <c r="R15924"/>
      <c r="S15924"/>
    </row>
    <row r="15925" spans="13:19" ht="13.95" customHeight="1">
      <c r="M15925"/>
      <c r="N15925"/>
      <c r="O15925"/>
      <c r="P15925"/>
      <c r="Q15925"/>
      <c r="R15925"/>
      <c r="S15925"/>
    </row>
    <row r="15926" spans="13:19" ht="13.95" customHeight="1">
      <c r="M15926"/>
      <c r="N15926"/>
      <c r="O15926"/>
      <c r="P15926"/>
      <c r="Q15926"/>
      <c r="R15926"/>
      <c r="S15926"/>
    </row>
    <row r="15927" spans="13:19" ht="13.95" customHeight="1">
      <c r="M15927"/>
      <c r="N15927"/>
      <c r="O15927"/>
      <c r="P15927"/>
      <c r="Q15927"/>
      <c r="R15927"/>
      <c r="S15927"/>
    </row>
    <row r="15928" spans="13:19" ht="13.95" customHeight="1">
      <c r="M15928"/>
      <c r="N15928"/>
      <c r="O15928"/>
      <c r="P15928"/>
      <c r="Q15928"/>
      <c r="R15928"/>
      <c r="S15928"/>
    </row>
    <row r="15929" spans="13:19" ht="13.95" customHeight="1">
      <c r="M15929"/>
      <c r="N15929"/>
      <c r="O15929"/>
      <c r="P15929"/>
      <c r="Q15929"/>
      <c r="R15929"/>
      <c r="S15929"/>
    </row>
    <row r="15930" spans="13:19" ht="13.95" customHeight="1">
      <c r="M15930"/>
      <c r="N15930"/>
      <c r="O15930"/>
      <c r="P15930"/>
      <c r="Q15930"/>
      <c r="R15930"/>
      <c r="S15930"/>
    </row>
    <row r="15931" spans="13:19" ht="13.95" customHeight="1">
      <c r="M15931"/>
      <c r="N15931"/>
      <c r="O15931"/>
      <c r="P15931"/>
      <c r="Q15931"/>
      <c r="R15931"/>
      <c r="S15931"/>
    </row>
    <row r="15932" spans="13:19" ht="13.95" customHeight="1">
      <c r="M15932"/>
      <c r="N15932"/>
      <c r="O15932"/>
      <c r="P15932"/>
      <c r="Q15932"/>
      <c r="R15932"/>
      <c r="S15932"/>
    </row>
    <row r="15933" spans="13:19" ht="13.95" customHeight="1">
      <c r="M15933"/>
      <c r="N15933"/>
      <c r="O15933"/>
      <c r="P15933"/>
      <c r="Q15933"/>
      <c r="R15933"/>
      <c r="S15933"/>
    </row>
    <row r="15934" spans="13:19" ht="13.95" customHeight="1">
      <c r="M15934"/>
      <c r="N15934"/>
      <c r="O15934"/>
      <c r="P15934"/>
      <c r="Q15934"/>
      <c r="R15934"/>
      <c r="S15934"/>
    </row>
    <row r="15935" spans="13:19" ht="13.95" customHeight="1">
      <c r="M15935"/>
      <c r="N15935"/>
      <c r="O15935"/>
      <c r="P15935"/>
      <c r="Q15935"/>
      <c r="R15935"/>
      <c r="S15935"/>
    </row>
    <row r="15936" spans="13:19" ht="13.95" customHeight="1">
      <c r="M15936"/>
      <c r="N15936"/>
      <c r="O15936"/>
      <c r="P15936"/>
      <c r="Q15936"/>
      <c r="R15936"/>
      <c r="S15936"/>
    </row>
    <row r="15937" spans="13:19" ht="13.95" customHeight="1">
      <c r="M15937"/>
      <c r="N15937"/>
      <c r="O15937"/>
      <c r="P15937"/>
      <c r="Q15937"/>
      <c r="R15937"/>
      <c r="S15937"/>
    </row>
    <row r="15938" spans="13:19" ht="13.95" customHeight="1">
      <c r="M15938"/>
      <c r="N15938"/>
      <c r="O15938"/>
      <c r="P15938"/>
      <c r="Q15938"/>
      <c r="R15938"/>
      <c r="S15938"/>
    </row>
    <row r="15939" spans="13:19" ht="13.95" customHeight="1">
      <c r="M15939"/>
      <c r="N15939"/>
      <c r="O15939"/>
      <c r="P15939"/>
      <c r="Q15939"/>
      <c r="R15939"/>
      <c r="S15939"/>
    </row>
    <row r="15940" spans="13:19" ht="13.95" customHeight="1">
      <c r="M15940"/>
      <c r="N15940"/>
      <c r="O15940"/>
      <c r="P15940"/>
      <c r="Q15940"/>
      <c r="R15940"/>
      <c r="S15940"/>
    </row>
    <row r="15941" spans="13:19" ht="13.95" customHeight="1">
      <c r="M15941"/>
      <c r="N15941"/>
      <c r="O15941"/>
      <c r="P15941"/>
      <c r="Q15941"/>
      <c r="R15941"/>
      <c r="S15941"/>
    </row>
    <row r="15942" spans="13:19" ht="13.95" customHeight="1">
      <c r="M15942"/>
      <c r="N15942"/>
      <c r="O15942"/>
      <c r="P15942"/>
      <c r="Q15942"/>
      <c r="R15942"/>
      <c r="S15942"/>
    </row>
    <row r="15943" spans="13:19" ht="13.95" customHeight="1">
      <c r="M15943"/>
      <c r="N15943"/>
      <c r="O15943"/>
      <c r="P15943"/>
      <c r="Q15943"/>
      <c r="R15943"/>
      <c r="S15943"/>
    </row>
    <row r="15944" spans="13:19" ht="13.95" customHeight="1">
      <c r="M15944"/>
      <c r="N15944"/>
      <c r="O15944"/>
      <c r="P15944"/>
      <c r="Q15944"/>
      <c r="R15944"/>
      <c r="S15944"/>
    </row>
    <row r="15945" spans="13:19" ht="13.95" customHeight="1">
      <c r="M15945"/>
      <c r="N15945"/>
      <c r="O15945"/>
      <c r="P15945"/>
      <c r="Q15945"/>
      <c r="R15945"/>
      <c r="S15945"/>
    </row>
    <row r="15946" spans="13:19" ht="13.95" customHeight="1">
      <c r="M15946"/>
      <c r="N15946"/>
      <c r="O15946"/>
      <c r="P15946"/>
      <c r="Q15946"/>
      <c r="R15946"/>
      <c r="S15946"/>
    </row>
    <row r="15947" spans="13:19" ht="13.95" customHeight="1">
      <c r="M15947"/>
      <c r="N15947"/>
      <c r="O15947"/>
      <c r="P15947"/>
      <c r="Q15947"/>
      <c r="R15947"/>
      <c r="S15947"/>
    </row>
    <row r="15948" spans="13:19" ht="13.95" customHeight="1">
      <c r="M15948"/>
      <c r="N15948"/>
      <c r="O15948"/>
      <c r="P15948"/>
      <c r="Q15948"/>
      <c r="R15948"/>
      <c r="S15948"/>
    </row>
    <row r="15949" spans="13:19" ht="13.95" customHeight="1">
      <c r="M15949"/>
      <c r="N15949"/>
      <c r="O15949"/>
      <c r="P15949"/>
      <c r="Q15949"/>
      <c r="R15949"/>
      <c r="S15949"/>
    </row>
    <row r="15950" spans="13:19" ht="13.95" customHeight="1">
      <c r="M15950"/>
      <c r="N15950"/>
      <c r="O15950"/>
      <c r="P15950"/>
      <c r="Q15950"/>
      <c r="R15950"/>
      <c r="S15950"/>
    </row>
    <row r="15951" spans="13:19" ht="13.95" customHeight="1">
      <c r="M15951"/>
      <c r="N15951"/>
      <c r="O15951"/>
      <c r="P15951"/>
      <c r="Q15951"/>
      <c r="R15951"/>
      <c r="S15951"/>
    </row>
    <row r="15952" spans="13:19" ht="13.95" customHeight="1">
      <c r="M15952"/>
      <c r="N15952"/>
      <c r="O15952"/>
      <c r="P15952"/>
      <c r="Q15952"/>
      <c r="R15952"/>
      <c r="S15952"/>
    </row>
    <row r="15953" spans="13:19" ht="13.95" customHeight="1">
      <c r="M15953"/>
      <c r="N15953"/>
      <c r="O15953"/>
      <c r="P15953"/>
      <c r="Q15953"/>
      <c r="R15953"/>
      <c r="S15953"/>
    </row>
    <row r="15954" spans="13:19" ht="13.95" customHeight="1">
      <c r="M15954"/>
      <c r="N15954"/>
      <c r="O15954"/>
      <c r="P15954"/>
      <c r="Q15954"/>
      <c r="R15954"/>
      <c r="S15954"/>
    </row>
    <row r="15955" spans="13:19" ht="13.95" customHeight="1">
      <c r="M15955"/>
      <c r="N15955"/>
      <c r="O15955"/>
      <c r="P15955"/>
      <c r="Q15955"/>
      <c r="R15955"/>
      <c r="S15955"/>
    </row>
    <row r="15956" spans="13:19" ht="13.95" customHeight="1">
      <c r="M15956"/>
      <c r="N15956"/>
      <c r="O15956"/>
      <c r="P15956"/>
      <c r="Q15956"/>
      <c r="R15956"/>
      <c r="S15956"/>
    </row>
    <row r="15957" spans="13:19" ht="13.95" customHeight="1">
      <c r="M15957"/>
      <c r="N15957"/>
      <c r="O15957"/>
      <c r="P15957"/>
      <c r="Q15957"/>
      <c r="R15957"/>
      <c r="S15957"/>
    </row>
    <row r="15958" spans="13:19" ht="13.95" customHeight="1">
      <c r="M15958"/>
      <c r="N15958"/>
      <c r="O15958"/>
      <c r="P15958"/>
      <c r="Q15958"/>
      <c r="R15958"/>
      <c r="S15958"/>
    </row>
    <row r="15959" spans="13:19" ht="13.95" customHeight="1">
      <c r="M15959"/>
      <c r="N15959"/>
      <c r="O15959"/>
      <c r="P15959"/>
      <c r="Q15959"/>
      <c r="R15959"/>
      <c r="S15959"/>
    </row>
    <row r="15960" spans="13:19" ht="13.95" customHeight="1">
      <c r="M15960"/>
      <c r="N15960"/>
      <c r="O15960"/>
      <c r="P15960"/>
      <c r="Q15960"/>
      <c r="R15960"/>
      <c r="S15960"/>
    </row>
    <row r="15961" spans="13:19" ht="13.95" customHeight="1">
      <c r="M15961"/>
      <c r="N15961"/>
      <c r="O15961"/>
      <c r="P15961"/>
      <c r="Q15961"/>
      <c r="R15961"/>
      <c r="S15961"/>
    </row>
    <row r="15962" spans="13:19" ht="13.95" customHeight="1">
      <c r="M15962"/>
      <c r="N15962"/>
      <c r="O15962"/>
      <c r="P15962"/>
      <c r="Q15962"/>
      <c r="R15962"/>
      <c r="S15962"/>
    </row>
    <row r="15963" spans="13:19" ht="13.95" customHeight="1">
      <c r="M15963"/>
      <c r="N15963"/>
      <c r="O15963"/>
      <c r="P15963"/>
      <c r="Q15963"/>
      <c r="R15963"/>
      <c r="S15963"/>
    </row>
    <row r="15964" spans="13:19" ht="13.95" customHeight="1">
      <c r="M15964"/>
      <c r="N15964"/>
      <c r="O15964"/>
      <c r="P15964"/>
      <c r="Q15964"/>
      <c r="R15964"/>
      <c r="S15964"/>
    </row>
    <row r="15965" spans="13:19" ht="13.95" customHeight="1">
      <c r="M15965"/>
      <c r="N15965"/>
      <c r="O15965"/>
      <c r="P15965"/>
      <c r="Q15965"/>
      <c r="R15965"/>
      <c r="S15965"/>
    </row>
    <row r="15966" spans="13:19" ht="13.95" customHeight="1">
      <c r="M15966"/>
      <c r="N15966"/>
      <c r="O15966"/>
      <c r="P15966"/>
      <c r="Q15966"/>
      <c r="R15966"/>
      <c r="S15966"/>
    </row>
    <row r="15967" spans="13:19" ht="13.95" customHeight="1">
      <c r="M15967"/>
      <c r="N15967"/>
      <c r="O15967"/>
      <c r="P15967"/>
      <c r="Q15967"/>
      <c r="R15967"/>
      <c r="S15967"/>
    </row>
    <row r="15968" spans="13:19" ht="13.95" customHeight="1">
      <c r="M15968"/>
      <c r="N15968"/>
      <c r="O15968"/>
      <c r="P15968"/>
      <c r="Q15968"/>
      <c r="R15968"/>
      <c r="S15968"/>
    </row>
    <row r="15969" spans="13:19" ht="13.95" customHeight="1">
      <c r="M15969"/>
      <c r="N15969"/>
      <c r="O15969"/>
      <c r="P15969"/>
      <c r="Q15969"/>
      <c r="R15969"/>
      <c r="S15969"/>
    </row>
    <row r="15970" spans="13:19" ht="13.95" customHeight="1">
      <c r="M15970"/>
      <c r="N15970"/>
      <c r="O15970"/>
      <c r="P15970"/>
      <c r="Q15970"/>
      <c r="R15970"/>
      <c r="S15970"/>
    </row>
    <row r="15971" spans="13:19" ht="13.95" customHeight="1">
      <c r="M15971"/>
      <c r="N15971"/>
      <c r="O15971"/>
      <c r="P15971"/>
      <c r="Q15971"/>
      <c r="R15971"/>
      <c r="S15971"/>
    </row>
    <row r="15972" spans="13:19" ht="13.95" customHeight="1">
      <c r="M15972"/>
      <c r="N15972"/>
      <c r="O15972"/>
      <c r="P15972"/>
      <c r="Q15972"/>
      <c r="R15972"/>
      <c r="S15972"/>
    </row>
    <row r="15973" spans="13:19" ht="13.95" customHeight="1">
      <c r="M15973"/>
      <c r="N15973"/>
      <c r="O15973"/>
      <c r="P15973"/>
      <c r="Q15973"/>
      <c r="R15973"/>
      <c r="S15973"/>
    </row>
    <row r="15974" spans="13:19" ht="13.95" customHeight="1">
      <c r="M15974"/>
      <c r="N15974"/>
      <c r="O15974"/>
      <c r="P15974"/>
      <c r="Q15974"/>
      <c r="R15974"/>
      <c r="S15974"/>
    </row>
    <row r="15975" spans="13:19" ht="13.95" customHeight="1">
      <c r="M15975"/>
      <c r="N15975"/>
      <c r="O15975"/>
      <c r="P15975"/>
      <c r="Q15975"/>
      <c r="R15975"/>
      <c r="S15975"/>
    </row>
    <row r="15976" spans="13:19" ht="13.95" customHeight="1">
      <c r="M15976"/>
      <c r="N15976"/>
      <c r="O15976"/>
      <c r="P15976"/>
      <c r="Q15976"/>
      <c r="R15976"/>
      <c r="S15976"/>
    </row>
    <row r="15977" spans="13:19" ht="13.95" customHeight="1">
      <c r="M15977"/>
      <c r="N15977"/>
      <c r="O15977"/>
      <c r="P15977"/>
      <c r="Q15977"/>
      <c r="R15977"/>
      <c r="S15977"/>
    </row>
    <row r="15978" spans="13:19" ht="13.95" customHeight="1">
      <c r="M15978"/>
      <c r="N15978"/>
      <c r="O15978"/>
      <c r="P15978"/>
      <c r="Q15978"/>
      <c r="R15978"/>
      <c r="S15978"/>
    </row>
    <row r="15979" spans="13:19" ht="13.95" customHeight="1">
      <c r="M15979"/>
      <c r="N15979"/>
      <c r="O15979"/>
      <c r="P15979"/>
      <c r="Q15979"/>
      <c r="R15979"/>
      <c r="S15979"/>
    </row>
    <row r="15980" spans="13:19" ht="13.95" customHeight="1">
      <c r="M15980"/>
      <c r="N15980"/>
      <c r="O15980"/>
      <c r="P15980"/>
      <c r="Q15980"/>
      <c r="R15980"/>
      <c r="S15980"/>
    </row>
    <row r="15981" spans="13:19" ht="13.95" customHeight="1">
      <c r="M15981"/>
      <c r="N15981"/>
      <c r="O15981"/>
      <c r="P15981"/>
      <c r="Q15981"/>
      <c r="R15981"/>
      <c r="S15981"/>
    </row>
    <row r="15982" spans="13:19" ht="13.95" customHeight="1">
      <c r="M15982"/>
      <c r="N15982"/>
      <c r="O15982"/>
      <c r="P15982"/>
      <c r="Q15982"/>
      <c r="R15982"/>
      <c r="S15982"/>
    </row>
    <row r="15983" spans="13:19" ht="13.95" customHeight="1">
      <c r="M15983"/>
      <c r="N15983"/>
      <c r="O15983"/>
      <c r="P15983"/>
      <c r="Q15983"/>
      <c r="R15983"/>
      <c r="S15983"/>
    </row>
    <row r="15984" spans="13:19" ht="13.95" customHeight="1">
      <c r="M15984"/>
      <c r="N15984"/>
      <c r="O15984"/>
      <c r="P15984"/>
      <c r="Q15984"/>
      <c r="R15984"/>
      <c r="S15984"/>
    </row>
    <row r="15985" spans="13:19" ht="13.95" customHeight="1">
      <c r="M15985"/>
      <c r="N15985"/>
      <c r="O15985"/>
      <c r="P15985"/>
      <c r="Q15985"/>
      <c r="R15985"/>
      <c r="S15985"/>
    </row>
    <row r="15986" spans="13:19" ht="13.95" customHeight="1">
      <c r="M15986"/>
      <c r="N15986"/>
      <c r="O15986"/>
      <c r="P15986"/>
      <c r="Q15986"/>
      <c r="R15986"/>
      <c r="S15986"/>
    </row>
    <row r="15987" spans="13:19" ht="13.95" customHeight="1">
      <c r="M15987"/>
      <c r="N15987"/>
      <c r="O15987"/>
      <c r="P15987"/>
      <c r="Q15987"/>
      <c r="R15987"/>
      <c r="S15987"/>
    </row>
    <row r="15988" spans="13:19" ht="13.95" customHeight="1">
      <c r="M15988"/>
      <c r="N15988"/>
      <c r="O15988"/>
      <c r="P15988"/>
      <c r="Q15988"/>
      <c r="R15988"/>
      <c r="S15988"/>
    </row>
    <row r="15989" spans="13:19" ht="13.95" customHeight="1">
      <c r="M15989"/>
      <c r="N15989"/>
      <c r="O15989"/>
      <c r="P15989"/>
      <c r="Q15989"/>
      <c r="R15989"/>
      <c r="S15989"/>
    </row>
    <row r="15990" spans="13:19" ht="13.95" customHeight="1">
      <c r="M15990"/>
      <c r="N15990"/>
      <c r="O15990"/>
      <c r="P15990"/>
      <c r="Q15990"/>
      <c r="R15990"/>
      <c r="S15990"/>
    </row>
    <row r="15991" spans="13:19" ht="13.95" customHeight="1">
      <c r="M15991"/>
      <c r="N15991"/>
      <c r="O15991"/>
      <c r="P15991"/>
      <c r="Q15991"/>
      <c r="R15991"/>
      <c r="S15991"/>
    </row>
    <row r="15992" spans="13:19" ht="13.95" customHeight="1">
      <c r="M15992"/>
      <c r="N15992"/>
      <c r="O15992"/>
      <c r="P15992"/>
      <c r="Q15992"/>
      <c r="R15992"/>
      <c r="S15992"/>
    </row>
    <row r="15993" spans="13:19" ht="13.95" customHeight="1">
      <c r="M15993"/>
      <c r="N15993"/>
      <c r="O15993"/>
      <c r="P15993"/>
      <c r="Q15993"/>
      <c r="R15993"/>
      <c r="S15993"/>
    </row>
    <row r="15994" spans="13:19" ht="13.95" customHeight="1">
      <c r="M15994"/>
      <c r="N15994"/>
      <c r="O15994"/>
      <c r="P15994"/>
      <c r="Q15994"/>
      <c r="R15994"/>
      <c r="S15994"/>
    </row>
    <row r="15995" spans="13:19" ht="13.95" customHeight="1">
      <c r="M15995"/>
      <c r="N15995"/>
      <c r="O15995"/>
      <c r="P15995"/>
      <c r="Q15995"/>
      <c r="R15995"/>
      <c r="S15995"/>
    </row>
    <row r="15996" spans="13:19" ht="13.95" customHeight="1">
      <c r="M15996"/>
      <c r="N15996"/>
      <c r="O15996"/>
      <c r="P15996"/>
      <c r="Q15996"/>
      <c r="R15996"/>
      <c r="S15996"/>
    </row>
    <row r="15997" spans="13:19" ht="13.95" customHeight="1">
      <c r="M15997"/>
      <c r="N15997"/>
      <c r="O15997"/>
      <c r="P15997"/>
      <c r="Q15997"/>
      <c r="R15997"/>
      <c r="S15997"/>
    </row>
    <row r="15998" spans="13:19" ht="13.95" customHeight="1">
      <c r="M15998"/>
      <c r="N15998"/>
      <c r="O15998"/>
      <c r="P15998"/>
      <c r="Q15998"/>
      <c r="R15998"/>
      <c r="S15998"/>
    </row>
    <row r="15999" spans="13:19" ht="13.95" customHeight="1">
      <c r="M15999"/>
      <c r="N15999"/>
      <c r="O15999"/>
      <c r="P15999"/>
      <c r="Q15999"/>
      <c r="R15999"/>
      <c r="S15999"/>
    </row>
    <row r="16000" spans="13:19" ht="13.95" customHeight="1">
      <c r="M16000"/>
      <c r="N16000"/>
      <c r="O16000"/>
      <c r="P16000"/>
      <c r="Q16000"/>
      <c r="R16000"/>
      <c r="S16000"/>
    </row>
    <row r="16001" spans="13:19" ht="13.95" customHeight="1">
      <c r="M16001"/>
      <c r="N16001"/>
      <c r="O16001"/>
      <c r="P16001"/>
      <c r="Q16001"/>
      <c r="R16001"/>
      <c r="S16001"/>
    </row>
    <row r="16002" spans="13:19" ht="13.95" customHeight="1">
      <c r="M16002"/>
      <c r="N16002"/>
      <c r="O16002"/>
      <c r="P16002"/>
      <c r="Q16002"/>
      <c r="R16002"/>
      <c r="S16002"/>
    </row>
    <row r="16003" spans="13:19" ht="13.95" customHeight="1">
      <c r="M16003"/>
      <c r="N16003"/>
      <c r="O16003"/>
      <c r="P16003"/>
      <c r="Q16003"/>
      <c r="R16003"/>
      <c r="S16003"/>
    </row>
    <row r="16004" spans="13:19" ht="13.95" customHeight="1">
      <c r="M16004"/>
      <c r="N16004"/>
      <c r="O16004"/>
      <c r="P16004"/>
      <c r="Q16004"/>
      <c r="R16004"/>
      <c r="S16004"/>
    </row>
    <row r="16005" spans="13:19" ht="13.95" customHeight="1">
      <c r="M16005"/>
      <c r="N16005"/>
      <c r="O16005"/>
      <c r="P16005"/>
      <c r="Q16005"/>
      <c r="R16005"/>
      <c r="S16005"/>
    </row>
    <row r="16006" spans="13:19" ht="13.95" customHeight="1">
      <c r="M16006"/>
      <c r="N16006"/>
      <c r="O16006"/>
      <c r="P16006"/>
      <c r="Q16006"/>
      <c r="R16006"/>
      <c r="S16006"/>
    </row>
    <row r="16007" spans="13:19" ht="13.95" customHeight="1">
      <c r="M16007"/>
      <c r="N16007"/>
      <c r="O16007"/>
      <c r="P16007"/>
      <c r="Q16007"/>
      <c r="R16007"/>
      <c r="S16007"/>
    </row>
    <row r="16008" spans="13:19" ht="13.95" customHeight="1">
      <c r="M16008"/>
      <c r="N16008"/>
      <c r="O16008"/>
      <c r="P16008"/>
      <c r="Q16008"/>
      <c r="R16008"/>
      <c r="S16008"/>
    </row>
    <row r="16009" spans="13:19" ht="13.95" customHeight="1">
      <c r="M16009"/>
      <c r="N16009"/>
      <c r="O16009"/>
      <c r="P16009"/>
      <c r="Q16009"/>
      <c r="R16009"/>
      <c r="S16009"/>
    </row>
    <row r="16010" spans="13:19" ht="13.95" customHeight="1">
      <c r="M16010"/>
      <c r="N16010"/>
      <c r="O16010"/>
      <c r="P16010"/>
      <c r="Q16010"/>
      <c r="R16010"/>
      <c r="S16010"/>
    </row>
    <row r="16011" spans="13:19" ht="13.95" customHeight="1">
      <c r="M16011"/>
      <c r="N16011"/>
      <c r="O16011"/>
      <c r="P16011"/>
      <c r="Q16011"/>
      <c r="R16011"/>
      <c r="S16011"/>
    </row>
    <row r="16012" spans="13:19" ht="13.95" customHeight="1">
      <c r="M16012"/>
      <c r="N16012"/>
      <c r="O16012"/>
      <c r="P16012"/>
      <c r="Q16012"/>
      <c r="R16012"/>
      <c r="S16012"/>
    </row>
    <row r="16013" spans="13:19" ht="13.95" customHeight="1">
      <c r="M16013"/>
      <c r="N16013"/>
      <c r="O16013"/>
      <c r="P16013"/>
      <c r="Q16013"/>
      <c r="R16013"/>
      <c r="S16013"/>
    </row>
    <row r="16014" spans="13:19" ht="13.95" customHeight="1">
      <c r="M16014"/>
      <c r="N16014"/>
      <c r="O16014"/>
      <c r="P16014"/>
      <c r="Q16014"/>
      <c r="R16014"/>
      <c r="S16014"/>
    </row>
    <row r="16015" spans="13:19" ht="13.95" customHeight="1">
      <c r="M16015"/>
      <c r="N16015"/>
      <c r="O16015"/>
      <c r="P16015"/>
      <c r="Q16015"/>
      <c r="R16015"/>
      <c r="S16015"/>
    </row>
    <row r="16016" spans="13:19" ht="13.95" customHeight="1">
      <c r="M16016"/>
      <c r="N16016"/>
      <c r="O16016"/>
      <c r="P16016"/>
      <c r="Q16016"/>
      <c r="R16016"/>
      <c r="S16016"/>
    </row>
    <row r="16017" spans="13:19" ht="13.95" customHeight="1">
      <c r="M16017"/>
      <c r="N16017"/>
      <c r="O16017"/>
      <c r="P16017"/>
      <c r="Q16017"/>
      <c r="R16017"/>
      <c r="S16017"/>
    </row>
    <row r="16018" spans="13:19" ht="13.95" customHeight="1">
      <c r="M16018"/>
      <c r="N16018"/>
      <c r="O16018"/>
      <c r="P16018"/>
      <c r="Q16018"/>
      <c r="R16018"/>
      <c r="S16018"/>
    </row>
    <row r="16019" spans="13:19" ht="13.95" customHeight="1">
      <c r="M16019"/>
      <c r="N16019"/>
      <c r="O16019"/>
      <c r="P16019"/>
      <c r="Q16019"/>
      <c r="R16019"/>
      <c r="S16019"/>
    </row>
    <row r="16020" spans="13:19" ht="13.95" customHeight="1">
      <c r="M16020"/>
      <c r="N16020"/>
      <c r="O16020"/>
      <c r="P16020"/>
      <c r="Q16020"/>
      <c r="R16020"/>
      <c r="S16020"/>
    </row>
    <row r="16021" spans="13:19" ht="13.95" customHeight="1">
      <c r="M16021"/>
      <c r="N16021"/>
      <c r="O16021"/>
      <c r="P16021"/>
      <c r="Q16021"/>
      <c r="R16021"/>
      <c r="S16021"/>
    </row>
    <row r="16022" spans="13:19" ht="13.95" customHeight="1">
      <c r="M16022"/>
      <c r="N16022"/>
      <c r="O16022"/>
      <c r="P16022"/>
      <c r="Q16022"/>
      <c r="R16022"/>
      <c r="S16022"/>
    </row>
    <row r="16023" spans="13:19" ht="13.95" customHeight="1">
      <c r="M16023"/>
      <c r="N16023"/>
      <c r="O16023"/>
      <c r="P16023"/>
      <c r="Q16023"/>
      <c r="R16023"/>
      <c r="S16023"/>
    </row>
    <row r="16024" spans="13:19" ht="13.95" customHeight="1">
      <c r="M16024"/>
      <c r="N16024"/>
      <c r="O16024"/>
      <c r="P16024"/>
      <c r="Q16024"/>
      <c r="R16024"/>
      <c r="S16024"/>
    </row>
    <row r="16025" spans="13:19" ht="13.95" customHeight="1">
      <c r="M16025"/>
      <c r="N16025"/>
      <c r="O16025"/>
      <c r="P16025"/>
      <c r="Q16025"/>
      <c r="R16025"/>
      <c r="S16025"/>
    </row>
    <row r="16026" spans="13:19" ht="13.95" customHeight="1">
      <c r="M16026"/>
      <c r="N16026"/>
      <c r="O16026"/>
      <c r="P16026"/>
      <c r="Q16026"/>
      <c r="R16026"/>
      <c r="S16026"/>
    </row>
    <row r="16027" spans="13:19" ht="13.95" customHeight="1">
      <c r="M16027"/>
      <c r="N16027"/>
      <c r="O16027"/>
      <c r="P16027"/>
      <c r="Q16027"/>
      <c r="R16027"/>
      <c r="S16027"/>
    </row>
    <row r="16028" spans="13:19" ht="13.95" customHeight="1">
      <c r="M16028"/>
      <c r="N16028"/>
      <c r="O16028"/>
      <c r="P16028"/>
      <c r="Q16028"/>
      <c r="R16028"/>
      <c r="S16028"/>
    </row>
    <row r="16029" spans="13:19" ht="13.95" customHeight="1">
      <c r="M16029"/>
      <c r="N16029"/>
      <c r="O16029"/>
      <c r="P16029"/>
      <c r="Q16029"/>
      <c r="R16029"/>
      <c r="S16029"/>
    </row>
    <row r="16030" spans="13:19" ht="13.95" customHeight="1">
      <c r="M16030"/>
      <c r="N16030"/>
      <c r="O16030"/>
      <c r="P16030"/>
      <c r="Q16030"/>
      <c r="R16030"/>
      <c r="S16030"/>
    </row>
    <row r="16031" spans="13:19" ht="13.95" customHeight="1">
      <c r="M16031"/>
      <c r="N16031"/>
      <c r="O16031"/>
      <c r="P16031"/>
      <c r="Q16031"/>
      <c r="R16031"/>
      <c r="S16031"/>
    </row>
    <row r="16032" spans="13:19" ht="13.95" customHeight="1">
      <c r="M16032"/>
      <c r="N16032"/>
      <c r="O16032"/>
      <c r="P16032"/>
      <c r="Q16032"/>
      <c r="R16032"/>
      <c r="S16032"/>
    </row>
    <row r="16033" spans="13:19" ht="13.95" customHeight="1">
      <c r="M16033"/>
      <c r="N16033"/>
      <c r="O16033"/>
      <c r="P16033"/>
      <c r="Q16033"/>
      <c r="R16033"/>
      <c r="S16033"/>
    </row>
    <row r="16034" spans="13:19" ht="13.95" customHeight="1">
      <c r="M16034"/>
      <c r="N16034"/>
      <c r="O16034"/>
      <c r="P16034"/>
      <c r="Q16034"/>
      <c r="R16034"/>
      <c r="S16034"/>
    </row>
    <row r="16035" spans="13:19" ht="13.95" customHeight="1">
      <c r="M16035"/>
      <c r="N16035"/>
      <c r="O16035"/>
      <c r="P16035"/>
      <c r="Q16035"/>
      <c r="R16035"/>
      <c r="S16035"/>
    </row>
    <row r="16036" spans="13:19" ht="13.95" customHeight="1">
      <c r="M16036"/>
      <c r="N16036"/>
      <c r="O16036"/>
      <c r="P16036"/>
      <c r="Q16036"/>
      <c r="R16036"/>
      <c r="S16036"/>
    </row>
    <row r="16037" spans="13:19" ht="13.95" customHeight="1">
      <c r="M16037"/>
      <c r="N16037"/>
      <c r="O16037"/>
      <c r="P16037"/>
      <c r="Q16037"/>
      <c r="R16037"/>
      <c r="S16037"/>
    </row>
    <row r="16038" spans="13:19" ht="13.95" customHeight="1">
      <c r="M16038"/>
      <c r="N16038"/>
      <c r="O16038"/>
      <c r="P16038"/>
      <c r="Q16038"/>
      <c r="R16038"/>
      <c r="S16038"/>
    </row>
    <row r="16039" spans="13:19" ht="13.95" customHeight="1">
      <c r="M16039"/>
      <c r="N16039"/>
      <c r="O16039"/>
      <c r="P16039"/>
      <c r="Q16039"/>
      <c r="R16039"/>
      <c r="S16039"/>
    </row>
    <row r="16040" spans="13:19" ht="13.95" customHeight="1">
      <c r="M16040"/>
      <c r="N16040"/>
      <c r="O16040"/>
      <c r="P16040"/>
      <c r="Q16040"/>
      <c r="R16040"/>
      <c r="S16040"/>
    </row>
    <row r="16041" spans="13:19" ht="13.95" customHeight="1">
      <c r="M16041"/>
      <c r="N16041"/>
      <c r="O16041"/>
      <c r="P16041"/>
      <c r="Q16041"/>
      <c r="R16041"/>
      <c r="S16041"/>
    </row>
    <row r="16042" spans="13:19" ht="13.95" customHeight="1">
      <c r="M16042"/>
      <c r="N16042"/>
      <c r="O16042"/>
      <c r="P16042"/>
      <c r="Q16042"/>
      <c r="R16042"/>
      <c r="S16042"/>
    </row>
    <row r="16043" spans="13:19" ht="13.95" customHeight="1">
      <c r="M16043"/>
      <c r="N16043"/>
      <c r="O16043"/>
      <c r="P16043"/>
      <c r="Q16043"/>
      <c r="R16043"/>
      <c r="S16043"/>
    </row>
    <row r="16044" spans="13:19" ht="13.95" customHeight="1">
      <c r="M16044"/>
      <c r="N16044"/>
      <c r="O16044"/>
      <c r="P16044"/>
      <c r="Q16044"/>
      <c r="R16044"/>
      <c r="S16044"/>
    </row>
    <row r="16045" spans="13:19" ht="13.95" customHeight="1">
      <c r="M16045"/>
      <c r="N16045"/>
      <c r="O16045"/>
      <c r="P16045"/>
      <c r="Q16045"/>
      <c r="R16045"/>
      <c r="S16045"/>
    </row>
    <row r="16046" spans="13:19" ht="13.95" customHeight="1">
      <c r="M16046"/>
      <c r="N16046"/>
      <c r="O16046"/>
      <c r="P16046"/>
      <c r="Q16046"/>
      <c r="R16046"/>
      <c r="S16046"/>
    </row>
    <row r="16047" spans="13:19" ht="13.95" customHeight="1">
      <c r="M16047"/>
      <c r="N16047"/>
      <c r="O16047"/>
      <c r="P16047"/>
      <c r="Q16047"/>
      <c r="R16047"/>
      <c r="S16047"/>
    </row>
    <row r="16048" spans="13:19" ht="13.95" customHeight="1">
      <c r="M16048"/>
      <c r="N16048"/>
      <c r="O16048"/>
      <c r="P16048"/>
      <c r="Q16048"/>
      <c r="R16048"/>
      <c r="S16048"/>
    </row>
    <row r="16049" spans="13:19" ht="13.95" customHeight="1">
      <c r="M16049"/>
      <c r="N16049"/>
      <c r="O16049"/>
      <c r="P16049"/>
      <c r="Q16049"/>
      <c r="R16049"/>
      <c r="S16049"/>
    </row>
    <row r="16050" spans="13:19" ht="13.95" customHeight="1">
      <c r="M16050"/>
      <c r="N16050"/>
      <c r="O16050"/>
      <c r="P16050"/>
      <c r="Q16050"/>
      <c r="R16050"/>
      <c r="S16050"/>
    </row>
    <row r="16051" spans="13:19" ht="13.95" customHeight="1">
      <c r="M16051"/>
      <c r="N16051"/>
      <c r="O16051"/>
      <c r="P16051"/>
      <c r="Q16051"/>
      <c r="R16051"/>
      <c r="S16051"/>
    </row>
    <row r="16052" spans="13:19" ht="13.95" customHeight="1">
      <c r="M16052"/>
      <c r="N16052"/>
      <c r="O16052"/>
      <c r="P16052"/>
      <c r="Q16052"/>
      <c r="R16052"/>
      <c r="S16052"/>
    </row>
    <row r="16053" spans="13:19" ht="13.95" customHeight="1">
      <c r="M16053"/>
      <c r="N16053"/>
      <c r="O16053"/>
      <c r="P16053"/>
      <c r="Q16053"/>
      <c r="R16053"/>
      <c r="S16053"/>
    </row>
    <row r="16054" spans="13:19" ht="13.95" customHeight="1">
      <c r="M16054"/>
      <c r="N16054"/>
      <c r="O16054"/>
      <c r="P16054"/>
      <c r="Q16054"/>
      <c r="R16054"/>
      <c r="S16054"/>
    </row>
    <row r="16055" spans="13:19" ht="13.95" customHeight="1">
      <c r="M16055"/>
      <c r="N16055"/>
      <c r="O16055"/>
      <c r="P16055"/>
      <c r="Q16055"/>
      <c r="R16055"/>
      <c r="S16055"/>
    </row>
    <row r="16056" spans="13:19" ht="13.95" customHeight="1">
      <c r="M16056"/>
      <c r="N16056"/>
      <c r="O16056"/>
      <c r="P16056"/>
      <c r="Q16056"/>
      <c r="R16056"/>
      <c r="S16056"/>
    </row>
    <row r="16057" spans="13:19" ht="13.95" customHeight="1">
      <c r="M16057"/>
      <c r="N16057"/>
      <c r="O16057"/>
      <c r="P16057"/>
      <c r="Q16057"/>
      <c r="R16057"/>
      <c r="S16057"/>
    </row>
    <row r="16058" spans="13:19" ht="13.95" customHeight="1">
      <c r="M16058"/>
      <c r="N16058"/>
      <c r="O16058"/>
      <c r="P16058"/>
      <c r="Q16058"/>
      <c r="R16058"/>
      <c r="S16058"/>
    </row>
    <row r="16059" spans="13:19" ht="13.95" customHeight="1">
      <c r="M16059"/>
      <c r="N16059"/>
      <c r="O16059"/>
      <c r="P16059"/>
      <c r="Q16059"/>
      <c r="R16059"/>
      <c r="S16059"/>
    </row>
    <row r="16060" spans="13:19" ht="13.95" customHeight="1">
      <c r="M16060"/>
      <c r="N16060"/>
      <c r="O16060"/>
      <c r="P16060"/>
      <c r="Q16060"/>
      <c r="R16060"/>
      <c r="S16060"/>
    </row>
    <row r="16061" spans="13:19" ht="13.95" customHeight="1">
      <c r="M16061"/>
      <c r="N16061"/>
      <c r="O16061"/>
      <c r="P16061"/>
      <c r="Q16061"/>
      <c r="R16061"/>
      <c r="S16061"/>
    </row>
    <row r="16062" spans="13:19" ht="13.95" customHeight="1">
      <c r="M16062"/>
      <c r="N16062"/>
      <c r="O16062"/>
      <c r="P16062"/>
      <c r="Q16062"/>
      <c r="R16062"/>
      <c r="S16062"/>
    </row>
    <row r="16063" spans="13:19" ht="13.95" customHeight="1">
      <c r="M16063"/>
      <c r="N16063"/>
      <c r="O16063"/>
      <c r="P16063"/>
      <c r="Q16063"/>
      <c r="R16063"/>
      <c r="S16063"/>
    </row>
    <row r="16064" spans="13:19" ht="13.95" customHeight="1">
      <c r="M16064"/>
      <c r="N16064"/>
      <c r="O16064"/>
      <c r="P16064"/>
      <c r="Q16064"/>
      <c r="R16064"/>
      <c r="S16064"/>
    </row>
    <row r="16065" spans="13:19" ht="13.95" customHeight="1">
      <c r="M16065"/>
      <c r="N16065"/>
      <c r="O16065"/>
      <c r="P16065"/>
      <c r="Q16065"/>
      <c r="R16065"/>
      <c r="S16065"/>
    </row>
    <row r="16066" spans="13:19" ht="13.95" customHeight="1">
      <c r="M16066"/>
      <c r="N16066"/>
      <c r="O16066"/>
      <c r="P16066"/>
      <c r="Q16066"/>
      <c r="R16066"/>
      <c r="S16066"/>
    </row>
    <row r="16067" spans="13:19" ht="13.95" customHeight="1">
      <c r="M16067"/>
      <c r="N16067"/>
      <c r="O16067"/>
      <c r="P16067"/>
      <c r="Q16067"/>
      <c r="R16067"/>
      <c r="S16067"/>
    </row>
    <row r="16068" spans="13:19" ht="13.95" customHeight="1">
      <c r="M16068"/>
      <c r="N16068"/>
      <c r="O16068"/>
      <c r="P16068"/>
      <c r="Q16068"/>
      <c r="R16068"/>
      <c r="S16068"/>
    </row>
    <row r="16069" spans="13:19" ht="13.95" customHeight="1">
      <c r="M16069"/>
      <c r="N16069"/>
      <c r="O16069"/>
      <c r="P16069"/>
      <c r="Q16069"/>
      <c r="R16069"/>
      <c r="S16069"/>
    </row>
    <row r="16070" spans="13:19" ht="13.95" customHeight="1">
      <c r="M16070"/>
      <c r="N16070"/>
      <c r="O16070"/>
      <c r="P16070"/>
      <c r="Q16070"/>
      <c r="R16070"/>
      <c r="S16070"/>
    </row>
    <row r="16071" spans="13:19" ht="13.95" customHeight="1">
      <c r="M16071"/>
      <c r="N16071"/>
      <c r="O16071"/>
      <c r="P16071"/>
      <c r="Q16071"/>
      <c r="R16071"/>
      <c r="S16071"/>
    </row>
    <row r="16072" spans="13:19" ht="13.95" customHeight="1">
      <c r="M16072"/>
      <c r="N16072"/>
      <c r="O16072"/>
      <c r="P16072"/>
      <c r="Q16072"/>
      <c r="R16072"/>
      <c r="S16072"/>
    </row>
    <row r="16073" spans="13:19" ht="13.95" customHeight="1">
      <c r="M16073"/>
      <c r="N16073"/>
      <c r="O16073"/>
      <c r="P16073"/>
      <c r="Q16073"/>
      <c r="R16073"/>
      <c r="S16073"/>
    </row>
    <row r="16074" spans="13:19" ht="13.95" customHeight="1">
      <c r="M16074"/>
      <c r="N16074"/>
      <c r="O16074"/>
      <c r="P16074"/>
      <c r="Q16074"/>
      <c r="R16074"/>
      <c r="S16074"/>
    </row>
    <row r="16075" spans="13:19" ht="13.95" customHeight="1">
      <c r="M16075"/>
      <c r="N16075"/>
      <c r="O16075"/>
      <c r="P16075"/>
      <c r="Q16075"/>
      <c r="R16075"/>
      <c r="S16075"/>
    </row>
    <row r="16076" spans="13:19" ht="13.95" customHeight="1">
      <c r="M16076"/>
      <c r="N16076"/>
      <c r="O16076"/>
      <c r="P16076"/>
      <c r="Q16076"/>
      <c r="R16076"/>
      <c r="S16076"/>
    </row>
    <row r="16077" spans="13:19" ht="13.95" customHeight="1">
      <c r="M16077"/>
      <c r="N16077"/>
      <c r="O16077"/>
      <c r="P16077"/>
      <c r="Q16077"/>
      <c r="R16077"/>
      <c r="S16077"/>
    </row>
    <row r="16078" spans="13:19" ht="13.95" customHeight="1">
      <c r="M16078"/>
      <c r="N16078"/>
      <c r="O16078"/>
      <c r="P16078"/>
      <c r="Q16078"/>
      <c r="R16078"/>
      <c r="S16078"/>
    </row>
    <row r="16079" spans="13:19" ht="13.95" customHeight="1">
      <c r="M16079"/>
      <c r="N16079"/>
      <c r="O16079"/>
      <c r="P16079"/>
      <c r="Q16079"/>
      <c r="R16079"/>
      <c r="S16079"/>
    </row>
    <row r="16080" spans="13:19" ht="13.95" customHeight="1">
      <c r="M16080"/>
      <c r="N16080"/>
      <c r="O16080"/>
      <c r="P16080"/>
      <c r="Q16080"/>
      <c r="R16080"/>
      <c r="S16080"/>
    </row>
    <row r="16081" spans="13:19" ht="13.95" customHeight="1">
      <c r="M16081"/>
      <c r="N16081"/>
      <c r="O16081"/>
      <c r="P16081"/>
      <c r="Q16081"/>
      <c r="R16081"/>
      <c r="S16081"/>
    </row>
    <row r="16082" spans="13:19" ht="13.95" customHeight="1">
      <c r="M16082"/>
      <c r="N16082"/>
      <c r="O16082"/>
      <c r="P16082"/>
      <c r="Q16082"/>
      <c r="R16082"/>
      <c r="S16082"/>
    </row>
    <row r="16083" spans="13:19" ht="13.95" customHeight="1">
      <c r="M16083"/>
      <c r="N16083"/>
      <c r="O16083"/>
      <c r="P16083"/>
      <c r="Q16083"/>
      <c r="R16083"/>
      <c r="S16083"/>
    </row>
    <row r="16084" spans="13:19" ht="13.95" customHeight="1">
      <c r="M16084"/>
      <c r="N16084"/>
      <c r="O16084"/>
      <c r="P16084"/>
      <c r="Q16084"/>
      <c r="R16084"/>
      <c r="S16084"/>
    </row>
    <row r="16085" spans="13:19" ht="13.95" customHeight="1">
      <c r="M16085"/>
      <c r="N16085"/>
      <c r="O16085"/>
      <c r="P16085"/>
      <c r="Q16085"/>
      <c r="R16085"/>
      <c r="S16085"/>
    </row>
    <row r="16086" spans="13:19" ht="13.95" customHeight="1">
      <c r="M16086"/>
      <c r="N16086"/>
      <c r="O16086"/>
      <c r="P16086"/>
      <c r="Q16086"/>
      <c r="R16086"/>
      <c r="S16086"/>
    </row>
    <row r="16087" spans="13:19" ht="13.95" customHeight="1">
      <c r="M16087"/>
      <c r="N16087"/>
      <c r="O16087"/>
      <c r="P16087"/>
      <c r="Q16087"/>
      <c r="R16087"/>
      <c r="S16087"/>
    </row>
    <row r="16088" spans="13:19" ht="13.95" customHeight="1">
      <c r="M16088"/>
      <c r="N16088"/>
      <c r="O16088"/>
      <c r="P16088"/>
      <c r="Q16088"/>
      <c r="R16088"/>
      <c r="S16088"/>
    </row>
    <row r="16089" spans="13:19" ht="13.95" customHeight="1">
      <c r="M16089"/>
      <c r="N16089"/>
      <c r="O16089"/>
      <c r="P16089"/>
      <c r="Q16089"/>
      <c r="R16089"/>
      <c r="S16089"/>
    </row>
    <row r="16090" spans="13:19" ht="13.95" customHeight="1">
      <c r="M16090"/>
      <c r="N16090"/>
      <c r="O16090"/>
      <c r="P16090"/>
      <c r="Q16090"/>
      <c r="R16090"/>
      <c r="S16090"/>
    </row>
    <row r="16091" spans="13:19" ht="13.95" customHeight="1">
      <c r="M16091"/>
      <c r="N16091"/>
      <c r="O16091"/>
      <c r="P16091"/>
      <c r="Q16091"/>
      <c r="R16091"/>
      <c r="S16091"/>
    </row>
    <row r="16092" spans="13:19" ht="13.95" customHeight="1">
      <c r="M16092"/>
      <c r="N16092"/>
      <c r="O16092"/>
      <c r="P16092"/>
      <c r="Q16092"/>
      <c r="R16092"/>
      <c r="S16092"/>
    </row>
    <row r="16093" spans="13:19" ht="13.95" customHeight="1">
      <c r="M16093"/>
      <c r="N16093"/>
      <c r="O16093"/>
      <c r="P16093"/>
      <c r="Q16093"/>
      <c r="R16093"/>
      <c r="S16093"/>
    </row>
    <row r="16094" spans="13:19" ht="13.95" customHeight="1">
      <c r="M16094"/>
      <c r="N16094"/>
      <c r="O16094"/>
      <c r="P16094"/>
      <c r="Q16094"/>
      <c r="R16094"/>
      <c r="S16094"/>
    </row>
    <row r="16095" spans="13:19" ht="13.95" customHeight="1">
      <c r="M16095"/>
      <c r="N16095"/>
      <c r="O16095"/>
      <c r="P16095"/>
      <c r="Q16095"/>
      <c r="R16095"/>
      <c r="S16095"/>
    </row>
    <row r="16096" spans="13:19" ht="13.95" customHeight="1">
      <c r="M16096"/>
      <c r="N16096"/>
      <c r="O16096"/>
      <c r="P16096"/>
      <c r="Q16096"/>
      <c r="R16096"/>
      <c r="S16096"/>
    </row>
    <row r="16097" spans="13:19" ht="13.95" customHeight="1">
      <c r="M16097"/>
      <c r="N16097"/>
      <c r="O16097"/>
      <c r="P16097"/>
      <c r="Q16097"/>
      <c r="R16097"/>
      <c r="S16097"/>
    </row>
    <row r="16098" spans="13:19" ht="13.95" customHeight="1">
      <c r="M16098"/>
      <c r="N16098"/>
      <c r="O16098"/>
      <c r="P16098"/>
      <c r="Q16098"/>
      <c r="R16098"/>
      <c r="S16098"/>
    </row>
    <row r="16099" spans="13:19" ht="13.95" customHeight="1">
      <c r="M16099"/>
      <c r="N16099"/>
      <c r="O16099"/>
      <c r="P16099"/>
      <c r="Q16099"/>
      <c r="R16099"/>
      <c r="S16099"/>
    </row>
    <row r="16100" spans="13:19" ht="13.95" customHeight="1">
      <c r="M16100"/>
      <c r="N16100"/>
      <c r="O16100"/>
      <c r="P16100"/>
      <c r="Q16100"/>
      <c r="R16100"/>
      <c r="S16100"/>
    </row>
    <row r="16101" spans="13:19" ht="13.95" customHeight="1">
      <c r="M16101"/>
      <c r="N16101"/>
      <c r="O16101"/>
      <c r="P16101"/>
      <c r="Q16101"/>
      <c r="R16101"/>
      <c r="S16101"/>
    </row>
    <row r="16102" spans="13:19" ht="13.95" customHeight="1">
      <c r="M16102"/>
      <c r="N16102"/>
      <c r="O16102"/>
      <c r="P16102"/>
      <c r="Q16102"/>
      <c r="R16102"/>
      <c r="S16102"/>
    </row>
    <row r="16103" spans="13:19" ht="13.95" customHeight="1">
      <c r="M16103"/>
      <c r="N16103"/>
      <c r="O16103"/>
      <c r="P16103"/>
      <c r="Q16103"/>
      <c r="R16103"/>
      <c r="S16103"/>
    </row>
    <row r="16104" spans="13:19" ht="13.95" customHeight="1">
      <c r="M16104"/>
      <c r="N16104"/>
      <c r="O16104"/>
      <c r="P16104"/>
      <c r="Q16104"/>
      <c r="R16104"/>
      <c r="S16104"/>
    </row>
    <row r="16105" spans="13:19" ht="13.95" customHeight="1">
      <c r="M16105"/>
      <c r="N16105"/>
      <c r="O16105"/>
      <c r="P16105"/>
      <c r="Q16105"/>
      <c r="R16105"/>
      <c r="S16105"/>
    </row>
    <row r="16106" spans="13:19" ht="13.95" customHeight="1">
      <c r="M16106"/>
      <c r="N16106"/>
      <c r="O16106"/>
      <c r="P16106"/>
      <c r="Q16106"/>
      <c r="R16106"/>
      <c r="S16106"/>
    </row>
    <row r="16107" spans="13:19" ht="13.95" customHeight="1">
      <c r="M16107"/>
      <c r="N16107"/>
      <c r="O16107"/>
      <c r="P16107"/>
      <c r="Q16107"/>
      <c r="R16107"/>
      <c r="S16107"/>
    </row>
    <row r="16108" spans="13:19" ht="13.95" customHeight="1">
      <c r="M16108"/>
      <c r="N16108"/>
      <c r="O16108"/>
      <c r="P16108"/>
      <c r="Q16108"/>
      <c r="R16108"/>
      <c r="S16108"/>
    </row>
    <row r="16109" spans="13:19" ht="13.95" customHeight="1">
      <c r="M16109"/>
      <c r="N16109"/>
      <c r="O16109"/>
      <c r="P16109"/>
      <c r="Q16109"/>
      <c r="R16109"/>
      <c r="S16109"/>
    </row>
    <row r="16110" spans="13:19" ht="13.95" customHeight="1">
      <c r="M16110"/>
      <c r="N16110"/>
      <c r="O16110"/>
      <c r="P16110"/>
      <c r="Q16110"/>
      <c r="R16110"/>
      <c r="S16110"/>
    </row>
    <row r="16111" spans="13:19" ht="13.95" customHeight="1">
      <c r="M16111"/>
      <c r="N16111"/>
      <c r="O16111"/>
      <c r="P16111"/>
      <c r="Q16111"/>
      <c r="R16111"/>
      <c r="S16111"/>
    </row>
    <row r="16112" spans="13:19" ht="13.95" customHeight="1">
      <c r="M16112"/>
      <c r="N16112"/>
      <c r="O16112"/>
      <c r="P16112"/>
      <c r="Q16112"/>
      <c r="R16112"/>
      <c r="S16112"/>
    </row>
    <row r="16113" spans="13:19" ht="13.95" customHeight="1">
      <c r="M16113"/>
      <c r="N16113"/>
      <c r="O16113"/>
      <c r="P16113"/>
      <c r="Q16113"/>
      <c r="R16113"/>
      <c r="S16113"/>
    </row>
    <row r="16114" spans="13:19" ht="13.95" customHeight="1">
      <c r="M16114"/>
      <c r="N16114"/>
      <c r="O16114"/>
      <c r="P16114"/>
      <c r="Q16114"/>
      <c r="R16114"/>
      <c r="S16114"/>
    </row>
    <row r="16115" spans="13:19" ht="13.95" customHeight="1">
      <c r="M16115"/>
      <c r="N16115"/>
      <c r="O16115"/>
      <c r="P16115"/>
      <c r="Q16115"/>
      <c r="R16115"/>
      <c r="S16115"/>
    </row>
    <row r="16116" spans="13:19" ht="13.95" customHeight="1">
      <c r="M16116"/>
      <c r="N16116"/>
      <c r="O16116"/>
      <c r="P16116"/>
      <c r="Q16116"/>
      <c r="R16116"/>
      <c r="S16116"/>
    </row>
    <row r="16117" spans="13:19" ht="13.95" customHeight="1">
      <c r="M16117"/>
      <c r="N16117"/>
      <c r="O16117"/>
      <c r="P16117"/>
      <c r="Q16117"/>
      <c r="R16117"/>
      <c r="S16117"/>
    </row>
    <row r="16118" spans="13:19" ht="13.95" customHeight="1">
      <c r="M16118"/>
      <c r="N16118"/>
      <c r="O16118"/>
      <c r="P16118"/>
      <c r="Q16118"/>
      <c r="R16118"/>
      <c r="S16118"/>
    </row>
    <row r="16119" spans="13:19" ht="13.95" customHeight="1">
      <c r="M16119"/>
      <c r="N16119"/>
      <c r="O16119"/>
      <c r="P16119"/>
      <c r="Q16119"/>
      <c r="R16119"/>
      <c r="S16119"/>
    </row>
    <row r="16120" spans="13:19" ht="13.95" customHeight="1">
      <c r="M16120"/>
      <c r="N16120"/>
      <c r="O16120"/>
      <c r="P16120"/>
      <c r="Q16120"/>
      <c r="R16120"/>
      <c r="S16120"/>
    </row>
    <row r="16121" spans="13:19" ht="13.95" customHeight="1">
      <c r="M16121"/>
      <c r="N16121"/>
      <c r="O16121"/>
      <c r="P16121"/>
      <c r="Q16121"/>
      <c r="R16121"/>
      <c r="S16121"/>
    </row>
    <row r="16122" spans="13:19" ht="13.95" customHeight="1">
      <c r="M16122"/>
      <c r="N16122"/>
      <c r="O16122"/>
      <c r="P16122"/>
      <c r="Q16122"/>
      <c r="R16122"/>
      <c r="S16122"/>
    </row>
    <row r="16123" spans="13:19" ht="13.95" customHeight="1">
      <c r="M16123"/>
      <c r="N16123"/>
      <c r="O16123"/>
      <c r="P16123"/>
      <c r="Q16123"/>
      <c r="R16123"/>
      <c r="S16123"/>
    </row>
    <row r="16124" spans="13:19" ht="13.95" customHeight="1">
      <c r="M16124"/>
      <c r="N16124"/>
      <c r="O16124"/>
      <c r="P16124"/>
      <c r="Q16124"/>
      <c r="R16124"/>
      <c r="S16124"/>
    </row>
    <row r="16125" spans="13:19" ht="13.95" customHeight="1">
      <c r="M16125"/>
      <c r="N16125"/>
      <c r="O16125"/>
      <c r="P16125"/>
      <c r="Q16125"/>
      <c r="R16125"/>
      <c r="S16125"/>
    </row>
    <row r="16126" spans="13:19" ht="13.95" customHeight="1">
      <c r="M16126"/>
      <c r="N16126"/>
      <c r="O16126"/>
      <c r="P16126"/>
      <c r="Q16126"/>
      <c r="R16126"/>
      <c r="S16126"/>
    </row>
    <row r="16127" spans="13:19" ht="13.95" customHeight="1">
      <c r="M16127"/>
      <c r="N16127"/>
      <c r="O16127"/>
      <c r="P16127"/>
      <c r="Q16127"/>
      <c r="R16127"/>
      <c r="S16127"/>
    </row>
    <row r="16128" spans="13:19" ht="13.95" customHeight="1">
      <c r="M16128"/>
      <c r="N16128"/>
      <c r="O16128"/>
      <c r="P16128"/>
      <c r="Q16128"/>
      <c r="R16128"/>
      <c r="S16128"/>
    </row>
    <row r="16129" spans="13:19" ht="13.95" customHeight="1">
      <c r="M16129"/>
      <c r="N16129"/>
      <c r="O16129"/>
      <c r="P16129"/>
      <c r="Q16129"/>
      <c r="R16129"/>
      <c r="S16129"/>
    </row>
    <row r="16130" spans="13:19" ht="13.95" customHeight="1">
      <c r="M16130"/>
      <c r="N16130"/>
      <c r="O16130"/>
      <c r="P16130"/>
      <c r="Q16130"/>
      <c r="R16130"/>
      <c r="S16130"/>
    </row>
    <row r="16131" spans="13:19" ht="13.95" customHeight="1">
      <c r="M16131"/>
      <c r="N16131"/>
      <c r="O16131"/>
      <c r="P16131"/>
      <c r="Q16131"/>
      <c r="R16131"/>
      <c r="S16131"/>
    </row>
    <row r="16132" spans="13:19" ht="13.95" customHeight="1">
      <c r="M16132"/>
      <c r="N16132"/>
      <c r="O16132"/>
      <c r="P16132"/>
      <c r="Q16132"/>
      <c r="R16132"/>
      <c r="S16132"/>
    </row>
    <row r="16133" spans="13:19" ht="13.95" customHeight="1">
      <c r="M16133"/>
      <c r="N16133"/>
      <c r="O16133"/>
      <c r="P16133"/>
      <c r="Q16133"/>
      <c r="R16133"/>
      <c r="S16133"/>
    </row>
    <row r="16134" spans="13:19" ht="13.95" customHeight="1">
      <c r="M16134"/>
      <c r="N16134"/>
      <c r="O16134"/>
      <c r="P16134"/>
      <c r="Q16134"/>
      <c r="R16134"/>
      <c r="S16134"/>
    </row>
    <row r="16135" spans="13:19" ht="13.95" customHeight="1">
      <c r="M16135"/>
      <c r="N16135"/>
      <c r="O16135"/>
      <c r="P16135"/>
      <c r="Q16135"/>
      <c r="R16135"/>
      <c r="S16135"/>
    </row>
    <row r="16136" spans="13:19" ht="13.95" customHeight="1">
      <c r="M16136"/>
      <c r="N16136"/>
      <c r="O16136"/>
      <c r="P16136"/>
      <c r="Q16136"/>
      <c r="R16136"/>
      <c r="S16136"/>
    </row>
    <row r="16137" spans="13:19" ht="13.95" customHeight="1">
      <c r="M16137"/>
      <c r="N16137"/>
      <c r="O16137"/>
      <c r="P16137"/>
      <c r="Q16137"/>
      <c r="R16137"/>
      <c r="S16137"/>
    </row>
    <row r="16138" spans="13:19" ht="13.95" customHeight="1">
      <c r="M16138"/>
      <c r="N16138"/>
      <c r="O16138"/>
      <c r="P16138"/>
      <c r="Q16138"/>
      <c r="R16138"/>
      <c r="S16138"/>
    </row>
    <row r="16139" spans="13:19" ht="13.95" customHeight="1">
      <c r="M16139"/>
      <c r="N16139"/>
      <c r="O16139"/>
      <c r="P16139"/>
      <c r="Q16139"/>
      <c r="R16139"/>
      <c r="S16139"/>
    </row>
    <row r="16140" spans="13:19" ht="13.95" customHeight="1">
      <c r="M16140"/>
      <c r="N16140"/>
      <c r="O16140"/>
      <c r="P16140"/>
      <c r="Q16140"/>
      <c r="R16140"/>
      <c r="S16140"/>
    </row>
    <row r="16141" spans="13:19" ht="13.95" customHeight="1">
      <c r="M16141"/>
      <c r="N16141"/>
      <c r="O16141"/>
      <c r="P16141"/>
      <c r="Q16141"/>
      <c r="R16141"/>
      <c r="S16141"/>
    </row>
    <row r="16142" spans="13:19" ht="13.95" customHeight="1">
      <c r="M16142"/>
      <c r="N16142"/>
      <c r="O16142"/>
      <c r="P16142"/>
      <c r="Q16142"/>
      <c r="R16142"/>
      <c r="S16142"/>
    </row>
    <row r="16143" spans="13:19" ht="13.95" customHeight="1">
      <c r="M16143"/>
      <c r="N16143"/>
      <c r="O16143"/>
      <c r="P16143"/>
      <c r="Q16143"/>
      <c r="R16143"/>
      <c r="S16143"/>
    </row>
    <row r="16144" spans="13:19" ht="13.95" customHeight="1">
      <c r="M16144"/>
      <c r="N16144"/>
      <c r="O16144"/>
      <c r="P16144"/>
      <c r="Q16144"/>
      <c r="R16144"/>
      <c r="S16144"/>
    </row>
    <row r="16145" spans="13:19" ht="13.95" customHeight="1">
      <c r="M16145"/>
      <c r="N16145"/>
      <c r="O16145"/>
      <c r="P16145"/>
      <c r="Q16145"/>
      <c r="R16145"/>
      <c r="S16145"/>
    </row>
    <row r="16146" spans="13:19" ht="13.95" customHeight="1">
      <c r="M16146"/>
      <c r="N16146"/>
      <c r="O16146"/>
      <c r="P16146"/>
      <c r="Q16146"/>
      <c r="R16146"/>
      <c r="S16146"/>
    </row>
    <row r="16147" spans="13:19" ht="13.95" customHeight="1">
      <c r="M16147"/>
      <c r="N16147"/>
      <c r="O16147"/>
      <c r="P16147"/>
      <c r="Q16147"/>
      <c r="R16147"/>
      <c r="S16147"/>
    </row>
    <row r="16148" spans="13:19" ht="13.95" customHeight="1">
      <c r="M16148"/>
      <c r="N16148"/>
      <c r="O16148"/>
      <c r="P16148"/>
      <c r="Q16148"/>
      <c r="R16148"/>
      <c r="S16148"/>
    </row>
    <row r="16149" spans="13:19" ht="13.95" customHeight="1">
      <c r="M16149"/>
      <c r="N16149"/>
      <c r="O16149"/>
      <c r="P16149"/>
      <c r="Q16149"/>
      <c r="R16149"/>
      <c r="S16149"/>
    </row>
    <row r="16150" spans="13:19" ht="13.95" customHeight="1">
      <c r="M16150"/>
      <c r="N16150"/>
      <c r="O16150"/>
      <c r="P16150"/>
      <c r="Q16150"/>
      <c r="R16150"/>
      <c r="S16150"/>
    </row>
    <row r="16151" spans="13:19" ht="13.95" customHeight="1">
      <c r="M16151"/>
      <c r="N16151"/>
      <c r="O16151"/>
      <c r="P16151"/>
      <c r="Q16151"/>
      <c r="R16151"/>
      <c r="S16151"/>
    </row>
    <row r="16152" spans="13:19" ht="13.95" customHeight="1">
      <c r="M16152"/>
      <c r="N16152"/>
      <c r="O16152"/>
      <c r="P16152"/>
      <c r="Q16152"/>
      <c r="R16152"/>
      <c r="S16152"/>
    </row>
    <row r="16153" spans="13:19" ht="13.95" customHeight="1">
      <c r="M16153"/>
      <c r="N16153"/>
      <c r="O16153"/>
      <c r="P16153"/>
      <c r="Q16153"/>
      <c r="R16153"/>
      <c r="S16153"/>
    </row>
    <row r="16154" spans="13:19" ht="13.95" customHeight="1">
      <c r="M16154"/>
      <c r="N16154"/>
      <c r="O16154"/>
      <c r="P16154"/>
      <c r="Q16154"/>
      <c r="R16154"/>
      <c r="S16154"/>
    </row>
    <row r="16155" spans="13:19" ht="13.95" customHeight="1">
      <c r="M16155"/>
      <c r="N16155"/>
      <c r="O16155"/>
      <c r="P16155"/>
      <c r="Q16155"/>
      <c r="R16155"/>
      <c r="S16155"/>
    </row>
    <row r="16156" spans="13:19" ht="13.95" customHeight="1">
      <c r="M16156"/>
      <c r="N16156"/>
      <c r="O16156"/>
      <c r="P16156"/>
      <c r="Q16156"/>
      <c r="R16156"/>
      <c r="S16156"/>
    </row>
    <row r="16157" spans="13:19" ht="13.95" customHeight="1">
      <c r="M16157"/>
      <c r="N16157"/>
      <c r="O16157"/>
      <c r="P16157"/>
      <c r="Q16157"/>
      <c r="R16157"/>
      <c r="S16157"/>
    </row>
    <row r="16158" spans="13:19" ht="13.95" customHeight="1">
      <c r="M16158"/>
      <c r="N16158"/>
      <c r="O16158"/>
      <c r="P16158"/>
      <c r="Q16158"/>
      <c r="R16158"/>
      <c r="S16158"/>
    </row>
    <row r="16159" spans="13:19" ht="13.95" customHeight="1">
      <c r="M16159"/>
      <c r="N16159"/>
      <c r="O16159"/>
      <c r="P16159"/>
      <c r="Q16159"/>
      <c r="R16159"/>
      <c r="S16159"/>
    </row>
    <row r="16160" spans="13:19" ht="13.95" customHeight="1">
      <c r="M16160"/>
      <c r="N16160"/>
      <c r="O16160"/>
      <c r="P16160"/>
      <c r="Q16160"/>
      <c r="R16160"/>
      <c r="S16160"/>
    </row>
    <row r="16161" spans="13:19" ht="13.95" customHeight="1">
      <c r="M16161"/>
      <c r="N16161"/>
      <c r="O16161"/>
      <c r="P16161"/>
      <c r="Q16161"/>
      <c r="R16161"/>
      <c r="S16161"/>
    </row>
    <row r="16162" spans="13:19" ht="13.95" customHeight="1">
      <c r="M16162"/>
      <c r="N16162"/>
      <c r="O16162"/>
      <c r="P16162"/>
      <c r="Q16162"/>
      <c r="R16162"/>
      <c r="S16162"/>
    </row>
    <row r="16163" spans="13:19" ht="13.95" customHeight="1">
      <c r="M16163"/>
      <c r="N16163"/>
      <c r="O16163"/>
      <c r="P16163"/>
      <c r="Q16163"/>
      <c r="R16163"/>
      <c r="S16163"/>
    </row>
    <row r="16164" spans="13:19" ht="13.95" customHeight="1">
      <c r="M16164"/>
      <c r="N16164"/>
      <c r="O16164"/>
      <c r="P16164"/>
      <c r="Q16164"/>
      <c r="R16164"/>
      <c r="S16164"/>
    </row>
    <row r="16165" spans="13:19" ht="13.95" customHeight="1">
      <c r="M16165"/>
      <c r="N16165"/>
      <c r="O16165"/>
      <c r="P16165"/>
      <c r="Q16165"/>
      <c r="R16165"/>
      <c r="S16165"/>
    </row>
    <row r="16166" spans="13:19" ht="13.95" customHeight="1">
      <c r="M16166"/>
      <c r="N16166"/>
      <c r="O16166"/>
      <c r="P16166"/>
      <c r="Q16166"/>
      <c r="R16166"/>
      <c r="S16166"/>
    </row>
    <row r="16167" spans="13:19" ht="13.95" customHeight="1">
      <c r="M16167"/>
      <c r="N16167"/>
      <c r="O16167"/>
      <c r="P16167"/>
      <c r="Q16167"/>
      <c r="R16167"/>
      <c r="S16167"/>
    </row>
    <row r="16168" spans="13:19" ht="13.95" customHeight="1">
      <c r="M16168"/>
      <c r="N16168"/>
      <c r="O16168"/>
      <c r="P16168"/>
      <c r="Q16168"/>
      <c r="R16168"/>
      <c r="S16168"/>
    </row>
    <row r="16169" spans="13:19" ht="13.95" customHeight="1">
      <c r="M16169"/>
      <c r="N16169"/>
      <c r="O16169"/>
      <c r="P16169"/>
      <c r="Q16169"/>
      <c r="R16169"/>
      <c r="S16169"/>
    </row>
    <row r="16170" spans="13:19" ht="13.95" customHeight="1">
      <c r="M16170"/>
      <c r="N16170"/>
      <c r="O16170"/>
      <c r="P16170"/>
      <c r="Q16170"/>
      <c r="R16170"/>
      <c r="S16170"/>
    </row>
    <row r="16171" spans="13:19" ht="13.95" customHeight="1">
      <c r="M16171"/>
      <c r="N16171"/>
      <c r="O16171"/>
      <c r="P16171"/>
      <c r="Q16171"/>
      <c r="R16171"/>
      <c r="S16171"/>
    </row>
    <row r="16172" spans="13:19" ht="13.95" customHeight="1">
      <c r="M16172"/>
      <c r="N16172"/>
      <c r="O16172"/>
      <c r="P16172"/>
      <c r="Q16172"/>
      <c r="R16172"/>
      <c r="S16172"/>
    </row>
    <row r="16173" spans="13:19" ht="13.95" customHeight="1">
      <c r="M16173"/>
      <c r="N16173"/>
      <c r="O16173"/>
      <c r="P16173"/>
      <c r="Q16173"/>
      <c r="R16173"/>
      <c r="S16173"/>
    </row>
    <row r="16174" spans="13:19" ht="13.95" customHeight="1">
      <c r="M16174"/>
      <c r="N16174"/>
      <c r="O16174"/>
      <c r="P16174"/>
      <c r="Q16174"/>
      <c r="R16174"/>
      <c r="S16174"/>
    </row>
    <row r="16175" spans="13:19" ht="13.95" customHeight="1">
      <c r="M16175"/>
      <c r="N16175"/>
      <c r="O16175"/>
      <c r="P16175"/>
      <c r="Q16175"/>
      <c r="R16175"/>
      <c r="S16175"/>
    </row>
    <row r="16176" spans="13:19" ht="13.95" customHeight="1">
      <c r="M16176"/>
      <c r="N16176"/>
      <c r="O16176"/>
      <c r="P16176"/>
      <c r="Q16176"/>
      <c r="R16176"/>
      <c r="S16176"/>
    </row>
    <row r="16177" spans="13:19" ht="13.95" customHeight="1">
      <c r="M16177"/>
      <c r="N16177"/>
      <c r="O16177"/>
      <c r="P16177"/>
      <c r="Q16177"/>
      <c r="R16177"/>
      <c r="S16177"/>
    </row>
    <row r="16178" spans="13:19" ht="13.95" customHeight="1">
      <c r="M16178"/>
      <c r="N16178"/>
      <c r="O16178"/>
      <c r="P16178"/>
      <c r="Q16178"/>
      <c r="R16178"/>
      <c r="S16178"/>
    </row>
    <row r="16179" spans="13:19" ht="13.95" customHeight="1">
      <c r="M16179"/>
      <c r="N16179"/>
      <c r="O16179"/>
      <c r="P16179"/>
      <c r="Q16179"/>
      <c r="R16179"/>
      <c r="S16179"/>
    </row>
    <row r="16180" spans="13:19" ht="13.95" customHeight="1">
      <c r="M16180"/>
      <c r="N16180"/>
      <c r="O16180"/>
      <c r="P16180"/>
      <c r="Q16180"/>
      <c r="R16180"/>
      <c r="S16180"/>
    </row>
    <row r="16181" spans="13:19" ht="13.95" customHeight="1">
      <c r="M16181"/>
      <c r="N16181"/>
      <c r="O16181"/>
      <c r="P16181"/>
      <c r="Q16181"/>
      <c r="R16181"/>
      <c r="S16181"/>
    </row>
    <row r="16182" spans="13:19" ht="13.95" customHeight="1">
      <c r="M16182"/>
      <c r="N16182"/>
      <c r="O16182"/>
      <c r="P16182"/>
      <c r="Q16182"/>
      <c r="R16182"/>
      <c r="S16182"/>
    </row>
    <row r="16183" spans="13:19" ht="13.95" customHeight="1">
      <c r="M16183"/>
      <c r="N16183"/>
      <c r="O16183"/>
      <c r="P16183"/>
      <c r="Q16183"/>
      <c r="R16183"/>
      <c r="S16183"/>
    </row>
    <row r="16184" spans="13:19" ht="13.95" customHeight="1">
      <c r="M16184"/>
      <c r="N16184"/>
      <c r="O16184"/>
      <c r="P16184"/>
      <c r="Q16184"/>
      <c r="R16184"/>
      <c r="S16184"/>
    </row>
    <row r="16185" spans="13:19" ht="13.95" customHeight="1">
      <c r="M16185"/>
      <c r="N16185"/>
      <c r="O16185"/>
      <c r="P16185"/>
      <c r="Q16185"/>
      <c r="R16185"/>
      <c r="S16185"/>
    </row>
    <row r="16186" spans="13:19" ht="13.95" customHeight="1">
      <c r="M16186"/>
      <c r="N16186"/>
      <c r="O16186"/>
      <c r="P16186"/>
      <c r="Q16186"/>
      <c r="R16186"/>
      <c r="S16186"/>
    </row>
    <row r="16187" spans="13:19" ht="13.95" customHeight="1">
      <c r="M16187"/>
      <c r="N16187"/>
      <c r="O16187"/>
      <c r="P16187"/>
      <c r="Q16187"/>
      <c r="R16187"/>
      <c r="S16187"/>
    </row>
    <row r="16188" spans="13:19" ht="13.95" customHeight="1">
      <c r="M16188"/>
      <c r="N16188"/>
      <c r="O16188"/>
      <c r="P16188"/>
      <c r="Q16188"/>
      <c r="R16188"/>
      <c r="S16188"/>
    </row>
    <row r="16189" spans="13:19" ht="13.95" customHeight="1">
      <c r="M16189"/>
      <c r="N16189"/>
      <c r="O16189"/>
      <c r="P16189"/>
      <c r="Q16189"/>
      <c r="R16189"/>
      <c r="S16189"/>
    </row>
    <row r="16190" spans="13:19" ht="13.95" customHeight="1">
      <c r="M16190"/>
      <c r="N16190"/>
      <c r="O16190"/>
      <c r="P16190"/>
      <c r="Q16190"/>
      <c r="R16190"/>
      <c r="S16190"/>
    </row>
    <row r="16191" spans="13:19" ht="13.95" customHeight="1">
      <c r="M16191"/>
      <c r="N16191"/>
      <c r="O16191"/>
      <c r="P16191"/>
      <c r="Q16191"/>
      <c r="R16191"/>
      <c r="S16191"/>
    </row>
    <row r="16192" spans="13:19" ht="13.95" customHeight="1">
      <c r="M16192"/>
      <c r="N16192"/>
      <c r="O16192"/>
      <c r="P16192"/>
      <c r="Q16192"/>
      <c r="R16192"/>
      <c r="S16192"/>
    </row>
    <row r="16193" spans="13:19" ht="13.95" customHeight="1">
      <c r="M16193"/>
      <c r="N16193"/>
      <c r="O16193"/>
      <c r="P16193"/>
      <c r="Q16193"/>
      <c r="R16193"/>
      <c r="S16193"/>
    </row>
    <row r="16194" spans="13:19" ht="13.95" customHeight="1">
      <c r="M16194"/>
      <c r="N16194"/>
      <c r="O16194"/>
      <c r="P16194"/>
      <c r="Q16194"/>
      <c r="R16194"/>
      <c r="S16194"/>
    </row>
    <row r="16195" spans="13:19" ht="13.95" customHeight="1">
      <c r="M16195"/>
      <c r="N16195"/>
      <c r="O16195"/>
      <c r="P16195"/>
      <c r="Q16195"/>
      <c r="R16195"/>
      <c r="S16195"/>
    </row>
    <row r="16196" spans="13:19" ht="13.95" customHeight="1">
      <c r="M16196"/>
      <c r="N16196"/>
      <c r="O16196"/>
      <c r="P16196"/>
      <c r="Q16196"/>
      <c r="R16196"/>
      <c r="S16196"/>
    </row>
    <row r="16197" spans="13:19" ht="13.95" customHeight="1">
      <c r="M16197"/>
      <c r="N16197"/>
      <c r="O16197"/>
      <c r="P16197"/>
      <c r="Q16197"/>
      <c r="R16197"/>
      <c r="S16197"/>
    </row>
    <row r="16198" spans="13:19" ht="13.95" customHeight="1">
      <c r="M16198"/>
      <c r="N16198"/>
      <c r="O16198"/>
      <c r="P16198"/>
      <c r="Q16198"/>
      <c r="R16198"/>
      <c r="S16198"/>
    </row>
    <row r="16199" spans="13:19" ht="13.95" customHeight="1">
      <c r="M16199"/>
      <c r="N16199"/>
      <c r="O16199"/>
      <c r="P16199"/>
      <c r="Q16199"/>
      <c r="R16199"/>
      <c r="S16199"/>
    </row>
    <row r="16200" spans="13:19" ht="13.95" customHeight="1">
      <c r="M16200"/>
      <c r="N16200"/>
      <c r="O16200"/>
      <c r="P16200"/>
      <c r="Q16200"/>
      <c r="R16200"/>
      <c r="S16200"/>
    </row>
    <row r="16201" spans="13:19" ht="13.95" customHeight="1">
      <c r="M16201"/>
      <c r="N16201"/>
      <c r="O16201"/>
      <c r="P16201"/>
      <c r="Q16201"/>
      <c r="R16201"/>
      <c r="S16201"/>
    </row>
    <row r="16202" spans="13:19" ht="13.95" customHeight="1">
      <c r="M16202"/>
      <c r="N16202"/>
      <c r="O16202"/>
      <c r="P16202"/>
      <c r="Q16202"/>
      <c r="R16202"/>
      <c r="S16202"/>
    </row>
    <row r="16203" spans="13:19" ht="13.95" customHeight="1">
      <c r="M16203"/>
      <c r="N16203"/>
      <c r="O16203"/>
      <c r="P16203"/>
      <c r="Q16203"/>
      <c r="R16203"/>
      <c r="S16203"/>
    </row>
    <row r="16204" spans="13:19" ht="13.95" customHeight="1">
      <c r="M16204"/>
      <c r="N16204"/>
      <c r="O16204"/>
      <c r="P16204"/>
      <c r="Q16204"/>
      <c r="R16204"/>
      <c r="S16204"/>
    </row>
    <row r="16205" spans="13:19" ht="13.95" customHeight="1">
      <c r="M16205"/>
      <c r="N16205"/>
      <c r="O16205"/>
      <c r="P16205"/>
      <c r="Q16205"/>
      <c r="R16205"/>
      <c r="S16205"/>
    </row>
    <row r="16206" spans="13:19" ht="13.95" customHeight="1">
      <c r="M16206"/>
      <c r="N16206"/>
      <c r="O16206"/>
      <c r="P16206"/>
      <c r="Q16206"/>
      <c r="R16206"/>
      <c r="S16206"/>
    </row>
    <row r="16207" spans="13:19" ht="13.95" customHeight="1">
      <c r="M16207"/>
      <c r="N16207"/>
      <c r="O16207"/>
      <c r="P16207"/>
      <c r="Q16207"/>
      <c r="R16207"/>
      <c r="S16207"/>
    </row>
    <row r="16208" spans="13:19" ht="13.95" customHeight="1">
      <c r="M16208"/>
      <c r="N16208"/>
      <c r="O16208"/>
      <c r="P16208"/>
      <c r="Q16208"/>
      <c r="R16208"/>
      <c r="S16208"/>
    </row>
    <row r="16209" spans="13:19" ht="13.95" customHeight="1">
      <c r="M16209"/>
      <c r="N16209"/>
      <c r="O16209"/>
      <c r="P16209"/>
      <c r="Q16209"/>
      <c r="R16209"/>
      <c r="S16209"/>
    </row>
    <row r="16210" spans="13:19" ht="13.95" customHeight="1">
      <c r="M16210"/>
      <c r="N16210"/>
      <c r="O16210"/>
      <c r="P16210"/>
      <c r="Q16210"/>
      <c r="R16210"/>
      <c r="S16210"/>
    </row>
    <row r="16211" spans="13:19" ht="13.95" customHeight="1">
      <c r="M16211"/>
      <c r="N16211"/>
      <c r="O16211"/>
      <c r="P16211"/>
      <c r="Q16211"/>
      <c r="R16211"/>
      <c r="S16211"/>
    </row>
    <row r="16212" spans="13:19" ht="13.95" customHeight="1">
      <c r="M16212"/>
      <c r="N16212"/>
      <c r="O16212"/>
      <c r="P16212"/>
      <c r="Q16212"/>
      <c r="R16212"/>
      <c r="S16212"/>
    </row>
    <row r="16213" spans="13:19" ht="13.95" customHeight="1">
      <c r="M16213"/>
      <c r="N16213"/>
      <c r="O16213"/>
      <c r="P16213"/>
      <c r="Q16213"/>
      <c r="R16213"/>
      <c r="S16213"/>
    </row>
    <row r="16214" spans="13:19" ht="13.95" customHeight="1">
      <c r="M16214"/>
      <c r="N16214"/>
      <c r="O16214"/>
      <c r="P16214"/>
      <c r="Q16214"/>
      <c r="R16214"/>
      <c r="S16214"/>
    </row>
    <row r="16215" spans="13:19" ht="13.95" customHeight="1">
      <c r="M16215"/>
      <c r="N16215"/>
      <c r="O16215"/>
      <c r="P16215"/>
      <c r="Q16215"/>
      <c r="R16215"/>
      <c r="S16215"/>
    </row>
    <row r="16216" spans="13:19" ht="13.95" customHeight="1">
      <c r="M16216"/>
      <c r="N16216"/>
      <c r="O16216"/>
      <c r="P16216"/>
      <c r="Q16216"/>
      <c r="R16216"/>
      <c r="S16216"/>
    </row>
    <row r="16217" spans="13:19" ht="13.95" customHeight="1">
      <c r="M16217"/>
      <c r="N16217"/>
      <c r="O16217"/>
      <c r="P16217"/>
      <c r="Q16217"/>
      <c r="R16217"/>
      <c r="S16217"/>
    </row>
    <row r="16218" spans="13:19" ht="13.95" customHeight="1">
      <c r="M16218"/>
      <c r="N16218"/>
      <c r="O16218"/>
      <c r="P16218"/>
      <c r="Q16218"/>
      <c r="R16218"/>
      <c r="S16218"/>
    </row>
    <row r="16219" spans="13:19" ht="13.95" customHeight="1">
      <c r="M16219"/>
      <c r="N16219"/>
      <c r="O16219"/>
      <c r="P16219"/>
      <c r="Q16219"/>
      <c r="R16219"/>
      <c r="S16219"/>
    </row>
    <row r="16220" spans="13:19" ht="13.95" customHeight="1">
      <c r="M16220"/>
      <c r="N16220"/>
      <c r="O16220"/>
      <c r="P16220"/>
      <c r="Q16220"/>
      <c r="R16220"/>
      <c r="S16220"/>
    </row>
    <row r="16221" spans="13:19" ht="13.95" customHeight="1">
      <c r="M16221"/>
      <c r="N16221"/>
      <c r="O16221"/>
      <c r="P16221"/>
      <c r="Q16221"/>
      <c r="R16221"/>
      <c r="S16221"/>
    </row>
    <row r="16222" spans="13:19" ht="13.95" customHeight="1">
      <c r="M16222"/>
      <c r="N16222"/>
      <c r="O16222"/>
      <c r="P16222"/>
      <c r="Q16222"/>
      <c r="R16222"/>
      <c r="S16222"/>
    </row>
    <row r="16223" spans="13:19" ht="13.95" customHeight="1">
      <c r="M16223"/>
      <c r="N16223"/>
      <c r="O16223"/>
      <c r="P16223"/>
      <c r="Q16223"/>
      <c r="R16223"/>
      <c r="S16223"/>
    </row>
    <row r="16224" spans="13:19" ht="13.95" customHeight="1">
      <c r="M16224"/>
      <c r="N16224"/>
      <c r="O16224"/>
      <c r="P16224"/>
      <c r="Q16224"/>
      <c r="R16224"/>
      <c r="S16224"/>
    </row>
    <row r="16225" spans="13:19" ht="13.95" customHeight="1">
      <c r="M16225"/>
      <c r="N16225"/>
      <c r="O16225"/>
      <c r="P16225"/>
      <c r="Q16225"/>
      <c r="R16225"/>
      <c r="S16225"/>
    </row>
    <row r="16226" spans="13:19" ht="13.95" customHeight="1">
      <c r="M16226"/>
      <c r="N16226"/>
      <c r="O16226"/>
      <c r="P16226"/>
      <c r="Q16226"/>
      <c r="R16226"/>
      <c r="S16226"/>
    </row>
    <row r="16227" spans="13:19" ht="13.95" customHeight="1">
      <c r="M16227"/>
      <c r="N16227"/>
      <c r="O16227"/>
      <c r="P16227"/>
      <c r="Q16227"/>
      <c r="R16227"/>
      <c r="S16227"/>
    </row>
    <row r="16228" spans="13:19" ht="13.95" customHeight="1">
      <c r="M16228"/>
      <c r="N16228"/>
      <c r="O16228"/>
      <c r="P16228"/>
      <c r="Q16228"/>
      <c r="R16228"/>
      <c r="S16228"/>
    </row>
    <row r="16229" spans="13:19" ht="13.95" customHeight="1">
      <c r="M16229"/>
      <c r="N16229"/>
      <c r="O16229"/>
      <c r="P16229"/>
      <c r="Q16229"/>
      <c r="R16229"/>
      <c r="S16229"/>
    </row>
    <row r="16230" spans="13:19" ht="13.95" customHeight="1">
      <c r="M16230"/>
      <c r="N16230"/>
      <c r="O16230"/>
      <c r="P16230"/>
      <c r="Q16230"/>
      <c r="R16230"/>
      <c r="S16230"/>
    </row>
    <row r="16231" spans="13:19" ht="13.95" customHeight="1">
      <c r="M16231"/>
      <c r="N16231"/>
      <c r="O16231"/>
      <c r="P16231"/>
      <c r="Q16231"/>
      <c r="R16231"/>
      <c r="S16231"/>
    </row>
    <row r="16232" spans="13:19" ht="13.95" customHeight="1">
      <c r="M16232"/>
      <c r="N16232"/>
      <c r="O16232"/>
      <c r="P16232"/>
      <c r="Q16232"/>
      <c r="R16232"/>
      <c r="S16232"/>
    </row>
    <row r="16233" spans="13:19" ht="13.95" customHeight="1">
      <c r="M16233"/>
      <c r="N16233"/>
      <c r="O16233"/>
      <c r="P16233"/>
      <c r="Q16233"/>
      <c r="R16233"/>
      <c r="S16233"/>
    </row>
    <row r="16234" spans="13:19" ht="13.95" customHeight="1">
      <c r="M16234"/>
      <c r="N16234"/>
      <c r="O16234"/>
      <c r="P16234"/>
      <c r="Q16234"/>
      <c r="R16234"/>
      <c r="S16234"/>
    </row>
    <row r="16235" spans="13:19" ht="13.95" customHeight="1">
      <c r="M16235"/>
      <c r="N16235"/>
      <c r="O16235"/>
      <c r="P16235"/>
      <c r="Q16235"/>
      <c r="R16235"/>
      <c r="S16235"/>
    </row>
    <row r="16236" spans="13:19" ht="13.95" customHeight="1">
      <c r="M16236"/>
      <c r="N16236"/>
      <c r="O16236"/>
      <c r="P16236"/>
      <c r="Q16236"/>
      <c r="R16236"/>
      <c r="S16236"/>
    </row>
    <row r="16237" spans="13:19" ht="13.95" customHeight="1">
      <c r="M16237"/>
      <c r="N16237"/>
      <c r="O16237"/>
      <c r="P16237"/>
      <c r="Q16237"/>
      <c r="R16237"/>
      <c r="S16237"/>
    </row>
    <row r="16238" spans="13:19" ht="13.95" customHeight="1">
      <c r="M16238"/>
      <c r="N16238"/>
      <c r="O16238"/>
      <c r="P16238"/>
      <c r="Q16238"/>
      <c r="R16238"/>
      <c r="S16238"/>
    </row>
    <row r="16239" spans="13:19" ht="13.95" customHeight="1">
      <c r="M16239"/>
      <c r="N16239"/>
      <c r="O16239"/>
      <c r="P16239"/>
      <c r="Q16239"/>
      <c r="R16239"/>
      <c r="S16239"/>
    </row>
    <row r="16240" spans="13:19" ht="13.95" customHeight="1">
      <c r="M16240"/>
      <c r="N16240"/>
      <c r="O16240"/>
      <c r="P16240"/>
      <c r="Q16240"/>
      <c r="R16240"/>
      <c r="S16240"/>
    </row>
    <row r="16241" spans="13:19" ht="13.95" customHeight="1">
      <c r="M16241"/>
      <c r="N16241"/>
      <c r="O16241"/>
      <c r="P16241"/>
      <c r="Q16241"/>
      <c r="R16241"/>
      <c r="S16241"/>
    </row>
    <row r="16242" spans="13:19" ht="13.95" customHeight="1">
      <c r="M16242"/>
      <c r="N16242"/>
      <c r="O16242"/>
      <c r="P16242"/>
      <c r="Q16242"/>
      <c r="R16242"/>
      <c r="S16242"/>
    </row>
    <row r="16243" spans="13:19" ht="13.95" customHeight="1">
      <c r="M16243"/>
      <c r="N16243"/>
      <c r="O16243"/>
      <c r="P16243"/>
      <c r="Q16243"/>
      <c r="R16243"/>
      <c r="S16243"/>
    </row>
    <row r="16244" spans="13:19" ht="13.95" customHeight="1">
      <c r="M16244"/>
      <c r="N16244"/>
      <c r="O16244"/>
      <c r="P16244"/>
      <c r="Q16244"/>
      <c r="R16244"/>
      <c r="S16244"/>
    </row>
    <row r="16245" spans="13:19" ht="13.95" customHeight="1">
      <c r="M16245"/>
      <c r="N16245"/>
      <c r="O16245"/>
      <c r="P16245"/>
      <c r="Q16245"/>
      <c r="R16245"/>
      <c r="S16245"/>
    </row>
    <row r="16246" spans="13:19" ht="13.95" customHeight="1">
      <c r="M16246"/>
      <c r="N16246"/>
      <c r="O16246"/>
      <c r="P16246"/>
      <c r="Q16246"/>
      <c r="R16246"/>
      <c r="S16246"/>
    </row>
    <row r="16247" spans="13:19" ht="13.95" customHeight="1">
      <c r="M16247"/>
      <c r="N16247"/>
      <c r="O16247"/>
      <c r="P16247"/>
      <c r="Q16247"/>
      <c r="R16247"/>
      <c r="S16247"/>
    </row>
    <row r="16248" spans="13:19" ht="13.95" customHeight="1">
      <c r="M16248"/>
      <c r="N16248"/>
      <c r="O16248"/>
      <c r="P16248"/>
      <c r="Q16248"/>
      <c r="R16248"/>
      <c r="S16248"/>
    </row>
    <row r="16249" spans="13:19" ht="13.95" customHeight="1">
      <c r="M16249"/>
      <c r="N16249"/>
      <c r="O16249"/>
      <c r="P16249"/>
      <c r="Q16249"/>
      <c r="R16249"/>
      <c r="S16249"/>
    </row>
    <row r="16250" spans="13:19" ht="13.95" customHeight="1">
      <c r="M16250"/>
      <c r="N16250"/>
      <c r="O16250"/>
      <c r="P16250"/>
      <c r="Q16250"/>
      <c r="R16250"/>
      <c r="S16250"/>
    </row>
    <row r="16251" spans="13:19" ht="13.95" customHeight="1">
      <c r="M16251"/>
      <c r="N16251"/>
      <c r="O16251"/>
      <c r="P16251"/>
      <c r="Q16251"/>
      <c r="R16251"/>
      <c r="S16251"/>
    </row>
    <row r="16252" spans="13:19" ht="13.95" customHeight="1">
      <c r="M16252"/>
      <c r="N16252"/>
      <c r="O16252"/>
      <c r="P16252"/>
      <c r="Q16252"/>
      <c r="R16252"/>
      <c r="S16252"/>
    </row>
    <row r="16253" spans="13:19" ht="13.95" customHeight="1">
      <c r="M16253"/>
      <c r="N16253"/>
      <c r="O16253"/>
      <c r="P16253"/>
      <c r="Q16253"/>
      <c r="R16253"/>
      <c r="S16253"/>
    </row>
    <row r="16254" spans="13:19" ht="13.95" customHeight="1">
      <c r="M16254"/>
      <c r="N16254"/>
      <c r="O16254"/>
      <c r="P16254"/>
      <c r="Q16254"/>
      <c r="R16254"/>
      <c r="S16254"/>
    </row>
    <row r="16255" spans="13:19" ht="13.95" customHeight="1">
      <c r="M16255"/>
      <c r="N16255"/>
      <c r="O16255"/>
      <c r="P16255"/>
      <c r="Q16255"/>
      <c r="R16255"/>
      <c r="S16255"/>
    </row>
    <row r="16256" spans="13:19" ht="13.95" customHeight="1">
      <c r="M16256"/>
      <c r="N16256"/>
      <c r="O16256"/>
      <c r="P16256"/>
      <c r="Q16256"/>
      <c r="R16256"/>
      <c r="S16256"/>
    </row>
    <row r="16257" spans="13:19" ht="13.95" customHeight="1">
      <c r="M16257"/>
      <c r="N16257"/>
      <c r="O16257"/>
      <c r="P16257"/>
      <c r="Q16257"/>
      <c r="R16257"/>
      <c r="S16257"/>
    </row>
    <row r="16258" spans="13:19" ht="13.95" customHeight="1">
      <c r="M16258"/>
      <c r="N16258"/>
      <c r="O16258"/>
      <c r="P16258"/>
      <c r="Q16258"/>
      <c r="R16258"/>
      <c r="S16258"/>
    </row>
    <row r="16259" spans="13:19" ht="13.95" customHeight="1">
      <c r="M16259"/>
      <c r="N16259"/>
      <c r="O16259"/>
      <c r="P16259"/>
      <c r="Q16259"/>
      <c r="R16259"/>
      <c r="S16259"/>
    </row>
    <row r="16260" spans="13:19" ht="13.95" customHeight="1">
      <c r="M16260"/>
      <c r="N16260"/>
      <c r="O16260"/>
      <c r="P16260"/>
      <c r="Q16260"/>
      <c r="R16260"/>
      <c r="S16260"/>
    </row>
    <row r="16261" spans="13:19" ht="13.95" customHeight="1">
      <c r="M16261"/>
      <c r="N16261"/>
      <c r="O16261"/>
      <c r="P16261"/>
      <c r="Q16261"/>
      <c r="R16261"/>
      <c r="S16261"/>
    </row>
    <row r="16262" spans="13:19" ht="13.95" customHeight="1">
      <c r="M16262"/>
      <c r="N16262"/>
      <c r="O16262"/>
      <c r="P16262"/>
      <c r="Q16262"/>
      <c r="R16262"/>
      <c r="S16262"/>
    </row>
    <row r="16263" spans="13:19" ht="13.95" customHeight="1">
      <c r="M16263"/>
      <c r="N16263"/>
      <c r="O16263"/>
      <c r="P16263"/>
      <c r="Q16263"/>
      <c r="R16263"/>
      <c r="S16263"/>
    </row>
    <row r="16264" spans="13:19" ht="13.95" customHeight="1">
      <c r="M16264"/>
      <c r="N16264"/>
      <c r="O16264"/>
      <c r="P16264"/>
      <c r="Q16264"/>
      <c r="R16264"/>
      <c r="S16264"/>
    </row>
    <row r="16265" spans="13:19" ht="13.95" customHeight="1">
      <c r="M16265"/>
      <c r="N16265"/>
      <c r="O16265"/>
      <c r="P16265"/>
      <c r="Q16265"/>
      <c r="R16265"/>
      <c r="S16265"/>
    </row>
    <row r="16266" spans="13:19" ht="13.95" customHeight="1">
      <c r="M16266"/>
      <c r="N16266"/>
      <c r="O16266"/>
      <c r="P16266"/>
      <c r="Q16266"/>
      <c r="R16266"/>
      <c r="S16266"/>
    </row>
    <row r="16267" spans="13:19" ht="13.95" customHeight="1">
      <c r="M16267"/>
      <c r="N16267"/>
      <c r="O16267"/>
      <c r="P16267"/>
      <c r="Q16267"/>
      <c r="R16267"/>
      <c r="S16267"/>
    </row>
    <row r="16268" spans="13:19" ht="13.95" customHeight="1">
      <c r="M16268"/>
      <c r="N16268"/>
      <c r="O16268"/>
      <c r="P16268"/>
      <c r="Q16268"/>
      <c r="R16268"/>
      <c r="S16268"/>
    </row>
    <row r="16269" spans="13:19" ht="13.95" customHeight="1">
      <c r="M16269"/>
      <c r="N16269"/>
      <c r="O16269"/>
      <c r="P16269"/>
      <c r="Q16269"/>
      <c r="R16269"/>
      <c r="S16269"/>
    </row>
    <row r="16270" spans="13:19" ht="13.95" customHeight="1">
      <c r="M16270"/>
      <c r="N16270"/>
      <c r="O16270"/>
      <c r="P16270"/>
      <c r="Q16270"/>
      <c r="R16270"/>
      <c r="S16270"/>
    </row>
    <row r="16271" spans="13:19" ht="13.95" customHeight="1">
      <c r="M16271"/>
      <c r="N16271"/>
      <c r="O16271"/>
      <c r="P16271"/>
      <c r="Q16271"/>
      <c r="R16271"/>
      <c r="S16271"/>
    </row>
    <row r="16272" spans="13:19" ht="13.95" customHeight="1">
      <c r="M16272"/>
      <c r="N16272"/>
      <c r="O16272"/>
      <c r="P16272"/>
      <c r="Q16272"/>
      <c r="R16272"/>
      <c r="S16272"/>
    </row>
    <row r="16273" spans="13:19" ht="13.95" customHeight="1">
      <c r="M16273"/>
      <c r="N16273"/>
      <c r="O16273"/>
      <c r="P16273"/>
      <c r="Q16273"/>
      <c r="R16273"/>
      <c r="S16273"/>
    </row>
    <row r="16274" spans="13:19" ht="13.95" customHeight="1">
      <c r="M16274"/>
      <c r="N16274"/>
      <c r="O16274"/>
      <c r="P16274"/>
      <c r="Q16274"/>
      <c r="R16274"/>
      <c r="S16274"/>
    </row>
    <row r="16275" spans="13:19" ht="13.95" customHeight="1">
      <c r="M16275"/>
      <c r="N16275"/>
      <c r="O16275"/>
      <c r="P16275"/>
      <c r="Q16275"/>
      <c r="R16275"/>
      <c r="S16275"/>
    </row>
    <row r="16276" spans="13:19" ht="13.95" customHeight="1">
      <c r="M16276"/>
      <c r="N16276"/>
      <c r="O16276"/>
      <c r="P16276"/>
      <c r="Q16276"/>
      <c r="R16276"/>
      <c r="S16276"/>
    </row>
    <row r="16277" spans="13:19" ht="13.95" customHeight="1">
      <c r="M16277"/>
      <c r="N16277"/>
      <c r="O16277"/>
      <c r="P16277"/>
      <c r="Q16277"/>
      <c r="R16277"/>
      <c r="S16277"/>
    </row>
    <row r="16278" spans="13:19" ht="13.95" customHeight="1">
      <c r="M16278"/>
      <c r="N16278"/>
      <c r="O16278"/>
      <c r="P16278"/>
      <c r="Q16278"/>
      <c r="R16278"/>
      <c r="S16278"/>
    </row>
    <row r="16279" spans="13:19" ht="13.95" customHeight="1">
      <c r="M16279"/>
      <c r="N16279"/>
      <c r="O16279"/>
      <c r="P16279"/>
      <c r="Q16279"/>
      <c r="R16279"/>
      <c r="S16279"/>
    </row>
    <row r="16280" spans="13:19" ht="13.95" customHeight="1">
      <c r="M16280"/>
      <c r="N16280"/>
      <c r="O16280"/>
      <c r="P16280"/>
      <c r="Q16280"/>
      <c r="R16280"/>
      <c r="S16280"/>
    </row>
    <row r="16281" spans="13:19" ht="13.95" customHeight="1">
      <c r="M16281"/>
      <c r="N16281"/>
      <c r="O16281"/>
      <c r="P16281"/>
      <c r="Q16281"/>
      <c r="R16281"/>
      <c r="S16281"/>
    </row>
    <row r="16282" spans="13:19" ht="13.95" customHeight="1">
      <c r="M16282"/>
      <c r="N16282"/>
      <c r="O16282"/>
      <c r="P16282"/>
      <c r="Q16282"/>
      <c r="R16282"/>
      <c r="S16282"/>
    </row>
    <row r="16283" spans="13:19" ht="13.95" customHeight="1">
      <c r="M16283"/>
      <c r="N16283"/>
      <c r="O16283"/>
      <c r="P16283"/>
      <c r="Q16283"/>
      <c r="R16283"/>
      <c r="S16283"/>
    </row>
    <row r="16284" spans="13:19" ht="13.95" customHeight="1">
      <c r="M16284"/>
      <c r="N16284"/>
      <c r="O16284"/>
      <c r="P16284"/>
      <c r="Q16284"/>
      <c r="R16284"/>
      <c r="S16284"/>
    </row>
    <row r="16285" spans="13:19" ht="13.95" customHeight="1">
      <c r="M16285"/>
      <c r="N16285"/>
      <c r="O16285"/>
      <c r="P16285"/>
      <c r="Q16285"/>
      <c r="R16285"/>
      <c r="S16285"/>
    </row>
    <row r="16286" spans="13:19" ht="13.95" customHeight="1">
      <c r="M16286"/>
      <c r="N16286"/>
      <c r="O16286"/>
      <c r="P16286"/>
      <c r="Q16286"/>
      <c r="R16286"/>
      <c r="S16286"/>
    </row>
    <row r="16287" spans="13:19" ht="13.95" customHeight="1">
      <c r="M16287"/>
      <c r="N16287"/>
      <c r="O16287"/>
      <c r="P16287"/>
      <c r="Q16287"/>
      <c r="R16287"/>
      <c r="S16287"/>
    </row>
    <row r="16288" spans="13:19" ht="13.95" customHeight="1">
      <c r="M16288"/>
      <c r="N16288"/>
      <c r="O16288"/>
      <c r="P16288"/>
      <c r="Q16288"/>
      <c r="R16288"/>
      <c r="S16288"/>
    </row>
    <row r="16289" spans="13:19" ht="13.95" customHeight="1">
      <c r="M16289"/>
      <c r="N16289"/>
      <c r="O16289"/>
      <c r="P16289"/>
      <c r="Q16289"/>
      <c r="R16289"/>
      <c r="S16289"/>
    </row>
    <row r="16290" spans="13:19" ht="13.95" customHeight="1">
      <c r="M16290"/>
      <c r="N16290"/>
      <c r="O16290"/>
      <c r="P16290"/>
      <c r="Q16290"/>
      <c r="R16290"/>
      <c r="S16290"/>
    </row>
    <row r="16291" spans="13:19" ht="13.95" customHeight="1">
      <c r="M16291"/>
      <c r="N16291"/>
      <c r="O16291"/>
      <c r="P16291"/>
      <c r="Q16291"/>
      <c r="R16291"/>
      <c r="S16291"/>
    </row>
    <row r="16292" spans="13:19" ht="13.95" customHeight="1">
      <c r="M16292"/>
      <c r="N16292"/>
      <c r="O16292"/>
      <c r="P16292"/>
      <c r="Q16292"/>
      <c r="R16292"/>
      <c r="S16292"/>
    </row>
    <row r="16293" spans="13:19" ht="13.95" customHeight="1">
      <c r="M16293"/>
      <c r="N16293"/>
      <c r="O16293"/>
      <c r="P16293"/>
      <c r="Q16293"/>
      <c r="R16293"/>
      <c r="S16293"/>
    </row>
    <row r="16294" spans="13:19" ht="13.95" customHeight="1">
      <c r="M16294"/>
      <c r="N16294"/>
      <c r="O16294"/>
      <c r="P16294"/>
      <c r="Q16294"/>
      <c r="R16294"/>
      <c r="S16294"/>
    </row>
    <row r="16295" spans="13:19" ht="13.95" customHeight="1">
      <c r="M16295"/>
      <c r="N16295"/>
      <c r="O16295"/>
      <c r="P16295"/>
      <c r="Q16295"/>
      <c r="R16295"/>
      <c r="S16295"/>
    </row>
    <row r="16296" spans="13:19" ht="13.95" customHeight="1">
      <c r="M16296"/>
      <c r="N16296"/>
      <c r="O16296"/>
      <c r="P16296"/>
      <c r="Q16296"/>
      <c r="R16296"/>
      <c r="S16296"/>
    </row>
    <row r="16297" spans="13:19" ht="13.95" customHeight="1">
      <c r="M16297"/>
      <c r="N16297"/>
      <c r="O16297"/>
      <c r="P16297"/>
      <c r="Q16297"/>
      <c r="R16297"/>
      <c r="S16297"/>
    </row>
    <row r="16298" spans="13:19" ht="13.95" customHeight="1">
      <c r="M16298"/>
      <c r="N16298"/>
      <c r="O16298"/>
      <c r="P16298"/>
      <c r="Q16298"/>
      <c r="R16298"/>
      <c r="S16298"/>
    </row>
    <row r="16299" spans="13:19" ht="13.95" customHeight="1">
      <c r="M16299"/>
      <c r="N16299"/>
      <c r="O16299"/>
      <c r="P16299"/>
      <c r="Q16299"/>
      <c r="R16299"/>
      <c r="S16299"/>
    </row>
    <row r="16300" spans="13:19" ht="13.95" customHeight="1">
      <c r="M16300"/>
      <c r="N16300"/>
      <c r="O16300"/>
      <c r="P16300"/>
      <c r="Q16300"/>
      <c r="R16300"/>
      <c r="S16300"/>
    </row>
    <row r="16301" spans="13:19" ht="13.95" customHeight="1">
      <c r="M16301"/>
      <c r="N16301"/>
      <c r="O16301"/>
      <c r="P16301"/>
      <c r="Q16301"/>
      <c r="R16301"/>
      <c r="S16301"/>
    </row>
    <row r="16302" spans="13:19" ht="13.95" customHeight="1">
      <c r="M16302"/>
      <c r="N16302"/>
      <c r="O16302"/>
      <c r="P16302"/>
      <c r="Q16302"/>
      <c r="R16302"/>
      <c r="S16302"/>
    </row>
    <row r="16303" spans="13:19" ht="13.95" customHeight="1">
      <c r="M16303"/>
      <c r="N16303"/>
      <c r="O16303"/>
      <c r="P16303"/>
      <c r="Q16303"/>
      <c r="R16303"/>
      <c r="S16303"/>
    </row>
    <row r="16304" spans="13:19" ht="13.95" customHeight="1">
      <c r="M16304"/>
      <c r="N16304"/>
      <c r="O16304"/>
      <c r="P16304"/>
      <c r="Q16304"/>
      <c r="R16304"/>
      <c r="S16304"/>
    </row>
    <row r="16305" spans="13:19" ht="13.95" customHeight="1">
      <c r="M16305"/>
      <c r="N16305"/>
      <c r="O16305"/>
      <c r="P16305"/>
      <c r="Q16305"/>
      <c r="R16305"/>
      <c r="S16305"/>
    </row>
    <row r="16306" spans="13:19" ht="13.95" customHeight="1">
      <c r="M16306"/>
      <c r="N16306"/>
      <c r="O16306"/>
      <c r="P16306"/>
      <c r="Q16306"/>
      <c r="R16306"/>
      <c r="S16306"/>
    </row>
    <row r="16307" spans="13:19" ht="13.95" customHeight="1">
      <c r="M16307"/>
      <c r="N16307"/>
      <c r="O16307"/>
      <c r="P16307"/>
      <c r="Q16307"/>
      <c r="R16307"/>
      <c r="S16307"/>
    </row>
    <row r="16308" spans="13:19" ht="13.95" customHeight="1">
      <c r="M16308"/>
      <c r="N16308"/>
      <c r="O16308"/>
      <c r="P16308"/>
      <c r="Q16308"/>
      <c r="R16308"/>
      <c r="S16308"/>
    </row>
    <row r="16309" spans="13:19" ht="13.95" customHeight="1">
      <c r="M16309"/>
      <c r="N16309"/>
      <c r="O16309"/>
      <c r="P16309"/>
      <c r="Q16309"/>
      <c r="R16309"/>
      <c r="S16309"/>
    </row>
    <row r="16310" spans="13:19" ht="13.95" customHeight="1">
      <c r="M16310"/>
      <c r="N16310"/>
      <c r="O16310"/>
      <c r="P16310"/>
      <c r="Q16310"/>
      <c r="R16310"/>
      <c r="S16310"/>
    </row>
    <row r="16311" spans="13:19" ht="13.95" customHeight="1">
      <c r="M16311"/>
      <c r="N16311"/>
      <c r="O16311"/>
      <c r="P16311"/>
      <c r="Q16311"/>
      <c r="R16311"/>
      <c r="S16311"/>
    </row>
    <row r="16312" spans="13:19" ht="13.95" customHeight="1">
      <c r="M16312"/>
      <c r="N16312"/>
      <c r="O16312"/>
      <c r="P16312"/>
      <c r="Q16312"/>
      <c r="R16312"/>
      <c r="S16312"/>
    </row>
    <row r="16313" spans="13:19" ht="13.95" customHeight="1">
      <c r="M16313"/>
      <c r="N16313"/>
      <c r="O16313"/>
      <c r="P16313"/>
      <c r="Q16313"/>
      <c r="R16313"/>
      <c r="S16313"/>
    </row>
    <row r="16314" spans="13:19" ht="13.95" customHeight="1">
      <c r="M16314"/>
      <c r="N16314"/>
      <c r="O16314"/>
      <c r="P16314"/>
      <c r="Q16314"/>
      <c r="R16314"/>
      <c r="S16314"/>
    </row>
    <row r="16315" spans="13:19" ht="13.95" customHeight="1">
      <c r="M16315"/>
      <c r="N16315"/>
      <c r="O16315"/>
      <c r="P16315"/>
      <c r="Q16315"/>
      <c r="R16315"/>
      <c r="S16315"/>
    </row>
    <row r="16316" spans="13:19" ht="13.95" customHeight="1">
      <c r="M16316"/>
      <c r="N16316"/>
      <c r="O16316"/>
      <c r="P16316"/>
      <c r="Q16316"/>
      <c r="R16316"/>
      <c r="S16316"/>
    </row>
    <row r="16317" spans="13:19" ht="13.95" customHeight="1">
      <c r="M16317"/>
      <c r="N16317"/>
      <c r="O16317"/>
      <c r="P16317"/>
      <c r="Q16317"/>
      <c r="R16317"/>
      <c r="S16317"/>
    </row>
    <row r="16318" spans="13:19" ht="13.95" customHeight="1">
      <c r="M16318"/>
      <c r="N16318"/>
      <c r="O16318"/>
      <c r="P16318"/>
      <c r="Q16318"/>
      <c r="R16318"/>
      <c r="S16318"/>
    </row>
    <row r="16319" spans="13:19" ht="13.95" customHeight="1">
      <c r="M16319"/>
      <c r="N16319"/>
      <c r="O16319"/>
      <c r="P16319"/>
      <c r="Q16319"/>
      <c r="R16319"/>
      <c r="S16319"/>
    </row>
    <row r="16320" spans="13:19" ht="13.95" customHeight="1">
      <c r="M16320"/>
      <c r="N16320"/>
      <c r="O16320"/>
      <c r="P16320"/>
      <c r="Q16320"/>
      <c r="R16320"/>
      <c r="S16320"/>
    </row>
    <row r="16321" spans="13:19" ht="13.95" customHeight="1">
      <c r="M16321"/>
      <c r="N16321"/>
      <c r="O16321"/>
      <c r="P16321"/>
      <c r="Q16321"/>
      <c r="R16321"/>
      <c r="S16321"/>
    </row>
    <row r="16322" spans="13:19" ht="13.95" customHeight="1">
      <c r="M16322"/>
      <c r="N16322"/>
      <c r="O16322"/>
      <c r="P16322"/>
      <c r="Q16322"/>
      <c r="R16322"/>
      <c r="S16322"/>
    </row>
    <row r="16323" spans="13:19" ht="13.95" customHeight="1">
      <c r="M16323"/>
      <c r="N16323"/>
      <c r="O16323"/>
      <c r="P16323"/>
      <c r="Q16323"/>
      <c r="R16323"/>
      <c r="S16323"/>
    </row>
    <row r="16324" spans="13:19" ht="13.95" customHeight="1">
      <c r="M16324"/>
      <c r="N16324"/>
      <c r="O16324"/>
      <c r="P16324"/>
      <c r="Q16324"/>
      <c r="R16324"/>
      <c r="S16324"/>
    </row>
    <row r="16325" spans="13:19" ht="13.95" customHeight="1">
      <c r="M16325"/>
      <c r="N16325"/>
      <c r="O16325"/>
      <c r="P16325"/>
      <c r="Q16325"/>
      <c r="R16325"/>
      <c r="S16325"/>
    </row>
    <row r="16326" spans="13:19" ht="13.95" customHeight="1">
      <c r="M16326"/>
      <c r="N16326"/>
      <c r="O16326"/>
      <c r="P16326"/>
      <c r="Q16326"/>
      <c r="R16326"/>
      <c r="S16326"/>
    </row>
    <row r="16327" spans="13:19" ht="13.95" customHeight="1">
      <c r="M16327"/>
      <c r="N16327"/>
      <c r="O16327"/>
      <c r="P16327"/>
      <c r="Q16327"/>
      <c r="R16327"/>
      <c r="S16327"/>
    </row>
    <row r="16328" spans="13:19" ht="13.95" customHeight="1">
      <c r="M16328"/>
      <c r="N16328"/>
      <c r="O16328"/>
      <c r="P16328"/>
      <c r="Q16328"/>
      <c r="R16328"/>
      <c r="S16328"/>
    </row>
    <row r="16329" spans="13:19" ht="13.95" customHeight="1">
      <c r="M16329"/>
      <c r="N16329"/>
      <c r="O16329"/>
      <c r="P16329"/>
      <c r="Q16329"/>
      <c r="R16329"/>
      <c r="S16329"/>
    </row>
    <row r="16330" spans="13:19" ht="13.95" customHeight="1">
      <c r="M16330"/>
      <c r="N16330"/>
      <c r="O16330"/>
      <c r="P16330"/>
      <c r="Q16330"/>
      <c r="R16330"/>
      <c r="S16330"/>
    </row>
    <row r="16331" spans="13:19" ht="13.95" customHeight="1">
      <c r="M16331"/>
      <c r="N16331"/>
      <c r="O16331"/>
      <c r="P16331"/>
      <c r="Q16331"/>
      <c r="R16331"/>
      <c r="S16331"/>
    </row>
    <row r="16332" spans="13:19" ht="13.95" customHeight="1">
      <c r="M16332"/>
      <c r="N16332"/>
      <c r="O16332"/>
      <c r="P16332"/>
      <c r="Q16332"/>
      <c r="R16332"/>
      <c r="S16332"/>
    </row>
    <row r="16333" spans="13:19" ht="13.95" customHeight="1">
      <c r="M16333"/>
      <c r="N16333"/>
      <c r="O16333"/>
      <c r="P16333"/>
      <c r="Q16333"/>
      <c r="R16333"/>
      <c r="S16333"/>
    </row>
    <row r="16334" spans="13:19" ht="13.95" customHeight="1">
      <c r="M16334"/>
      <c r="N16334"/>
      <c r="O16334"/>
      <c r="P16334"/>
      <c r="Q16334"/>
      <c r="R16334"/>
      <c r="S16334"/>
    </row>
    <row r="16335" spans="13:19" ht="13.95" customHeight="1">
      <c r="M16335"/>
      <c r="N16335"/>
      <c r="O16335"/>
      <c r="P16335"/>
      <c r="Q16335"/>
      <c r="R16335"/>
      <c r="S16335"/>
    </row>
    <row r="16336" spans="13:19" ht="13.95" customHeight="1">
      <c r="M16336"/>
      <c r="N16336"/>
      <c r="O16336"/>
      <c r="P16336"/>
      <c r="Q16336"/>
      <c r="R16336"/>
      <c r="S16336"/>
    </row>
    <row r="16337" spans="13:19" ht="13.95" customHeight="1">
      <c r="M16337"/>
      <c r="N16337"/>
      <c r="O16337"/>
      <c r="P16337"/>
      <c r="Q16337"/>
      <c r="R16337"/>
      <c r="S16337"/>
    </row>
    <row r="16338" spans="13:19" ht="13.95" customHeight="1">
      <c r="M16338"/>
      <c r="N16338"/>
      <c r="O16338"/>
      <c r="P16338"/>
      <c r="Q16338"/>
      <c r="R16338"/>
      <c r="S16338"/>
    </row>
    <row r="16339" spans="13:19" ht="13.95" customHeight="1">
      <c r="M16339"/>
      <c r="N16339"/>
      <c r="O16339"/>
      <c r="P16339"/>
      <c r="Q16339"/>
      <c r="R16339"/>
      <c r="S16339"/>
    </row>
    <row r="16340" spans="13:19" ht="13.95" customHeight="1">
      <c r="M16340"/>
      <c r="N16340"/>
      <c r="O16340"/>
      <c r="P16340"/>
      <c r="Q16340"/>
      <c r="R16340"/>
      <c r="S16340"/>
    </row>
    <row r="16341" spans="13:19" ht="13.95" customHeight="1">
      <c r="M16341"/>
      <c r="N16341"/>
      <c r="O16341"/>
      <c r="P16341"/>
      <c r="Q16341"/>
      <c r="R16341"/>
      <c r="S16341"/>
    </row>
    <row r="16342" spans="13:19" ht="13.95" customHeight="1">
      <c r="M16342"/>
      <c r="N16342"/>
      <c r="O16342"/>
      <c r="P16342"/>
      <c r="Q16342"/>
      <c r="R16342"/>
      <c r="S16342"/>
    </row>
    <row r="16343" spans="13:19" ht="13.95" customHeight="1">
      <c r="M16343"/>
      <c r="N16343"/>
      <c r="O16343"/>
      <c r="P16343"/>
      <c r="Q16343"/>
      <c r="R16343"/>
      <c r="S16343"/>
    </row>
    <row r="16344" spans="13:19" ht="13.95" customHeight="1">
      <c r="M16344"/>
      <c r="N16344"/>
      <c r="O16344"/>
      <c r="P16344"/>
      <c r="Q16344"/>
      <c r="R16344"/>
      <c r="S16344"/>
    </row>
    <row r="16345" spans="13:19" ht="13.95" customHeight="1">
      <c r="M16345"/>
      <c r="N16345"/>
      <c r="O16345"/>
      <c r="P16345"/>
      <c r="Q16345"/>
      <c r="R16345"/>
      <c r="S16345"/>
    </row>
    <row r="16346" spans="13:19" ht="13.95" customHeight="1">
      <c r="M16346"/>
      <c r="N16346"/>
      <c r="O16346"/>
      <c r="P16346"/>
      <c r="Q16346"/>
      <c r="R16346"/>
      <c r="S16346"/>
    </row>
    <row r="16347" spans="13:19" ht="13.95" customHeight="1">
      <c r="M16347"/>
      <c r="N16347"/>
      <c r="O16347"/>
      <c r="P16347"/>
      <c r="Q16347"/>
      <c r="R16347"/>
      <c r="S16347"/>
    </row>
    <row r="16348" spans="13:19" ht="13.95" customHeight="1">
      <c r="M16348"/>
      <c r="N16348"/>
      <c r="O16348"/>
      <c r="P16348"/>
      <c r="Q16348"/>
      <c r="R16348"/>
      <c r="S16348"/>
    </row>
    <row r="16349" spans="13:19" ht="13.95" customHeight="1">
      <c r="M16349"/>
      <c r="N16349"/>
      <c r="O16349"/>
      <c r="P16349"/>
      <c r="Q16349"/>
      <c r="R16349"/>
      <c r="S16349"/>
    </row>
    <row r="16350" spans="13:19" ht="13.95" customHeight="1">
      <c r="M16350"/>
      <c r="N16350"/>
      <c r="O16350"/>
      <c r="P16350"/>
      <c r="Q16350"/>
      <c r="R16350"/>
      <c r="S16350"/>
    </row>
    <row r="16351" spans="13:19" ht="13.95" customHeight="1">
      <c r="M16351"/>
      <c r="N16351"/>
      <c r="O16351"/>
      <c r="P16351"/>
      <c r="Q16351"/>
      <c r="R16351"/>
      <c r="S16351"/>
    </row>
    <row r="16352" spans="13:19" ht="13.95" customHeight="1">
      <c r="M16352"/>
      <c r="N16352"/>
      <c r="O16352"/>
      <c r="P16352"/>
      <c r="Q16352"/>
      <c r="R16352"/>
      <c r="S16352"/>
    </row>
    <row r="16353" spans="13:19" ht="13.95" customHeight="1">
      <c r="M16353"/>
      <c r="N16353"/>
      <c r="O16353"/>
      <c r="P16353"/>
      <c r="Q16353"/>
      <c r="R16353"/>
      <c r="S16353"/>
    </row>
    <row r="16354" spans="13:19" ht="13.95" customHeight="1">
      <c r="M16354"/>
      <c r="N16354"/>
      <c r="O16354"/>
      <c r="P16354"/>
      <c r="Q16354"/>
      <c r="R16354"/>
      <c r="S16354"/>
    </row>
    <row r="16355" spans="13:19" ht="13.95" customHeight="1">
      <c r="M16355"/>
      <c r="N16355"/>
      <c r="O16355"/>
      <c r="P16355"/>
      <c r="Q16355"/>
      <c r="R16355"/>
      <c r="S16355"/>
    </row>
    <row r="16356" spans="13:19" ht="13.95" customHeight="1">
      <c r="M16356"/>
      <c r="N16356"/>
      <c r="O16356"/>
      <c r="P16356"/>
      <c r="Q16356"/>
      <c r="R16356"/>
      <c r="S16356"/>
    </row>
    <row r="16357" spans="13:19" ht="13.95" customHeight="1">
      <c r="M16357"/>
      <c r="N16357"/>
      <c r="O16357"/>
      <c r="P16357"/>
      <c r="Q16357"/>
      <c r="R16357"/>
      <c r="S16357"/>
    </row>
    <row r="16358" spans="13:19" ht="13.95" customHeight="1">
      <c r="M16358"/>
      <c r="N16358"/>
      <c r="O16358"/>
      <c r="P16358"/>
      <c r="Q16358"/>
      <c r="R16358"/>
      <c r="S16358"/>
    </row>
    <row r="16359" spans="13:19" ht="13.95" customHeight="1">
      <c r="M16359"/>
      <c r="N16359"/>
      <c r="O16359"/>
      <c r="P16359"/>
      <c r="Q16359"/>
      <c r="R16359"/>
      <c r="S16359"/>
    </row>
    <row r="16360" spans="13:19" ht="13.95" customHeight="1">
      <c r="M16360"/>
      <c r="N16360"/>
      <c r="O16360"/>
      <c r="P16360"/>
      <c r="Q16360"/>
      <c r="R16360"/>
      <c r="S16360"/>
    </row>
    <row r="16361" spans="13:19" ht="13.95" customHeight="1">
      <c r="M16361"/>
      <c r="N16361"/>
      <c r="O16361"/>
      <c r="P16361"/>
      <c r="Q16361"/>
      <c r="R16361"/>
      <c r="S16361"/>
    </row>
    <row r="16362" spans="13:19" ht="13.95" customHeight="1">
      <c r="M16362"/>
      <c r="N16362"/>
      <c r="O16362"/>
      <c r="P16362"/>
      <c r="Q16362"/>
      <c r="R16362"/>
      <c r="S16362"/>
    </row>
    <row r="16363" spans="13:19" ht="13.95" customHeight="1">
      <c r="M16363"/>
      <c r="N16363"/>
      <c r="O16363"/>
      <c r="P16363"/>
      <c r="Q16363"/>
      <c r="R16363"/>
      <c r="S16363"/>
    </row>
    <row r="16364" spans="13:19" ht="13.95" customHeight="1">
      <c r="M16364"/>
      <c r="N16364"/>
      <c r="O16364"/>
      <c r="P16364"/>
      <c r="Q16364"/>
      <c r="R16364"/>
      <c r="S16364"/>
    </row>
    <row r="16365" spans="13:19" ht="13.95" customHeight="1">
      <c r="M16365"/>
      <c r="N16365"/>
      <c r="O16365"/>
      <c r="P16365"/>
      <c r="Q16365"/>
      <c r="R16365"/>
      <c r="S16365"/>
    </row>
    <row r="16366" spans="13:19" ht="13.95" customHeight="1">
      <c r="M16366"/>
      <c r="N16366"/>
      <c r="O16366"/>
      <c r="P16366"/>
      <c r="Q16366"/>
      <c r="R16366"/>
      <c r="S16366"/>
    </row>
    <row r="16367" spans="13:19" ht="13.95" customHeight="1">
      <c r="M16367"/>
      <c r="N16367"/>
      <c r="O16367"/>
      <c r="P16367"/>
      <c r="Q16367"/>
      <c r="R16367"/>
      <c r="S16367"/>
    </row>
    <row r="16368" spans="13:19" ht="13.95" customHeight="1">
      <c r="M16368"/>
      <c r="N16368"/>
      <c r="O16368"/>
      <c r="P16368"/>
      <c r="Q16368"/>
      <c r="R16368"/>
      <c r="S16368"/>
    </row>
    <row r="16369" spans="13:19" ht="13.95" customHeight="1">
      <c r="M16369"/>
      <c r="N16369"/>
      <c r="O16369"/>
      <c r="P16369"/>
      <c r="Q16369"/>
      <c r="R16369"/>
      <c r="S16369"/>
    </row>
    <row r="16370" spans="13:19" ht="13.95" customHeight="1">
      <c r="M16370"/>
      <c r="N16370"/>
      <c r="O16370"/>
      <c r="P16370"/>
      <c r="Q16370"/>
      <c r="R16370"/>
      <c r="S16370"/>
    </row>
    <row r="16371" spans="13:19" ht="13.95" customHeight="1">
      <c r="M16371"/>
      <c r="N16371"/>
      <c r="O16371"/>
      <c r="P16371"/>
      <c r="Q16371"/>
      <c r="R16371"/>
      <c r="S16371"/>
    </row>
    <row r="16372" spans="13:19" ht="13.95" customHeight="1">
      <c r="M16372"/>
      <c r="N16372"/>
      <c r="O16372"/>
      <c r="P16372"/>
      <c r="Q16372"/>
      <c r="R16372"/>
      <c r="S16372"/>
    </row>
    <row r="16373" spans="13:19" ht="13.95" customHeight="1">
      <c r="M16373"/>
      <c r="N16373"/>
      <c r="O16373"/>
      <c r="P16373"/>
      <c r="Q16373"/>
      <c r="R16373"/>
      <c r="S16373"/>
    </row>
    <row r="16374" spans="13:19" ht="13.95" customHeight="1">
      <c r="M16374"/>
      <c r="N16374"/>
      <c r="O16374"/>
      <c r="P16374"/>
      <c r="Q16374"/>
      <c r="R16374"/>
      <c r="S16374"/>
    </row>
    <row r="16375" spans="13:19" ht="13.95" customHeight="1">
      <c r="M16375"/>
      <c r="N16375"/>
      <c r="O16375"/>
      <c r="P16375"/>
      <c r="Q16375"/>
      <c r="R16375"/>
      <c r="S16375"/>
    </row>
    <row r="16376" spans="13:19" ht="13.95" customHeight="1">
      <c r="M16376"/>
      <c r="N16376"/>
      <c r="O16376"/>
      <c r="P16376"/>
      <c r="Q16376"/>
      <c r="R16376"/>
      <c r="S16376"/>
    </row>
    <row r="16377" spans="13:19" ht="13.95" customHeight="1">
      <c r="M16377"/>
      <c r="N16377"/>
      <c r="O16377"/>
      <c r="P16377"/>
      <c r="Q16377"/>
      <c r="R16377"/>
      <c r="S16377"/>
    </row>
    <row r="16378" spans="13:19" ht="13.95" customHeight="1">
      <c r="M16378"/>
      <c r="N16378"/>
      <c r="O16378"/>
      <c r="P16378"/>
      <c r="Q16378"/>
      <c r="R16378"/>
      <c r="S16378"/>
    </row>
    <row r="16379" spans="13:19" ht="13.95" customHeight="1">
      <c r="M16379"/>
      <c r="N16379"/>
      <c r="O16379"/>
      <c r="P16379"/>
      <c r="Q16379"/>
      <c r="R16379"/>
      <c r="S16379"/>
    </row>
    <row r="16380" spans="13:19" ht="13.95" customHeight="1">
      <c r="M16380"/>
      <c r="N16380"/>
      <c r="O16380"/>
      <c r="P16380"/>
      <c r="Q16380"/>
      <c r="R16380"/>
      <c r="S16380"/>
    </row>
    <row r="16381" spans="13:19" ht="13.95" customHeight="1">
      <c r="M16381"/>
      <c r="N16381"/>
      <c r="O16381"/>
      <c r="P16381"/>
      <c r="Q16381"/>
      <c r="R16381"/>
      <c r="S16381"/>
    </row>
    <row r="16382" spans="13:19" ht="13.95" customHeight="1">
      <c r="M16382"/>
      <c r="N16382"/>
      <c r="O16382"/>
      <c r="P16382"/>
      <c r="Q16382"/>
      <c r="R16382"/>
      <c r="S16382"/>
    </row>
    <row r="16383" spans="13:19" ht="13.95" customHeight="1">
      <c r="M16383"/>
      <c r="N16383"/>
      <c r="O16383"/>
      <c r="P16383"/>
      <c r="Q16383"/>
      <c r="R16383"/>
      <c r="S16383"/>
    </row>
    <row r="16384" spans="13:19" ht="13.95" customHeight="1">
      <c r="M16384"/>
      <c r="N16384"/>
      <c r="O16384"/>
      <c r="P16384"/>
      <c r="Q16384"/>
      <c r="R16384"/>
      <c r="S16384"/>
    </row>
    <row r="16385" spans="13:19" ht="13.95" customHeight="1">
      <c r="M16385"/>
      <c r="N16385"/>
      <c r="O16385"/>
      <c r="P16385"/>
      <c r="Q16385"/>
      <c r="R16385"/>
      <c r="S16385"/>
    </row>
    <row r="16386" spans="13:19" ht="13.95" customHeight="1">
      <c r="M16386"/>
      <c r="N16386"/>
      <c r="O16386"/>
      <c r="P16386"/>
      <c r="Q16386"/>
      <c r="R16386"/>
      <c r="S16386"/>
    </row>
    <row r="16387" spans="13:19" ht="13.95" customHeight="1">
      <c r="M16387"/>
      <c r="N16387"/>
      <c r="O16387"/>
      <c r="P16387"/>
      <c r="Q16387"/>
      <c r="R16387"/>
      <c r="S16387"/>
    </row>
    <row r="16388" spans="13:19" ht="13.95" customHeight="1">
      <c r="M16388"/>
      <c r="N16388"/>
      <c r="O16388"/>
      <c r="P16388"/>
      <c r="Q16388"/>
      <c r="R16388"/>
      <c r="S16388"/>
    </row>
    <row r="16389" spans="13:19" ht="13.95" customHeight="1">
      <c r="M16389"/>
      <c r="N16389"/>
      <c r="O16389"/>
      <c r="P16389"/>
      <c r="Q16389"/>
      <c r="R16389"/>
      <c r="S16389"/>
    </row>
    <row r="16390" spans="13:19" ht="13.95" customHeight="1">
      <c r="M16390"/>
      <c r="N16390"/>
      <c r="O16390"/>
      <c r="P16390"/>
      <c r="Q16390"/>
      <c r="R16390"/>
      <c r="S16390"/>
    </row>
    <row r="16391" spans="13:19" ht="13.95" customHeight="1">
      <c r="M16391"/>
      <c r="N16391"/>
      <c r="O16391"/>
      <c r="P16391"/>
      <c r="Q16391"/>
      <c r="R16391"/>
      <c r="S16391"/>
    </row>
    <row r="16392" spans="13:19" ht="13.95" customHeight="1">
      <c r="M16392"/>
      <c r="N16392"/>
      <c r="O16392"/>
      <c r="P16392"/>
      <c r="Q16392"/>
      <c r="R16392"/>
      <c r="S16392"/>
    </row>
    <row r="16393" spans="13:19" ht="13.95" customHeight="1">
      <c r="M16393"/>
      <c r="N16393"/>
      <c r="O16393"/>
      <c r="P16393"/>
      <c r="Q16393"/>
      <c r="R16393"/>
      <c r="S16393"/>
    </row>
    <row r="16394" spans="13:19" ht="13.95" customHeight="1">
      <c r="M16394"/>
      <c r="N16394"/>
      <c r="O16394"/>
      <c r="P16394"/>
      <c r="Q16394"/>
      <c r="R16394"/>
      <c r="S16394"/>
    </row>
    <row r="16395" spans="13:19" ht="13.95" customHeight="1">
      <c r="M16395"/>
      <c r="N16395"/>
      <c r="O16395"/>
      <c r="P16395"/>
      <c r="Q16395"/>
      <c r="R16395"/>
      <c r="S16395"/>
    </row>
    <row r="16396" spans="13:19" ht="13.95" customHeight="1">
      <c r="M16396"/>
      <c r="N16396"/>
      <c r="O16396"/>
      <c r="P16396"/>
      <c r="Q16396"/>
      <c r="R16396"/>
      <c r="S16396"/>
    </row>
    <row r="16397" spans="13:19" ht="13.95" customHeight="1">
      <c r="M16397"/>
      <c r="N16397"/>
      <c r="O16397"/>
      <c r="P16397"/>
      <c r="Q16397"/>
      <c r="R16397"/>
      <c r="S16397"/>
    </row>
    <row r="16398" spans="13:19" ht="13.95" customHeight="1">
      <c r="M16398"/>
      <c r="N16398"/>
      <c r="O16398"/>
      <c r="P16398"/>
      <c r="Q16398"/>
      <c r="R16398"/>
      <c r="S16398"/>
    </row>
    <row r="16399" spans="13:19" ht="13.95" customHeight="1">
      <c r="M16399"/>
      <c r="N16399"/>
      <c r="O16399"/>
      <c r="P16399"/>
      <c r="Q16399"/>
      <c r="R16399"/>
      <c r="S16399"/>
    </row>
    <row r="16400" spans="13:19" ht="13.95" customHeight="1">
      <c r="M16400"/>
      <c r="N16400"/>
      <c r="O16400"/>
      <c r="P16400"/>
      <c r="Q16400"/>
      <c r="R16400"/>
      <c r="S16400"/>
    </row>
    <row r="16401" spans="13:19" ht="13.95" customHeight="1">
      <c r="M16401"/>
      <c r="N16401"/>
      <c r="O16401"/>
      <c r="P16401"/>
      <c r="Q16401"/>
      <c r="R16401"/>
      <c r="S16401"/>
    </row>
    <row r="16402" spans="13:19" ht="13.95" customHeight="1">
      <c r="M16402"/>
      <c r="N16402"/>
      <c r="O16402"/>
      <c r="P16402"/>
      <c r="Q16402"/>
      <c r="R16402"/>
      <c r="S16402"/>
    </row>
    <row r="16403" spans="13:19" ht="13.95" customHeight="1">
      <c r="M16403"/>
      <c r="N16403"/>
      <c r="O16403"/>
      <c r="P16403"/>
      <c r="Q16403"/>
      <c r="R16403"/>
      <c r="S16403"/>
    </row>
    <row r="16404" spans="13:19" ht="13.95" customHeight="1">
      <c r="M16404"/>
      <c r="N16404"/>
      <c r="O16404"/>
      <c r="P16404"/>
      <c r="Q16404"/>
      <c r="R16404"/>
      <c r="S16404"/>
    </row>
    <row r="16405" spans="13:19" ht="13.95" customHeight="1">
      <c r="M16405"/>
      <c r="N16405"/>
      <c r="O16405"/>
      <c r="P16405"/>
      <c r="Q16405"/>
      <c r="R16405"/>
      <c r="S16405"/>
    </row>
    <row r="16406" spans="13:19" ht="13.95" customHeight="1">
      <c r="M16406"/>
      <c r="N16406"/>
      <c r="O16406"/>
      <c r="P16406"/>
      <c r="Q16406"/>
      <c r="R16406"/>
      <c r="S16406"/>
    </row>
    <row r="16407" spans="13:19" ht="13.95" customHeight="1">
      <c r="M16407"/>
      <c r="N16407"/>
      <c r="O16407"/>
      <c r="P16407"/>
      <c r="Q16407"/>
      <c r="R16407"/>
      <c r="S16407"/>
    </row>
    <row r="16408" spans="13:19" ht="13.95" customHeight="1">
      <c r="M16408"/>
      <c r="N16408"/>
      <c r="O16408"/>
      <c r="P16408"/>
      <c r="Q16408"/>
      <c r="R16408"/>
      <c r="S16408"/>
    </row>
    <row r="16409" spans="13:19" ht="13.95" customHeight="1">
      <c r="M16409"/>
      <c r="N16409"/>
      <c r="O16409"/>
      <c r="P16409"/>
      <c r="Q16409"/>
      <c r="R16409"/>
      <c r="S16409"/>
    </row>
    <row r="16410" spans="13:19" ht="13.95" customHeight="1">
      <c r="M16410"/>
      <c r="N16410"/>
      <c r="O16410"/>
      <c r="P16410"/>
      <c r="Q16410"/>
      <c r="R16410"/>
      <c r="S16410"/>
    </row>
    <row r="16411" spans="13:19" ht="13.95" customHeight="1">
      <c r="M16411"/>
      <c r="N16411"/>
      <c r="O16411"/>
      <c r="P16411"/>
      <c r="Q16411"/>
      <c r="R16411"/>
      <c r="S16411"/>
    </row>
    <row r="16412" spans="13:19" ht="13.95" customHeight="1">
      <c r="M16412"/>
      <c r="N16412"/>
      <c r="O16412"/>
      <c r="P16412"/>
      <c r="Q16412"/>
      <c r="R16412"/>
      <c r="S16412"/>
    </row>
    <row r="16413" spans="13:19" ht="13.95" customHeight="1">
      <c r="M16413"/>
      <c r="N16413"/>
      <c r="O16413"/>
      <c r="P16413"/>
      <c r="Q16413"/>
      <c r="R16413"/>
      <c r="S16413"/>
    </row>
    <row r="16414" spans="13:19" ht="13.95" customHeight="1">
      <c r="M16414"/>
      <c r="N16414"/>
      <c r="O16414"/>
      <c r="P16414"/>
      <c r="Q16414"/>
      <c r="R16414"/>
      <c r="S16414"/>
    </row>
    <row r="16415" spans="13:19" ht="13.95" customHeight="1">
      <c r="M16415"/>
      <c r="N16415"/>
      <c r="O16415"/>
      <c r="P16415"/>
      <c r="Q16415"/>
      <c r="R16415"/>
      <c r="S16415"/>
    </row>
    <row r="16416" spans="13:19" ht="13.95" customHeight="1">
      <c r="M16416"/>
      <c r="N16416"/>
      <c r="O16416"/>
      <c r="P16416"/>
      <c r="Q16416"/>
      <c r="R16416"/>
      <c r="S16416"/>
    </row>
    <row r="16417" spans="13:19" ht="13.95" customHeight="1">
      <c r="M16417"/>
      <c r="N16417"/>
      <c r="O16417"/>
      <c r="P16417"/>
      <c r="Q16417"/>
      <c r="R16417"/>
      <c r="S16417"/>
    </row>
    <row r="16418" spans="13:19" ht="13.95" customHeight="1">
      <c r="M16418"/>
      <c r="N16418"/>
      <c r="O16418"/>
      <c r="P16418"/>
      <c r="Q16418"/>
      <c r="R16418"/>
      <c r="S16418"/>
    </row>
    <row r="16419" spans="13:19" ht="13.95" customHeight="1">
      <c r="M16419"/>
      <c r="N16419"/>
      <c r="O16419"/>
      <c r="P16419"/>
      <c r="Q16419"/>
      <c r="R16419"/>
      <c r="S16419"/>
    </row>
    <row r="16420" spans="13:19" ht="13.95" customHeight="1">
      <c r="M16420"/>
      <c r="N16420"/>
      <c r="O16420"/>
      <c r="P16420"/>
      <c r="Q16420"/>
      <c r="R16420"/>
      <c r="S16420"/>
    </row>
    <row r="16421" spans="13:19" ht="13.95" customHeight="1">
      <c r="M16421"/>
      <c r="N16421"/>
      <c r="O16421"/>
      <c r="P16421"/>
      <c r="Q16421"/>
      <c r="R16421"/>
      <c r="S16421"/>
    </row>
    <row r="16422" spans="13:19" ht="13.95" customHeight="1">
      <c r="M16422"/>
      <c r="N16422"/>
      <c r="O16422"/>
      <c r="P16422"/>
      <c r="Q16422"/>
      <c r="R16422"/>
      <c r="S16422"/>
    </row>
    <row r="16423" spans="13:19" ht="13.95" customHeight="1">
      <c r="M16423"/>
      <c r="N16423"/>
      <c r="O16423"/>
      <c r="P16423"/>
      <c r="Q16423"/>
      <c r="R16423"/>
      <c r="S16423"/>
    </row>
    <row r="16424" spans="13:19" ht="13.95" customHeight="1">
      <c r="M16424"/>
      <c r="N16424"/>
      <c r="O16424"/>
      <c r="P16424"/>
      <c r="Q16424"/>
      <c r="R16424"/>
      <c r="S16424"/>
    </row>
    <row r="16425" spans="13:19" ht="13.95" customHeight="1">
      <c r="M16425"/>
      <c r="N16425"/>
      <c r="O16425"/>
      <c r="P16425"/>
      <c r="Q16425"/>
      <c r="R16425"/>
      <c r="S16425"/>
    </row>
    <row r="16426" spans="13:19" ht="13.95" customHeight="1">
      <c r="M16426"/>
      <c r="N16426"/>
      <c r="O16426"/>
      <c r="P16426"/>
      <c r="Q16426"/>
      <c r="R16426"/>
      <c r="S16426"/>
    </row>
    <row r="16427" spans="13:19" ht="13.95" customHeight="1">
      <c r="M16427"/>
      <c r="N16427"/>
      <c r="O16427"/>
      <c r="P16427"/>
      <c r="Q16427"/>
      <c r="R16427"/>
      <c r="S16427"/>
    </row>
    <row r="16428" spans="13:19" ht="13.95" customHeight="1">
      <c r="M16428"/>
      <c r="N16428"/>
      <c r="O16428"/>
      <c r="P16428"/>
      <c r="Q16428"/>
      <c r="R16428"/>
      <c r="S16428"/>
    </row>
    <row r="16429" spans="13:19" ht="13.95" customHeight="1">
      <c r="M16429"/>
      <c r="N16429"/>
      <c r="O16429"/>
      <c r="P16429"/>
      <c r="Q16429"/>
      <c r="R16429"/>
      <c r="S16429"/>
    </row>
    <row r="16430" spans="13:19" ht="13.95" customHeight="1">
      <c r="M16430"/>
      <c r="N16430"/>
      <c r="O16430"/>
      <c r="P16430"/>
      <c r="Q16430"/>
      <c r="R16430"/>
      <c r="S16430"/>
    </row>
    <row r="16431" spans="13:19" ht="13.95" customHeight="1">
      <c r="M16431"/>
      <c r="N16431"/>
      <c r="O16431"/>
      <c r="P16431"/>
      <c r="Q16431"/>
      <c r="R16431"/>
      <c r="S16431"/>
    </row>
    <row r="16432" spans="13:19" ht="13.95" customHeight="1">
      <c r="M16432"/>
      <c r="N16432"/>
      <c r="O16432"/>
      <c r="P16432"/>
      <c r="Q16432"/>
      <c r="R16432"/>
      <c r="S16432"/>
    </row>
    <row r="16433" spans="13:19" ht="13.95" customHeight="1">
      <c r="M16433"/>
      <c r="N16433"/>
      <c r="O16433"/>
      <c r="P16433"/>
      <c r="Q16433"/>
      <c r="R16433"/>
      <c r="S16433"/>
    </row>
    <row r="16434" spans="13:19" ht="13.95" customHeight="1">
      <c r="M16434"/>
      <c r="N16434"/>
      <c r="O16434"/>
      <c r="P16434"/>
      <c r="Q16434"/>
      <c r="R16434"/>
      <c r="S16434"/>
    </row>
    <row r="16435" spans="13:19" ht="13.95" customHeight="1">
      <c r="M16435"/>
      <c r="N16435"/>
      <c r="O16435"/>
      <c r="P16435"/>
      <c r="Q16435"/>
      <c r="R16435"/>
      <c r="S16435"/>
    </row>
    <row r="16436" spans="13:19" ht="13.95" customHeight="1">
      <c r="M16436"/>
      <c r="N16436"/>
      <c r="O16436"/>
      <c r="P16436"/>
      <c r="Q16436"/>
      <c r="R16436"/>
      <c r="S16436"/>
    </row>
    <row r="16437" spans="13:19" ht="13.95" customHeight="1">
      <c r="M16437"/>
      <c r="N16437"/>
      <c r="O16437"/>
      <c r="P16437"/>
      <c r="Q16437"/>
      <c r="R16437"/>
      <c r="S16437"/>
    </row>
    <row r="16438" spans="13:19" ht="13.95" customHeight="1">
      <c r="M16438"/>
      <c r="N16438"/>
      <c r="O16438"/>
      <c r="P16438"/>
      <c r="Q16438"/>
      <c r="R16438"/>
      <c r="S16438"/>
    </row>
    <row r="16439" spans="13:19" ht="13.95" customHeight="1">
      <c r="M16439"/>
      <c r="N16439"/>
      <c r="O16439"/>
      <c r="P16439"/>
      <c r="Q16439"/>
      <c r="R16439"/>
      <c r="S16439"/>
    </row>
    <row r="16440" spans="13:19" ht="13.95" customHeight="1">
      <c r="M16440"/>
      <c r="N16440"/>
      <c r="O16440"/>
      <c r="P16440"/>
      <c r="Q16440"/>
      <c r="R16440"/>
      <c r="S16440"/>
    </row>
    <row r="16441" spans="13:19" ht="13.95" customHeight="1">
      <c r="M16441"/>
      <c r="N16441"/>
      <c r="O16441"/>
      <c r="P16441"/>
      <c r="Q16441"/>
      <c r="R16441"/>
      <c r="S16441"/>
    </row>
    <row r="16442" spans="13:19" ht="13.95" customHeight="1">
      <c r="M16442"/>
      <c r="N16442"/>
      <c r="O16442"/>
      <c r="P16442"/>
      <c r="Q16442"/>
      <c r="R16442"/>
      <c r="S16442"/>
    </row>
    <row r="16443" spans="13:19" ht="13.95" customHeight="1">
      <c r="M16443"/>
      <c r="N16443"/>
      <c r="O16443"/>
      <c r="P16443"/>
      <c r="Q16443"/>
      <c r="R16443"/>
      <c r="S16443"/>
    </row>
    <row r="16444" spans="13:19" ht="13.95" customHeight="1">
      <c r="M16444"/>
      <c r="N16444"/>
      <c r="O16444"/>
      <c r="P16444"/>
      <c r="Q16444"/>
      <c r="R16444"/>
      <c r="S16444"/>
    </row>
    <row r="16445" spans="13:19" ht="13.95" customHeight="1">
      <c r="M16445"/>
      <c r="N16445"/>
      <c r="O16445"/>
      <c r="P16445"/>
      <c r="Q16445"/>
      <c r="R16445"/>
      <c r="S16445"/>
    </row>
    <row r="16446" spans="13:19" ht="13.95" customHeight="1">
      <c r="M16446"/>
      <c r="N16446"/>
      <c r="O16446"/>
      <c r="P16446"/>
      <c r="Q16446"/>
      <c r="R16446"/>
      <c r="S16446"/>
    </row>
    <row r="16447" spans="13:19" ht="13.95" customHeight="1">
      <c r="M16447"/>
      <c r="N16447"/>
      <c r="O16447"/>
      <c r="P16447"/>
      <c r="Q16447"/>
      <c r="R16447"/>
      <c r="S16447"/>
    </row>
    <row r="16448" spans="13:19" ht="13.95" customHeight="1">
      <c r="M16448"/>
      <c r="N16448"/>
      <c r="O16448"/>
      <c r="P16448"/>
      <c r="Q16448"/>
      <c r="R16448"/>
      <c r="S16448"/>
    </row>
    <row r="16449" spans="13:19" ht="13.95" customHeight="1">
      <c r="M16449"/>
      <c r="N16449"/>
      <c r="O16449"/>
      <c r="P16449"/>
      <c r="Q16449"/>
      <c r="R16449"/>
      <c r="S16449"/>
    </row>
    <row r="16450" spans="13:19" ht="13.95" customHeight="1">
      <c r="M16450"/>
      <c r="N16450"/>
      <c r="O16450"/>
      <c r="P16450"/>
      <c r="Q16450"/>
      <c r="R16450"/>
      <c r="S16450"/>
    </row>
    <row r="16451" spans="13:19" ht="13.95" customHeight="1">
      <c r="M16451"/>
      <c r="N16451"/>
      <c r="O16451"/>
      <c r="P16451"/>
      <c r="Q16451"/>
      <c r="R16451"/>
      <c r="S16451"/>
    </row>
    <row r="16452" spans="13:19" ht="13.95" customHeight="1">
      <c r="M16452"/>
      <c r="N16452"/>
      <c r="O16452"/>
      <c r="P16452"/>
      <c r="Q16452"/>
      <c r="R16452"/>
      <c r="S16452"/>
    </row>
    <row r="16453" spans="13:19" ht="13.95" customHeight="1">
      <c r="M16453"/>
      <c r="N16453"/>
      <c r="O16453"/>
      <c r="P16453"/>
      <c r="Q16453"/>
      <c r="R16453"/>
      <c r="S16453"/>
    </row>
    <row r="16454" spans="13:19" ht="13.95" customHeight="1">
      <c r="M16454"/>
      <c r="N16454"/>
      <c r="O16454"/>
      <c r="P16454"/>
      <c r="Q16454"/>
      <c r="R16454"/>
      <c r="S16454"/>
    </row>
    <row r="16455" spans="13:19" ht="13.95" customHeight="1">
      <c r="M16455"/>
      <c r="N16455"/>
      <c r="O16455"/>
      <c r="P16455"/>
      <c r="Q16455"/>
      <c r="R16455"/>
      <c r="S16455"/>
    </row>
    <row r="16456" spans="13:19" ht="13.95" customHeight="1">
      <c r="M16456"/>
      <c r="N16456"/>
      <c r="O16456"/>
      <c r="P16456"/>
      <c r="Q16456"/>
      <c r="R16456"/>
      <c r="S16456"/>
    </row>
    <row r="16457" spans="13:19" ht="13.95" customHeight="1">
      <c r="M16457"/>
      <c r="N16457"/>
      <c r="O16457"/>
      <c r="P16457"/>
      <c r="Q16457"/>
      <c r="R16457"/>
      <c r="S16457"/>
    </row>
    <row r="16458" spans="13:19" ht="13.95" customHeight="1">
      <c r="M16458"/>
      <c r="N16458"/>
      <c r="O16458"/>
      <c r="P16458"/>
      <c r="Q16458"/>
      <c r="R16458"/>
      <c r="S16458"/>
    </row>
    <row r="16459" spans="13:19" ht="13.95" customHeight="1">
      <c r="M16459"/>
      <c r="N16459"/>
      <c r="O16459"/>
      <c r="P16459"/>
      <c r="Q16459"/>
      <c r="R16459"/>
      <c r="S16459"/>
    </row>
    <row r="16460" spans="13:19" ht="13.95" customHeight="1">
      <c r="M16460"/>
      <c r="N16460"/>
      <c r="O16460"/>
      <c r="P16460"/>
      <c r="Q16460"/>
      <c r="R16460"/>
      <c r="S16460"/>
    </row>
    <row r="16461" spans="13:19" ht="13.95" customHeight="1">
      <c r="M16461"/>
      <c r="N16461"/>
      <c r="O16461"/>
      <c r="P16461"/>
      <c r="Q16461"/>
      <c r="R16461"/>
      <c r="S16461"/>
    </row>
    <row r="16462" spans="13:19" ht="13.95" customHeight="1">
      <c r="M16462"/>
      <c r="N16462"/>
      <c r="O16462"/>
      <c r="P16462"/>
      <c r="Q16462"/>
      <c r="R16462"/>
      <c r="S16462"/>
    </row>
    <row r="16463" spans="13:19" ht="13.95" customHeight="1">
      <c r="M16463"/>
      <c r="N16463"/>
      <c r="O16463"/>
      <c r="P16463"/>
      <c r="Q16463"/>
      <c r="R16463"/>
      <c r="S16463"/>
    </row>
    <row r="16464" spans="13:19" ht="13.95" customHeight="1">
      <c r="M16464"/>
      <c r="N16464"/>
      <c r="O16464"/>
      <c r="P16464"/>
      <c r="Q16464"/>
      <c r="R16464"/>
      <c r="S16464"/>
    </row>
    <row r="16465" spans="13:19" ht="13.95" customHeight="1">
      <c r="M16465"/>
      <c r="N16465"/>
      <c r="O16465"/>
      <c r="P16465"/>
      <c r="Q16465"/>
      <c r="R16465"/>
      <c r="S16465"/>
    </row>
    <row r="16466" spans="13:19" ht="13.95" customHeight="1">
      <c r="M16466"/>
      <c r="N16466"/>
      <c r="O16466"/>
      <c r="P16466"/>
      <c r="Q16466"/>
      <c r="R16466"/>
      <c r="S16466"/>
    </row>
    <row r="16467" spans="13:19" ht="13.95" customHeight="1">
      <c r="M16467"/>
      <c r="N16467"/>
      <c r="O16467"/>
      <c r="P16467"/>
      <c r="Q16467"/>
      <c r="R16467"/>
      <c r="S16467"/>
    </row>
    <row r="16468" spans="13:19" ht="13.95" customHeight="1">
      <c r="M16468"/>
      <c r="N16468"/>
      <c r="O16468"/>
      <c r="P16468"/>
      <c r="Q16468"/>
      <c r="R16468"/>
      <c r="S16468"/>
    </row>
    <row r="16469" spans="13:19" ht="13.95" customHeight="1">
      <c r="M16469"/>
      <c r="N16469"/>
      <c r="O16469"/>
      <c r="P16469"/>
      <c r="Q16469"/>
      <c r="R16469"/>
      <c r="S16469"/>
    </row>
    <row r="16470" spans="13:19" ht="13.95" customHeight="1">
      <c r="M16470"/>
      <c r="N16470"/>
      <c r="O16470"/>
      <c r="P16470"/>
      <c r="Q16470"/>
      <c r="R16470"/>
      <c r="S16470"/>
    </row>
    <row r="16471" spans="13:19" ht="13.95" customHeight="1">
      <c r="M16471"/>
      <c r="N16471"/>
      <c r="O16471"/>
      <c r="P16471"/>
      <c r="Q16471"/>
      <c r="R16471"/>
      <c r="S16471"/>
    </row>
    <row r="16472" spans="13:19" ht="13.95" customHeight="1">
      <c r="M16472"/>
      <c r="N16472"/>
      <c r="O16472"/>
      <c r="P16472"/>
      <c r="Q16472"/>
      <c r="R16472"/>
      <c r="S16472"/>
    </row>
    <row r="16473" spans="13:19" ht="13.95" customHeight="1">
      <c r="M16473"/>
      <c r="N16473"/>
      <c r="O16473"/>
      <c r="P16473"/>
      <c r="Q16473"/>
      <c r="R16473"/>
      <c r="S16473"/>
    </row>
    <row r="16474" spans="13:19" ht="13.95" customHeight="1">
      <c r="M16474"/>
      <c r="N16474"/>
      <c r="O16474"/>
      <c r="P16474"/>
      <c r="Q16474"/>
      <c r="R16474"/>
      <c r="S16474"/>
    </row>
    <row r="16475" spans="13:19" ht="13.95" customHeight="1">
      <c r="M16475"/>
      <c r="N16475"/>
      <c r="O16475"/>
      <c r="P16475"/>
      <c r="Q16475"/>
      <c r="R16475"/>
      <c r="S16475"/>
    </row>
    <row r="16476" spans="13:19" ht="13.95" customHeight="1">
      <c r="M16476"/>
      <c r="N16476"/>
      <c r="O16476"/>
      <c r="P16476"/>
      <c r="Q16476"/>
      <c r="R16476"/>
      <c r="S16476"/>
    </row>
    <row r="16477" spans="13:19" ht="13.95" customHeight="1">
      <c r="M16477"/>
      <c r="N16477"/>
      <c r="O16477"/>
      <c r="P16477"/>
      <c r="Q16477"/>
      <c r="R16477"/>
      <c r="S16477"/>
    </row>
    <row r="16478" spans="13:19" ht="13.95" customHeight="1">
      <c r="M16478"/>
      <c r="N16478"/>
      <c r="O16478"/>
      <c r="P16478"/>
      <c r="Q16478"/>
      <c r="R16478"/>
      <c r="S16478"/>
    </row>
    <row r="16479" spans="13:19" ht="13.95" customHeight="1">
      <c r="M16479"/>
      <c r="N16479"/>
      <c r="O16479"/>
      <c r="P16479"/>
      <c r="Q16479"/>
      <c r="R16479"/>
      <c r="S16479"/>
    </row>
    <row r="16480" spans="13:19" ht="13.95" customHeight="1">
      <c r="M16480"/>
      <c r="N16480"/>
      <c r="O16480"/>
      <c r="P16480"/>
      <c r="Q16480"/>
      <c r="R16480"/>
      <c r="S16480"/>
    </row>
    <row r="16481" spans="13:19" ht="13.95" customHeight="1">
      <c r="M16481"/>
      <c r="N16481"/>
      <c r="O16481"/>
      <c r="P16481"/>
      <c r="Q16481"/>
      <c r="R16481"/>
      <c r="S16481"/>
    </row>
    <row r="16482" spans="13:19" ht="13.95" customHeight="1">
      <c r="M16482"/>
      <c r="N16482"/>
      <c r="O16482"/>
      <c r="P16482"/>
      <c r="Q16482"/>
      <c r="R16482"/>
      <c r="S16482"/>
    </row>
    <row r="16483" spans="13:19" ht="13.95" customHeight="1">
      <c r="M16483"/>
      <c r="N16483"/>
      <c r="O16483"/>
      <c r="P16483"/>
      <c r="Q16483"/>
      <c r="R16483"/>
      <c r="S16483"/>
    </row>
    <row r="16484" spans="13:19" ht="13.95" customHeight="1">
      <c r="M16484"/>
      <c r="N16484"/>
      <c r="O16484"/>
      <c r="P16484"/>
      <c r="Q16484"/>
      <c r="R16484"/>
      <c r="S16484"/>
    </row>
    <row r="16485" spans="13:19" ht="13.95" customHeight="1">
      <c r="M16485"/>
      <c r="N16485"/>
      <c r="O16485"/>
      <c r="P16485"/>
      <c r="Q16485"/>
      <c r="R16485"/>
      <c r="S16485"/>
    </row>
    <row r="16486" spans="13:19" ht="13.95" customHeight="1">
      <c r="M16486"/>
      <c r="N16486"/>
      <c r="O16486"/>
      <c r="P16486"/>
      <c r="Q16486"/>
      <c r="R16486"/>
      <c r="S16486"/>
    </row>
    <row r="16487" spans="13:19" ht="13.95" customHeight="1">
      <c r="M16487"/>
      <c r="N16487"/>
      <c r="O16487"/>
      <c r="P16487"/>
      <c r="Q16487"/>
      <c r="R16487"/>
      <c r="S16487"/>
    </row>
    <row r="16488" spans="13:19" ht="13.95" customHeight="1">
      <c r="M16488"/>
      <c r="N16488"/>
      <c r="O16488"/>
      <c r="P16488"/>
      <c r="Q16488"/>
      <c r="R16488"/>
      <c r="S16488"/>
    </row>
    <row r="16489" spans="13:19" ht="13.95" customHeight="1">
      <c r="M16489"/>
      <c r="N16489"/>
      <c r="O16489"/>
      <c r="P16489"/>
      <c r="Q16489"/>
      <c r="R16489"/>
      <c r="S16489"/>
    </row>
    <row r="16490" spans="13:19" ht="13.95" customHeight="1">
      <c r="M16490"/>
      <c r="N16490"/>
      <c r="O16490"/>
      <c r="P16490"/>
      <c r="Q16490"/>
      <c r="R16490"/>
      <c r="S16490"/>
    </row>
    <row r="16491" spans="13:19" ht="13.95" customHeight="1">
      <c r="M16491"/>
      <c r="N16491"/>
      <c r="O16491"/>
      <c r="P16491"/>
      <c r="Q16491"/>
      <c r="R16491"/>
      <c r="S16491"/>
    </row>
    <row r="16492" spans="13:19" ht="13.95" customHeight="1">
      <c r="M16492"/>
      <c r="N16492"/>
      <c r="O16492"/>
      <c r="P16492"/>
      <c r="Q16492"/>
      <c r="R16492"/>
      <c r="S16492"/>
    </row>
    <row r="16493" spans="13:19" ht="13.95" customHeight="1">
      <c r="M16493"/>
      <c r="N16493"/>
      <c r="O16493"/>
      <c r="P16493"/>
      <c r="Q16493"/>
      <c r="R16493"/>
      <c r="S16493"/>
    </row>
    <row r="16494" spans="13:19" ht="13.95" customHeight="1">
      <c r="M16494"/>
      <c r="N16494"/>
      <c r="O16494"/>
      <c r="P16494"/>
      <c r="Q16494"/>
      <c r="R16494"/>
      <c r="S16494"/>
    </row>
    <row r="16495" spans="13:19" ht="13.95" customHeight="1">
      <c r="M16495"/>
      <c r="N16495"/>
      <c r="O16495"/>
      <c r="P16495"/>
      <c r="Q16495"/>
      <c r="R16495"/>
      <c r="S16495"/>
    </row>
    <row r="16496" spans="13:19" ht="13.95" customHeight="1">
      <c r="M16496"/>
      <c r="N16496"/>
      <c r="O16496"/>
      <c r="P16496"/>
      <c r="Q16496"/>
      <c r="R16496"/>
      <c r="S16496"/>
    </row>
    <row r="16497" spans="13:19" ht="13.95" customHeight="1">
      <c r="M16497"/>
      <c r="N16497"/>
      <c r="O16497"/>
      <c r="P16497"/>
      <c r="Q16497"/>
      <c r="R16497"/>
      <c r="S16497"/>
    </row>
    <row r="16498" spans="13:19" ht="13.95" customHeight="1">
      <c r="M16498"/>
      <c r="N16498"/>
      <c r="O16498"/>
      <c r="P16498"/>
      <c r="Q16498"/>
      <c r="R16498"/>
      <c r="S16498"/>
    </row>
    <row r="16499" spans="13:19" ht="13.95" customHeight="1">
      <c r="M16499"/>
      <c r="N16499"/>
      <c r="O16499"/>
      <c r="P16499"/>
      <c r="Q16499"/>
      <c r="R16499"/>
      <c r="S16499"/>
    </row>
    <row r="16500" spans="13:19" ht="13.95" customHeight="1">
      <c r="M16500"/>
      <c r="N16500"/>
      <c r="O16500"/>
      <c r="P16500"/>
      <c r="Q16500"/>
      <c r="R16500"/>
      <c r="S16500"/>
    </row>
    <row r="16501" spans="13:19" ht="13.95" customHeight="1">
      <c r="M16501"/>
      <c r="N16501"/>
      <c r="O16501"/>
      <c r="P16501"/>
      <c r="Q16501"/>
      <c r="R16501"/>
      <c r="S16501"/>
    </row>
    <row r="16502" spans="13:19" ht="13.95" customHeight="1">
      <c r="M16502"/>
      <c r="N16502"/>
      <c r="O16502"/>
      <c r="P16502"/>
      <c r="Q16502"/>
      <c r="R16502"/>
      <c r="S16502"/>
    </row>
    <row r="16503" spans="13:19" ht="13.95" customHeight="1">
      <c r="M16503"/>
      <c r="N16503"/>
      <c r="O16503"/>
      <c r="P16503"/>
      <c r="Q16503"/>
      <c r="R16503"/>
      <c r="S16503"/>
    </row>
    <row r="16504" spans="13:19" ht="13.95" customHeight="1">
      <c r="M16504"/>
      <c r="N16504"/>
      <c r="O16504"/>
      <c r="P16504"/>
      <c r="Q16504"/>
      <c r="R16504"/>
      <c r="S16504"/>
    </row>
    <row r="16505" spans="13:19" ht="13.95" customHeight="1">
      <c r="M16505"/>
      <c r="N16505"/>
      <c r="O16505"/>
      <c r="P16505"/>
      <c r="Q16505"/>
      <c r="R16505"/>
      <c r="S16505"/>
    </row>
    <row r="16506" spans="13:19" ht="13.95" customHeight="1">
      <c r="M16506"/>
      <c r="N16506"/>
      <c r="O16506"/>
      <c r="P16506"/>
      <c r="Q16506"/>
      <c r="R16506"/>
      <c r="S16506"/>
    </row>
    <row r="16507" spans="13:19" ht="13.95" customHeight="1">
      <c r="M16507"/>
      <c r="N16507"/>
      <c r="O16507"/>
      <c r="P16507"/>
      <c r="Q16507"/>
      <c r="R16507"/>
      <c r="S16507"/>
    </row>
    <row r="16508" spans="13:19" ht="13.95" customHeight="1">
      <c r="M16508"/>
      <c r="N16508"/>
      <c r="O16508"/>
      <c r="P16508"/>
      <c r="Q16508"/>
      <c r="R16508"/>
      <c r="S16508"/>
    </row>
    <row r="16509" spans="13:19" ht="13.95" customHeight="1">
      <c r="M16509"/>
      <c r="N16509"/>
      <c r="O16509"/>
      <c r="P16509"/>
      <c r="Q16509"/>
      <c r="R16509"/>
      <c r="S16509"/>
    </row>
    <row r="16510" spans="13:19" ht="13.95" customHeight="1">
      <c r="M16510"/>
      <c r="N16510"/>
      <c r="O16510"/>
      <c r="P16510"/>
      <c r="Q16510"/>
      <c r="R16510"/>
      <c r="S16510"/>
    </row>
    <row r="16511" spans="13:19" ht="13.95" customHeight="1">
      <c r="M16511"/>
      <c r="N16511"/>
      <c r="O16511"/>
      <c r="P16511"/>
      <c r="Q16511"/>
      <c r="R16511"/>
      <c r="S16511"/>
    </row>
    <row r="16512" spans="13:19" ht="13.95" customHeight="1">
      <c r="M16512"/>
      <c r="N16512"/>
      <c r="O16512"/>
      <c r="P16512"/>
      <c r="Q16512"/>
      <c r="R16512"/>
      <c r="S16512"/>
    </row>
    <row r="16513" spans="13:19" ht="13.95" customHeight="1">
      <c r="M16513"/>
      <c r="N16513"/>
      <c r="O16513"/>
      <c r="P16513"/>
      <c r="Q16513"/>
      <c r="R16513"/>
      <c r="S16513"/>
    </row>
    <row r="16514" spans="13:19" ht="13.95" customHeight="1">
      <c r="M16514"/>
      <c r="N16514"/>
      <c r="O16514"/>
      <c r="P16514"/>
      <c r="Q16514"/>
      <c r="R16514"/>
      <c r="S16514"/>
    </row>
    <row r="16515" spans="13:19" ht="13.95" customHeight="1">
      <c r="M16515"/>
      <c r="N16515"/>
      <c r="O16515"/>
      <c r="P16515"/>
      <c r="Q16515"/>
      <c r="R16515"/>
      <c r="S16515"/>
    </row>
    <row r="16516" spans="13:19" ht="13.95" customHeight="1">
      <c r="M16516"/>
      <c r="N16516"/>
      <c r="O16516"/>
      <c r="P16516"/>
      <c r="Q16516"/>
      <c r="R16516"/>
      <c r="S16516"/>
    </row>
    <row r="16517" spans="13:19" ht="13.95" customHeight="1">
      <c r="M16517"/>
      <c r="N16517"/>
      <c r="O16517"/>
      <c r="P16517"/>
      <c r="Q16517"/>
      <c r="R16517"/>
      <c r="S16517"/>
    </row>
    <row r="16518" spans="13:19" ht="13.95" customHeight="1">
      <c r="M16518"/>
      <c r="N16518"/>
      <c r="O16518"/>
      <c r="P16518"/>
      <c r="Q16518"/>
      <c r="R16518"/>
      <c r="S16518"/>
    </row>
    <row r="16519" spans="13:19" ht="13.95" customHeight="1">
      <c r="M16519"/>
      <c r="N16519"/>
      <c r="O16519"/>
      <c r="P16519"/>
      <c r="Q16519"/>
      <c r="R16519"/>
      <c r="S16519"/>
    </row>
    <row r="16520" spans="13:19" ht="13.95" customHeight="1">
      <c r="M16520"/>
      <c r="N16520"/>
      <c r="O16520"/>
      <c r="P16520"/>
      <c r="Q16520"/>
      <c r="R16520"/>
      <c r="S16520"/>
    </row>
    <row r="16521" spans="13:19" ht="13.95" customHeight="1">
      <c r="M16521"/>
      <c r="N16521"/>
      <c r="O16521"/>
      <c r="P16521"/>
      <c r="Q16521"/>
      <c r="R16521"/>
      <c r="S16521"/>
    </row>
    <row r="16522" spans="13:19" ht="13.95" customHeight="1">
      <c r="M16522"/>
      <c r="N16522"/>
      <c r="O16522"/>
      <c r="P16522"/>
      <c r="Q16522"/>
      <c r="R16522"/>
      <c r="S16522"/>
    </row>
    <row r="16523" spans="13:19" ht="13.95" customHeight="1">
      <c r="M16523"/>
      <c r="N16523"/>
      <c r="O16523"/>
      <c r="P16523"/>
      <c r="Q16523"/>
      <c r="R16523"/>
      <c r="S16523"/>
    </row>
    <row r="16524" spans="13:19" ht="13.95" customHeight="1">
      <c r="M16524"/>
      <c r="N16524"/>
      <c r="O16524"/>
      <c r="P16524"/>
      <c r="Q16524"/>
      <c r="R16524"/>
      <c r="S16524"/>
    </row>
    <row r="16525" spans="13:19" ht="13.95" customHeight="1">
      <c r="M16525"/>
      <c r="N16525"/>
      <c r="O16525"/>
      <c r="P16525"/>
      <c r="Q16525"/>
      <c r="R16525"/>
      <c r="S16525"/>
    </row>
    <row r="16526" spans="13:19" ht="13.95" customHeight="1">
      <c r="M16526"/>
      <c r="N16526"/>
      <c r="O16526"/>
      <c r="P16526"/>
      <c r="Q16526"/>
      <c r="R16526"/>
      <c r="S16526"/>
    </row>
    <row r="16527" spans="13:19" ht="13.95" customHeight="1">
      <c r="M16527"/>
      <c r="N16527"/>
      <c r="O16527"/>
      <c r="P16527"/>
      <c r="Q16527"/>
      <c r="R16527"/>
      <c r="S16527"/>
    </row>
    <row r="16528" spans="13:19" ht="13.95" customHeight="1">
      <c r="M16528"/>
      <c r="N16528"/>
      <c r="O16528"/>
      <c r="P16528"/>
      <c r="Q16528"/>
      <c r="R16528"/>
      <c r="S16528"/>
    </row>
    <row r="16529" spans="13:19" ht="13.95" customHeight="1">
      <c r="M16529"/>
      <c r="N16529"/>
      <c r="O16529"/>
      <c r="P16529"/>
      <c r="Q16529"/>
      <c r="R16529"/>
      <c r="S16529"/>
    </row>
    <row r="16530" spans="13:19" ht="13.95" customHeight="1">
      <c r="M16530"/>
      <c r="N16530"/>
      <c r="O16530"/>
      <c r="P16530"/>
      <c r="Q16530"/>
      <c r="R16530"/>
      <c r="S16530"/>
    </row>
    <row r="16531" spans="13:19" ht="13.95" customHeight="1">
      <c r="M16531"/>
      <c r="N16531"/>
      <c r="O16531"/>
      <c r="P16531"/>
      <c r="Q16531"/>
      <c r="R16531"/>
      <c r="S16531"/>
    </row>
    <row r="16532" spans="13:19" ht="13.95" customHeight="1">
      <c r="M16532"/>
      <c r="N16532"/>
      <c r="O16532"/>
      <c r="P16532"/>
      <c r="Q16532"/>
      <c r="R16532"/>
      <c r="S16532"/>
    </row>
    <row r="16533" spans="13:19" ht="13.95" customHeight="1">
      <c r="M16533"/>
      <c r="N16533"/>
      <c r="O16533"/>
      <c r="P16533"/>
      <c r="Q16533"/>
      <c r="R16533"/>
      <c r="S16533"/>
    </row>
    <row r="16534" spans="13:19" ht="13.95" customHeight="1">
      <c r="M16534"/>
      <c r="N16534"/>
      <c r="O16534"/>
      <c r="P16534"/>
      <c r="Q16534"/>
      <c r="R16534"/>
      <c r="S16534"/>
    </row>
    <row r="16535" spans="13:19" ht="13.95" customHeight="1">
      <c r="M16535"/>
      <c r="N16535"/>
      <c r="O16535"/>
      <c r="P16535"/>
      <c r="Q16535"/>
      <c r="R16535"/>
      <c r="S16535"/>
    </row>
    <row r="16536" spans="13:19" ht="13.95" customHeight="1">
      <c r="M16536"/>
      <c r="N16536"/>
      <c r="O16536"/>
      <c r="P16536"/>
      <c r="Q16536"/>
      <c r="R16536"/>
      <c r="S16536"/>
    </row>
    <row r="16537" spans="13:19" ht="13.95" customHeight="1">
      <c r="M16537"/>
      <c r="N16537"/>
      <c r="O16537"/>
      <c r="P16537"/>
      <c r="Q16537"/>
      <c r="R16537"/>
      <c r="S16537"/>
    </row>
    <row r="16538" spans="13:19" ht="13.95" customHeight="1">
      <c r="M16538"/>
      <c r="N16538"/>
      <c r="O16538"/>
      <c r="P16538"/>
      <c r="Q16538"/>
      <c r="R16538"/>
      <c r="S16538"/>
    </row>
    <row r="16539" spans="13:19" ht="13.95" customHeight="1">
      <c r="M16539"/>
      <c r="N16539"/>
      <c r="O16539"/>
      <c r="P16539"/>
      <c r="Q16539"/>
      <c r="R16539"/>
      <c r="S16539"/>
    </row>
    <row r="16540" spans="13:19" ht="13.95" customHeight="1">
      <c r="M16540"/>
      <c r="N16540"/>
      <c r="O16540"/>
      <c r="P16540"/>
      <c r="Q16540"/>
      <c r="R16540"/>
      <c r="S16540"/>
    </row>
    <row r="16541" spans="13:19" ht="13.95" customHeight="1">
      <c r="M16541"/>
      <c r="N16541"/>
      <c r="O16541"/>
      <c r="P16541"/>
      <c r="Q16541"/>
      <c r="R16541"/>
      <c r="S16541"/>
    </row>
    <row r="16542" spans="13:19" ht="13.95" customHeight="1">
      <c r="M16542"/>
      <c r="N16542"/>
      <c r="O16542"/>
      <c r="P16542"/>
      <c r="Q16542"/>
      <c r="R16542"/>
      <c r="S16542"/>
    </row>
    <row r="16543" spans="13:19" ht="13.95" customHeight="1">
      <c r="M16543"/>
      <c r="N16543"/>
      <c r="O16543"/>
      <c r="P16543"/>
      <c r="Q16543"/>
      <c r="R16543"/>
      <c r="S16543"/>
    </row>
    <row r="16544" spans="13:19" ht="13.95" customHeight="1">
      <c r="M16544"/>
      <c r="N16544"/>
      <c r="O16544"/>
      <c r="P16544"/>
      <c r="Q16544"/>
      <c r="R16544"/>
      <c r="S16544"/>
    </row>
    <row r="16545" spans="13:19" ht="13.95" customHeight="1">
      <c r="M16545"/>
      <c r="N16545"/>
      <c r="O16545"/>
      <c r="P16545"/>
      <c r="Q16545"/>
      <c r="R16545"/>
      <c r="S16545"/>
    </row>
    <row r="16546" spans="13:19" ht="13.95" customHeight="1">
      <c r="M16546"/>
      <c r="N16546"/>
      <c r="O16546"/>
      <c r="P16546"/>
      <c r="Q16546"/>
      <c r="R16546"/>
      <c r="S16546"/>
    </row>
    <row r="16547" spans="13:19" ht="13.95" customHeight="1">
      <c r="M16547"/>
      <c r="N16547"/>
      <c r="O16547"/>
      <c r="P16547"/>
      <c r="Q16547"/>
      <c r="R16547"/>
      <c r="S16547"/>
    </row>
    <row r="16548" spans="13:19" ht="13.95" customHeight="1">
      <c r="M16548"/>
      <c r="N16548"/>
      <c r="O16548"/>
      <c r="P16548"/>
      <c r="Q16548"/>
      <c r="R16548"/>
      <c r="S16548"/>
    </row>
    <row r="16549" spans="13:19" ht="13.95" customHeight="1">
      <c r="M16549"/>
      <c r="N16549"/>
      <c r="O16549"/>
      <c r="P16549"/>
      <c r="Q16549"/>
      <c r="R16549"/>
      <c r="S16549"/>
    </row>
    <row r="16550" spans="13:19" ht="13.95" customHeight="1">
      <c r="M16550"/>
      <c r="N16550"/>
      <c r="O16550"/>
      <c r="P16550"/>
      <c r="Q16550"/>
      <c r="R16550"/>
      <c r="S16550"/>
    </row>
    <row r="16551" spans="13:19" ht="13.95" customHeight="1">
      <c r="M16551"/>
      <c r="N16551"/>
      <c r="O16551"/>
      <c r="P16551"/>
      <c r="Q16551"/>
      <c r="R16551"/>
      <c r="S16551"/>
    </row>
    <row r="16552" spans="13:19" ht="13.95" customHeight="1">
      <c r="M16552"/>
      <c r="N16552"/>
      <c r="O16552"/>
      <c r="P16552"/>
      <c r="Q16552"/>
      <c r="R16552"/>
      <c r="S16552"/>
    </row>
    <row r="16553" spans="13:19" ht="13.95" customHeight="1">
      <c r="M16553"/>
      <c r="N16553"/>
      <c r="O16553"/>
      <c r="P16553"/>
      <c r="Q16553"/>
      <c r="R16553"/>
      <c r="S16553"/>
    </row>
    <row r="16554" spans="13:19" ht="13.95" customHeight="1">
      <c r="M16554"/>
      <c r="N16554"/>
      <c r="O16554"/>
      <c r="P16554"/>
      <c r="Q16554"/>
      <c r="R16554"/>
      <c r="S16554"/>
    </row>
    <row r="16555" spans="13:19" ht="13.95" customHeight="1">
      <c r="M16555"/>
      <c r="N16555"/>
      <c r="O16555"/>
      <c r="P16555"/>
      <c r="Q16555"/>
      <c r="R16555"/>
      <c r="S16555"/>
    </row>
    <row r="16556" spans="13:19" ht="13.95" customHeight="1">
      <c r="M16556"/>
      <c r="N16556"/>
      <c r="O16556"/>
      <c r="P16556"/>
      <c r="Q16556"/>
      <c r="R16556"/>
      <c r="S16556"/>
    </row>
    <row r="16557" spans="13:19" ht="13.95" customHeight="1">
      <c r="M16557"/>
      <c r="N16557"/>
      <c r="O16557"/>
      <c r="P16557"/>
      <c r="Q16557"/>
      <c r="R16557"/>
      <c r="S16557"/>
    </row>
    <row r="16558" spans="13:19" ht="13.95" customHeight="1">
      <c r="M16558"/>
      <c r="N16558"/>
      <c r="O16558"/>
      <c r="P16558"/>
      <c r="Q16558"/>
      <c r="R16558"/>
      <c r="S16558"/>
    </row>
    <row r="16559" spans="13:19" ht="13.95" customHeight="1">
      <c r="M16559"/>
      <c r="N16559"/>
      <c r="O16559"/>
      <c r="P16559"/>
      <c r="Q16559"/>
      <c r="R16559"/>
      <c r="S16559"/>
    </row>
    <row r="16560" spans="13:19" ht="13.95" customHeight="1">
      <c r="M16560"/>
      <c r="N16560"/>
      <c r="O16560"/>
      <c r="P16560"/>
      <c r="Q16560"/>
      <c r="R16560"/>
      <c r="S16560"/>
    </row>
    <row r="16561" spans="13:19" ht="13.95" customHeight="1">
      <c r="M16561"/>
      <c r="N16561"/>
      <c r="O16561"/>
      <c r="P16561"/>
      <c r="Q16561"/>
      <c r="R16561"/>
      <c r="S16561"/>
    </row>
    <row r="16562" spans="13:19" ht="13.95" customHeight="1">
      <c r="M16562"/>
      <c r="N16562"/>
      <c r="O16562"/>
      <c r="P16562"/>
      <c r="Q16562"/>
      <c r="R16562"/>
      <c r="S16562"/>
    </row>
    <row r="16563" spans="13:19" ht="13.95" customHeight="1">
      <c r="M16563"/>
      <c r="N16563"/>
      <c r="O16563"/>
      <c r="P16563"/>
      <c r="Q16563"/>
      <c r="R16563"/>
      <c r="S16563"/>
    </row>
    <row r="16564" spans="13:19" ht="13.95" customHeight="1">
      <c r="M16564"/>
      <c r="N16564"/>
      <c r="O16564"/>
      <c r="P16564"/>
      <c r="Q16564"/>
      <c r="R16564"/>
      <c r="S16564"/>
    </row>
    <row r="16565" spans="13:19" ht="13.95" customHeight="1">
      <c r="M16565"/>
      <c r="N16565"/>
      <c r="O16565"/>
      <c r="P16565"/>
      <c r="Q16565"/>
      <c r="R16565"/>
      <c r="S16565"/>
    </row>
    <row r="16566" spans="13:19" ht="13.95" customHeight="1">
      <c r="M16566"/>
      <c r="N16566"/>
      <c r="O16566"/>
      <c r="P16566"/>
      <c r="Q16566"/>
      <c r="R16566"/>
      <c r="S16566"/>
    </row>
    <row r="16567" spans="13:19" ht="13.95" customHeight="1">
      <c r="M16567"/>
      <c r="N16567"/>
      <c r="O16567"/>
      <c r="P16567"/>
      <c r="Q16567"/>
      <c r="R16567"/>
      <c r="S16567"/>
    </row>
    <row r="16568" spans="13:19" ht="13.95" customHeight="1">
      <c r="M16568"/>
      <c r="N16568"/>
      <c r="O16568"/>
      <c r="P16568"/>
      <c r="Q16568"/>
      <c r="R16568"/>
      <c r="S16568"/>
    </row>
    <row r="16569" spans="13:19" ht="13.95" customHeight="1">
      <c r="M16569"/>
      <c r="N16569"/>
      <c r="O16569"/>
      <c r="P16569"/>
      <c r="Q16569"/>
      <c r="R16569"/>
      <c r="S16569"/>
    </row>
    <row r="16570" spans="13:19" ht="13.95" customHeight="1">
      <c r="M16570"/>
      <c r="N16570"/>
      <c r="O16570"/>
      <c r="P16570"/>
      <c r="Q16570"/>
      <c r="R16570"/>
      <c r="S16570"/>
    </row>
    <row r="16571" spans="13:19" ht="13.95" customHeight="1">
      <c r="M16571"/>
      <c r="N16571"/>
      <c r="O16571"/>
      <c r="P16571"/>
      <c r="Q16571"/>
      <c r="R16571"/>
      <c r="S16571"/>
    </row>
    <row r="16572" spans="13:19" ht="13.95" customHeight="1">
      <c r="M16572"/>
      <c r="N16572"/>
      <c r="O16572"/>
      <c r="P16572"/>
      <c r="Q16572"/>
      <c r="R16572"/>
      <c r="S16572"/>
    </row>
    <row r="16573" spans="13:19" ht="13.95" customHeight="1">
      <c r="M16573"/>
      <c r="N16573"/>
      <c r="O16573"/>
      <c r="P16573"/>
      <c r="Q16573"/>
      <c r="R16573"/>
      <c r="S16573"/>
    </row>
    <row r="16574" spans="13:19" ht="13.95" customHeight="1">
      <c r="M16574"/>
      <c r="N16574"/>
      <c r="O16574"/>
      <c r="P16574"/>
      <c r="Q16574"/>
      <c r="R16574"/>
      <c r="S16574"/>
    </row>
    <row r="16575" spans="13:19" ht="13.95" customHeight="1">
      <c r="M16575"/>
      <c r="N16575"/>
      <c r="O16575"/>
      <c r="P16575"/>
      <c r="Q16575"/>
      <c r="R16575"/>
      <c r="S16575"/>
    </row>
    <row r="16576" spans="13:19" ht="13.95" customHeight="1">
      <c r="M16576"/>
      <c r="N16576"/>
      <c r="O16576"/>
      <c r="P16576"/>
      <c r="Q16576"/>
      <c r="R16576"/>
      <c r="S16576"/>
    </row>
    <row r="16577" spans="13:19" ht="13.95" customHeight="1">
      <c r="M16577"/>
      <c r="N16577"/>
      <c r="O16577"/>
      <c r="P16577"/>
      <c r="Q16577"/>
      <c r="R16577"/>
      <c r="S16577"/>
    </row>
    <row r="16578" spans="13:19" ht="13.95" customHeight="1">
      <c r="M16578"/>
      <c r="N16578"/>
      <c r="O16578"/>
      <c r="P16578"/>
      <c r="Q16578"/>
      <c r="R16578"/>
      <c r="S16578"/>
    </row>
    <row r="16579" spans="13:19" ht="13.95" customHeight="1">
      <c r="M16579"/>
      <c r="N16579"/>
      <c r="O16579"/>
      <c r="P16579"/>
      <c r="Q16579"/>
      <c r="R16579"/>
      <c r="S16579"/>
    </row>
    <row r="16580" spans="13:19" ht="13.95" customHeight="1">
      <c r="M16580"/>
      <c r="N16580"/>
      <c r="O16580"/>
      <c r="P16580"/>
      <c r="Q16580"/>
      <c r="R16580"/>
      <c r="S16580"/>
    </row>
    <row r="16581" spans="13:19" ht="13.95" customHeight="1">
      <c r="M16581"/>
      <c r="N16581"/>
      <c r="O16581"/>
      <c r="P16581"/>
      <c r="Q16581"/>
      <c r="R16581"/>
      <c r="S16581"/>
    </row>
    <row r="16582" spans="13:19" ht="13.95" customHeight="1">
      <c r="M16582"/>
      <c r="N16582"/>
      <c r="O16582"/>
      <c r="P16582"/>
      <c r="Q16582"/>
      <c r="R16582"/>
      <c r="S16582"/>
    </row>
    <row r="16583" spans="13:19" ht="13.95" customHeight="1">
      <c r="M16583"/>
      <c r="N16583"/>
      <c r="O16583"/>
      <c r="P16583"/>
      <c r="Q16583"/>
      <c r="R16583"/>
      <c r="S16583"/>
    </row>
    <row r="16584" spans="13:19" ht="13.95" customHeight="1">
      <c r="M16584"/>
      <c r="N16584"/>
      <c r="O16584"/>
      <c r="P16584"/>
      <c r="Q16584"/>
      <c r="R16584"/>
      <c r="S16584"/>
    </row>
    <row r="16585" spans="13:19" ht="13.95" customHeight="1">
      <c r="M16585"/>
      <c r="N16585"/>
      <c r="O16585"/>
      <c r="P16585"/>
      <c r="Q16585"/>
      <c r="R16585"/>
      <c r="S16585"/>
    </row>
    <row r="16586" spans="13:19" ht="13.95" customHeight="1">
      <c r="M16586"/>
      <c r="N16586"/>
      <c r="O16586"/>
      <c r="P16586"/>
      <c r="Q16586"/>
      <c r="R16586"/>
      <c r="S16586"/>
    </row>
    <row r="16587" spans="13:19" ht="13.95" customHeight="1">
      <c r="M16587"/>
      <c r="N16587"/>
      <c r="O16587"/>
      <c r="P16587"/>
      <c r="Q16587"/>
      <c r="R16587"/>
      <c r="S16587"/>
    </row>
    <row r="16588" spans="13:19" ht="13.95" customHeight="1">
      <c r="M16588"/>
      <c r="N16588"/>
      <c r="O16588"/>
      <c r="P16588"/>
      <c r="Q16588"/>
      <c r="R16588"/>
      <c r="S16588"/>
    </row>
    <row r="16589" spans="13:19" ht="13.95" customHeight="1">
      <c r="M16589"/>
      <c r="N16589"/>
      <c r="O16589"/>
      <c r="P16589"/>
      <c r="Q16589"/>
      <c r="R16589"/>
      <c r="S16589"/>
    </row>
    <row r="16590" spans="13:19" ht="13.95" customHeight="1">
      <c r="M16590"/>
      <c r="N16590"/>
      <c r="O16590"/>
      <c r="P16590"/>
      <c r="Q16590"/>
      <c r="R16590"/>
      <c r="S16590"/>
    </row>
    <row r="16591" spans="13:19" ht="13.95" customHeight="1">
      <c r="M16591"/>
      <c r="N16591"/>
      <c r="O16591"/>
      <c r="P16591"/>
      <c r="Q16591"/>
      <c r="R16591"/>
      <c r="S16591"/>
    </row>
    <row r="16592" spans="13:19" ht="13.95" customHeight="1">
      <c r="M16592"/>
      <c r="N16592"/>
      <c r="O16592"/>
      <c r="P16592"/>
      <c r="Q16592"/>
      <c r="R16592"/>
      <c r="S16592"/>
    </row>
    <row r="16593" spans="13:19" ht="13.95" customHeight="1">
      <c r="M16593"/>
      <c r="N16593"/>
      <c r="O16593"/>
      <c r="P16593"/>
      <c r="Q16593"/>
      <c r="R16593"/>
      <c r="S16593"/>
    </row>
    <row r="16594" spans="13:19" ht="13.95" customHeight="1">
      <c r="M16594"/>
      <c r="N16594"/>
      <c r="O16594"/>
      <c r="P16594"/>
      <c r="Q16594"/>
      <c r="R16594"/>
      <c r="S16594"/>
    </row>
    <row r="16595" spans="13:19" ht="13.95" customHeight="1">
      <c r="M16595"/>
      <c r="N16595"/>
      <c r="O16595"/>
      <c r="P16595"/>
      <c r="Q16595"/>
      <c r="R16595"/>
      <c r="S16595"/>
    </row>
    <row r="16596" spans="13:19" ht="13.95" customHeight="1">
      <c r="M16596"/>
      <c r="N16596"/>
      <c r="O16596"/>
      <c r="P16596"/>
      <c r="Q16596"/>
      <c r="R16596"/>
      <c r="S16596"/>
    </row>
    <row r="16597" spans="13:19" ht="13.95" customHeight="1">
      <c r="M16597"/>
      <c r="N16597"/>
      <c r="O16597"/>
      <c r="P16597"/>
      <c r="Q16597"/>
      <c r="R16597"/>
      <c r="S16597"/>
    </row>
    <row r="16598" spans="13:19" ht="13.95" customHeight="1">
      <c r="M16598"/>
      <c r="N16598"/>
      <c r="O16598"/>
      <c r="P16598"/>
      <c r="Q16598"/>
      <c r="R16598"/>
      <c r="S16598"/>
    </row>
    <row r="16599" spans="13:19" ht="13.95" customHeight="1">
      <c r="M16599"/>
      <c r="N16599"/>
      <c r="O16599"/>
      <c r="P16599"/>
      <c r="Q16599"/>
      <c r="R16599"/>
      <c r="S16599"/>
    </row>
    <row r="16600" spans="13:19" ht="13.95" customHeight="1">
      <c r="M16600"/>
      <c r="N16600"/>
      <c r="O16600"/>
      <c r="P16600"/>
      <c r="Q16600"/>
      <c r="R16600"/>
      <c r="S16600"/>
    </row>
    <row r="16601" spans="13:19" ht="13.95" customHeight="1">
      <c r="M16601"/>
      <c r="N16601"/>
      <c r="O16601"/>
      <c r="P16601"/>
      <c r="Q16601"/>
      <c r="R16601"/>
      <c r="S16601"/>
    </row>
    <row r="16602" spans="13:19" ht="13.95" customHeight="1">
      <c r="M16602"/>
      <c r="N16602"/>
      <c r="O16602"/>
      <c r="P16602"/>
      <c r="Q16602"/>
      <c r="R16602"/>
      <c r="S16602"/>
    </row>
    <row r="16603" spans="13:19" ht="13.95" customHeight="1">
      <c r="M16603"/>
      <c r="N16603"/>
      <c r="O16603"/>
      <c r="P16603"/>
      <c r="Q16603"/>
      <c r="R16603"/>
      <c r="S16603"/>
    </row>
    <row r="16604" spans="13:19" ht="13.95" customHeight="1">
      <c r="M16604"/>
      <c r="N16604"/>
      <c r="O16604"/>
      <c r="P16604"/>
      <c r="Q16604"/>
      <c r="R16604"/>
      <c r="S16604"/>
    </row>
    <row r="16605" spans="13:19" ht="13.95" customHeight="1">
      <c r="M16605"/>
      <c r="N16605"/>
      <c r="O16605"/>
      <c r="P16605"/>
      <c r="Q16605"/>
      <c r="R16605"/>
      <c r="S16605"/>
    </row>
    <row r="16606" spans="13:19" ht="13.95" customHeight="1">
      <c r="M16606"/>
      <c r="N16606"/>
      <c r="O16606"/>
      <c r="P16606"/>
      <c r="Q16606"/>
      <c r="R16606"/>
      <c r="S16606"/>
    </row>
    <row r="16607" spans="13:19" ht="13.95" customHeight="1">
      <c r="M16607"/>
      <c r="N16607"/>
      <c r="O16607"/>
      <c r="P16607"/>
      <c r="Q16607"/>
      <c r="R16607"/>
      <c r="S16607"/>
    </row>
    <row r="16608" spans="13:19" ht="13.95" customHeight="1">
      <c r="M16608"/>
      <c r="N16608"/>
      <c r="O16608"/>
      <c r="P16608"/>
      <c r="Q16608"/>
      <c r="R16608"/>
      <c r="S16608"/>
    </row>
    <row r="16609" spans="13:19" ht="13.95" customHeight="1">
      <c r="M16609"/>
      <c r="N16609"/>
      <c r="O16609"/>
      <c r="P16609"/>
      <c r="Q16609"/>
      <c r="R16609"/>
      <c r="S16609"/>
    </row>
    <row r="16610" spans="13:19" ht="13.95" customHeight="1">
      <c r="M16610"/>
      <c r="N16610"/>
      <c r="O16610"/>
      <c r="P16610"/>
      <c r="Q16610"/>
      <c r="R16610"/>
      <c r="S16610"/>
    </row>
    <row r="16611" spans="13:19" ht="13.95" customHeight="1">
      <c r="M16611"/>
      <c r="N16611"/>
      <c r="O16611"/>
      <c r="P16611"/>
      <c r="Q16611"/>
      <c r="R16611"/>
      <c r="S16611"/>
    </row>
    <row r="16612" spans="13:19" ht="13.95" customHeight="1">
      <c r="M16612"/>
      <c r="N16612"/>
      <c r="O16612"/>
      <c r="P16612"/>
      <c r="Q16612"/>
      <c r="R16612"/>
      <c r="S16612"/>
    </row>
    <row r="16613" spans="13:19" ht="13.95" customHeight="1">
      <c r="M16613"/>
      <c r="N16613"/>
      <c r="O16613"/>
      <c r="P16613"/>
      <c r="Q16613"/>
      <c r="R16613"/>
      <c r="S16613"/>
    </row>
    <row r="16614" spans="13:19" ht="13.95" customHeight="1">
      <c r="M16614"/>
      <c r="N16614"/>
      <c r="O16614"/>
      <c r="P16614"/>
      <c r="Q16614"/>
      <c r="R16614"/>
      <c r="S16614"/>
    </row>
    <row r="16615" spans="13:19" ht="13.95" customHeight="1">
      <c r="M16615"/>
      <c r="N16615"/>
      <c r="O16615"/>
      <c r="P16615"/>
      <c r="Q16615"/>
      <c r="R16615"/>
      <c r="S16615"/>
    </row>
    <row r="16616" spans="13:19" ht="13.95" customHeight="1">
      <c r="M16616"/>
      <c r="N16616"/>
      <c r="O16616"/>
      <c r="P16616"/>
      <c r="Q16616"/>
      <c r="R16616"/>
      <c r="S16616"/>
    </row>
    <row r="16617" spans="13:19" ht="13.95" customHeight="1">
      <c r="M16617"/>
      <c r="N16617"/>
      <c r="O16617"/>
      <c r="P16617"/>
      <c r="Q16617"/>
      <c r="R16617"/>
      <c r="S16617"/>
    </row>
    <row r="16618" spans="13:19" ht="13.95" customHeight="1">
      <c r="M16618"/>
      <c r="N16618"/>
      <c r="O16618"/>
      <c r="P16618"/>
      <c r="Q16618"/>
      <c r="R16618"/>
      <c r="S16618"/>
    </row>
    <row r="16619" spans="13:19" ht="13.95" customHeight="1">
      <c r="M16619"/>
      <c r="N16619"/>
      <c r="O16619"/>
      <c r="P16619"/>
      <c r="Q16619"/>
      <c r="R16619"/>
      <c r="S16619"/>
    </row>
    <row r="16620" spans="13:19" ht="13.95" customHeight="1">
      <c r="M16620"/>
      <c r="N16620"/>
      <c r="O16620"/>
      <c r="P16620"/>
      <c r="Q16620"/>
      <c r="R16620"/>
      <c r="S16620"/>
    </row>
    <row r="16621" spans="13:19" ht="13.95" customHeight="1">
      <c r="M16621"/>
      <c r="N16621"/>
      <c r="O16621"/>
      <c r="P16621"/>
      <c r="Q16621"/>
      <c r="R16621"/>
      <c r="S16621"/>
    </row>
    <row r="16622" spans="13:19" ht="13.95" customHeight="1">
      <c r="M16622"/>
      <c r="N16622"/>
      <c r="O16622"/>
      <c r="P16622"/>
      <c r="Q16622"/>
      <c r="R16622"/>
      <c r="S16622"/>
    </row>
    <row r="16623" spans="13:19" ht="13.95" customHeight="1">
      <c r="M16623"/>
      <c r="N16623"/>
      <c r="O16623"/>
      <c r="P16623"/>
      <c r="Q16623"/>
      <c r="R16623"/>
      <c r="S16623"/>
    </row>
    <row r="16624" spans="13:19" ht="13.95" customHeight="1">
      <c r="M16624"/>
      <c r="N16624"/>
      <c r="O16624"/>
      <c r="P16624"/>
      <c r="Q16624"/>
      <c r="R16624"/>
      <c r="S16624"/>
    </row>
    <row r="16625" spans="13:19" ht="13.95" customHeight="1">
      <c r="M16625"/>
      <c r="N16625"/>
      <c r="O16625"/>
      <c r="P16625"/>
      <c r="Q16625"/>
      <c r="R16625"/>
      <c r="S16625"/>
    </row>
    <row r="16626" spans="13:19" ht="13.95" customHeight="1">
      <c r="M16626"/>
      <c r="N16626"/>
      <c r="O16626"/>
      <c r="P16626"/>
      <c r="Q16626"/>
      <c r="R16626"/>
      <c r="S16626"/>
    </row>
    <row r="16627" spans="13:19" ht="13.95" customHeight="1">
      <c r="M16627"/>
      <c r="N16627"/>
      <c r="O16627"/>
      <c r="P16627"/>
      <c r="Q16627"/>
      <c r="R16627"/>
      <c r="S16627"/>
    </row>
    <row r="16628" spans="13:19" ht="13.95" customHeight="1">
      <c r="M16628"/>
      <c r="N16628"/>
      <c r="O16628"/>
      <c r="P16628"/>
      <c r="Q16628"/>
      <c r="R16628"/>
      <c r="S16628"/>
    </row>
    <row r="16629" spans="13:19" ht="13.95" customHeight="1">
      <c r="M16629"/>
      <c r="N16629"/>
      <c r="O16629"/>
      <c r="P16629"/>
      <c r="Q16629"/>
      <c r="R16629"/>
      <c r="S16629"/>
    </row>
    <row r="16630" spans="13:19" ht="13.95" customHeight="1">
      <c r="M16630"/>
      <c r="N16630"/>
      <c r="O16630"/>
      <c r="P16630"/>
      <c r="Q16630"/>
      <c r="R16630"/>
      <c r="S16630"/>
    </row>
    <row r="16631" spans="13:19" ht="13.95" customHeight="1">
      <c r="M16631"/>
      <c r="N16631"/>
      <c r="O16631"/>
      <c r="P16631"/>
      <c r="Q16631"/>
      <c r="R16631"/>
      <c r="S16631"/>
    </row>
    <row r="16632" spans="13:19" ht="13.95" customHeight="1">
      <c r="M16632"/>
      <c r="N16632"/>
      <c r="O16632"/>
      <c r="P16632"/>
      <c r="Q16632"/>
      <c r="R16632"/>
      <c r="S16632"/>
    </row>
    <row r="16633" spans="13:19" ht="13.95" customHeight="1">
      <c r="M16633"/>
      <c r="N16633"/>
      <c r="O16633"/>
      <c r="P16633"/>
      <c r="Q16633"/>
      <c r="R16633"/>
      <c r="S16633"/>
    </row>
    <row r="16634" spans="13:19" ht="13.95" customHeight="1">
      <c r="M16634"/>
      <c r="N16634"/>
      <c r="O16634"/>
      <c r="P16634"/>
      <c r="Q16634"/>
      <c r="R16634"/>
      <c r="S16634"/>
    </row>
    <row r="16635" spans="13:19" ht="13.95" customHeight="1">
      <c r="M16635"/>
      <c r="N16635"/>
      <c r="O16635"/>
      <c r="P16635"/>
      <c r="Q16635"/>
      <c r="R16635"/>
      <c r="S16635"/>
    </row>
    <row r="16636" spans="13:19" ht="13.95" customHeight="1">
      <c r="M16636"/>
      <c r="N16636"/>
      <c r="O16636"/>
      <c r="P16636"/>
      <c r="Q16636"/>
      <c r="R16636"/>
      <c r="S16636"/>
    </row>
    <row r="16637" spans="13:19" ht="13.95" customHeight="1">
      <c r="M16637"/>
      <c r="N16637"/>
      <c r="O16637"/>
      <c r="P16637"/>
      <c r="Q16637"/>
      <c r="R16637"/>
      <c r="S16637"/>
    </row>
    <row r="16638" spans="13:19" ht="13.95" customHeight="1">
      <c r="M16638"/>
      <c r="N16638"/>
      <c r="O16638"/>
      <c r="P16638"/>
      <c r="Q16638"/>
      <c r="R16638"/>
      <c r="S16638"/>
    </row>
    <row r="16639" spans="13:19" ht="13.95" customHeight="1">
      <c r="M16639"/>
      <c r="N16639"/>
      <c r="O16639"/>
      <c r="P16639"/>
      <c r="Q16639"/>
      <c r="R16639"/>
      <c r="S16639"/>
    </row>
    <row r="16640" spans="13:19" ht="13.95" customHeight="1">
      <c r="M16640"/>
      <c r="N16640"/>
      <c r="O16640"/>
      <c r="P16640"/>
      <c r="Q16640"/>
      <c r="R16640"/>
      <c r="S16640"/>
    </row>
    <row r="16641" spans="13:19" ht="13.95" customHeight="1">
      <c r="M16641"/>
      <c r="N16641"/>
      <c r="O16641"/>
      <c r="P16641"/>
      <c r="Q16641"/>
      <c r="R16641"/>
      <c r="S16641"/>
    </row>
    <row r="16642" spans="13:19" ht="13.95" customHeight="1">
      <c r="M16642"/>
      <c r="N16642"/>
      <c r="O16642"/>
      <c r="P16642"/>
      <c r="Q16642"/>
      <c r="R16642"/>
      <c r="S16642"/>
    </row>
    <row r="16643" spans="13:19" ht="13.95" customHeight="1">
      <c r="M16643"/>
      <c r="N16643"/>
      <c r="O16643"/>
      <c r="P16643"/>
      <c r="Q16643"/>
      <c r="R16643"/>
      <c r="S16643"/>
    </row>
    <row r="16644" spans="13:19" ht="13.95" customHeight="1">
      <c r="M16644"/>
      <c r="N16644"/>
      <c r="O16644"/>
      <c r="P16644"/>
      <c r="Q16644"/>
      <c r="R16644"/>
      <c r="S16644"/>
    </row>
    <row r="16645" spans="13:19" ht="13.95" customHeight="1">
      <c r="M16645"/>
      <c r="N16645"/>
      <c r="O16645"/>
      <c r="P16645"/>
      <c r="Q16645"/>
      <c r="R16645"/>
      <c r="S16645"/>
    </row>
    <row r="16646" spans="13:19" ht="13.95" customHeight="1">
      <c r="M16646"/>
      <c r="N16646"/>
      <c r="O16646"/>
      <c r="P16646"/>
      <c r="Q16646"/>
      <c r="R16646"/>
      <c r="S16646"/>
    </row>
    <row r="16647" spans="13:19" ht="13.95" customHeight="1">
      <c r="M16647"/>
      <c r="N16647"/>
      <c r="O16647"/>
      <c r="P16647"/>
      <c r="Q16647"/>
      <c r="R16647"/>
      <c r="S16647"/>
    </row>
    <row r="16648" spans="13:19" ht="13.95" customHeight="1">
      <c r="M16648"/>
      <c r="N16648"/>
      <c r="O16648"/>
      <c r="P16648"/>
      <c r="Q16648"/>
      <c r="R16648"/>
      <c r="S16648"/>
    </row>
    <row r="16649" spans="13:19" ht="13.95" customHeight="1">
      <c r="M16649"/>
      <c r="N16649"/>
      <c r="O16649"/>
      <c r="P16649"/>
      <c r="Q16649"/>
      <c r="R16649"/>
      <c r="S16649"/>
    </row>
    <row r="16650" spans="13:19" ht="13.95" customHeight="1">
      <c r="M16650"/>
      <c r="N16650"/>
      <c r="O16650"/>
      <c r="P16650"/>
      <c r="Q16650"/>
      <c r="R16650"/>
      <c r="S16650"/>
    </row>
    <row r="16651" spans="13:19" ht="13.95" customHeight="1">
      <c r="M16651"/>
      <c r="N16651"/>
      <c r="O16651"/>
      <c r="P16651"/>
      <c r="Q16651"/>
      <c r="R16651"/>
      <c r="S16651"/>
    </row>
    <row r="16652" spans="13:19" ht="13.95" customHeight="1">
      <c r="M16652"/>
      <c r="N16652"/>
      <c r="O16652"/>
      <c r="P16652"/>
      <c r="Q16652"/>
      <c r="R16652"/>
      <c r="S16652"/>
    </row>
    <row r="16653" spans="13:19" ht="13.95" customHeight="1">
      <c r="M16653"/>
      <c r="N16653"/>
      <c r="O16653"/>
      <c r="P16653"/>
      <c r="Q16653"/>
      <c r="R16653"/>
      <c r="S16653"/>
    </row>
    <row r="16654" spans="13:19" ht="13.95" customHeight="1">
      <c r="M16654"/>
      <c r="N16654"/>
      <c r="O16654"/>
      <c r="P16654"/>
      <c r="Q16654"/>
      <c r="R16654"/>
      <c r="S16654"/>
    </row>
    <row r="16655" spans="13:19" ht="13.95" customHeight="1">
      <c r="M16655"/>
      <c r="N16655"/>
      <c r="O16655"/>
      <c r="P16655"/>
      <c r="Q16655"/>
      <c r="R16655"/>
      <c r="S16655"/>
    </row>
    <row r="16656" spans="13:19" ht="13.95" customHeight="1">
      <c r="M16656"/>
      <c r="N16656"/>
      <c r="O16656"/>
      <c r="P16656"/>
      <c r="Q16656"/>
      <c r="R16656"/>
      <c r="S16656"/>
    </row>
    <row r="16657" spans="13:19" ht="13.95" customHeight="1">
      <c r="M16657"/>
      <c r="N16657"/>
      <c r="O16657"/>
      <c r="P16657"/>
      <c r="Q16657"/>
      <c r="R16657"/>
      <c r="S16657"/>
    </row>
    <row r="16658" spans="13:19" ht="13.95" customHeight="1">
      <c r="M16658"/>
      <c r="N16658"/>
      <c r="O16658"/>
      <c r="P16658"/>
      <c r="Q16658"/>
      <c r="R16658"/>
      <c r="S16658"/>
    </row>
    <row r="16659" spans="13:19" ht="13.95" customHeight="1">
      <c r="M16659"/>
      <c r="N16659"/>
      <c r="O16659"/>
      <c r="P16659"/>
      <c r="Q16659"/>
      <c r="R16659"/>
      <c r="S16659"/>
    </row>
    <row r="16660" spans="13:19" ht="13.95" customHeight="1">
      <c r="M16660"/>
      <c r="N16660"/>
      <c r="O16660"/>
      <c r="P16660"/>
      <c r="Q16660"/>
      <c r="R16660"/>
      <c r="S16660"/>
    </row>
    <row r="16661" spans="13:19" ht="13.95" customHeight="1">
      <c r="M16661"/>
      <c r="N16661"/>
      <c r="O16661"/>
      <c r="P16661"/>
      <c r="Q16661"/>
      <c r="R16661"/>
      <c r="S16661"/>
    </row>
    <row r="16662" spans="13:19" ht="13.95" customHeight="1">
      <c r="M16662"/>
      <c r="N16662"/>
      <c r="O16662"/>
      <c r="P16662"/>
      <c r="Q16662"/>
      <c r="R16662"/>
      <c r="S16662"/>
    </row>
    <row r="16663" spans="13:19" ht="13.95" customHeight="1">
      <c r="M16663"/>
      <c r="N16663"/>
      <c r="O16663"/>
      <c r="P16663"/>
      <c r="Q16663"/>
      <c r="R16663"/>
      <c r="S16663"/>
    </row>
    <row r="16664" spans="13:19" ht="13.95" customHeight="1">
      <c r="M16664"/>
      <c r="N16664"/>
      <c r="O16664"/>
      <c r="P16664"/>
      <c r="Q16664"/>
      <c r="R16664"/>
      <c r="S16664"/>
    </row>
    <row r="16665" spans="13:19" ht="13.95" customHeight="1">
      <c r="M16665"/>
      <c r="N16665"/>
      <c r="O16665"/>
      <c r="P16665"/>
      <c r="Q16665"/>
      <c r="R16665"/>
      <c r="S16665"/>
    </row>
    <row r="16666" spans="13:19" ht="13.95" customHeight="1">
      <c r="M16666"/>
      <c r="N16666"/>
      <c r="O16666"/>
      <c r="P16666"/>
      <c r="Q16666"/>
      <c r="R16666"/>
      <c r="S16666"/>
    </row>
    <row r="16667" spans="13:19" ht="13.95" customHeight="1">
      <c r="M16667"/>
      <c r="N16667"/>
      <c r="O16667"/>
      <c r="P16667"/>
      <c r="Q16667"/>
      <c r="R16667"/>
      <c r="S16667"/>
    </row>
    <row r="16668" spans="13:19" ht="13.95" customHeight="1">
      <c r="M16668"/>
      <c r="N16668"/>
      <c r="O16668"/>
      <c r="P16668"/>
      <c r="Q16668"/>
      <c r="R16668"/>
      <c r="S16668"/>
    </row>
    <row r="16669" spans="13:19" ht="13.95" customHeight="1">
      <c r="M16669"/>
      <c r="N16669"/>
      <c r="O16669"/>
      <c r="P16669"/>
      <c r="Q16669"/>
      <c r="R16669"/>
      <c r="S16669"/>
    </row>
    <row r="16670" spans="13:19" ht="13.95" customHeight="1">
      <c r="M16670"/>
      <c r="N16670"/>
      <c r="O16670"/>
      <c r="P16670"/>
      <c r="Q16670"/>
      <c r="R16670"/>
      <c r="S16670"/>
    </row>
    <row r="16671" spans="13:19" ht="13.95" customHeight="1">
      <c r="M16671"/>
      <c r="N16671"/>
      <c r="O16671"/>
      <c r="P16671"/>
      <c r="Q16671"/>
      <c r="R16671"/>
      <c r="S16671"/>
    </row>
    <row r="16672" spans="13:19" ht="13.95" customHeight="1">
      <c r="M16672"/>
      <c r="N16672"/>
      <c r="O16672"/>
      <c r="P16672"/>
      <c r="Q16672"/>
      <c r="R16672"/>
      <c r="S16672"/>
    </row>
    <row r="16673" spans="13:19" ht="13.95" customHeight="1">
      <c r="M16673"/>
      <c r="N16673"/>
      <c r="O16673"/>
      <c r="P16673"/>
      <c r="Q16673"/>
      <c r="R16673"/>
      <c r="S16673"/>
    </row>
    <row r="16674" spans="13:19" ht="13.95" customHeight="1">
      <c r="M16674"/>
      <c r="N16674"/>
      <c r="O16674"/>
      <c r="P16674"/>
      <c r="Q16674"/>
      <c r="R16674"/>
      <c r="S16674"/>
    </row>
    <row r="16675" spans="13:19" ht="13.95" customHeight="1">
      <c r="M16675"/>
      <c r="N16675"/>
      <c r="O16675"/>
      <c r="P16675"/>
      <c r="Q16675"/>
      <c r="R16675"/>
      <c r="S16675"/>
    </row>
    <row r="16676" spans="13:19" ht="13.95" customHeight="1">
      <c r="M16676"/>
      <c r="N16676"/>
      <c r="O16676"/>
      <c r="P16676"/>
      <c r="Q16676"/>
      <c r="R16676"/>
      <c r="S16676"/>
    </row>
    <row r="16677" spans="13:19" ht="13.95" customHeight="1">
      <c r="M16677"/>
      <c r="N16677"/>
      <c r="O16677"/>
      <c r="P16677"/>
      <c r="Q16677"/>
      <c r="R16677"/>
      <c r="S16677"/>
    </row>
    <row r="16678" spans="13:19" ht="13.95" customHeight="1">
      <c r="M16678"/>
      <c r="N16678"/>
      <c r="O16678"/>
      <c r="P16678"/>
      <c r="Q16678"/>
      <c r="R16678"/>
      <c r="S16678"/>
    </row>
    <row r="16679" spans="13:19" ht="13.95" customHeight="1">
      <c r="M16679"/>
      <c r="N16679"/>
      <c r="O16679"/>
      <c r="P16679"/>
      <c r="Q16679"/>
      <c r="R16679"/>
      <c r="S16679"/>
    </row>
    <row r="16680" spans="13:19" ht="13.95" customHeight="1">
      <c r="M16680"/>
      <c r="N16680"/>
      <c r="O16680"/>
      <c r="P16680"/>
      <c r="Q16680"/>
      <c r="R16680"/>
      <c r="S16680"/>
    </row>
    <row r="16681" spans="13:19" ht="13.95" customHeight="1">
      <c r="M16681"/>
      <c r="N16681"/>
      <c r="O16681"/>
      <c r="P16681"/>
      <c r="Q16681"/>
      <c r="R16681"/>
      <c r="S16681"/>
    </row>
    <row r="16682" spans="13:19" ht="13.95" customHeight="1">
      <c r="M16682"/>
      <c r="N16682"/>
      <c r="O16682"/>
      <c r="P16682"/>
      <c r="Q16682"/>
      <c r="R16682"/>
      <c r="S16682"/>
    </row>
    <row r="16683" spans="13:19" ht="13.95" customHeight="1">
      <c r="M16683"/>
      <c r="N16683"/>
      <c r="O16683"/>
      <c r="P16683"/>
      <c r="Q16683"/>
      <c r="R16683"/>
      <c r="S16683"/>
    </row>
    <row r="16684" spans="13:19" ht="13.95" customHeight="1">
      <c r="M16684"/>
      <c r="N16684"/>
      <c r="O16684"/>
      <c r="P16684"/>
      <c r="Q16684"/>
      <c r="R16684"/>
      <c r="S16684"/>
    </row>
    <row r="16685" spans="13:19" ht="13.95" customHeight="1">
      <c r="M16685"/>
      <c r="N16685"/>
      <c r="O16685"/>
      <c r="P16685"/>
      <c r="Q16685"/>
      <c r="R16685"/>
      <c r="S16685"/>
    </row>
    <row r="16686" spans="13:19" ht="13.95" customHeight="1">
      <c r="M16686"/>
      <c r="N16686"/>
      <c r="O16686"/>
      <c r="P16686"/>
      <c r="Q16686"/>
      <c r="R16686"/>
      <c r="S16686"/>
    </row>
    <row r="16687" spans="13:19" ht="13.95" customHeight="1">
      <c r="M16687"/>
      <c r="N16687"/>
      <c r="O16687"/>
      <c r="P16687"/>
      <c r="Q16687"/>
      <c r="R16687"/>
      <c r="S16687"/>
    </row>
    <row r="16688" spans="13:19" ht="13.95" customHeight="1">
      <c r="M16688"/>
      <c r="N16688"/>
      <c r="O16688"/>
      <c r="P16688"/>
      <c r="Q16688"/>
      <c r="R16688"/>
      <c r="S16688"/>
    </row>
    <row r="16689" spans="13:19" ht="13.95" customHeight="1">
      <c r="M16689"/>
      <c r="N16689"/>
      <c r="O16689"/>
      <c r="P16689"/>
      <c r="Q16689"/>
      <c r="R16689"/>
      <c r="S16689"/>
    </row>
    <row r="16690" spans="13:19" ht="13.95" customHeight="1">
      <c r="M16690"/>
      <c r="N16690"/>
      <c r="O16690"/>
      <c r="P16690"/>
      <c r="Q16690"/>
      <c r="R16690"/>
      <c r="S16690"/>
    </row>
    <row r="16691" spans="13:19" ht="13.95" customHeight="1">
      <c r="M16691"/>
      <c r="N16691"/>
      <c r="O16691"/>
      <c r="P16691"/>
      <c r="Q16691"/>
      <c r="R16691"/>
      <c r="S16691"/>
    </row>
    <row r="16692" spans="13:19" ht="13.95" customHeight="1">
      <c r="M16692"/>
      <c r="N16692"/>
      <c r="O16692"/>
      <c r="P16692"/>
      <c r="Q16692"/>
      <c r="R16692"/>
      <c r="S16692"/>
    </row>
    <row r="16693" spans="13:19" ht="13.95" customHeight="1">
      <c r="M16693"/>
      <c r="N16693"/>
      <c r="O16693"/>
      <c r="P16693"/>
      <c r="Q16693"/>
      <c r="R16693"/>
      <c r="S16693"/>
    </row>
    <row r="16694" spans="13:19" ht="13.95" customHeight="1">
      <c r="M16694"/>
      <c r="N16694"/>
      <c r="O16694"/>
      <c r="P16694"/>
      <c r="Q16694"/>
      <c r="R16694"/>
      <c r="S16694"/>
    </row>
    <row r="16695" spans="13:19" ht="13.95" customHeight="1">
      <c r="M16695"/>
      <c r="N16695"/>
      <c r="O16695"/>
      <c r="P16695"/>
      <c r="Q16695"/>
      <c r="R16695"/>
      <c r="S16695"/>
    </row>
    <row r="16696" spans="13:19" ht="13.95" customHeight="1">
      <c r="M16696"/>
      <c r="N16696"/>
      <c r="O16696"/>
      <c r="P16696"/>
      <c r="Q16696"/>
      <c r="R16696"/>
      <c r="S16696"/>
    </row>
    <row r="16697" spans="13:19" ht="13.95" customHeight="1">
      <c r="M16697"/>
      <c r="N16697"/>
      <c r="O16697"/>
      <c r="P16697"/>
      <c r="Q16697"/>
      <c r="R16697"/>
      <c r="S16697"/>
    </row>
    <row r="16698" spans="13:19" ht="13.95" customHeight="1">
      <c r="M16698"/>
      <c r="N16698"/>
      <c r="O16698"/>
      <c r="P16698"/>
      <c r="Q16698"/>
      <c r="R16698"/>
      <c r="S16698"/>
    </row>
    <row r="16699" spans="13:19" ht="13.95" customHeight="1">
      <c r="M16699"/>
      <c r="N16699"/>
      <c r="O16699"/>
      <c r="P16699"/>
      <c r="Q16699"/>
      <c r="R16699"/>
      <c r="S16699"/>
    </row>
    <row r="16700" spans="13:19" ht="13.95" customHeight="1">
      <c r="M16700"/>
      <c r="N16700"/>
      <c r="O16700"/>
      <c r="P16700"/>
      <c r="Q16700"/>
      <c r="R16700"/>
      <c r="S16700"/>
    </row>
    <row r="16701" spans="13:19" ht="13.95" customHeight="1">
      <c r="M16701"/>
      <c r="N16701"/>
      <c r="O16701"/>
      <c r="P16701"/>
      <c r="Q16701"/>
      <c r="R16701"/>
      <c r="S16701"/>
    </row>
    <row r="16702" spans="13:19" ht="13.95" customHeight="1">
      <c r="M16702"/>
      <c r="N16702"/>
      <c r="O16702"/>
      <c r="P16702"/>
      <c r="Q16702"/>
      <c r="R16702"/>
      <c r="S16702"/>
    </row>
    <row r="16703" spans="13:19" ht="13.95" customHeight="1">
      <c r="M16703"/>
      <c r="N16703"/>
      <c r="O16703"/>
      <c r="P16703"/>
      <c r="Q16703"/>
      <c r="R16703"/>
      <c r="S16703"/>
    </row>
    <row r="16704" spans="13:19" ht="13.95" customHeight="1">
      <c r="M16704"/>
      <c r="N16704"/>
      <c r="O16704"/>
      <c r="P16704"/>
      <c r="Q16704"/>
      <c r="R16704"/>
      <c r="S16704"/>
    </row>
    <row r="16705" spans="13:19" ht="13.95" customHeight="1">
      <c r="M16705"/>
      <c r="N16705"/>
      <c r="O16705"/>
      <c r="P16705"/>
      <c r="Q16705"/>
      <c r="R16705"/>
      <c r="S16705"/>
    </row>
    <row r="16706" spans="13:19" ht="13.95" customHeight="1">
      <c r="M16706"/>
      <c r="N16706"/>
      <c r="O16706"/>
      <c r="P16706"/>
      <c r="Q16706"/>
      <c r="R16706"/>
      <c r="S16706"/>
    </row>
    <row r="16707" spans="13:19" ht="13.95" customHeight="1">
      <c r="M16707"/>
      <c r="N16707"/>
      <c r="O16707"/>
      <c r="P16707"/>
      <c r="Q16707"/>
      <c r="R16707"/>
      <c r="S16707"/>
    </row>
    <row r="16708" spans="13:19" ht="13.95" customHeight="1">
      <c r="M16708"/>
      <c r="N16708"/>
      <c r="O16708"/>
      <c r="P16708"/>
      <c r="Q16708"/>
      <c r="R16708"/>
      <c r="S16708"/>
    </row>
    <row r="16709" spans="13:19" ht="13.95" customHeight="1">
      <c r="M16709"/>
      <c r="N16709"/>
      <c r="O16709"/>
      <c r="P16709"/>
      <c r="Q16709"/>
      <c r="R16709"/>
      <c r="S16709"/>
    </row>
    <row r="16710" spans="13:19" ht="13.95" customHeight="1">
      <c r="M16710"/>
      <c r="N16710"/>
      <c r="O16710"/>
      <c r="P16710"/>
      <c r="Q16710"/>
      <c r="R16710"/>
      <c r="S16710"/>
    </row>
    <row r="16711" spans="13:19" ht="13.95" customHeight="1">
      <c r="M16711"/>
      <c r="N16711"/>
      <c r="O16711"/>
      <c r="P16711"/>
      <c r="Q16711"/>
      <c r="R16711"/>
      <c r="S16711"/>
    </row>
    <row r="16712" spans="13:19" ht="13.95" customHeight="1">
      <c r="M16712"/>
      <c r="N16712"/>
      <c r="O16712"/>
      <c r="P16712"/>
      <c r="Q16712"/>
      <c r="R16712"/>
      <c r="S16712"/>
    </row>
    <row r="16713" spans="13:19" ht="13.95" customHeight="1">
      <c r="M16713"/>
      <c r="N16713"/>
      <c r="O16713"/>
      <c r="P16713"/>
      <c r="Q16713"/>
      <c r="R16713"/>
      <c r="S16713"/>
    </row>
    <row r="16714" spans="13:19" ht="13.95" customHeight="1">
      <c r="M16714"/>
      <c r="N16714"/>
      <c r="O16714"/>
      <c r="P16714"/>
      <c r="Q16714"/>
      <c r="R16714"/>
      <c r="S16714"/>
    </row>
    <row r="16715" spans="13:19" ht="13.95" customHeight="1">
      <c r="M16715"/>
      <c r="N16715"/>
      <c r="O16715"/>
      <c r="P16715"/>
      <c r="Q16715"/>
      <c r="R16715"/>
      <c r="S16715"/>
    </row>
    <row r="16716" spans="13:19" ht="13.95" customHeight="1">
      <c r="M16716"/>
      <c r="N16716"/>
      <c r="O16716"/>
      <c r="P16716"/>
      <c r="Q16716"/>
      <c r="R16716"/>
      <c r="S16716"/>
    </row>
    <row r="16717" spans="13:19" ht="13.95" customHeight="1">
      <c r="M16717"/>
      <c r="N16717"/>
      <c r="O16717"/>
      <c r="P16717"/>
      <c r="Q16717"/>
      <c r="R16717"/>
      <c r="S16717"/>
    </row>
    <row r="16718" spans="13:19" ht="13.95" customHeight="1">
      <c r="M16718"/>
      <c r="N16718"/>
      <c r="O16718"/>
      <c r="P16718"/>
      <c r="Q16718"/>
      <c r="R16718"/>
      <c r="S16718"/>
    </row>
    <row r="16719" spans="13:19" ht="13.95" customHeight="1">
      <c r="M16719"/>
      <c r="N16719"/>
      <c r="O16719"/>
      <c r="P16719"/>
      <c r="Q16719"/>
      <c r="R16719"/>
      <c r="S16719"/>
    </row>
    <row r="16720" spans="13:19" ht="13.95" customHeight="1">
      <c r="M16720"/>
      <c r="N16720"/>
      <c r="O16720"/>
      <c r="P16720"/>
      <c r="Q16720"/>
      <c r="R16720"/>
      <c r="S16720"/>
    </row>
    <row r="16721" spans="13:19" ht="13.95" customHeight="1">
      <c r="M16721"/>
      <c r="N16721"/>
      <c r="O16721"/>
      <c r="P16721"/>
      <c r="Q16721"/>
      <c r="R16721"/>
      <c r="S16721"/>
    </row>
    <row r="16722" spans="13:19" ht="13.95" customHeight="1">
      <c r="M16722"/>
      <c r="N16722"/>
      <c r="O16722"/>
      <c r="P16722"/>
      <c r="Q16722"/>
      <c r="R16722"/>
      <c r="S16722"/>
    </row>
    <row r="16723" spans="13:19" ht="13.95" customHeight="1">
      <c r="M16723"/>
      <c r="N16723"/>
      <c r="O16723"/>
      <c r="P16723"/>
      <c r="Q16723"/>
      <c r="R16723"/>
      <c r="S16723"/>
    </row>
    <row r="16724" spans="13:19" ht="13.95" customHeight="1">
      <c r="M16724"/>
      <c r="N16724"/>
      <c r="O16724"/>
      <c r="P16724"/>
      <c r="Q16724"/>
      <c r="R16724"/>
      <c r="S16724"/>
    </row>
    <row r="16725" spans="13:19" ht="13.95" customHeight="1">
      <c r="M16725"/>
      <c r="N16725"/>
      <c r="O16725"/>
      <c r="P16725"/>
      <c r="Q16725"/>
      <c r="R16725"/>
      <c r="S16725"/>
    </row>
    <row r="16726" spans="13:19" ht="13.95" customHeight="1">
      <c r="M16726"/>
      <c r="N16726"/>
      <c r="O16726"/>
      <c r="P16726"/>
      <c r="Q16726"/>
      <c r="R16726"/>
      <c r="S16726"/>
    </row>
    <row r="16727" spans="13:19" ht="13.95" customHeight="1">
      <c r="M16727"/>
      <c r="N16727"/>
      <c r="O16727"/>
      <c r="P16727"/>
      <c r="Q16727"/>
      <c r="R16727"/>
      <c r="S16727"/>
    </row>
    <row r="16728" spans="13:19" ht="13.95" customHeight="1">
      <c r="M16728"/>
      <c r="N16728"/>
      <c r="O16728"/>
      <c r="P16728"/>
      <c r="Q16728"/>
      <c r="R16728"/>
      <c r="S16728"/>
    </row>
    <row r="16729" spans="13:19" ht="13.95" customHeight="1">
      <c r="M16729"/>
      <c r="N16729"/>
      <c r="O16729"/>
      <c r="P16729"/>
      <c r="Q16729"/>
      <c r="R16729"/>
      <c r="S16729"/>
    </row>
    <row r="16730" spans="13:19" ht="13.95" customHeight="1">
      <c r="M16730"/>
      <c r="N16730"/>
      <c r="O16730"/>
      <c r="P16730"/>
      <c r="Q16730"/>
      <c r="R16730"/>
      <c r="S16730"/>
    </row>
    <row r="16731" spans="13:19" ht="13.95" customHeight="1">
      <c r="M16731"/>
      <c r="N16731"/>
      <c r="O16731"/>
      <c r="P16731"/>
      <c r="Q16731"/>
      <c r="R16731"/>
      <c r="S16731"/>
    </row>
    <row r="16732" spans="13:19" ht="13.95" customHeight="1">
      <c r="M16732"/>
      <c r="N16732"/>
      <c r="O16732"/>
      <c r="P16732"/>
      <c r="Q16732"/>
      <c r="R16732"/>
      <c r="S16732"/>
    </row>
    <row r="16733" spans="13:19" ht="13.95" customHeight="1">
      <c r="M16733"/>
      <c r="N16733"/>
      <c r="O16733"/>
      <c r="P16733"/>
      <c r="Q16733"/>
      <c r="R16733"/>
      <c r="S16733"/>
    </row>
    <row r="16734" spans="13:19" ht="13.95" customHeight="1">
      <c r="M16734"/>
      <c r="N16734"/>
      <c r="O16734"/>
      <c r="P16734"/>
      <c r="Q16734"/>
      <c r="R16734"/>
      <c r="S16734"/>
    </row>
    <row r="16735" spans="13:19" ht="13.95" customHeight="1">
      <c r="M16735"/>
      <c r="N16735"/>
      <c r="O16735"/>
      <c r="P16735"/>
      <c r="Q16735"/>
      <c r="R16735"/>
      <c r="S16735"/>
    </row>
    <row r="16736" spans="13:19" ht="13.95" customHeight="1">
      <c r="M16736"/>
      <c r="N16736"/>
      <c r="O16736"/>
      <c r="P16736"/>
      <c r="Q16736"/>
      <c r="R16736"/>
      <c r="S16736"/>
    </row>
    <row r="16737" spans="13:19" ht="13.95" customHeight="1">
      <c r="M16737"/>
      <c r="N16737"/>
      <c r="O16737"/>
      <c r="P16737"/>
      <c r="Q16737"/>
      <c r="R16737"/>
      <c r="S16737"/>
    </row>
    <row r="16738" spans="13:19" ht="13.95" customHeight="1">
      <c r="M16738"/>
      <c r="N16738"/>
      <c r="O16738"/>
      <c r="P16738"/>
      <c r="Q16738"/>
      <c r="R16738"/>
      <c r="S16738"/>
    </row>
    <row r="16739" spans="13:19" ht="13.95" customHeight="1">
      <c r="M16739"/>
      <c r="N16739"/>
      <c r="O16739"/>
      <c r="P16739"/>
      <c r="Q16739"/>
      <c r="R16739"/>
      <c r="S16739"/>
    </row>
    <row r="16740" spans="13:19" ht="13.95" customHeight="1">
      <c r="M16740"/>
      <c r="N16740"/>
      <c r="O16740"/>
      <c r="P16740"/>
      <c r="Q16740"/>
      <c r="R16740"/>
      <c r="S16740"/>
    </row>
    <row r="16741" spans="13:19" ht="13.95" customHeight="1">
      <c r="M16741"/>
      <c r="N16741"/>
      <c r="O16741"/>
      <c r="P16741"/>
      <c r="Q16741"/>
      <c r="R16741"/>
      <c r="S16741"/>
    </row>
    <row r="16742" spans="13:19" ht="13.95" customHeight="1">
      <c r="M16742"/>
      <c r="N16742"/>
      <c r="O16742"/>
      <c r="P16742"/>
      <c r="Q16742"/>
      <c r="R16742"/>
      <c r="S16742"/>
    </row>
    <row r="16743" spans="13:19" ht="13.95" customHeight="1">
      <c r="M16743"/>
      <c r="N16743"/>
      <c r="O16743"/>
      <c r="P16743"/>
      <c r="Q16743"/>
      <c r="R16743"/>
      <c r="S16743"/>
    </row>
    <row r="16744" spans="13:19" ht="13.95" customHeight="1">
      <c r="M16744"/>
      <c r="N16744"/>
      <c r="O16744"/>
      <c r="P16744"/>
      <c r="Q16744"/>
      <c r="R16744"/>
      <c r="S16744"/>
    </row>
    <row r="16745" spans="13:19" ht="13.95" customHeight="1">
      <c r="M16745"/>
      <c r="N16745"/>
      <c r="O16745"/>
      <c r="P16745"/>
      <c r="Q16745"/>
      <c r="R16745"/>
      <c r="S16745"/>
    </row>
    <row r="16746" spans="13:19" ht="13.95" customHeight="1">
      <c r="M16746"/>
      <c r="N16746"/>
      <c r="O16746"/>
      <c r="P16746"/>
      <c r="Q16746"/>
      <c r="R16746"/>
      <c r="S16746"/>
    </row>
    <row r="16747" spans="13:19" ht="13.95" customHeight="1">
      <c r="M16747"/>
      <c r="N16747"/>
      <c r="O16747"/>
      <c r="P16747"/>
      <c r="Q16747"/>
      <c r="R16747"/>
      <c r="S16747"/>
    </row>
    <row r="16748" spans="13:19" ht="13.95" customHeight="1">
      <c r="M16748"/>
      <c r="N16748"/>
      <c r="O16748"/>
      <c r="P16748"/>
      <c r="Q16748"/>
      <c r="R16748"/>
      <c r="S16748"/>
    </row>
    <row r="16749" spans="13:19" ht="13.95" customHeight="1">
      <c r="M16749"/>
      <c r="N16749"/>
      <c r="O16749"/>
      <c r="P16749"/>
      <c r="Q16749"/>
      <c r="R16749"/>
      <c r="S16749"/>
    </row>
    <row r="16750" spans="13:19" ht="13.95" customHeight="1">
      <c r="M16750"/>
      <c r="N16750"/>
      <c r="O16750"/>
      <c r="P16750"/>
      <c r="Q16750"/>
      <c r="R16750"/>
      <c r="S16750"/>
    </row>
    <row r="16751" spans="13:19" ht="13.95" customHeight="1">
      <c r="M16751"/>
      <c r="N16751"/>
      <c r="O16751"/>
      <c r="P16751"/>
      <c r="Q16751"/>
      <c r="R16751"/>
      <c r="S16751"/>
    </row>
    <row r="16752" spans="13:19" ht="13.95" customHeight="1">
      <c r="M16752"/>
      <c r="N16752"/>
      <c r="O16752"/>
      <c r="P16752"/>
      <c r="Q16752"/>
      <c r="R16752"/>
      <c r="S16752"/>
    </row>
    <row r="16753" spans="13:19" ht="13.95" customHeight="1">
      <c r="M16753"/>
      <c r="N16753"/>
      <c r="O16753"/>
      <c r="P16753"/>
      <c r="Q16753"/>
      <c r="R16753"/>
      <c r="S16753"/>
    </row>
    <row r="16754" spans="13:19" ht="13.95" customHeight="1">
      <c r="M16754"/>
      <c r="N16754"/>
      <c r="O16754"/>
      <c r="P16754"/>
      <c r="Q16754"/>
      <c r="R16754"/>
      <c r="S16754"/>
    </row>
    <row r="16755" spans="13:19" ht="13.95" customHeight="1">
      <c r="M16755"/>
      <c r="N16755"/>
      <c r="O16755"/>
      <c r="P16755"/>
      <c r="Q16755"/>
      <c r="R16755"/>
      <c r="S16755"/>
    </row>
    <row r="16756" spans="13:19" ht="13.95" customHeight="1">
      <c r="M16756"/>
      <c r="N16756"/>
      <c r="O16756"/>
      <c r="P16756"/>
      <c r="Q16756"/>
      <c r="R16756"/>
      <c r="S16756"/>
    </row>
    <row r="16757" spans="13:19" ht="13.95" customHeight="1">
      <c r="M16757"/>
      <c r="N16757"/>
      <c r="O16757"/>
      <c r="P16757"/>
      <c r="Q16757"/>
      <c r="R16757"/>
      <c r="S16757"/>
    </row>
    <row r="16758" spans="13:19" ht="13.95" customHeight="1">
      <c r="M16758"/>
      <c r="N16758"/>
      <c r="O16758"/>
      <c r="P16758"/>
      <c r="Q16758"/>
      <c r="R16758"/>
      <c r="S16758"/>
    </row>
    <row r="16759" spans="13:19" ht="13.95" customHeight="1">
      <c r="M16759"/>
      <c r="N16759"/>
      <c r="O16759"/>
      <c r="P16759"/>
      <c r="Q16759"/>
      <c r="R16759"/>
      <c r="S16759"/>
    </row>
    <row r="16760" spans="13:19" ht="13.95" customHeight="1">
      <c r="M16760"/>
      <c r="N16760"/>
      <c r="O16760"/>
      <c r="P16760"/>
      <c r="Q16760"/>
      <c r="R16760"/>
      <c r="S16760"/>
    </row>
    <row r="16761" spans="13:19" ht="13.95" customHeight="1">
      <c r="M16761"/>
      <c r="N16761"/>
      <c r="O16761"/>
      <c r="P16761"/>
      <c r="Q16761"/>
      <c r="R16761"/>
      <c r="S16761"/>
    </row>
    <row r="16762" spans="13:19" ht="13.95" customHeight="1">
      <c r="M16762"/>
      <c r="N16762"/>
      <c r="O16762"/>
      <c r="P16762"/>
      <c r="Q16762"/>
      <c r="R16762"/>
      <c r="S16762"/>
    </row>
    <row r="16763" spans="13:19" ht="13.95" customHeight="1">
      <c r="M16763"/>
      <c r="N16763"/>
      <c r="O16763"/>
      <c r="P16763"/>
      <c r="Q16763"/>
      <c r="R16763"/>
      <c r="S16763"/>
    </row>
    <row r="16764" spans="13:19" ht="13.95" customHeight="1">
      <c r="M16764"/>
      <c r="N16764"/>
      <c r="O16764"/>
      <c r="P16764"/>
      <c r="Q16764"/>
      <c r="R16764"/>
      <c r="S16764"/>
    </row>
    <row r="16765" spans="13:19" ht="13.95" customHeight="1">
      <c r="M16765"/>
      <c r="N16765"/>
      <c r="O16765"/>
      <c r="P16765"/>
      <c r="Q16765"/>
      <c r="R16765"/>
      <c r="S16765"/>
    </row>
    <row r="16766" spans="13:19" ht="13.95" customHeight="1">
      <c r="M16766"/>
      <c r="N16766"/>
      <c r="O16766"/>
      <c r="P16766"/>
      <c r="Q16766"/>
      <c r="R16766"/>
      <c r="S16766"/>
    </row>
    <row r="16767" spans="13:19" ht="13.95" customHeight="1">
      <c r="M16767"/>
      <c r="N16767"/>
      <c r="O16767"/>
      <c r="P16767"/>
      <c r="Q16767"/>
      <c r="R16767"/>
      <c r="S16767"/>
    </row>
    <row r="16768" spans="13:19" ht="13.95" customHeight="1">
      <c r="M16768"/>
      <c r="N16768"/>
      <c r="O16768"/>
      <c r="P16768"/>
      <c r="Q16768"/>
      <c r="R16768"/>
      <c r="S16768"/>
    </row>
    <row r="16769" spans="13:19" ht="13.95" customHeight="1">
      <c r="M16769"/>
      <c r="N16769"/>
      <c r="O16769"/>
      <c r="P16769"/>
      <c r="Q16769"/>
      <c r="R16769"/>
      <c r="S16769"/>
    </row>
    <row r="16770" spans="13:19" ht="13.95" customHeight="1">
      <c r="M16770"/>
      <c r="N16770"/>
      <c r="O16770"/>
      <c r="P16770"/>
      <c r="Q16770"/>
      <c r="R16770"/>
      <c r="S16770"/>
    </row>
    <row r="16771" spans="13:19" ht="13.95" customHeight="1">
      <c r="M16771"/>
      <c r="N16771"/>
      <c r="O16771"/>
      <c r="P16771"/>
      <c r="Q16771"/>
      <c r="R16771"/>
      <c r="S16771"/>
    </row>
    <row r="16772" spans="13:19" ht="13.95" customHeight="1">
      <c r="M16772"/>
      <c r="N16772"/>
      <c r="O16772"/>
      <c r="P16772"/>
      <c r="Q16772"/>
      <c r="R16772"/>
      <c r="S16772"/>
    </row>
    <row r="16773" spans="13:19" ht="13.95" customHeight="1">
      <c r="M16773"/>
      <c r="N16773"/>
      <c r="O16773"/>
      <c r="P16773"/>
      <c r="Q16773"/>
      <c r="R16773"/>
      <c r="S16773"/>
    </row>
    <row r="16774" spans="13:19" ht="13.95" customHeight="1">
      <c r="M16774"/>
      <c r="N16774"/>
      <c r="O16774"/>
      <c r="P16774"/>
      <c r="Q16774"/>
      <c r="R16774"/>
      <c r="S16774"/>
    </row>
    <row r="16775" spans="13:19" ht="13.95" customHeight="1">
      <c r="M16775"/>
      <c r="N16775"/>
      <c r="O16775"/>
      <c r="P16775"/>
      <c r="Q16775"/>
      <c r="R16775"/>
      <c r="S16775"/>
    </row>
    <row r="16776" spans="13:19" ht="13.95" customHeight="1">
      <c r="M16776"/>
      <c r="N16776"/>
      <c r="O16776"/>
      <c r="P16776"/>
      <c r="Q16776"/>
      <c r="R16776"/>
      <c r="S16776"/>
    </row>
    <row r="16777" spans="13:19" ht="13.95" customHeight="1">
      <c r="M16777"/>
      <c r="N16777"/>
      <c r="O16777"/>
      <c r="P16777"/>
      <c r="Q16777"/>
      <c r="R16777"/>
      <c r="S16777"/>
    </row>
    <row r="16778" spans="13:19" ht="13.95" customHeight="1">
      <c r="M16778"/>
      <c r="N16778"/>
      <c r="O16778"/>
      <c r="P16778"/>
      <c r="Q16778"/>
      <c r="R16778"/>
      <c r="S16778"/>
    </row>
    <row r="16779" spans="13:19" ht="13.95" customHeight="1">
      <c r="M16779"/>
      <c r="N16779"/>
      <c r="O16779"/>
      <c r="P16779"/>
      <c r="Q16779"/>
      <c r="R16779"/>
      <c r="S16779"/>
    </row>
    <row r="16780" spans="13:19" ht="13.95" customHeight="1">
      <c r="M16780"/>
      <c r="N16780"/>
      <c r="O16780"/>
      <c r="P16780"/>
      <c r="Q16780"/>
      <c r="R16780"/>
      <c r="S16780"/>
    </row>
    <row r="16781" spans="13:19" ht="13.95" customHeight="1">
      <c r="M16781"/>
      <c r="N16781"/>
      <c r="O16781"/>
      <c r="P16781"/>
      <c r="Q16781"/>
      <c r="R16781"/>
      <c r="S16781"/>
    </row>
    <row r="16782" spans="13:19" ht="13.95" customHeight="1">
      <c r="M16782"/>
      <c r="N16782"/>
      <c r="O16782"/>
      <c r="P16782"/>
      <c r="Q16782"/>
      <c r="R16782"/>
      <c r="S16782"/>
    </row>
    <row r="16783" spans="13:19" ht="13.95" customHeight="1">
      <c r="M16783"/>
      <c r="N16783"/>
      <c r="O16783"/>
      <c r="P16783"/>
      <c r="Q16783"/>
      <c r="R16783"/>
      <c r="S16783"/>
    </row>
    <row r="16784" spans="13:19" ht="13.95" customHeight="1">
      <c r="M16784"/>
      <c r="N16784"/>
      <c r="O16784"/>
      <c r="P16784"/>
      <c r="Q16784"/>
      <c r="R16784"/>
      <c r="S16784"/>
    </row>
    <row r="16785" spans="13:19" ht="13.95" customHeight="1">
      <c r="M16785"/>
      <c r="N16785"/>
      <c r="O16785"/>
      <c r="P16785"/>
      <c r="Q16785"/>
      <c r="R16785"/>
      <c r="S16785"/>
    </row>
    <row r="16786" spans="13:19" ht="13.95" customHeight="1">
      <c r="M16786"/>
      <c r="N16786"/>
      <c r="O16786"/>
      <c r="P16786"/>
      <c r="Q16786"/>
      <c r="R16786"/>
      <c r="S16786"/>
    </row>
    <row r="16787" spans="13:19" ht="13.95" customHeight="1">
      <c r="M16787"/>
      <c r="N16787"/>
      <c r="O16787"/>
      <c r="P16787"/>
      <c r="Q16787"/>
      <c r="R16787"/>
      <c r="S16787"/>
    </row>
    <row r="16788" spans="13:19" ht="13.95" customHeight="1">
      <c r="M16788"/>
      <c r="N16788"/>
      <c r="O16788"/>
      <c r="P16788"/>
      <c r="Q16788"/>
      <c r="R16788"/>
      <c r="S16788"/>
    </row>
    <row r="16789" spans="13:19" ht="13.95" customHeight="1">
      <c r="M16789"/>
      <c r="N16789"/>
      <c r="O16789"/>
      <c r="P16789"/>
      <c r="Q16789"/>
      <c r="R16789"/>
      <c r="S16789"/>
    </row>
    <row r="16790" spans="13:19" ht="13.95" customHeight="1">
      <c r="M16790"/>
      <c r="N16790"/>
      <c r="O16790"/>
      <c r="P16790"/>
      <c r="Q16790"/>
      <c r="R16790"/>
      <c r="S16790"/>
    </row>
    <row r="16791" spans="13:19" ht="13.95" customHeight="1">
      <c r="M16791"/>
      <c r="N16791"/>
      <c r="O16791"/>
      <c r="P16791"/>
      <c r="Q16791"/>
      <c r="R16791"/>
      <c r="S16791"/>
    </row>
    <row r="16792" spans="13:19" ht="13.95" customHeight="1">
      <c r="M16792"/>
      <c r="N16792"/>
      <c r="O16792"/>
      <c r="P16792"/>
      <c r="Q16792"/>
      <c r="R16792"/>
      <c r="S16792"/>
    </row>
    <row r="16793" spans="13:19" ht="13.95" customHeight="1">
      <c r="M16793"/>
      <c r="N16793"/>
      <c r="O16793"/>
      <c r="P16793"/>
      <c r="Q16793"/>
      <c r="R16793"/>
      <c r="S16793"/>
    </row>
    <row r="16794" spans="13:19" ht="13.95" customHeight="1">
      <c r="M16794"/>
      <c r="N16794"/>
      <c r="O16794"/>
      <c r="P16794"/>
      <c r="Q16794"/>
      <c r="R16794"/>
      <c r="S16794"/>
    </row>
    <row r="16795" spans="13:19" ht="13.95" customHeight="1">
      <c r="M16795"/>
      <c r="N16795"/>
      <c r="O16795"/>
      <c r="P16795"/>
      <c r="Q16795"/>
      <c r="R16795"/>
      <c r="S16795"/>
    </row>
    <row r="16796" spans="13:19" ht="13.95" customHeight="1">
      <c r="M16796"/>
      <c r="N16796"/>
      <c r="O16796"/>
      <c r="P16796"/>
      <c r="Q16796"/>
      <c r="R16796"/>
      <c r="S16796"/>
    </row>
    <row r="16797" spans="13:19" ht="13.95" customHeight="1">
      <c r="M16797"/>
      <c r="N16797"/>
      <c r="O16797"/>
      <c r="P16797"/>
      <c r="Q16797"/>
      <c r="R16797"/>
      <c r="S16797"/>
    </row>
    <row r="16798" spans="13:19" ht="13.95" customHeight="1">
      <c r="M16798"/>
      <c r="N16798"/>
      <c r="O16798"/>
      <c r="P16798"/>
      <c r="Q16798"/>
      <c r="R16798"/>
      <c r="S16798"/>
    </row>
    <row r="16799" spans="13:19" ht="13.95" customHeight="1">
      <c r="M16799"/>
      <c r="N16799"/>
      <c r="O16799"/>
      <c r="P16799"/>
      <c r="Q16799"/>
      <c r="R16799"/>
      <c r="S16799"/>
    </row>
    <row r="16800" spans="13:19" ht="13.95" customHeight="1">
      <c r="M16800"/>
      <c r="N16800"/>
      <c r="O16800"/>
      <c r="P16800"/>
      <c r="Q16800"/>
      <c r="R16800"/>
      <c r="S16800"/>
    </row>
    <row r="16801" spans="13:19" ht="13.95" customHeight="1">
      <c r="M16801"/>
      <c r="N16801"/>
      <c r="O16801"/>
      <c r="P16801"/>
      <c r="Q16801"/>
      <c r="R16801"/>
      <c r="S16801"/>
    </row>
    <row r="16802" spans="13:19" ht="13.95" customHeight="1">
      <c r="M16802"/>
      <c r="N16802"/>
      <c r="O16802"/>
      <c r="P16802"/>
      <c r="Q16802"/>
      <c r="R16802"/>
      <c r="S16802"/>
    </row>
    <row r="16803" spans="13:19" ht="13.95" customHeight="1">
      <c r="M16803"/>
      <c r="N16803"/>
      <c r="O16803"/>
      <c r="P16803"/>
      <c r="Q16803"/>
      <c r="R16803"/>
      <c r="S16803"/>
    </row>
    <row r="16804" spans="13:19" ht="13.95" customHeight="1">
      <c r="M16804"/>
      <c r="N16804"/>
      <c r="O16804"/>
      <c r="P16804"/>
      <c r="Q16804"/>
      <c r="R16804"/>
      <c r="S16804"/>
    </row>
    <row r="16805" spans="13:19" ht="13.95" customHeight="1">
      <c r="M16805"/>
      <c r="N16805"/>
      <c r="O16805"/>
      <c r="P16805"/>
      <c r="Q16805"/>
      <c r="R16805"/>
      <c r="S16805"/>
    </row>
    <row r="16806" spans="13:19" ht="13.95" customHeight="1">
      <c r="M16806"/>
      <c r="N16806"/>
      <c r="O16806"/>
      <c r="P16806"/>
      <c r="Q16806"/>
      <c r="R16806"/>
      <c r="S16806"/>
    </row>
    <row r="16807" spans="13:19" ht="13.95" customHeight="1">
      <c r="M16807"/>
      <c r="N16807"/>
      <c r="O16807"/>
      <c r="P16807"/>
      <c r="Q16807"/>
      <c r="R16807"/>
      <c r="S16807"/>
    </row>
    <row r="16808" spans="13:19" ht="13.95" customHeight="1">
      <c r="M16808"/>
      <c r="N16808"/>
      <c r="O16808"/>
      <c r="P16808"/>
      <c r="Q16808"/>
      <c r="R16808"/>
      <c r="S16808"/>
    </row>
    <row r="16809" spans="13:19" ht="13.95" customHeight="1">
      <c r="M16809"/>
      <c r="N16809"/>
      <c r="O16809"/>
      <c r="P16809"/>
      <c r="Q16809"/>
      <c r="R16809"/>
      <c r="S16809"/>
    </row>
    <row r="16810" spans="13:19" ht="13.95" customHeight="1">
      <c r="M16810"/>
      <c r="N16810"/>
      <c r="O16810"/>
      <c r="P16810"/>
      <c r="Q16810"/>
      <c r="R16810"/>
      <c r="S16810"/>
    </row>
    <row r="16811" spans="13:19" ht="13.95" customHeight="1">
      <c r="M16811"/>
      <c r="N16811"/>
      <c r="O16811"/>
      <c r="P16811"/>
      <c r="Q16811"/>
      <c r="R16811"/>
      <c r="S16811"/>
    </row>
    <row r="16812" spans="13:19" ht="13.95" customHeight="1">
      <c r="M16812"/>
      <c r="N16812"/>
      <c r="O16812"/>
      <c r="P16812"/>
      <c r="Q16812"/>
      <c r="R16812"/>
      <c r="S16812"/>
    </row>
    <row r="16813" spans="13:19" ht="13.95" customHeight="1">
      <c r="M16813"/>
      <c r="N16813"/>
      <c r="O16813"/>
      <c r="P16813"/>
      <c r="Q16813"/>
      <c r="R16813"/>
      <c r="S16813"/>
    </row>
    <row r="16814" spans="13:19" ht="13.95" customHeight="1">
      <c r="M16814"/>
      <c r="N16814"/>
      <c r="O16814"/>
      <c r="P16814"/>
      <c r="Q16814"/>
      <c r="R16814"/>
      <c r="S16814"/>
    </row>
    <row r="16815" spans="13:19" ht="13.95" customHeight="1">
      <c r="M16815"/>
      <c r="N16815"/>
      <c r="O16815"/>
      <c r="P16815"/>
      <c r="Q16815"/>
      <c r="R16815"/>
      <c r="S16815"/>
    </row>
    <row r="16816" spans="13:19" ht="13.95" customHeight="1">
      <c r="M16816"/>
      <c r="N16816"/>
      <c r="O16816"/>
      <c r="P16816"/>
      <c r="Q16816"/>
      <c r="R16816"/>
      <c r="S16816"/>
    </row>
    <row r="16817" spans="13:19" ht="13.95" customHeight="1">
      <c r="M16817"/>
      <c r="N16817"/>
      <c r="O16817"/>
      <c r="P16817"/>
      <c r="Q16817"/>
      <c r="R16817"/>
      <c r="S16817"/>
    </row>
    <row r="16818" spans="13:19" ht="13.95" customHeight="1">
      <c r="M16818"/>
      <c r="N16818"/>
      <c r="O16818"/>
      <c r="P16818"/>
      <c r="Q16818"/>
      <c r="R16818"/>
      <c r="S16818"/>
    </row>
    <row r="16819" spans="13:19" ht="13.95" customHeight="1">
      <c r="M16819"/>
      <c r="N16819"/>
      <c r="O16819"/>
      <c r="P16819"/>
      <c r="Q16819"/>
      <c r="R16819"/>
      <c r="S16819"/>
    </row>
    <row r="16820" spans="13:19" ht="13.95" customHeight="1">
      <c r="M16820"/>
      <c r="N16820"/>
      <c r="O16820"/>
      <c r="P16820"/>
      <c r="Q16820"/>
      <c r="R16820"/>
      <c r="S16820"/>
    </row>
    <row r="16821" spans="13:19" ht="13.95" customHeight="1">
      <c r="M16821"/>
      <c r="N16821"/>
      <c r="O16821"/>
      <c r="P16821"/>
      <c r="Q16821"/>
      <c r="R16821"/>
      <c r="S16821"/>
    </row>
    <row r="16822" spans="13:19" ht="13.95" customHeight="1">
      <c r="M16822"/>
      <c r="N16822"/>
      <c r="O16822"/>
      <c r="P16822"/>
      <c r="Q16822"/>
      <c r="R16822"/>
      <c r="S16822"/>
    </row>
    <row r="16823" spans="13:19" ht="13.95" customHeight="1">
      <c r="M16823"/>
      <c r="N16823"/>
      <c r="O16823"/>
      <c r="P16823"/>
      <c r="Q16823"/>
      <c r="R16823"/>
      <c r="S16823"/>
    </row>
    <row r="16824" spans="13:19" ht="13.95" customHeight="1">
      <c r="M16824"/>
      <c r="N16824"/>
      <c r="O16824"/>
      <c r="P16824"/>
      <c r="Q16824"/>
      <c r="R16824"/>
      <c r="S16824"/>
    </row>
    <row r="16825" spans="13:19" ht="13.95" customHeight="1">
      <c r="M16825"/>
      <c r="N16825"/>
      <c r="O16825"/>
      <c r="P16825"/>
      <c r="Q16825"/>
      <c r="R16825"/>
      <c r="S16825"/>
    </row>
    <row r="16826" spans="13:19" ht="13.95" customHeight="1">
      <c r="M16826"/>
      <c r="N16826"/>
      <c r="O16826"/>
      <c r="P16826"/>
      <c r="Q16826"/>
      <c r="R16826"/>
      <c r="S16826"/>
    </row>
    <row r="16827" spans="13:19" ht="13.95" customHeight="1">
      <c r="M16827"/>
      <c r="N16827"/>
      <c r="O16827"/>
      <c r="P16827"/>
      <c r="Q16827"/>
      <c r="R16827"/>
      <c r="S16827"/>
    </row>
    <row r="16828" spans="13:19" ht="13.95" customHeight="1">
      <c r="M16828"/>
      <c r="N16828"/>
      <c r="O16828"/>
      <c r="P16828"/>
      <c r="Q16828"/>
      <c r="R16828"/>
      <c r="S16828"/>
    </row>
    <row r="16829" spans="13:19" ht="13.95" customHeight="1">
      <c r="M16829"/>
      <c r="N16829"/>
      <c r="O16829"/>
      <c r="P16829"/>
      <c r="Q16829"/>
      <c r="R16829"/>
      <c r="S16829"/>
    </row>
    <row r="16830" spans="13:19" ht="13.95" customHeight="1">
      <c r="M16830"/>
      <c r="N16830"/>
      <c r="O16830"/>
      <c r="P16830"/>
      <c r="Q16830"/>
      <c r="R16830"/>
      <c r="S16830"/>
    </row>
    <row r="16831" spans="13:19" ht="13.95" customHeight="1">
      <c r="M16831"/>
      <c r="N16831"/>
      <c r="O16831"/>
      <c r="P16831"/>
      <c r="Q16831"/>
      <c r="R16831"/>
      <c r="S16831"/>
    </row>
    <row r="16832" spans="13:19" ht="13.95" customHeight="1">
      <c r="M16832"/>
      <c r="N16832"/>
      <c r="O16832"/>
      <c r="P16832"/>
      <c r="Q16832"/>
      <c r="R16832"/>
      <c r="S16832"/>
    </row>
    <row r="16833" spans="13:19" ht="13.95" customHeight="1">
      <c r="M16833"/>
      <c r="N16833"/>
      <c r="O16833"/>
      <c r="P16833"/>
      <c r="Q16833"/>
      <c r="R16833"/>
      <c r="S16833"/>
    </row>
    <row r="16834" spans="13:19" ht="13.95" customHeight="1">
      <c r="M16834"/>
      <c r="N16834"/>
      <c r="O16834"/>
      <c r="P16834"/>
      <c r="Q16834"/>
      <c r="R16834"/>
      <c r="S16834"/>
    </row>
    <row r="16835" spans="13:19" ht="13.95" customHeight="1">
      <c r="M16835"/>
      <c r="N16835"/>
      <c r="O16835"/>
      <c r="P16835"/>
      <c r="Q16835"/>
      <c r="R16835"/>
      <c r="S16835"/>
    </row>
    <row r="16836" spans="13:19" ht="13.95" customHeight="1">
      <c r="M16836"/>
      <c r="N16836"/>
      <c r="O16836"/>
      <c r="P16836"/>
      <c r="Q16836"/>
      <c r="R16836"/>
      <c r="S16836"/>
    </row>
    <row r="16837" spans="13:19" ht="13.95" customHeight="1">
      <c r="M16837"/>
      <c r="N16837"/>
      <c r="O16837"/>
      <c r="P16837"/>
      <c r="Q16837"/>
      <c r="R16837"/>
      <c r="S16837"/>
    </row>
    <row r="16838" spans="13:19" ht="13.95" customHeight="1">
      <c r="M16838"/>
      <c r="N16838"/>
      <c r="O16838"/>
      <c r="P16838"/>
      <c r="Q16838"/>
      <c r="R16838"/>
      <c r="S16838"/>
    </row>
    <row r="16839" spans="13:19" ht="13.95" customHeight="1">
      <c r="M16839"/>
      <c r="N16839"/>
      <c r="O16839"/>
      <c r="P16839"/>
      <c r="Q16839"/>
      <c r="R16839"/>
      <c r="S16839"/>
    </row>
    <row r="16840" spans="13:19" ht="13.95" customHeight="1">
      <c r="M16840"/>
      <c r="N16840"/>
      <c r="O16840"/>
      <c r="P16840"/>
      <c r="Q16840"/>
      <c r="R16840"/>
      <c r="S16840"/>
    </row>
    <row r="16841" spans="13:19" ht="13.95" customHeight="1">
      <c r="M16841"/>
      <c r="N16841"/>
      <c r="O16841"/>
      <c r="P16841"/>
      <c r="Q16841"/>
      <c r="R16841"/>
      <c r="S16841"/>
    </row>
    <row r="16842" spans="13:19" ht="13.95" customHeight="1">
      <c r="M16842"/>
      <c r="N16842"/>
      <c r="O16842"/>
      <c r="P16842"/>
      <c r="Q16842"/>
      <c r="R16842"/>
      <c r="S16842"/>
    </row>
    <row r="16843" spans="13:19" ht="13.95" customHeight="1">
      <c r="M16843"/>
      <c r="N16843"/>
      <c r="O16843"/>
      <c r="P16843"/>
      <c r="Q16843"/>
      <c r="R16843"/>
      <c r="S16843"/>
    </row>
    <row r="16844" spans="13:19" ht="13.95" customHeight="1">
      <c r="M16844"/>
      <c r="N16844"/>
      <c r="O16844"/>
      <c r="P16844"/>
      <c r="Q16844"/>
      <c r="R16844"/>
      <c r="S16844"/>
    </row>
    <row r="16845" spans="13:19" ht="13.95" customHeight="1">
      <c r="M16845"/>
      <c r="N16845"/>
      <c r="O16845"/>
      <c r="P16845"/>
      <c r="Q16845"/>
      <c r="R16845"/>
      <c r="S16845"/>
    </row>
    <row r="16846" spans="13:19" ht="13.95" customHeight="1">
      <c r="M16846"/>
      <c r="N16846"/>
      <c r="O16846"/>
      <c r="P16846"/>
      <c r="Q16846"/>
      <c r="R16846"/>
      <c r="S16846"/>
    </row>
    <row r="16847" spans="13:19" ht="13.95" customHeight="1">
      <c r="M16847"/>
      <c r="N16847"/>
      <c r="O16847"/>
      <c r="P16847"/>
      <c r="Q16847"/>
      <c r="R16847"/>
      <c r="S16847"/>
    </row>
    <row r="16848" spans="13:19" ht="13.95" customHeight="1">
      <c r="M16848"/>
      <c r="N16848"/>
      <c r="O16848"/>
      <c r="P16848"/>
      <c r="Q16848"/>
      <c r="R16848"/>
      <c r="S16848"/>
    </row>
    <row r="16849" spans="13:19" ht="13.95" customHeight="1">
      <c r="M16849"/>
      <c r="N16849"/>
      <c r="O16849"/>
      <c r="P16849"/>
      <c r="Q16849"/>
      <c r="R16849"/>
      <c r="S16849"/>
    </row>
    <row r="16850" spans="13:19" ht="13.95" customHeight="1">
      <c r="M16850"/>
      <c r="N16850"/>
      <c r="O16850"/>
      <c r="P16850"/>
      <c r="Q16850"/>
      <c r="R16850"/>
      <c r="S16850"/>
    </row>
    <row r="16851" spans="13:19" ht="13.95" customHeight="1">
      <c r="M16851"/>
      <c r="N16851"/>
      <c r="O16851"/>
      <c r="P16851"/>
      <c r="Q16851"/>
      <c r="R16851"/>
      <c r="S16851"/>
    </row>
    <row r="16852" spans="13:19" ht="13.95" customHeight="1">
      <c r="M16852"/>
      <c r="N16852"/>
      <c r="O16852"/>
      <c r="P16852"/>
      <c r="Q16852"/>
      <c r="R16852"/>
      <c r="S16852"/>
    </row>
    <row r="16853" spans="13:19" ht="13.95" customHeight="1">
      <c r="M16853"/>
      <c r="N16853"/>
      <c r="O16853"/>
      <c r="P16853"/>
      <c r="Q16853"/>
      <c r="R16853"/>
      <c r="S16853"/>
    </row>
    <row r="16854" spans="13:19" ht="13.95" customHeight="1">
      <c r="M16854"/>
      <c r="N16854"/>
      <c r="O16854"/>
      <c r="P16854"/>
      <c r="Q16854"/>
      <c r="R16854"/>
      <c r="S16854"/>
    </row>
    <row r="16855" spans="13:19" ht="13.95" customHeight="1">
      <c r="M16855"/>
      <c r="N16855"/>
      <c r="O16855"/>
      <c r="P16855"/>
      <c r="Q16855"/>
      <c r="R16855"/>
      <c r="S16855"/>
    </row>
    <row r="16856" spans="13:19" ht="13.95" customHeight="1">
      <c r="M16856"/>
      <c r="N16856"/>
      <c r="O16856"/>
      <c r="P16856"/>
      <c r="Q16856"/>
      <c r="R16856"/>
      <c r="S16856"/>
    </row>
    <row r="16857" spans="13:19" ht="13.95" customHeight="1">
      <c r="M16857"/>
      <c r="N16857"/>
      <c r="O16857"/>
      <c r="P16857"/>
      <c r="Q16857"/>
      <c r="R16857"/>
      <c r="S16857"/>
    </row>
    <row r="16858" spans="13:19" ht="13.95" customHeight="1">
      <c r="M16858"/>
      <c r="N16858"/>
      <c r="O16858"/>
      <c r="P16858"/>
      <c r="Q16858"/>
      <c r="R16858"/>
      <c r="S16858"/>
    </row>
    <row r="16859" spans="13:19" ht="13.95" customHeight="1">
      <c r="M16859"/>
      <c r="N16859"/>
      <c r="O16859"/>
      <c r="P16859"/>
      <c r="Q16859"/>
      <c r="R16859"/>
      <c r="S16859"/>
    </row>
    <row r="16860" spans="13:19" ht="13.95" customHeight="1">
      <c r="M16860"/>
      <c r="N16860"/>
      <c r="O16860"/>
      <c r="P16860"/>
      <c r="Q16860"/>
      <c r="R16860"/>
      <c r="S16860"/>
    </row>
    <row r="16861" spans="13:19" ht="13.95" customHeight="1">
      <c r="M16861"/>
      <c r="N16861"/>
      <c r="O16861"/>
      <c r="P16861"/>
      <c r="Q16861"/>
      <c r="R16861"/>
      <c r="S16861"/>
    </row>
    <row r="16862" spans="13:19" ht="13.95" customHeight="1">
      <c r="M16862"/>
      <c r="N16862"/>
      <c r="O16862"/>
      <c r="P16862"/>
      <c r="Q16862"/>
      <c r="R16862"/>
      <c r="S16862"/>
    </row>
    <row r="16863" spans="13:19" ht="13.95" customHeight="1">
      <c r="M16863"/>
      <c r="N16863"/>
      <c r="O16863"/>
      <c r="P16863"/>
      <c r="Q16863"/>
      <c r="R16863"/>
      <c r="S16863"/>
    </row>
    <row r="16864" spans="13:19" ht="13.95" customHeight="1">
      <c r="M16864"/>
      <c r="N16864"/>
      <c r="O16864"/>
      <c r="P16864"/>
      <c r="Q16864"/>
      <c r="R16864"/>
      <c r="S16864"/>
    </row>
    <row r="16865" spans="13:19" ht="13.95" customHeight="1">
      <c r="M16865"/>
      <c r="N16865"/>
      <c r="O16865"/>
      <c r="P16865"/>
      <c r="Q16865"/>
      <c r="R16865"/>
      <c r="S16865"/>
    </row>
    <row r="16866" spans="13:19" ht="13.95" customHeight="1">
      <c r="M16866"/>
      <c r="N16866"/>
      <c r="O16866"/>
      <c r="P16866"/>
      <c r="Q16866"/>
      <c r="R16866"/>
      <c r="S16866"/>
    </row>
    <row r="16867" spans="13:19" ht="13.95" customHeight="1">
      <c r="M16867"/>
      <c r="N16867"/>
      <c r="O16867"/>
      <c r="P16867"/>
      <c r="Q16867"/>
      <c r="R16867"/>
      <c r="S16867"/>
    </row>
    <row r="16868" spans="13:19" ht="13.95" customHeight="1">
      <c r="M16868"/>
      <c r="N16868"/>
      <c r="O16868"/>
      <c r="P16868"/>
      <c r="Q16868"/>
      <c r="R16868"/>
      <c r="S16868"/>
    </row>
    <row r="16869" spans="13:19" ht="13.95" customHeight="1">
      <c r="M16869"/>
      <c r="N16869"/>
      <c r="O16869"/>
      <c r="P16869"/>
      <c r="Q16869"/>
      <c r="R16869"/>
      <c r="S16869"/>
    </row>
    <row r="16870" spans="13:19" ht="13.95" customHeight="1">
      <c r="M16870"/>
      <c r="N16870"/>
      <c r="O16870"/>
      <c r="P16870"/>
      <c r="Q16870"/>
      <c r="R16870"/>
      <c r="S16870"/>
    </row>
    <row r="16871" spans="13:19" ht="13.95" customHeight="1">
      <c r="M16871"/>
      <c r="N16871"/>
      <c r="O16871"/>
      <c r="P16871"/>
      <c r="Q16871"/>
      <c r="R16871"/>
      <c r="S16871"/>
    </row>
    <row r="16872" spans="13:19" ht="13.95" customHeight="1">
      <c r="M16872"/>
      <c r="N16872"/>
      <c r="O16872"/>
      <c r="P16872"/>
      <c r="Q16872"/>
      <c r="R16872"/>
      <c r="S16872"/>
    </row>
    <row r="16873" spans="13:19" ht="13.95" customHeight="1">
      <c r="M16873"/>
      <c r="N16873"/>
      <c r="O16873"/>
      <c r="P16873"/>
      <c r="Q16873"/>
      <c r="R16873"/>
      <c r="S16873"/>
    </row>
    <row r="16874" spans="13:19" ht="13.95" customHeight="1">
      <c r="M16874"/>
      <c r="N16874"/>
      <c r="O16874"/>
      <c r="P16874"/>
      <c r="Q16874"/>
      <c r="R16874"/>
      <c r="S16874"/>
    </row>
    <row r="16875" spans="13:19" ht="13.95" customHeight="1">
      <c r="M16875"/>
      <c r="N16875"/>
      <c r="O16875"/>
      <c r="P16875"/>
      <c r="Q16875"/>
      <c r="R16875"/>
      <c r="S16875"/>
    </row>
    <row r="16876" spans="13:19" ht="13.95" customHeight="1">
      <c r="M16876"/>
      <c r="N16876"/>
      <c r="O16876"/>
      <c r="P16876"/>
      <c r="Q16876"/>
      <c r="R16876"/>
      <c r="S16876"/>
    </row>
    <row r="16877" spans="13:19" ht="13.95" customHeight="1">
      <c r="M16877"/>
      <c r="N16877"/>
      <c r="O16877"/>
      <c r="P16877"/>
      <c r="Q16877"/>
      <c r="R16877"/>
      <c r="S16877"/>
    </row>
    <row r="16878" spans="13:19" ht="13.95" customHeight="1">
      <c r="M16878"/>
      <c r="N16878"/>
      <c r="O16878"/>
      <c r="P16878"/>
      <c r="Q16878"/>
      <c r="R16878"/>
      <c r="S16878"/>
    </row>
    <row r="16879" spans="13:19" ht="13.95" customHeight="1">
      <c r="M16879"/>
      <c r="N16879"/>
      <c r="O16879"/>
      <c r="P16879"/>
      <c r="Q16879"/>
      <c r="R16879"/>
      <c r="S16879"/>
    </row>
    <row r="16880" spans="13:19" ht="13.95" customHeight="1">
      <c r="M16880"/>
      <c r="N16880"/>
      <c r="O16880"/>
      <c r="P16880"/>
      <c r="Q16880"/>
      <c r="R16880"/>
      <c r="S16880"/>
    </row>
    <row r="16881" spans="13:19" ht="13.95" customHeight="1">
      <c r="M16881"/>
      <c r="N16881"/>
      <c r="O16881"/>
      <c r="P16881"/>
      <c r="Q16881"/>
      <c r="R16881"/>
      <c r="S16881"/>
    </row>
    <row r="16882" spans="13:19" ht="13.95" customHeight="1">
      <c r="M16882"/>
      <c r="N16882"/>
      <c r="O16882"/>
      <c r="P16882"/>
      <c r="Q16882"/>
      <c r="R16882"/>
      <c r="S16882"/>
    </row>
    <row r="16883" spans="13:19" ht="13.95" customHeight="1">
      <c r="M16883"/>
      <c r="N16883"/>
      <c r="O16883"/>
      <c r="P16883"/>
      <c r="Q16883"/>
      <c r="R16883"/>
      <c r="S16883"/>
    </row>
    <row r="16884" spans="13:19" ht="13.95" customHeight="1">
      <c r="M16884"/>
      <c r="N16884"/>
      <c r="O16884"/>
      <c r="P16884"/>
      <c r="Q16884"/>
      <c r="R16884"/>
      <c r="S16884"/>
    </row>
    <row r="16885" spans="13:19" ht="13.95" customHeight="1">
      <c r="M16885"/>
      <c r="N16885"/>
      <c r="O16885"/>
      <c r="P16885"/>
      <c r="Q16885"/>
      <c r="R16885"/>
      <c r="S16885"/>
    </row>
    <row r="16886" spans="13:19" ht="13.95" customHeight="1">
      <c r="M16886"/>
      <c r="N16886"/>
      <c r="O16886"/>
      <c r="P16886"/>
      <c r="Q16886"/>
      <c r="R16886"/>
      <c r="S16886"/>
    </row>
    <row r="16887" spans="13:19" ht="13.95" customHeight="1">
      <c r="M16887"/>
      <c r="N16887"/>
      <c r="O16887"/>
      <c r="P16887"/>
      <c r="Q16887"/>
      <c r="R16887"/>
      <c r="S16887"/>
    </row>
    <row r="16888" spans="13:19" ht="13.95" customHeight="1">
      <c r="M16888"/>
      <c r="N16888"/>
      <c r="O16888"/>
      <c r="P16888"/>
      <c r="Q16888"/>
      <c r="R16888"/>
      <c r="S16888"/>
    </row>
    <row r="16889" spans="13:19" ht="13.95" customHeight="1">
      <c r="M16889"/>
      <c r="N16889"/>
      <c r="O16889"/>
      <c r="P16889"/>
      <c r="Q16889"/>
      <c r="R16889"/>
      <c r="S16889"/>
    </row>
    <row r="16890" spans="13:19" ht="13.95" customHeight="1">
      <c r="M16890"/>
      <c r="N16890"/>
      <c r="O16890"/>
      <c r="P16890"/>
      <c r="Q16890"/>
      <c r="R16890"/>
      <c r="S16890"/>
    </row>
    <row r="16891" spans="13:19" ht="13.95" customHeight="1">
      <c r="M16891"/>
      <c r="N16891"/>
      <c r="O16891"/>
      <c r="P16891"/>
      <c r="Q16891"/>
      <c r="R16891"/>
      <c r="S16891"/>
    </row>
    <row r="16892" spans="13:19" ht="13.95" customHeight="1">
      <c r="M16892"/>
      <c r="N16892"/>
      <c r="O16892"/>
      <c r="P16892"/>
      <c r="Q16892"/>
      <c r="R16892"/>
      <c r="S16892"/>
    </row>
    <row r="16893" spans="13:19" ht="13.95" customHeight="1">
      <c r="M16893"/>
      <c r="N16893"/>
      <c r="O16893"/>
      <c r="P16893"/>
      <c r="Q16893"/>
      <c r="R16893"/>
      <c r="S16893"/>
    </row>
    <row r="16894" spans="13:19" ht="13.95" customHeight="1">
      <c r="M16894"/>
      <c r="N16894"/>
      <c r="O16894"/>
      <c r="P16894"/>
      <c r="Q16894"/>
      <c r="R16894"/>
      <c r="S16894"/>
    </row>
    <row r="16895" spans="13:19" ht="13.95" customHeight="1">
      <c r="M16895"/>
      <c r="N16895"/>
      <c r="O16895"/>
      <c r="P16895"/>
      <c r="Q16895"/>
      <c r="R16895"/>
      <c r="S16895"/>
    </row>
    <row r="16896" spans="13:19" ht="13.95" customHeight="1">
      <c r="M16896"/>
      <c r="N16896"/>
      <c r="O16896"/>
      <c r="P16896"/>
      <c r="Q16896"/>
      <c r="R16896"/>
      <c r="S16896"/>
    </row>
    <row r="16897" spans="13:19" ht="13.95" customHeight="1">
      <c r="M16897"/>
      <c r="N16897"/>
      <c r="O16897"/>
      <c r="P16897"/>
      <c r="Q16897"/>
      <c r="R16897"/>
      <c r="S16897"/>
    </row>
    <row r="16898" spans="13:19" ht="13.95" customHeight="1">
      <c r="M16898"/>
      <c r="N16898"/>
      <c r="O16898"/>
      <c r="P16898"/>
      <c r="Q16898"/>
      <c r="R16898"/>
      <c r="S16898"/>
    </row>
    <row r="16899" spans="13:19" ht="13.95" customHeight="1">
      <c r="M16899"/>
      <c r="N16899"/>
      <c r="O16899"/>
      <c r="P16899"/>
      <c r="Q16899"/>
      <c r="R16899"/>
      <c r="S16899"/>
    </row>
    <row r="16900" spans="13:19" ht="13.95" customHeight="1">
      <c r="M16900"/>
      <c r="N16900"/>
      <c r="O16900"/>
      <c r="P16900"/>
      <c r="Q16900"/>
      <c r="R16900"/>
      <c r="S16900"/>
    </row>
    <row r="16901" spans="13:19" ht="13.95" customHeight="1">
      <c r="M16901"/>
      <c r="N16901"/>
      <c r="O16901"/>
      <c r="P16901"/>
      <c r="Q16901"/>
      <c r="R16901"/>
      <c r="S16901"/>
    </row>
    <row r="16902" spans="13:19" ht="13.95" customHeight="1">
      <c r="M16902"/>
      <c r="N16902"/>
      <c r="O16902"/>
      <c r="P16902"/>
      <c r="Q16902"/>
      <c r="R16902"/>
      <c r="S16902"/>
    </row>
    <row r="16903" spans="13:19" ht="13.95" customHeight="1">
      <c r="M16903"/>
      <c r="N16903"/>
      <c r="O16903"/>
      <c r="P16903"/>
      <c r="Q16903"/>
      <c r="R16903"/>
      <c r="S16903"/>
    </row>
    <row r="16904" spans="13:19" ht="13.95" customHeight="1">
      <c r="M16904"/>
      <c r="N16904"/>
      <c r="O16904"/>
      <c r="P16904"/>
      <c r="Q16904"/>
      <c r="R16904"/>
      <c r="S16904"/>
    </row>
    <row r="16905" spans="13:19" ht="13.95" customHeight="1">
      <c r="M16905"/>
      <c r="N16905"/>
      <c r="O16905"/>
      <c r="P16905"/>
      <c r="Q16905"/>
      <c r="R16905"/>
      <c r="S16905"/>
    </row>
    <row r="16906" spans="13:19" ht="13.95" customHeight="1">
      <c r="M16906"/>
      <c r="N16906"/>
      <c r="O16906"/>
      <c r="P16906"/>
      <c r="Q16906"/>
      <c r="R16906"/>
      <c r="S16906"/>
    </row>
    <row r="16907" spans="13:19" ht="13.95" customHeight="1">
      <c r="M16907"/>
      <c r="N16907"/>
      <c r="O16907"/>
      <c r="P16907"/>
      <c r="Q16907"/>
      <c r="R16907"/>
      <c r="S16907"/>
    </row>
    <row r="16908" spans="13:19" ht="13.95" customHeight="1">
      <c r="M16908"/>
      <c r="N16908"/>
      <c r="O16908"/>
      <c r="P16908"/>
      <c r="Q16908"/>
      <c r="R16908"/>
      <c r="S16908"/>
    </row>
    <row r="16909" spans="13:19" ht="13.95" customHeight="1">
      <c r="M16909"/>
      <c r="N16909"/>
      <c r="O16909"/>
      <c r="P16909"/>
      <c r="Q16909"/>
      <c r="R16909"/>
      <c r="S16909"/>
    </row>
    <row r="16910" spans="13:19" ht="13.95" customHeight="1">
      <c r="M16910"/>
      <c r="N16910"/>
      <c r="O16910"/>
      <c r="P16910"/>
      <c r="Q16910"/>
      <c r="R16910"/>
      <c r="S16910"/>
    </row>
    <row r="16911" spans="13:19" ht="13.95" customHeight="1">
      <c r="M16911"/>
      <c r="N16911"/>
      <c r="O16911"/>
      <c r="P16911"/>
      <c r="Q16911"/>
      <c r="R16911"/>
      <c r="S16911"/>
    </row>
    <row r="16912" spans="13:19" ht="13.95" customHeight="1">
      <c r="M16912"/>
      <c r="N16912"/>
      <c r="O16912"/>
      <c r="P16912"/>
      <c r="Q16912"/>
      <c r="R16912"/>
      <c r="S16912"/>
    </row>
    <row r="16913" spans="13:19" ht="13.95" customHeight="1">
      <c r="M16913"/>
      <c r="N16913"/>
      <c r="O16913"/>
      <c r="P16913"/>
      <c r="Q16913"/>
      <c r="R16913"/>
      <c r="S16913"/>
    </row>
    <row r="16914" spans="13:19" ht="13.95" customHeight="1">
      <c r="M16914"/>
      <c r="N16914"/>
      <c r="O16914"/>
      <c r="P16914"/>
      <c r="Q16914"/>
      <c r="R16914"/>
      <c r="S16914"/>
    </row>
    <row r="16915" spans="13:19" ht="13.95" customHeight="1">
      <c r="M16915"/>
      <c r="N16915"/>
      <c r="O16915"/>
      <c r="P16915"/>
      <c r="Q16915"/>
      <c r="R16915"/>
      <c r="S16915"/>
    </row>
    <row r="16916" spans="13:19" ht="13.95" customHeight="1">
      <c r="M16916"/>
      <c r="N16916"/>
      <c r="O16916"/>
      <c r="P16916"/>
      <c r="Q16916"/>
      <c r="R16916"/>
      <c r="S16916"/>
    </row>
    <row r="16917" spans="13:19" ht="13.95" customHeight="1">
      <c r="M16917"/>
      <c r="N16917"/>
      <c r="O16917"/>
      <c r="P16917"/>
      <c r="Q16917"/>
      <c r="R16917"/>
      <c r="S16917"/>
    </row>
    <row r="16918" spans="13:19" ht="13.95" customHeight="1">
      <c r="M16918"/>
      <c r="N16918"/>
      <c r="O16918"/>
      <c r="P16918"/>
      <c r="Q16918"/>
      <c r="R16918"/>
      <c r="S16918"/>
    </row>
    <row r="16919" spans="13:19" ht="13.95" customHeight="1">
      <c r="M16919"/>
      <c r="N16919"/>
      <c r="O16919"/>
      <c r="P16919"/>
      <c r="Q16919"/>
      <c r="R16919"/>
      <c r="S16919"/>
    </row>
    <row r="16920" spans="13:19" ht="13.95" customHeight="1">
      <c r="M16920"/>
      <c r="N16920"/>
      <c r="O16920"/>
      <c r="P16920"/>
      <c r="Q16920"/>
      <c r="R16920"/>
      <c r="S16920"/>
    </row>
    <row r="16921" spans="13:19" ht="13.95" customHeight="1">
      <c r="M16921"/>
      <c r="N16921"/>
      <c r="O16921"/>
      <c r="P16921"/>
      <c r="Q16921"/>
      <c r="R16921"/>
      <c r="S16921"/>
    </row>
    <row r="16922" spans="13:19" ht="13.95" customHeight="1">
      <c r="M16922"/>
      <c r="N16922"/>
      <c r="O16922"/>
      <c r="P16922"/>
      <c r="Q16922"/>
      <c r="R16922"/>
      <c r="S16922"/>
    </row>
    <row r="16923" spans="13:19" ht="13.95" customHeight="1">
      <c r="M16923"/>
      <c r="N16923"/>
      <c r="O16923"/>
      <c r="P16923"/>
      <c r="Q16923"/>
      <c r="R16923"/>
      <c r="S16923"/>
    </row>
    <row r="16924" spans="13:19" ht="13.95" customHeight="1">
      <c r="M16924"/>
      <c r="N16924"/>
      <c r="O16924"/>
      <c r="P16924"/>
      <c r="Q16924"/>
      <c r="R16924"/>
      <c r="S16924"/>
    </row>
    <row r="16925" spans="13:19" ht="13.95" customHeight="1">
      <c r="M16925"/>
      <c r="N16925"/>
      <c r="O16925"/>
      <c r="P16925"/>
      <c r="Q16925"/>
      <c r="R16925"/>
      <c r="S16925"/>
    </row>
    <row r="16926" spans="13:19" ht="13.95" customHeight="1">
      <c r="M16926"/>
      <c r="N16926"/>
      <c r="O16926"/>
      <c r="P16926"/>
      <c r="Q16926"/>
      <c r="R16926"/>
      <c r="S16926"/>
    </row>
    <row r="16927" spans="13:19" ht="13.95" customHeight="1">
      <c r="M16927"/>
      <c r="N16927"/>
      <c r="O16927"/>
      <c r="P16927"/>
      <c r="Q16927"/>
      <c r="R16927"/>
      <c r="S16927"/>
    </row>
    <row r="16928" spans="13:19" ht="13.95" customHeight="1">
      <c r="M16928"/>
      <c r="N16928"/>
      <c r="O16928"/>
      <c r="P16928"/>
      <c r="Q16928"/>
      <c r="R16928"/>
      <c r="S16928"/>
    </row>
    <row r="16929" spans="13:19" ht="13.95" customHeight="1">
      <c r="M16929"/>
      <c r="N16929"/>
      <c r="O16929"/>
      <c r="P16929"/>
      <c r="Q16929"/>
      <c r="R16929"/>
      <c r="S16929"/>
    </row>
    <row r="16930" spans="13:19" ht="13.95" customHeight="1">
      <c r="M16930"/>
      <c r="N16930"/>
      <c r="O16930"/>
      <c r="P16930"/>
      <c r="Q16930"/>
      <c r="R16930"/>
      <c r="S16930"/>
    </row>
    <row r="16931" spans="13:19" ht="13.95" customHeight="1">
      <c r="M16931"/>
      <c r="N16931"/>
      <c r="O16931"/>
      <c r="P16931"/>
      <c r="Q16931"/>
      <c r="R16931"/>
      <c r="S16931"/>
    </row>
    <row r="16932" spans="13:19" ht="13.95" customHeight="1">
      <c r="M16932"/>
      <c r="N16932"/>
      <c r="O16932"/>
      <c r="P16932"/>
      <c r="Q16932"/>
      <c r="R16932"/>
      <c r="S16932"/>
    </row>
    <row r="16933" spans="13:19" ht="13.95" customHeight="1">
      <c r="M16933"/>
      <c r="N16933"/>
      <c r="O16933"/>
      <c r="P16933"/>
      <c r="Q16933"/>
      <c r="R16933"/>
      <c r="S16933"/>
    </row>
    <row r="16934" spans="13:19" ht="13.95" customHeight="1">
      <c r="M16934"/>
      <c r="N16934"/>
      <c r="O16934"/>
      <c r="P16934"/>
      <c r="Q16934"/>
      <c r="R16934"/>
      <c r="S16934"/>
    </row>
    <row r="16935" spans="13:19" ht="13.95" customHeight="1">
      <c r="M16935"/>
      <c r="N16935"/>
      <c r="O16935"/>
      <c r="P16935"/>
      <c r="Q16935"/>
      <c r="R16935"/>
      <c r="S16935"/>
    </row>
    <row r="16936" spans="13:19" ht="13.95" customHeight="1">
      <c r="M16936"/>
      <c r="N16936"/>
      <c r="O16936"/>
      <c r="P16936"/>
      <c r="Q16936"/>
      <c r="R16936"/>
      <c r="S16936"/>
    </row>
    <row r="16937" spans="13:19" ht="13.95" customHeight="1">
      <c r="M16937"/>
      <c r="N16937"/>
      <c r="O16937"/>
      <c r="P16937"/>
      <c r="Q16937"/>
      <c r="R16937"/>
      <c r="S16937"/>
    </row>
    <row r="16938" spans="13:19" ht="13.95" customHeight="1">
      <c r="M16938"/>
      <c r="N16938"/>
      <c r="O16938"/>
      <c r="P16938"/>
      <c r="Q16938"/>
      <c r="R16938"/>
      <c r="S16938"/>
    </row>
    <row r="16939" spans="13:19" ht="13.95" customHeight="1">
      <c r="M16939"/>
      <c r="N16939"/>
      <c r="O16939"/>
      <c r="P16939"/>
      <c r="Q16939"/>
      <c r="R16939"/>
      <c r="S16939"/>
    </row>
    <row r="16940" spans="13:19" ht="13.95" customHeight="1">
      <c r="M16940"/>
      <c r="N16940"/>
      <c r="O16940"/>
      <c r="P16940"/>
      <c r="Q16940"/>
      <c r="R16940"/>
      <c r="S16940"/>
    </row>
    <row r="16941" spans="13:19" ht="13.95" customHeight="1">
      <c r="M16941"/>
      <c r="N16941"/>
      <c r="O16941"/>
      <c r="P16941"/>
      <c r="Q16941"/>
      <c r="R16941"/>
      <c r="S16941"/>
    </row>
    <row r="16942" spans="13:19" ht="13.95" customHeight="1">
      <c r="M16942"/>
      <c r="N16942"/>
      <c r="O16942"/>
      <c r="P16942"/>
      <c r="Q16942"/>
      <c r="R16942"/>
      <c r="S16942"/>
    </row>
    <row r="16943" spans="13:19" ht="13.95" customHeight="1">
      <c r="M16943"/>
      <c r="N16943"/>
      <c r="O16943"/>
      <c r="P16943"/>
      <c r="Q16943"/>
      <c r="R16943"/>
      <c r="S16943"/>
    </row>
    <row r="16944" spans="13:19" ht="13.95" customHeight="1">
      <c r="M16944"/>
      <c r="N16944"/>
      <c r="O16944"/>
      <c r="P16944"/>
      <c r="Q16944"/>
      <c r="R16944"/>
      <c r="S16944"/>
    </row>
    <row r="16945" spans="13:19" ht="13.95" customHeight="1">
      <c r="M16945"/>
      <c r="N16945"/>
      <c r="O16945"/>
      <c r="P16945"/>
      <c r="Q16945"/>
      <c r="R16945"/>
      <c r="S16945"/>
    </row>
    <row r="16946" spans="13:19" ht="13.95" customHeight="1">
      <c r="M16946"/>
      <c r="N16946"/>
      <c r="O16946"/>
      <c r="P16946"/>
      <c r="Q16946"/>
      <c r="R16946"/>
      <c r="S16946"/>
    </row>
    <row r="16947" spans="13:19" ht="13.95" customHeight="1">
      <c r="M16947"/>
      <c r="N16947"/>
      <c r="O16947"/>
      <c r="P16947"/>
      <c r="Q16947"/>
      <c r="R16947"/>
      <c r="S16947"/>
    </row>
    <row r="16948" spans="13:19" ht="13.95" customHeight="1">
      <c r="M16948"/>
      <c r="N16948"/>
      <c r="O16948"/>
      <c r="P16948"/>
      <c r="Q16948"/>
      <c r="R16948"/>
      <c r="S16948"/>
    </row>
    <row r="16949" spans="13:19" ht="13.95" customHeight="1">
      <c r="M16949"/>
      <c r="N16949"/>
      <c r="O16949"/>
      <c r="P16949"/>
      <c r="Q16949"/>
      <c r="R16949"/>
      <c r="S16949"/>
    </row>
    <row r="16950" spans="13:19" ht="13.95" customHeight="1">
      <c r="M16950"/>
      <c r="N16950"/>
      <c r="O16950"/>
      <c r="P16950"/>
      <c r="Q16950"/>
      <c r="R16950"/>
      <c r="S16950"/>
    </row>
    <row r="16951" spans="13:19" ht="13.95" customHeight="1">
      <c r="M16951"/>
      <c r="N16951"/>
      <c r="O16951"/>
      <c r="P16951"/>
      <c r="Q16951"/>
      <c r="R16951"/>
      <c r="S16951"/>
    </row>
    <row r="16952" spans="13:19" ht="13.95" customHeight="1">
      <c r="M16952"/>
      <c r="N16952"/>
      <c r="O16952"/>
      <c r="P16952"/>
      <c r="Q16952"/>
      <c r="R16952"/>
      <c r="S16952"/>
    </row>
    <row r="16953" spans="13:19" ht="13.95" customHeight="1">
      <c r="M16953"/>
      <c r="N16953"/>
      <c r="O16953"/>
      <c r="P16953"/>
      <c r="Q16953"/>
      <c r="R16953"/>
      <c r="S16953"/>
    </row>
    <row r="16954" spans="13:19" ht="13.95" customHeight="1">
      <c r="M16954"/>
      <c r="N16954"/>
      <c r="O16954"/>
      <c r="P16954"/>
      <c r="Q16954"/>
      <c r="R16954"/>
      <c r="S16954"/>
    </row>
    <row r="16955" spans="13:19" ht="13.95" customHeight="1">
      <c r="M16955"/>
      <c r="N16955"/>
      <c r="O16955"/>
      <c r="P16955"/>
      <c r="Q16955"/>
      <c r="R16955"/>
      <c r="S16955"/>
    </row>
    <row r="16956" spans="13:19" ht="13.95" customHeight="1">
      <c r="M16956"/>
      <c r="N16956"/>
      <c r="O16956"/>
      <c r="P16956"/>
      <c r="Q16956"/>
      <c r="R16956"/>
      <c r="S16956"/>
    </row>
    <row r="16957" spans="13:19" ht="13.95" customHeight="1">
      <c r="M16957"/>
      <c r="N16957"/>
      <c r="O16957"/>
      <c r="P16957"/>
      <c r="Q16957"/>
      <c r="R16957"/>
      <c r="S16957"/>
    </row>
    <row r="16958" spans="13:19" ht="13.95" customHeight="1">
      <c r="M16958"/>
      <c r="N16958"/>
      <c r="O16958"/>
      <c r="P16958"/>
      <c r="Q16958"/>
      <c r="R16958"/>
      <c r="S16958"/>
    </row>
    <row r="16959" spans="13:19" ht="13.95" customHeight="1">
      <c r="M16959"/>
      <c r="N16959"/>
      <c r="O16959"/>
      <c r="P16959"/>
      <c r="Q16959"/>
      <c r="R16959"/>
      <c r="S16959"/>
    </row>
    <row r="16960" spans="13:19" ht="13.95" customHeight="1">
      <c r="M16960"/>
      <c r="N16960"/>
      <c r="O16960"/>
      <c r="P16960"/>
      <c r="Q16960"/>
      <c r="R16960"/>
      <c r="S16960"/>
    </row>
    <row r="16961" spans="13:19" ht="13.95" customHeight="1">
      <c r="M16961"/>
      <c r="N16961"/>
      <c r="O16961"/>
      <c r="P16961"/>
      <c r="Q16961"/>
      <c r="R16961"/>
      <c r="S16961"/>
    </row>
    <row r="16962" spans="13:19" ht="13.95" customHeight="1">
      <c r="M16962"/>
      <c r="N16962"/>
      <c r="O16962"/>
      <c r="P16962"/>
      <c r="Q16962"/>
      <c r="R16962"/>
      <c r="S16962"/>
    </row>
    <row r="16963" spans="13:19" ht="13.95" customHeight="1">
      <c r="M16963"/>
      <c r="N16963"/>
      <c r="O16963"/>
      <c r="P16963"/>
      <c r="Q16963"/>
      <c r="R16963"/>
      <c r="S16963"/>
    </row>
    <row r="16964" spans="13:19" ht="13.95" customHeight="1">
      <c r="M16964"/>
      <c r="N16964"/>
      <c r="O16964"/>
      <c r="P16964"/>
      <c r="Q16964"/>
      <c r="R16964"/>
      <c r="S16964"/>
    </row>
    <row r="16965" spans="13:19" ht="13.95" customHeight="1">
      <c r="M16965"/>
      <c r="N16965"/>
      <c r="O16965"/>
      <c r="P16965"/>
      <c r="Q16965"/>
      <c r="R16965"/>
      <c r="S16965"/>
    </row>
    <row r="16966" spans="13:19" ht="13.95" customHeight="1">
      <c r="M16966"/>
      <c r="N16966"/>
      <c r="O16966"/>
      <c r="P16966"/>
      <c r="Q16966"/>
      <c r="R16966"/>
      <c r="S16966"/>
    </row>
    <row r="16967" spans="13:19" ht="13.95" customHeight="1">
      <c r="M16967"/>
      <c r="N16967"/>
      <c r="O16967"/>
      <c r="P16967"/>
      <c r="Q16967"/>
      <c r="R16967"/>
      <c r="S16967"/>
    </row>
    <row r="16968" spans="13:19" ht="13.95" customHeight="1">
      <c r="M16968"/>
      <c r="N16968"/>
      <c r="O16968"/>
      <c r="P16968"/>
      <c r="Q16968"/>
      <c r="R16968"/>
      <c r="S16968"/>
    </row>
    <row r="16969" spans="13:19" ht="13.95" customHeight="1">
      <c r="M16969"/>
      <c r="N16969"/>
      <c r="O16969"/>
      <c r="P16969"/>
      <c r="Q16969"/>
      <c r="R16969"/>
      <c r="S16969"/>
    </row>
    <row r="16970" spans="13:19" ht="13.95" customHeight="1">
      <c r="M16970"/>
      <c r="N16970"/>
      <c r="O16970"/>
      <c r="P16970"/>
      <c r="Q16970"/>
      <c r="R16970"/>
      <c r="S16970"/>
    </row>
    <row r="16971" spans="13:19" ht="13.95" customHeight="1">
      <c r="M16971"/>
      <c r="N16971"/>
      <c r="O16971"/>
      <c r="P16971"/>
      <c r="Q16971"/>
      <c r="R16971"/>
      <c r="S16971"/>
    </row>
    <row r="16972" spans="13:19" ht="13.95" customHeight="1">
      <c r="M16972"/>
      <c r="N16972"/>
      <c r="O16972"/>
      <c r="P16972"/>
      <c r="Q16972"/>
      <c r="R16972"/>
      <c r="S16972"/>
    </row>
    <row r="16973" spans="13:19" ht="13.95" customHeight="1">
      <c r="M16973"/>
      <c r="N16973"/>
      <c r="O16973"/>
      <c r="P16973"/>
      <c r="Q16973"/>
      <c r="R16973"/>
      <c r="S16973"/>
    </row>
    <row r="16974" spans="13:19" ht="13.95" customHeight="1">
      <c r="M16974"/>
      <c r="N16974"/>
      <c r="O16974"/>
      <c r="P16974"/>
      <c r="Q16974"/>
      <c r="R16974"/>
      <c r="S16974"/>
    </row>
    <row r="16975" spans="13:19" ht="13.95" customHeight="1">
      <c r="M16975"/>
      <c r="N16975"/>
      <c r="O16975"/>
      <c r="P16975"/>
      <c r="Q16975"/>
      <c r="R16975"/>
      <c r="S16975"/>
    </row>
    <row r="16976" spans="13:19" ht="13.95" customHeight="1">
      <c r="M16976"/>
      <c r="N16976"/>
      <c r="O16976"/>
      <c r="P16976"/>
      <c r="Q16976"/>
      <c r="R16976"/>
      <c r="S16976"/>
    </row>
    <row r="16977" spans="13:19" ht="13.95" customHeight="1">
      <c r="M16977"/>
      <c r="N16977"/>
      <c r="O16977"/>
      <c r="P16977"/>
      <c r="Q16977"/>
      <c r="R16977"/>
      <c r="S16977"/>
    </row>
    <row r="16978" spans="13:19" ht="13.95" customHeight="1">
      <c r="M16978"/>
      <c r="N16978"/>
      <c r="O16978"/>
      <c r="P16978"/>
      <c r="Q16978"/>
      <c r="R16978"/>
      <c r="S16978"/>
    </row>
    <row r="16979" spans="13:19" ht="13.95" customHeight="1">
      <c r="M16979"/>
      <c r="N16979"/>
      <c r="O16979"/>
      <c r="P16979"/>
      <c r="Q16979"/>
      <c r="R16979"/>
      <c r="S16979"/>
    </row>
    <row r="16980" spans="13:19" ht="13.95" customHeight="1">
      <c r="M16980"/>
      <c r="N16980"/>
      <c r="O16980"/>
      <c r="P16980"/>
      <c r="Q16980"/>
      <c r="R16980"/>
      <c r="S16980"/>
    </row>
    <row r="16981" spans="13:19" ht="13.95" customHeight="1">
      <c r="M16981"/>
      <c r="N16981"/>
      <c r="O16981"/>
      <c r="P16981"/>
      <c r="Q16981"/>
      <c r="R16981"/>
      <c r="S16981"/>
    </row>
    <row r="16982" spans="13:19" ht="13.95" customHeight="1">
      <c r="M16982"/>
      <c r="N16982"/>
      <c r="O16982"/>
      <c r="P16982"/>
      <c r="Q16982"/>
      <c r="R16982"/>
      <c r="S16982"/>
    </row>
    <row r="16983" spans="13:19" ht="13.95" customHeight="1">
      <c r="M16983"/>
      <c r="N16983"/>
      <c r="O16983"/>
      <c r="P16983"/>
      <c r="Q16983"/>
      <c r="R16983"/>
      <c r="S16983"/>
    </row>
    <row r="16984" spans="13:19" ht="13.95" customHeight="1">
      <c r="M16984"/>
      <c r="N16984"/>
      <c r="O16984"/>
      <c r="P16984"/>
      <c r="Q16984"/>
      <c r="R16984"/>
      <c r="S16984"/>
    </row>
    <row r="16985" spans="13:19" ht="13.95" customHeight="1">
      <c r="M16985"/>
      <c r="N16985"/>
      <c r="O16985"/>
      <c r="P16985"/>
      <c r="Q16985"/>
      <c r="R16985"/>
      <c r="S16985"/>
    </row>
    <row r="16986" spans="13:19" ht="13.95" customHeight="1">
      <c r="M16986"/>
      <c r="N16986"/>
      <c r="O16986"/>
      <c r="P16986"/>
      <c r="Q16986"/>
      <c r="R16986"/>
      <c r="S16986"/>
    </row>
    <row r="16987" spans="13:19" ht="13.95" customHeight="1">
      <c r="M16987"/>
      <c r="N16987"/>
      <c r="O16987"/>
      <c r="P16987"/>
      <c r="Q16987"/>
      <c r="R16987"/>
      <c r="S16987"/>
    </row>
    <row r="16988" spans="13:19" ht="13.95" customHeight="1">
      <c r="M16988"/>
      <c r="N16988"/>
      <c r="O16988"/>
      <c r="P16988"/>
      <c r="Q16988"/>
      <c r="R16988"/>
      <c r="S16988"/>
    </row>
    <row r="16989" spans="13:19" ht="13.95" customHeight="1">
      <c r="M16989"/>
      <c r="N16989"/>
      <c r="O16989"/>
      <c r="P16989"/>
      <c r="Q16989"/>
      <c r="R16989"/>
      <c r="S16989"/>
    </row>
    <row r="16990" spans="13:19" ht="13.95" customHeight="1">
      <c r="M16990"/>
      <c r="N16990"/>
      <c r="O16990"/>
      <c r="P16990"/>
      <c r="Q16990"/>
      <c r="R16990"/>
      <c r="S16990"/>
    </row>
    <row r="16991" spans="13:19" ht="13.95" customHeight="1">
      <c r="M16991"/>
      <c r="N16991"/>
      <c r="O16991"/>
      <c r="P16991"/>
      <c r="Q16991"/>
      <c r="R16991"/>
      <c r="S16991"/>
    </row>
    <row r="16992" spans="13:19" ht="13.95" customHeight="1">
      <c r="M16992"/>
      <c r="N16992"/>
      <c r="O16992"/>
      <c r="P16992"/>
      <c r="Q16992"/>
      <c r="R16992"/>
      <c r="S16992"/>
    </row>
    <row r="16993" spans="13:19" ht="13.95" customHeight="1">
      <c r="M16993"/>
      <c r="N16993"/>
      <c r="O16993"/>
      <c r="P16993"/>
      <c r="Q16993"/>
      <c r="R16993"/>
      <c r="S16993"/>
    </row>
    <row r="16994" spans="13:19" ht="13.95" customHeight="1">
      <c r="M16994"/>
      <c r="N16994"/>
      <c r="O16994"/>
      <c r="P16994"/>
      <c r="Q16994"/>
      <c r="R16994"/>
      <c r="S16994"/>
    </row>
    <row r="16995" spans="13:19" ht="13.95" customHeight="1">
      <c r="M16995"/>
      <c r="N16995"/>
      <c r="O16995"/>
      <c r="P16995"/>
      <c r="Q16995"/>
      <c r="R16995"/>
      <c r="S16995"/>
    </row>
    <row r="16996" spans="13:19" ht="13.95" customHeight="1">
      <c r="M16996"/>
      <c r="N16996"/>
      <c r="O16996"/>
      <c r="P16996"/>
      <c r="Q16996"/>
      <c r="R16996"/>
      <c r="S16996"/>
    </row>
    <row r="16997" spans="13:19" ht="13.95" customHeight="1">
      <c r="M16997"/>
      <c r="N16997"/>
      <c r="O16997"/>
      <c r="P16997"/>
      <c r="Q16997"/>
      <c r="R16997"/>
      <c r="S16997"/>
    </row>
    <row r="16998" spans="13:19" ht="13.95" customHeight="1">
      <c r="M16998"/>
      <c r="N16998"/>
      <c r="O16998"/>
      <c r="P16998"/>
      <c r="Q16998"/>
      <c r="R16998"/>
      <c r="S16998"/>
    </row>
    <row r="16999" spans="13:19" ht="13.95" customHeight="1">
      <c r="M16999"/>
      <c r="N16999"/>
      <c r="O16999"/>
      <c r="P16999"/>
      <c r="Q16999"/>
      <c r="R16999"/>
      <c r="S16999"/>
    </row>
    <row r="17000" spans="13:19" ht="13.95" customHeight="1">
      <c r="M17000"/>
      <c r="N17000"/>
      <c r="O17000"/>
      <c r="P17000"/>
      <c r="Q17000"/>
      <c r="R17000"/>
      <c r="S17000"/>
    </row>
    <row r="17001" spans="13:19" ht="13.95" customHeight="1">
      <c r="M17001"/>
      <c r="N17001"/>
      <c r="O17001"/>
      <c r="P17001"/>
      <c r="Q17001"/>
      <c r="R17001"/>
      <c r="S17001"/>
    </row>
    <row r="17002" spans="13:19" ht="13.95" customHeight="1">
      <c r="M17002"/>
      <c r="N17002"/>
      <c r="O17002"/>
      <c r="P17002"/>
      <c r="Q17002"/>
      <c r="R17002"/>
      <c r="S17002"/>
    </row>
    <row r="17003" spans="13:19" ht="13.95" customHeight="1">
      <c r="M17003"/>
      <c r="N17003"/>
      <c r="O17003"/>
      <c r="P17003"/>
      <c r="Q17003"/>
      <c r="R17003"/>
      <c r="S17003"/>
    </row>
    <row r="17004" spans="13:19" ht="13.95" customHeight="1">
      <c r="M17004"/>
      <c r="N17004"/>
      <c r="O17004"/>
      <c r="P17004"/>
      <c r="Q17004"/>
      <c r="R17004"/>
      <c r="S17004"/>
    </row>
    <row r="17005" spans="13:19" ht="13.95" customHeight="1">
      <c r="M17005"/>
      <c r="N17005"/>
      <c r="O17005"/>
      <c r="P17005"/>
      <c r="Q17005"/>
      <c r="R17005"/>
      <c r="S17005"/>
    </row>
    <row r="17006" spans="13:19" ht="13.95" customHeight="1">
      <c r="M17006"/>
      <c r="N17006"/>
      <c r="O17006"/>
      <c r="P17006"/>
      <c r="Q17006"/>
      <c r="R17006"/>
      <c r="S17006"/>
    </row>
    <row r="17007" spans="13:19" ht="13.95" customHeight="1">
      <c r="M17007"/>
      <c r="N17007"/>
      <c r="O17007"/>
      <c r="P17007"/>
      <c r="Q17007"/>
      <c r="R17007"/>
      <c r="S17007"/>
    </row>
    <row r="17008" spans="13:19" ht="13.95" customHeight="1">
      <c r="M17008"/>
      <c r="N17008"/>
      <c r="O17008"/>
      <c r="P17008"/>
      <c r="Q17008"/>
      <c r="R17008"/>
      <c r="S17008"/>
    </row>
    <row r="17009" spans="13:19" ht="13.95" customHeight="1">
      <c r="M17009"/>
      <c r="N17009"/>
      <c r="O17009"/>
      <c r="P17009"/>
      <c r="Q17009"/>
      <c r="R17009"/>
      <c r="S17009"/>
    </row>
    <row r="17010" spans="13:19" ht="13.95" customHeight="1">
      <c r="M17010"/>
      <c r="N17010"/>
      <c r="O17010"/>
      <c r="P17010"/>
      <c r="Q17010"/>
      <c r="R17010"/>
      <c r="S17010"/>
    </row>
    <row r="17011" spans="13:19" ht="13.95" customHeight="1">
      <c r="M17011"/>
      <c r="N17011"/>
      <c r="O17011"/>
      <c r="P17011"/>
      <c r="Q17011"/>
      <c r="R17011"/>
      <c r="S17011"/>
    </row>
    <row r="17012" spans="13:19" ht="13.95" customHeight="1">
      <c r="M17012"/>
      <c r="N17012"/>
      <c r="O17012"/>
      <c r="P17012"/>
      <c r="Q17012"/>
      <c r="R17012"/>
      <c r="S17012"/>
    </row>
    <row r="17013" spans="13:19" ht="13.95" customHeight="1">
      <c r="M17013"/>
      <c r="N17013"/>
      <c r="O17013"/>
      <c r="P17013"/>
      <c r="Q17013"/>
      <c r="R17013"/>
      <c r="S17013"/>
    </row>
    <row r="17014" spans="13:19" ht="13.95" customHeight="1">
      <c r="M17014"/>
      <c r="N17014"/>
      <c r="O17014"/>
      <c r="P17014"/>
      <c r="Q17014"/>
      <c r="R17014"/>
      <c r="S17014"/>
    </row>
    <row r="17015" spans="13:19" ht="13.95" customHeight="1">
      <c r="M17015"/>
      <c r="N17015"/>
      <c r="O17015"/>
      <c r="P17015"/>
      <c r="Q17015"/>
      <c r="R17015"/>
      <c r="S17015"/>
    </row>
    <row r="17016" spans="13:19" ht="13.95" customHeight="1">
      <c r="M17016"/>
      <c r="N17016"/>
      <c r="O17016"/>
      <c r="P17016"/>
      <c r="Q17016"/>
      <c r="R17016"/>
      <c r="S17016"/>
    </row>
    <row r="17017" spans="13:19" ht="13.95" customHeight="1">
      <c r="M17017"/>
      <c r="N17017"/>
      <c r="O17017"/>
      <c r="P17017"/>
      <c r="Q17017"/>
      <c r="R17017"/>
      <c r="S17017"/>
    </row>
    <row r="17018" spans="13:19" ht="13.95" customHeight="1">
      <c r="M17018"/>
      <c r="N17018"/>
      <c r="O17018"/>
      <c r="P17018"/>
      <c r="Q17018"/>
      <c r="R17018"/>
      <c r="S17018"/>
    </row>
    <row r="17019" spans="13:19" ht="13.95" customHeight="1">
      <c r="M17019"/>
      <c r="N17019"/>
      <c r="O17019"/>
      <c r="P17019"/>
      <c r="Q17019"/>
      <c r="R17019"/>
      <c r="S17019"/>
    </row>
    <row r="17020" spans="13:19" ht="13.95" customHeight="1">
      <c r="M17020"/>
      <c r="N17020"/>
      <c r="O17020"/>
      <c r="P17020"/>
      <c r="Q17020"/>
      <c r="R17020"/>
      <c r="S17020"/>
    </row>
    <row r="17021" spans="13:19" ht="13.95" customHeight="1">
      <c r="M17021"/>
      <c r="N17021"/>
      <c r="O17021"/>
      <c r="P17021"/>
      <c r="Q17021"/>
      <c r="R17021"/>
      <c r="S17021"/>
    </row>
    <row r="17022" spans="13:19" ht="13.95" customHeight="1">
      <c r="M17022"/>
      <c r="N17022"/>
      <c r="O17022"/>
      <c r="P17022"/>
      <c r="Q17022"/>
      <c r="R17022"/>
      <c r="S17022"/>
    </row>
    <row r="17023" spans="13:19" ht="13.95" customHeight="1">
      <c r="M17023"/>
      <c r="N17023"/>
      <c r="O17023"/>
      <c r="P17023"/>
      <c r="Q17023"/>
      <c r="R17023"/>
      <c r="S17023"/>
    </row>
    <row r="17024" spans="13:19" ht="13.95" customHeight="1">
      <c r="M17024"/>
      <c r="N17024"/>
      <c r="O17024"/>
      <c r="P17024"/>
      <c r="Q17024"/>
      <c r="R17024"/>
      <c r="S17024"/>
    </row>
    <row r="17025" spans="13:19" ht="13.95" customHeight="1">
      <c r="M17025"/>
      <c r="N17025"/>
      <c r="O17025"/>
      <c r="P17025"/>
      <c r="Q17025"/>
      <c r="R17025"/>
      <c r="S17025"/>
    </row>
    <row r="17026" spans="13:19" ht="13.95" customHeight="1">
      <c r="M17026"/>
      <c r="N17026"/>
      <c r="O17026"/>
      <c r="P17026"/>
      <c r="Q17026"/>
      <c r="R17026"/>
      <c r="S17026"/>
    </row>
    <row r="17027" spans="13:19" ht="13.95" customHeight="1">
      <c r="M17027"/>
      <c r="N17027"/>
      <c r="O17027"/>
      <c r="P17027"/>
      <c r="Q17027"/>
      <c r="R17027"/>
      <c r="S17027"/>
    </row>
    <row r="17028" spans="13:19" ht="13.95" customHeight="1">
      <c r="M17028"/>
      <c r="N17028"/>
      <c r="O17028"/>
      <c r="P17028"/>
      <c r="Q17028"/>
      <c r="R17028"/>
      <c r="S17028"/>
    </row>
    <row r="17029" spans="13:19" ht="13.95" customHeight="1">
      <c r="M17029"/>
      <c r="N17029"/>
      <c r="O17029"/>
      <c r="P17029"/>
      <c r="Q17029"/>
      <c r="R17029"/>
      <c r="S17029"/>
    </row>
    <row r="17030" spans="13:19" ht="13.95" customHeight="1">
      <c r="M17030"/>
      <c r="N17030"/>
      <c r="O17030"/>
      <c r="P17030"/>
      <c r="Q17030"/>
      <c r="R17030"/>
      <c r="S17030"/>
    </row>
    <row r="17031" spans="13:19" ht="13.95" customHeight="1">
      <c r="M17031"/>
      <c r="N17031"/>
      <c r="O17031"/>
      <c r="P17031"/>
      <c r="Q17031"/>
      <c r="R17031"/>
      <c r="S17031"/>
    </row>
    <row r="17032" spans="13:19" ht="13.95" customHeight="1">
      <c r="M17032"/>
      <c r="N17032"/>
      <c r="O17032"/>
      <c r="P17032"/>
      <c r="Q17032"/>
      <c r="R17032"/>
      <c r="S17032"/>
    </row>
    <row r="17033" spans="13:19" ht="13.95" customHeight="1">
      <c r="M17033"/>
      <c r="N17033"/>
      <c r="O17033"/>
      <c r="P17033"/>
      <c r="Q17033"/>
      <c r="R17033"/>
      <c r="S17033"/>
    </row>
    <row r="17034" spans="13:19" ht="13.95" customHeight="1">
      <c r="M17034"/>
      <c r="N17034"/>
      <c r="O17034"/>
      <c r="P17034"/>
      <c r="Q17034"/>
      <c r="R17034"/>
      <c r="S17034"/>
    </row>
    <row r="17035" spans="13:19" ht="13.95" customHeight="1">
      <c r="M17035"/>
      <c r="N17035"/>
      <c r="O17035"/>
      <c r="P17035"/>
      <c r="Q17035"/>
      <c r="R17035"/>
      <c r="S17035"/>
    </row>
    <row r="17036" spans="13:19" ht="13.95" customHeight="1">
      <c r="M17036"/>
      <c r="N17036"/>
      <c r="O17036"/>
      <c r="P17036"/>
      <c r="Q17036"/>
      <c r="R17036"/>
      <c r="S17036"/>
    </row>
    <row r="17037" spans="13:19" ht="13.95" customHeight="1">
      <c r="M17037"/>
      <c r="N17037"/>
      <c r="O17037"/>
      <c r="P17037"/>
      <c r="Q17037"/>
      <c r="R17037"/>
      <c r="S17037"/>
    </row>
    <row r="17038" spans="13:19" ht="13.95" customHeight="1">
      <c r="M17038"/>
      <c r="N17038"/>
      <c r="O17038"/>
      <c r="P17038"/>
      <c r="Q17038"/>
      <c r="R17038"/>
      <c r="S17038"/>
    </row>
    <row r="17039" spans="13:19" ht="13.95" customHeight="1">
      <c r="M17039"/>
      <c r="N17039"/>
      <c r="O17039"/>
      <c r="P17039"/>
      <c r="Q17039"/>
      <c r="R17039"/>
      <c r="S17039"/>
    </row>
    <row r="17040" spans="13:19" ht="13.95" customHeight="1">
      <c r="M17040"/>
      <c r="N17040"/>
      <c r="O17040"/>
      <c r="P17040"/>
      <c r="Q17040"/>
      <c r="R17040"/>
      <c r="S17040"/>
    </row>
    <row r="17041" spans="13:19" ht="13.95" customHeight="1">
      <c r="M17041"/>
      <c r="N17041"/>
      <c r="O17041"/>
      <c r="P17041"/>
      <c r="Q17041"/>
      <c r="R17041"/>
      <c r="S17041"/>
    </row>
    <row r="17042" spans="13:19" ht="13.95" customHeight="1">
      <c r="M17042"/>
      <c r="N17042"/>
      <c r="O17042"/>
      <c r="P17042"/>
      <c r="Q17042"/>
      <c r="R17042"/>
      <c r="S17042"/>
    </row>
    <row r="17043" spans="13:19" ht="13.95" customHeight="1">
      <c r="M17043"/>
      <c r="N17043"/>
      <c r="O17043"/>
      <c r="P17043"/>
      <c r="Q17043"/>
      <c r="R17043"/>
      <c r="S17043"/>
    </row>
    <row r="17044" spans="13:19" ht="13.95" customHeight="1">
      <c r="M17044"/>
      <c r="N17044"/>
      <c r="O17044"/>
      <c r="P17044"/>
      <c r="Q17044"/>
      <c r="R17044"/>
      <c r="S17044"/>
    </row>
    <row r="17045" spans="13:19" ht="13.95" customHeight="1">
      <c r="M17045"/>
      <c r="N17045"/>
      <c r="O17045"/>
      <c r="P17045"/>
      <c r="Q17045"/>
      <c r="R17045"/>
      <c r="S17045"/>
    </row>
    <row r="17046" spans="13:19" ht="13.95" customHeight="1">
      <c r="M17046"/>
      <c r="N17046"/>
      <c r="O17046"/>
      <c r="P17046"/>
      <c r="Q17046"/>
      <c r="R17046"/>
      <c r="S17046"/>
    </row>
    <row r="17047" spans="13:19" ht="13.95" customHeight="1">
      <c r="M17047"/>
      <c r="N17047"/>
      <c r="O17047"/>
      <c r="P17047"/>
      <c r="Q17047"/>
      <c r="R17047"/>
      <c r="S17047"/>
    </row>
    <row r="17048" spans="13:19" ht="13.95" customHeight="1">
      <c r="M17048"/>
      <c r="N17048"/>
      <c r="O17048"/>
      <c r="P17048"/>
      <c r="Q17048"/>
      <c r="R17048"/>
      <c r="S17048"/>
    </row>
    <row r="17049" spans="13:19" ht="13.95" customHeight="1">
      <c r="M17049"/>
      <c r="N17049"/>
      <c r="O17049"/>
      <c r="P17049"/>
      <c r="Q17049"/>
      <c r="R17049"/>
      <c r="S17049"/>
    </row>
    <row r="17050" spans="13:19" ht="13.95" customHeight="1">
      <c r="M17050"/>
      <c r="N17050"/>
      <c r="O17050"/>
      <c r="P17050"/>
      <c r="Q17050"/>
      <c r="R17050"/>
      <c r="S17050"/>
    </row>
    <row r="17051" spans="13:19" ht="13.95" customHeight="1">
      <c r="M17051"/>
      <c r="N17051"/>
      <c r="O17051"/>
      <c r="P17051"/>
      <c r="Q17051"/>
      <c r="R17051"/>
      <c r="S17051"/>
    </row>
    <row r="17052" spans="13:19" ht="13.95" customHeight="1">
      <c r="M17052"/>
      <c r="N17052"/>
      <c r="O17052"/>
      <c r="P17052"/>
      <c r="Q17052"/>
      <c r="R17052"/>
      <c r="S17052"/>
    </row>
    <row r="17053" spans="13:19" ht="13.95" customHeight="1">
      <c r="M17053"/>
      <c r="N17053"/>
      <c r="O17053"/>
      <c r="P17053"/>
      <c r="Q17053"/>
      <c r="R17053"/>
      <c r="S17053"/>
    </row>
    <row r="17054" spans="13:19" ht="13.95" customHeight="1">
      <c r="M17054"/>
      <c r="N17054"/>
      <c r="O17054"/>
      <c r="P17054"/>
      <c r="Q17054"/>
      <c r="R17054"/>
      <c r="S17054"/>
    </row>
    <row r="17055" spans="13:19" ht="13.95" customHeight="1">
      <c r="M17055"/>
      <c r="N17055"/>
      <c r="O17055"/>
      <c r="P17055"/>
      <c r="Q17055"/>
      <c r="R17055"/>
      <c r="S17055"/>
    </row>
    <row r="17056" spans="13:19" ht="13.95" customHeight="1">
      <c r="M17056"/>
      <c r="N17056"/>
      <c r="O17056"/>
      <c r="P17056"/>
      <c r="Q17056"/>
      <c r="R17056"/>
      <c r="S17056"/>
    </row>
    <row r="17057" spans="13:19" ht="13.95" customHeight="1">
      <c r="M17057"/>
      <c r="N17057"/>
      <c r="O17057"/>
      <c r="P17057"/>
      <c r="Q17057"/>
      <c r="R17057"/>
      <c r="S17057"/>
    </row>
    <row r="17058" spans="13:19" ht="13.95" customHeight="1">
      <c r="M17058"/>
      <c r="N17058"/>
      <c r="O17058"/>
      <c r="P17058"/>
      <c r="Q17058"/>
      <c r="R17058"/>
      <c r="S17058"/>
    </row>
    <row r="17059" spans="13:19" ht="13.95" customHeight="1">
      <c r="M17059"/>
      <c r="N17059"/>
      <c r="O17059"/>
      <c r="P17059"/>
      <c r="Q17059"/>
      <c r="R17059"/>
      <c r="S17059"/>
    </row>
    <row r="17060" spans="13:19" ht="13.95" customHeight="1">
      <c r="M17060"/>
      <c r="N17060"/>
      <c r="O17060"/>
      <c r="P17060"/>
      <c r="Q17060"/>
      <c r="R17060"/>
      <c r="S17060"/>
    </row>
    <row r="17061" spans="13:19" ht="13.95" customHeight="1">
      <c r="M17061"/>
      <c r="N17061"/>
      <c r="O17061"/>
      <c r="P17061"/>
      <c r="Q17061"/>
      <c r="R17061"/>
      <c r="S17061"/>
    </row>
    <row r="17062" spans="13:19" ht="13.95" customHeight="1">
      <c r="M17062"/>
      <c r="N17062"/>
      <c r="O17062"/>
      <c r="P17062"/>
      <c r="Q17062"/>
      <c r="R17062"/>
      <c r="S17062"/>
    </row>
    <row r="17063" spans="13:19" ht="13.95" customHeight="1">
      <c r="M17063"/>
      <c r="N17063"/>
      <c r="O17063"/>
      <c r="P17063"/>
      <c r="Q17063"/>
      <c r="R17063"/>
      <c r="S17063"/>
    </row>
    <row r="17064" spans="13:19" ht="13.95" customHeight="1">
      <c r="M17064"/>
      <c r="N17064"/>
      <c r="O17064"/>
      <c r="P17064"/>
      <c r="Q17064"/>
      <c r="R17064"/>
      <c r="S17064"/>
    </row>
    <row r="17065" spans="13:19" ht="13.95" customHeight="1">
      <c r="M17065"/>
      <c r="N17065"/>
      <c r="O17065"/>
      <c r="P17065"/>
      <c r="Q17065"/>
      <c r="R17065"/>
      <c r="S17065"/>
    </row>
    <row r="17066" spans="13:19" ht="13.95" customHeight="1">
      <c r="M17066"/>
      <c r="N17066"/>
      <c r="O17066"/>
      <c r="P17066"/>
      <c r="Q17066"/>
      <c r="R17066"/>
      <c r="S17066"/>
    </row>
    <row r="17067" spans="13:19" ht="13.95" customHeight="1">
      <c r="M17067"/>
      <c r="N17067"/>
      <c r="O17067"/>
      <c r="P17067"/>
      <c r="Q17067"/>
      <c r="R17067"/>
      <c r="S17067"/>
    </row>
    <row r="17068" spans="13:19" ht="13.95" customHeight="1">
      <c r="M17068"/>
      <c r="N17068"/>
      <c r="O17068"/>
      <c r="P17068"/>
      <c r="Q17068"/>
      <c r="R17068"/>
      <c r="S17068"/>
    </row>
    <row r="17069" spans="13:19" ht="13.95" customHeight="1">
      <c r="M17069"/>
      <c r="N17069"/>
      <c r="O17069"/>
      <c r="P17069"/>
      <c r="Q17069"/>
      <c r="R17069"/>
      <c r="S17069"/>
    </row>
    <row r="17070" spans="13:19" ht="13.95" customHeight="1">
      <c r="M17070"/>
      <c r="N17070"/>
      <c r="O17070"/>
      <c r="P17070"/>
      <c r="Q17070"/>
      <c r="R17070"/>
      <c r="S17070"/>
    </row>
    <row r="17071" spans="13:19" ht="13.95" customHeight="1">
      <c r="M17071"/>
      <c r="N17071"/>
      <c r="O17071"/>
      <c r="P17071"/>
      <c r="Q17071"/>
      <c r="R17071"/>
      <c r="S17071"/>
    </row>
    <row r="17072" spans="13:19" ht="13.95" customHeight="1">
      <c r="M17072"/>
      <c r="N17072"/>
      <c r="O17072"/>
      <c r="P17072"/>
      <c r="Q17072"/>
      <c r="R17072"/>
      <c r="S17072"/>
    </row>
    <row r="17073" spans="13:19" ht="13.95" customHeight="1">
      <c r="M17073"/>
      <c r="N17073"/>
      <c r="O17073"/>
      <c r="P17073"/>
      <c r="Q17073"/>
      <c r="R17073"/>
      <c r="S17073"/>
    </row>
    <row r="17074" spans="13:19" ht="13.95" customHeight="1">
      <c r="M17074"/>
      <c r="N17074"/>
      <c r="O17074"/>
      <c r="P17074"/>
      <c r="Q17074"/>
      <c r="R17074"/>
      <c r="S17074"/>
    </row>
    <row r="17075" spans="13:19" ht="13.95" customHeight="1">
      <c r="M17075"/>
      <c r="N17075"/>
      <c r="O17075"/>
      <c r="P17075"/>
      <c r="Q17075"/>
      <c r="R17075"/>
      <c r="S17075"/>
    </row>
    <row r="17076" spans="13:19" ht="13.95" customHeight="1">
      <c r="M17076"/>
      <c r="N17076"/>
      <c r="O17076"/>
      <c r="P17076"/>
      <c r="Q17076"/>
      <c r="R17076"/>
      <c r="S17076"/>
    </row>
    <row r="17077" spans="13:19" ht="13.95" customHeight="1">
      <c r="M17077"/>
      <c r="N17077"/>
      <c r="O17077"/>
      <c r="P17077"/>
      <c r="Q17077"/>
      <c r="R17077"/>
      <c r="S17077"/>
    </row>
    <row r="17078" spans="13:19" ht="13.95" customHeight="1">
      <c r="M17078"/>
      <c r="N17078"/>
      <c r="O17078"/>
      <c r="P17078"/>
      <c r="Q17078"/>
      <c r="R17078"/>
      <c r="S17078"/>
    </row>
    <row r="17079" spans="13:19" ht="13.95" customHeight="1">
      <c r="M17079"/>
      <c r="N17079"/>
      <c r="O17079"/>
      <c r="P17079"/>
      <c r="Q17079"/>
      <c r="R17079"/>
      <c r="S17079"/>
    </row>
    <row r="17080" spans="13:19" ht="13.95" customHeight="1">
      <c r="M17080"/>
      <c r="N17080"/>
      <c r="O17080"/>
      <c r="P17080"/>
      <c r="Q17080"/>
      <c r="R17080"/>
      <c r="S17080"/>
    </row>
    <row r="17081" spans="13:19" ht="13.95" customHeight="1">
      <c r="M17081"/>
      <c r="N17081"/>
      <c r="O17081"/>
      <c r="P17081"/>
      <c r="Q17081"/>
      <c r="R17081"/>
      <c r="S17081"/>
    </row>
    <row r="17082" spans="13:19" ht="13.95" customHeight="1">
      <c r="M17082"/>
      <c r="N17082"/>
      <c r="O17082"/>
      <c r="P17082"/>
      <c r="Q17082"/>
      <c r="R17082"/>
      <c r="S17082"/>
    </row>
    <row r="17083" spans="13:19" ht="13.95" customHeight="1">
      <c r="M17083"/>
      <c r="N17083"/>
      <c r="O17083"/>
      <c r="P17083"/>
      <c r="Q17083"/>
      <c r="R17083"/>
      <c r="S17083"/>
    </row>
    <row r="17084" spans="13:19" ht="13.95" customHeight="1">
      <c r="M17084"/>
      <c r="N17084"/>
      <c r="O17084"/>
      <c r="P17084"/>
      <c r="Q17084"/>
      <c r="R17084"/>
      <c r="S17084"/>
    </row>
    <row r="17085" spans="13:19" ht="13.95" customHeight="1">
      <c r="M17085"/>
      <c r="N17085"/>
      <c r="O17085"/>
      <c r="P17085"/>
      <c r="Q17085"/>
      <c r="R17085"/>
      <c r="S17085"/>
    </row>
    <row r="17086" spans="13:19" ht="13.95" customHeight="1">
      <c r="M17086"/>
      <c r="N17086"/>
      <c r="O17086"/>
      <c r="P17086"/>
      <c r="Q17086"/>
      <c r="R17086"/>
      <c r="S17086"/>
    </row>
    <row r="17087" spans="13:19" ht="13.95" customHeight="1">
      <c r="M17087"/>
      <c r="N17087"/>
      <c r="O17087"/>
      <c r="P17087"/>
      <c r="Q17087"/>
      <c r="R17087"/>
      <c r="S17087"/>
    </row>
    <row r="17088" spans="13:19" ht="13.95" customHeight="1">
      <c r="M17088"/>
      <c r="N17088"/>
      <c r="O17088"/>
      <c r="P17088"/>
      <c r="Q17088"/>
      <c r="R17088"/>
      <c r="S17088"/>
    </row>
    <row r="17089" spans="13:19" ht="13.95" customHeight="1">
      <c r="M17089"/>
      <c r="N17089"/>
      <c r="O17089"/>
      <c r="P17089"/>
      <c r="Q17089"/>
      <c r="R17089"/>
      <c r="S17089"/>
    </row>
    <row r="17090" spans="13:19" ht="13.95" customHeight="1">
      <c r="M17090"/>
      <c r="N17090"/>
      <c r="O17090"/>
      <c r="P17090"/>
      <c r="Q17090"/>
      <c r="R17090"/>
      <c r="S17090"/>
    </row>
    <row r="17091" spans="13:19" ht="13.95" customHeight="1">
      <c r="M17091"/>
      <c r="N17091"/>
      <c r="O17091"/>
      <c r="P17091"/>
      <c r="Q17091"/>
      <c r="R17091"/>
      <c r="S17091"/>
    </row>
    <row r="17092" spans="13:19" ht="13.95" customHeight="1">
      <c r="M17092"/>
      <c r="N17092"/>
      <c r="O17092"/>
      <c r="P17092"/>
      <c r="Q17092"/>
      <c r="R17092"/>
      <c r="S17092"/>
    </row>
    <row r="17093" spans="13:19" ht="13.95" customHeight="1">
      <c r="M17093"/>
      <c r="N17093"/>
      <c r="O17093"/>
      <c r="P17093"/>
      <c r="Q17093"/>
      <c r="R17093"/>
      <c r="S17093"/>
    </row>
    <row r="17094" spans="13:19" ht="13.95" customHeight="1">
      <c r="M17094"/>
      <c r="N17094"/>
      <c r="O17094"/>
      <c r="P17094"/>
      <c r="Q17094"/>
      <c r="R17094"/>
      <c r="S17094"/>
    </row>
    <row r="17095" spans="13:19" ht="13.95" customHeight="1">
      <c r="M17095"/>
      <c r="N17095"/>
      <c r="O17095"/>
      <c r="P17095"/>
      <c r="Q17095"/>
      <c r="R17095"/>
      <c r="S17095"/>
    </row>
    <row r="17096" spans="13:19" ht="13.95" customHeight="1">
      <c r="M17096"/>
      <c r="N17096"/>
      <c r="O17096"/>
      <c r="P17096"/>
      <c r="Q17096"/>
      <c r="R17096"/>
      <c r="S17096"/>
    </row>
    <row r="17097" spans="13:19" ht="13.95" customHeight="1">
      <c r="M17097"/>
      <c r="N17097"/>
      <c r="O17097"/>
      <c r="P17097"/>
      <c r="Q17097"/>
      <c r="R17097"/>
      <c r="S17097"/>
    </row>
    <row r="17098" spans="13:19" ht="13.95" customHeight="1">
      <c r="M17098"/>
      <c r="N17098"/>
      <c r="O17098"/>
      <c r="P17098"/>
      <c r="Q17098"/>
      <c r="R17098"/>
      <c r="S17098"/>
    </row>
    <row r="17099" spans="13:19" ht="13.95" customHeight="1">
      <c r="M17099"/>
      <c r="N17099"/>
      <c r="O17099"/>
      <c r="P17099"/>
      <c r="Q17099"/>
      <c r="R17099"/>
      <c r="S17099"/>
    </row>
    <row r="17100" spans="13:19" ht="13.95" customHeight="1">
      <c r="M17100"/>
      <c r="N17100"/>
      <c r="O17100"/>
      <c r="P17100"/>
      <c r="Q17100"/>
      <c r="R17100"/>
      <c r="S17100"/>
    </row>
    <row r="17101" spans="13:19" ht="13.95" customHeight="1">
      <c r="M17101"/>
      <c r="N17101"/>
      <c r="O17101"/>
      <c r="P17101"/>
      <c r="Q17101"/>
      <c r="R17101"/>
      <c r="S17101"/>
    </row>
    <row r="17102" spans="13:19" ht="13.95" customHeight="1">
      <c r="M17102"/>
      <c r="N17102"/>
      <c r="O17102"/>
      <c r="P17102"/>
      <c r="Q17102"/>
      <c r="R17102"/>
      <c r="S17102"/>
    </row>
    <row r="17103" spans="13:19" ht="13.95" customHeight="1">
      <c r="M17103"/>
      <c r="N17103"/>
      <c r="O17103"/>
      <c r="P17103"/>
      <c r="Q17103"/>
      <c r="R17103"/>
      <c r="S17103"/>
    </row>
    <row r="17104" spans="13:19" ht="13.95" customHeight="1">
      <c r="M17104"/>
      <c r="N17104"/>
      <c r="O17104"/>
      <c r="P17104"/>
      <c r="Q17104"/>
      <c r="R17104"/>
      <c r="S17104"/>
    </row>
    <row r="17105" spans="13:19" ht="13.95" customHeight="1">
      <c r="M17105"/>
      <c r="N17105"/>
      <c r="O17105"/>
      <c r="P17105"/>
      <c r="Q17105"/>
      <c r="R17105"/>
      <c r="S17105"/>
    </row>
    <row r="17106" spans="13:19" ht="13.95" customHeight="1">
      <c r="M17106"/>
      <c r="N17106"/>
      <c r="O17106"/>
      <c r="P17106"/>
      <c r="Q17106"/>
      <c r="R17106"/>
      <c r="S17106"/>
    </row>
    <row r="17107" spans="13:19" ht="13.95" customHeight="1">
      <c r="M17107"/>
      <c r="N17107"/>
      <c r="O17107"/>
      <c r="P17107"/>
      <c r="Q17107"/>
      <c r="R17107"/>
      <c r="S17107"/>
    </row>
    <row r="17108" spans="13:19" ht="13.95" customHeight="1">
      <c r="M17108"/>
      <c r="N17108"/>
      <c r="O17108"/>
      <c r="P17108"/>
      <c r="Q17108"/>
      <c r="R17108"/>
      <c r="S17108"/>
    </row>
    <row r="17109" spans="13:19" ht="13.95" customHeight="1">
      <c r="M17109"/>
      <c r="N17109"/>
      <c r="O17109"/>
      <c r="P17109"/>
      <c r="Q17109"/>
      <c r="R17109"/>
      <c r="S17109"/>
    </row>
    <row r="17110" spans="13:19" ht="13.95" customHeight="1">
      <c r="M17110"/>
      <c r="N17110"/>
      <c r="O17110"/>
      <c r="P17110"/>
      <c r="Q17110"/>
      <c r="R17110"/>
      <c r="S17110"/>
    </row>
    <row r="17111" spans="13:19" ht="13.95" customHeight="1">
      <c r="M17111"/>
      <c r="N17111"/>
      <c r="O17111"/>
      <c r="P17111"/>
      <c r="Q17111"/>
      <c r="R17111"/>
      <c r="S17111"/>
    </row>
    <row r="17112" spans="13:19" ht="13.95" customHeight="1">
      <c r="M17112"/>
      <c r="N17112"/>
      <c r="O17112"/>
      <c r="P17112"/>
      <c r="Q17112"/>
      <c r="R17112"/>
      <c r="S17112"/>
    </row>
    <row r="17113" spans="13:19" ht="13.95" customHeight="1">
      <c r="M17113"/>
      <c r="N17113"/>
      <c r="O17113"/>
      <c r="P17113"/>
      <c r="Q17113"/>
      <c r="R17113"/>
      <c r="S17113"/>
    </row>
    <row r="17114" spans="13:19" ht="13.95" customHeight="1">
      <c r="M17114"/>
      <c r="N17114"/>
      <c r="O17114"/>
      <c r="P17114"/>
      <c r="Q17114"/>
      <c r="R17114"/>
      <c r="S17114"/>
    </row>
    <row r="17115" spans="13:19" ht="13.95" customHeight="1">
      <c r="M17115"/>
      <c r="N17115"/>
      <c r="O17115"/>
      <c r="P17115"/>
      <c r="Q17115"/>
      <c r="R17115"/>
      <c r="S17115"/>
    </row>
    <row r="17116" spans="13:19" ht="13.95" customHeight="1">
      <c r="M17116"/>
      <c r="N17116"/>
      <c r="O17116"/>
      <c r="P17116"/>
      <c r="Q17116"/>
      <c r="R17116"/>
      <c r="S17116"/>
    </row>
    <row r="17117" spans="13:19" ht="13.95" customHeight="1">
      <c r="M17117"/>
      <c r="N17117"/>
      <c r="O17117"/>
      <c r="P17117"/>
      <c r="Q17117"/>
      <c r="R17117"/>
      <c r="S17117"/>
    </row>
    <row r="17118" spans="13:19" ht="13.95" customHeight="1">
      <c r="M17118"/>
      <c r="N17118"/>
      <c r="O17118"/>
      <c r="P17118"/>
      <c r="Q17118"/>
      <c r="R17118"/>
      <c r="S17118"/>
    </row>
    <row r="17119" spans="13:19" ht="13.95" customHeight="1">
      <c r="M17119"/>
      <c r="N17119"/>
      <c r="O17119"/>
      <c r="P17119"/>
      <c r="Q17119"/>
      <c r="R17119"/>
      <c r="S17119"/>
    </row>
    <row r="17120" spans="13:19" ht="13.95" customHeight="1">
      <c r="M17120"/>
      <c r="N17120"/>
      <c r="O17120"/>
      <c r="P17120"/>
      <c r="Q17120"/>
      <c r="R17120"/>
      <c r="S17120"/>
    </row>
    <row r="17121" spans="13:19" ht="13.95" customHeight="1">
      <c r="M17121"/>
      <c r="N17121"/>
      <c r="O17121"/>
      <c r="P17121"/>
      <c r="Q17121"/>
      <c r="R17121"/>
      <c r="S17121"/>
    </row>
    <row r="17122" spans="13:19" ht="13.95" customHeight="1">
      <c r="M17122"/>
      <c r="N17122"/>
      <c r="O17122"/>
      <c r="P17122"/>
      <c r="Q17122"/>
      <c r="R17122"/>
      <c r="S17122"/>
    </row>
    <row r="17123" spans="13:19" ht="13.95" customHeight="1">
      <c r="M17123"/>
      <c r="N17123"/>
      <c r="O17123"/>
      <c r="P17123"/>
      <c r="Q17123"/>
      <c r="R17123"/>
      <c r="S17123"/>
    </row>
    <row r="17124" spans="13:19" ht="13.95" customHeight="1">
      <c r="M17124"/>
      <c r="N17124"/>
      <c r="O17124"/>
      <c r="P17124"/>
      <c r="Q17124"/>
      <c r="R17124"/>
      <c r="S17124"/>
    </row>
    <row r="17125" spans="13:19" ht="13.95" customHeight="1">
      <c r="M17125"/>
      <c r="N17125"/>
      <c r="O17125"/>
      <c r="P17125"/>
      <c r="Q17125"/>
      <c r="R17125"/>
      <c r="S17125"/>
    </row>
    <row r="17126" spans="13:19" ht="13.95" customHeight="1">
      <c r="M17126"/>
      <c r="N17126"/>
      <c r="O17126"/>
      <c r="P17126"/>
      <c r="Q17126"/>
      <c r="R17126"/>
      <c r="S17126"/>
    </row>
    <row r="17127" spans="13:19" ht="13.95" customHeight="1">
      <c r="M17127"/>
      <c r="N17127"/>
      <c r="O17127"/>
      <c r="P17127"/>
      <c r="Q17127"/>
      <c r="R17127"/>
      <c r="S17127"/>
    </row>
    <row r="17128" spans="13:19" ht="13.95" customHeight="1">
      <c r="M17128"/>
      <c r="N17128"/>
      <c r="O17128"/>
      <c r="P17128"/>
      <c r="Q17128"/>
      <c r="R17128"/>
      <c r="S17128"/>
    </row>
    <row r="17129" spans="13:19" ht="13.95" customHeight="1">
      <c r="M17129"/>
      <c r="N17129"/>
      <c r="O17129"/>
      <c r="P17129"/>
      <c r="Q17129"/>
      <c r="R17129"/>
      <c r="S17129"/>
    </row>
    <row r="17130" spans="13:19" ht="13.95" customHeight="1">
      <c r="M17130"/>
      <c r="N17130"/>
      <c r="O17130"/>
      <c r="P17130"/>
      <c r="Q17130"/>
      <c r="R17130"/>
      <c r="S17130"/>
    </row>
    <row r="17131" spans="13:19" ht="13.95" customHeight="1">
      <c r="M17131"/>
      <c r="N17131"/>
      <c r="O17131"/>
      <c r="P17131"/>
      <c r="Q17131"/>
      <c r="R17131"/>
      <c r="S17131"/>
    </row>
    <row r="17132" spans="13:19" ht="13.95" customHeight="1">
      <c r="M17132"/>
      <c r="N17132"/>
      <c r="O17132"/>
      <c r="P17132"/>
      <c r="Q17132"/>
      <c r="R17132"/>
      <c r="S17132"/>
    </row>
    <row r="17133" spans="13:19" ht="13.95" customHeight="1">
      <c r="M17133"/>
      <c r="N17133"/>
      <c r="O17133"/>
      <c r="P17133"/>
      <c r="Q17133"/>
      <c r="R17133"/>
      <c r="S17133"/>
    </row>
    <row r="17134" spans="13:19" ht="13.95" customHeight="1">
      <c r="M17134"/>
      <c r="N17134"/>
      <c r="O17134"/>
      <c r="P17134"/>
      <c r="Q17134"/>
      <c r="R17134"/>
      <c r="S17134"/>
    </row>
    <row r="17135" spans="13:19" ht="13.95" customHeight="1">
      <c r="M17135"/>
      <c r="N17135"/>
      <c r="O17135"/>
      <c r="P17135"/>
      <c r="Q17135"/>
      <c r="R17135"/>
      <c r="S17135"/>
    </row>
    <row r="17136" spans="13:19" ht="13.95" customHeight="1">
      <c r="M17136"/>
      <c r="N17136"/>
      <c r="O17136"/>
      <c r="P17136"/>
      <c r="Q17136"/>
      <c r="R17136"/>
      <c r="S17136"/>
    </row>
    <row r="17137" spans="13:19" ht="13.95" customHeight="1">
      <c r="M17137"/>
      <c r="N17137"/>
      <c r="O17137"/>
      <c r="P17137"/>
      <c r="Q17137"/>
      <c r="R17137"/>
      <c r="S17137"/>
    </row>
    <row r="17138" spans="13:19" ht="13.95" customHeight="1">
      <c r="M17138"/>
      <c r="N17138"/>
      <c r="O17138"/>
      <c r="P17138"/>
      <c r="Q17138"/>
      <c r="R17138"/>
      <c r="S17138"/>
    </row>
    <row r="17139" spans="13:19" ht="13.95" customHeight="1">
      <c r="M17139"/>
      <c r="N17139"/>
      <c r="O17139"/>
      <c r="P17139"/>
      <c r="Q17139"/>
      <c r="R17139"/>
      <c r="S17139"/>
    </row>
    <row r="17140" spans="13:19" ht="13.95" customHeight="1">
      <c r="M17140"/>
      <c r="N17140"/>
      <c r="O17140"/>
      <c r="P17140"/>
      <c r="Q17140"/>
      <c r="R17140"/>
      <c r="S17140"/>
    </row>
    <row r="17141" spans="13:19" ht="13.95" customHeight="1">
      <c r="M17141"/>
      <c r="N17141"/>
      <c r="O17141"/>
      <c r="P17141"/>
      <c r="Q17141"/>
      <c r="R17141"/>
      <c r="S17141"/>
    </row>
    <row r="17142" spans="13:19" ht="13.95" customHeight="1">
      <c r="M17142"/>
      <c r="N17142"/>
      <c r="O17142"/>
      <c r="P17142"/>
      <c r="Q17142"/>
      <c r="R17142"/>
      <c r="S17142"/>
    </row>
    <row r="17143" spans="13:19" ht="13.95" customHeight="1">
      <c r="M17143"/>
      <c r="N17143"/>
      <c r="O17143"/>
      <c r="P17143"/>
      <c r="Q17143"/>
      <c r="R17143"/>
      <c r="S17143"/>
    </row>
    <row r="17144" spans="13:19" ht="13.95" customHeight="1">
      <c r="M17144"/>
      <c r="N17144"/>
      <c r="O17144"/>
      <c r="P17144"/>
      <c r="Q17144"/>
      <c r="R17144"/>
      <c r="S17144"/>
    </row>
    <row r="17145" spans="13:19" ht="13.95" customHeight="1">
      <c r="M17145"/>
      <c r="N17145"/>
      <c r="O17145"/>
      <c r="P17145"/>
      <c r="Q17145"/>
      <c r="R17145"/>
      <c r="S17145"/>
    </row>
    <row r="17146" spans="13:19" ht="13.95" customHeight="1">
      <c r="M17146"/>
      <c r="N17146"/>
      <c r="O17146"/>
      <c r="P17146"/>
      <c r="Q17146"/>
      <c r="R17146"/>
      <c r="S17146"/>
    </row>
    <row r="17147" spans="13:19" ht="13.95" customHeight="1">
      <c r="M17147"/>
      <c r="N17147"/>
      <c r="O17147"/>
      <c r="P17147"/>
      <c r="Q17147"/>
      <c r="R17147"/>
      <c r="S17147"/>
    </row>
    <row r="17148" spans="13:19" ht="13.95" customHeight="1">
      <c r="M17148"/>
      <c r="N17148"/>
      <c r="O17148"/>
      <c r="P17148"/>
      <c r="Q17148"/>
      <c r="R17148"/>
      <c r="S17148"/>
    </row>
    <row r="17149" spans="13:19" ht="13.95" customHeight="1">
      <c r="M17149"/>
      <c r="N17149"/>
      <c r="O17149"/>
      <c r="P17149"/>
      <c r="Q17149"/>
      <c r="R17149"/>
      <c r="S17149"/>
    </row>
    <row r="17150" spans="13:19" ht="13.95" customHeight="1">
      <c r="M17150"/>
      <c r="N17150"/>
      <c r="O17150"/>
      <c r="P17150"/>
      <c r="Q17150"/>
      <c r="R17150"/>
      <c r="S17150"/>
    </row>
    <row r="17151" spans="13:19" ht="13.95" customHeight="1">
      <c r="M17151"/>
      <c r="N17151"/>
      <c r="O17151"/>
      <c r="P17151"/>
      <c r="Q17151"/>
      <c r="R17151"/>
      <c r="S17151"/>
    </row>
    <row r="17152" spans="13:19" ht="13.95" customHeight="1">
      <c r="M17152"/>
      <c r="N17152"/>
      <c r="O17152"/>
      <c r="P17152"/>
      <c r="Q17152"/>
      <c r="R17152"/>
      <c r="S17152"/>
    </row>
    <row r="17153" spans="13:19" ht="13.95" customHeight="1">
      <c r="M17153"/>
      <c r="N17153"/>
      <c r="O17153"/>
      <c r="P17153"/>
      <c r="Q17153"/>
      <c r="R17153"/>
      <c r="S17153"/>
    </row>
    <row r="17154" spans="13:19" ht="13.95" customHeight="1">
      <c r="M17154"/>
      <c r="N17154"/>
      <c r="O17154"/>
      <c r="P17154"/>
      <c r="Q17154"/>
      <c r="R17154"/>
      <c r="S17154"/>
    </row>
    <row r="17155" spans="13:19" ht="13.95" customHeight="1">
      <c r="M17155"/>
      <c r="N17155"/>
      <c r="O17155"/>
      <c r="P17155"/>
      <c r="Q17155"/>
      <c r="R17155"/>
      <c r="S17155"/>
    </row>
    <row r="17156" spans="13:19" ht="13.95" customHeight="1">
      <c r="M17156"/>
      <c r="N17156"/>
      <c r="O17156"/>
      <c r="P17156"/>
      <c r="Q17156"/>
      <c r="R17156"/>
      <c r="S17156"/>
    </row>
    <row r="17157" spans="13:19" ht="13.95" customHeight="1">
      <c r="M17157"/>
      <c r="N17157"/>
      <c r="O17157"/>
      <c r="P17157"/>
      <c r="Q17157"/>
      <c r="R17157"/>
      <c r="S17157"/>
    </row>
    <row r="17158" spans="13:19" ht="13.95" customHeight="1">
      <c r="M17158"/>
      <c r="N17158"/>
      <c r="O17158"/>
      <c r="P17158"/>
      <c r="Q17158"/>
      <c r="R17158"/>
      <c r="S17158"/>
    </row>
    <row r="17159" spans="13:19" ht="13.95" customHeight="1">
      <c r="M17159"/>
      <c r="N17159"/>
      <c r="O17159"/>
      <c r="P17159"/>
      <c r="Q17159"/>
      <c r="R17159"/>
      <c r="S17159"/>
    </row>
    <row r="17160" spans="13:19" ht="13.95" customHeight="1">
      <c r="M17160"/>
      <c r="N17160"/>
      <c r="O17160"/>
      <c r="P17160"/>
      <c r="Q17160"/>
      <c r="R17160"/>
      <c r="S17160"/>
    </row>
    <row r="17161" spans="13:19" ht="13.95" customHeight="1">
      <c r="M17161"/>
      <c r="N17161"/>
      <c r="O17161"/>
      <c r="P17161"/>
      <c r="Q17161"/>
      <c r="R17161"/>
      <c r="S17161"/>
    </row>
    <row r="17162" spans="13:19" ht="13.95" customHeight="1">
      <c r="M17162"/>
      <c r="N17162"/>
      <c r="O17162"/>
      <c r="P17162"/>
      <c r="Q17162"/>
      <c r="R17162"/>
      <c r="S17162"/>
    </row>
    <row r="17163" spans="13:19" ht="13.95" customHeight="1">
      <c r="M17163"/>
      <c r="N17163"/>
      <c r="O17163"/>
      <c r="P17163"/>
      <c r="Q17163"/>
      <c r="R17163"/>
      <c r="S17163"/>
    </row>
    <row r="17164" spans="13:19" ht="13.95" customHeight="1">
      <c r="M17164"/>
      <c r="N17164"/>
      <c r="O17164"/>
      <c r="P17164"/>
      <c r="Q17164"/>
      <c r="R17164"/>
      <c r="S17164"/>
    </row>
    <row r="17165" spans="13:19" ht="13.95" customHeight="1">
      <c r="M17165"/>
      <c r="N17165"/>
      <c r="O17165"/>
      <c r="P17165"/>
      <c r="Q17165"/>
      <c r="R17165"/>
      <c r="S17165"/>
    </row>
    <row r="17166" spans="13:19" ht="13.95" customHeight="1">
      <c r="M17166"/>
      <c r="N17166"/>
      <c r="O17166"/>
      <c r="P17166"/>
      <c r="Q17166"/>
      <c r="R17166"/>
      <c r="S17166"/>
    </row>
    <row r="17167" spans="13:19" ht="13.95" customHeight="1">
      <c r="M17167"/>
      <c r="N17167"/>
      <c r="O17167"/>
      <c r="P17167"/>
      <c r="Q17167"/>
      <c r="R17167"/>
      <c r="S17167"/>
    </row>
    <row r="17168" spans="13:19" ht="13.95" customHeight="1">
      <c r="M17168"/>
      <c r="N17168"/>
      <c r="O17168"/>
      <c r="P17168"/>
      <c r="Q17168"/>
      <c r="R17168"/>
      <c r="S17168"/>
    </row>
    <row r="17169" spans="13:19" ht="13.95" customHeight="1">
      <c r="M17169"/>
      <c r="N17169"/>
      <c r="O17169"/>
      <c r="P17169"/>
      <c r="Q17169"/>
      <c r="R17169"/>
      <c r="S17169"/>
    </row>
    <row r="17170" spans="13:19" ht="13.95" customHeight="1">
      <c r="M17170"/>
      <c r="N17170"/>
      <c r="O17170"/>
      <c r="P17170"/>
      <c r="Q17170"/>
      <c r="R17170"/>
      <c r="S17170"/>
    </row>
    <row r="17171" spans="13:19" ht="13.95" customHeight="1">
      <c r="M17171"/>
      <c r="N17171"/>
      <c r="O17171"/>
      <c r="P17171"/>
      <c r="Q17171"/>
      <c r="R17171"/>
      <c r="S17171"/>
    </row>
    <row r="17172" spans="13:19" ht="13.95" customHeight="1">
      <c r="M17172"/>
      <c r="N17172"/>
      <c r="O17172"/>
      <c r="P17172"/>
      <c r="Q17172"/>
      <c r="R17172"/>
      <c r="S17172"/>
    </row>
    <row r="17173" spans="13:19" ht="13.95" customHeight="1">
      <c r="M17173"/>
      <c r="N17173"/>
      <c r="O17173"/>
      <c r="P17173"/>
      <c r="Q17173"/>
      <c r="R17173"/>
      <c r="S17173"/>
    </row>
    <row r="17174" spans="13:19" ht="13.95" customHeight="1">
      <c r="M17174"/>
      <c r="N17174"/>
      <c r="O17174"/>
      <c r="P17174"/>
      <c r="Q17174"/>
      <c r="R17174"/>
      <c r="S17174"/>
    </row>
    <row r="17175" spans="13:19" ht="13.95" customHeight="1">
      <c r="M17175"/>
      <c r="N17175"/>
      <c r="O17175"/>
      <c r="P17175"/>
      <c r="Q17175"/>
      <c r="R17175"/>
      <c r="S17175"/>
    </row>
    <row r="17176" spans="13:19" ht="13.95" customHeight="1">
      <c r="M17176"/>
      <c r="N17176"/>
      <c r="O17176"/>
      <c r="P17176"/>
      <c r="Q17176"/>
      <c r="R17176"/>
      <c r="S17176"/>
    </row>
    <row r="17177" spans="13:19" ht="13.95" customHeight="1">
      <c r="M17177"/>
      <c r="N17177"/>
      <c r="O17177"/>
      <c r="P17177"/>
      <c r="Q17177"/>
      <c r="R17177"/>
      <c r="S17177"/>
    </row>
    <row r="17178" spans="13:19" ht="13.95" customHeight="1">
      <c r="M17178"/>
      <c r="N17178"/>
      <c r="O17178"/>
      <c r="P17178"/>
      <c r="Q17178"/>
      <c r="R17178"/>
      <c r="S17178"/>
    </row>
    <row r="17179" spans="13:19" ht="13.95" customHeight="1">
      <c r="M17179"/>
      <c r="N17179"/>
      <c r="O17179"/>
      <c r="P17179"/>
      <c r="Q17179"/>
      <c r="R17179"/>
      <c r="S17179"/>
    </row>
    <row r="17180" spans="13:19" ht="13.95" customHeight="1">
      <c r="M17180"/>
      <c r="N17180"/>
      <c r="O17180"/>
      <c r="P17180"/>
      <c r="Q17180"/>
      <c r="R17180"/>
      <c r="S17180"/>
    </row>
    <row r="17181" spans="13:19" ht="13.95" customHeight="1">
      <c r="M17181"/>
      <c r="N17181"/>
      <c r="O17181"/>
      <c r="P17181"/>
      <c r="Q17181"/>
      <c r="R17181"/>
      <c r="S17181"/>
    </row>
    <row r="17182" spans="13:19" ht="13.95" customHeight="1">
      <c r="M17182"/>
      <c r="N17182"/>
      <c r="O17182"/>
      <c r="P17182"/>
      <c r="Q17182"/>
      <c r="R17182"/>
      <c r="S17182"/>
    </row>
    <row r="17183" spans="13:19" ht="13.95" customHeight="1">
      <c r="M17183"/>
      <c r="N17183"/>
      <c r="O17183"/>
      <c r="P17183"/>
      <c r="Q17183"/>
      <c r="R17183"/>
      <c r="S17183"/>
    </row>
    <row r="17184" spans="13:19" ht="13.95" customHeight="1">
      <c r="M17184"/>
      <c r="N17184"/>
      <c r="O17184"/>
      <c r="P17184"/>
      <c r="Q17184"/>
      <c r="R17184"/>
      <c r="S17184"/>
    </row>
    <row r="17185" spans="13:19" ht="13.95" customHeight="1">
      <c r="M17185"/>
      <c r="N17185"/>
      <c r="O17185"/>
      <c r="P17185"/>
      <c r="Q17185"/>
      <c r="R17185"/>
      <c r="S17185"/>
    </row>
    <row r="17186" spans="13:19" ht="13.95" customHeight="1">
      <c r="M17186"/>
      <c r="N17186"/>
      <c r="O17186"/>
      <c r="P17186"/>
      <c r="Q17186"/>
      <c r="R17186"/>
      <c r="S17186"/>
    </row>
    <row r="17187" spans="13:19" ht="13.95" customHeight="1">
      <c r="M17187"/>
      <c r="N17187"/>
      <c r="O17187"/>
      <c r="P17187"/>
      <c r="Q17187"/>
      <c r="R17187"/>
      <c r="S17187"/>
    </row>
    <row r="17188" spans="13:19" ht="13.95" customHeight="1">
      <c r="M17188"/>
      <c r="N17188"/>
      <c r="O17188"/>
      <c r="P17188"/>
      <c r="Q17188"/>
      <c r="R17188"/>
      <c r="S17188"/>
    </row>
    <row r="17189" spans="13:19" ht="13.95" customHeight="1">
      <c r="M17189"/>
      <c r="N17189"/>
      <c r="O17189"/>
      <c r="P17189"/>
      <c r="Q17189"/>
      <c r="R17189"/>
      <c r="S17189"/>
    </row>
    <row r="17190" spans="13:19" ht="13.95" customHeight="1">
      <c r="M17190"/>
      <c r="N17190"/>
      <c r="O17190"/>
      <c r="P17190"/>
      <c r="Q17190"/>
      <c r="R17190"/>
      <c r="S17190"/>
    </row>
    <row r="17191" spans="13:19" ht="13.95" customHeight="1">
      <c r="M17191"/>
      <c r="N17191"/>
      <c r="O17191"/>
      <c r="P17191"/>
      <c r="Q17191"/>
      <c r="R17191"/>
      <c r="S17191"/>
    </row>
    <row r="17192" spans="13:19" ht="13.95" customHeight="1">
      <c r="M17192"/>
      <c r="N17192"/>
      <c r="O17192"/>
      <c r="P17192"/>
      <c r="Q17192"/>
      <c r="R17192"/>
      <c r="S17192"/>
    </row>
    <row r="17193" spans="13:19" ht="13.95" customHeight="1">
      <c r="M17193"/>
      <c r="N17193"/>
      <c r="O17193"/>
      <c r="P17193"/>
      <c r="Q17193"/>
      <c r="R17193"/>
      <c r="S17193"/>
    </row>
    <row r="17194" spans="13:19" ht="13.95" customHeight="1">
      <c r="M17194"/>
      <c r="N17194"/>
      <c r="O17194"/>
      <c r="P17194"/>
      <c r="Q17194"/>
      <c r="R17194"/>
      <c r="S17194"/>
    </row>
    <row r="17195" spans="13:19" ht="13.95" customHeight="1">
      <c r="M17195"/>
      <c r="N17195"/>
      <c r="O17195"/>
      <c r="P17195"/>
      <c r="Q17195"/>
      <c r="R17195"/>
      <c r="S17195"/>
    </row>
    <row r="17196" spans="13:19" ht="13.95" customHeight="1">
      <c r="M17196"/>
      <c r="N17196"/>
      <c r="O17196"/>
      <c r="P17196"/>
      <c r="Q17196"/>
      <c r="R17196"/>
      <c r="S17196"/>
    </row>
    <row r="17197" spans="13:19" ht="13.95" customHeight="1">
      <c r="M17197"/>
      <c r="N17197"/>
      <c r="O17197"/>
      <c r="P17197"/>
      <c r="Q17197"/>
      <c r="R17197"/>
      <c r="S17197"/>
    </row>
    <row r="17198" spans="13:19" ht="13.95" customHeight="1">
      <c r="M17198"/>
      <c r="N17198"/>
      <c r="O17198"/>
      <c r="P17198"/>
      <c r="Q17198"/>
      <c r="R17198"/>
      <c r="S17198"/>
    </row>
    <row r="17199" spans="13:19" ht="13.95" customHeight="1">
      <c r="M17199"/>
      <c r="N17199"/>
      <c r="O17199"/>
      <c r="P17199"/>
      <c r="Q17199"/>
      <c r="R17199"/>
      <c r="S17199"/>
    </row>
    <row r="17200" spans="13:19" ht="13.95" customHeight="1">
      <c r="M17200"/>
      <c r="N17200"/>
      <c r="O17200"/>
      <c r="P17200"/>
      <c r="Q17200"/>
      <c r="R17200"/>
      <c r="S17200"/>
    </row>
    <row r="17201" spans="13:19" ht="13.95" customHeight="1">
      <c r="M17201"/>
      <c r="N17201"/>
      <c r="O17201"/>
      <c r="P17201"/>
      <c r="Q17201"/>
      <c r="R17201"/>
      <c r="S17201"/>
    </row>
    <row r="17202" spans="13:19" ht="13.95" customHeight="1">
      <c r="M17202"/>
      <c r="N17202"/>
      <c r="O17202"/>
      <c r="P17202"/>
      <c r="Q17202"/>
      <c r="R17202"/>
      <c r="S17202"/>
    </row>
    <row r="17203" spans="13:19" ht="13.95" customHeight="1">
      <c r="M17203"/>
      <c r="N17203"/>
      <c r="O17203"/>
      <c r="P17203"/>
      <c r="Q17203"/>
      <c r="R17203"/>
      <c r="S17203"/>
    </row>
    <row r="17204" spans="13:19" ht="13.95" customHeight="1">
      <c r="M17204"/>
      <c r="N17204"/>
      <c r="O17204"/>
      <c r="P17204"/>
      <c r="Q17204"/>
      <c r="R17204"/>
      <c r="S17204"/>
    </row>
    <row r="17205" spans="13:19" ht="13.95" customHeight="1">
      <c r="M17205"/>
      <c r="N17205"/>
      <c r="O17205"/>
      <c r="P17205"/>
      <c r="Q17205"/>
      <c r="R17205"/>
      <c r="S17205"/>
    </row>
    <row r="17206" spans="13:19" ht="13.95" customHeight="1">
      <c r="M17206"/>
      <c r="N17206"/>
      <c r="O17206"/>
      <c r="P17206"/>
      <c r="Q17206"/>
      <c r="R17206"/>
      <c r="S17206"/>
    </row>
    <row r="17207" spans="13:19" ht="13.95" customHeight="1">
      <c r="M17207"/>
      <c r="N17207"/>
      <c r="O17207"/>
      <c r="P17207"/>
      <c r="Q17207"/>
      <c r="R17207"/>
      <c r="S17207"/>
    </row>
    <row r="17208" spans="13:19" ht="13.95" customHeight="1">
      <c r="M17208"/>
      <c r="N17208"/>
      <c r="O17208"/>
      <c r="P17208"/>
      <c r="Q17208"/>
      <c r="R17208"/>
      <c r="S17208"/>
    </row>
    <row r="17209" spans="13:19" ht="13.95" customHeight="1">
      <c r="M17209"/>
      <c r="N17209"/>
      <c r="O17209"/>
      <c r="P17209"/>
      <c r="Q17209"/>
      <c r="R17209"/>
      <c r="S17209"/>
    </row>
    <row r="17210" spans="13:19" ht="13.95" customHeight="1">
      <c r="M17210"/>
      <c r="N17210"/>
      <c r="O17210"/>
      <c r="P17210"/>
      <c r="Q17210"/>
      <c r="R17210"/>
      <c r="S17210"/>
    </row>
    <row r="17211" spans="13:19" ht="13.95" customHeight="1">
      <c r="M17211"/>
      <c r="N17211"/>
      <c r="O17211"/>
      <c r="P17211"/>
      <c r="Q17211"/>
      <c r="R17211"/>
      <c r="S17211"/>
    </row>
    <row r="17212" spans="13:19" ht="13.95" customHeight="1">
      <c r="M17212"/>
      <c r="N17212"/>
      <c r="O17212"/>
      <c r="P17212"/>
      <c r="Q17212"/>
      <c r="R17212"/>
      <c r="S17212"/>
    </row>
    <row r="17213" spans="13:19" ht="13.95" customHeight="1">
      <c r="M17213"/>
      <c r="N17213"/>
      <c r="O17213"/>
      <c r="P17213"/>
      <c r="Q17213"/>
      <c r="R17213"/>
      <c r="S17213"/>
    </row>
    <row r="17214" spans="13:19" ht="13.95" customHeight="1">
      <c r="M17214"/>
      <c r="N17214"/>
      <c r="O17214"/>
      <c r="P17214"/>
      <c r="Q17214"/>
      <c r="R17214"/>
      <c r="S17214"/>
    </row>
    <row r="17215" spans="13:19" ht="13.95" customHeight="1">
      <c r="M17215"/>
      <c r="N17215"/>
      <c r="O17215"/>
      <c r="P17215"/>
      <c r="Q17215"/>
      <c r="R17215"/>
      <c r="S17215"/>
    </row>
    <row r="17216" spans="13:19" ht="13.95" customHeight="1">
      <c r="M17216"/>
      <c r="N17216"/>
      <c r="O17216"/>
      <c r="P17216"/>
      <c r="Q17216"/>
      <c r="R17216"/>
      <c r="S17216"/>
    </row>
    <row r="17217" spans="13:19" ht="13.95" customHeight="1">
      <c r="M17217"/>
      <c r="N17217"/>
      <c r="O17217"/>
      <c r="P17217"/>
      <c r="Q17217"/>
      <c r="R17217"/>
      <c r="S17217"/>
    </row>
    <row r="17218" spans="13:19" ht="13.95" customHeight="1">
      <c r="M17218"/>
      <c r="N17218"/>
      <c r="O17218"/>
      <c r="P17218"/>
      <c r="Q17218"/>
      <c r="R17218"/>
      <c r="S17218"/>
    </row>
    <row r="17219" spans="13:19" ht="13.95" customHeight="1">
      <c r="M17219"/>
      <c r="N17219"/>
      <c r="O17219"/>
      <c r="P17219"/>
      <c r="Q17219"/>
      <c r="R17219"/>
      <c r="S17219"/>
    </row>
    <row r="17220" spans="13:19" ht="13.95" customHeight="1">
      <c r="M17220"/>
      <c r="N17220"/>
      <c r="O17220"/>
      <c r="P17220"/>
      <c r="Q17220"/>
      <c r="R17220"/>
      <c r="S17220"/>
    </row>
    <row r="17221" spans="13:19" ht="13.95" customHeight="1">
      <c r="M17221"/>
      <c r="N17221"/>
      <c r="O17221"/>
      <c r="P17221"/>
      <c r="Q17221"/>
      <c r="R17221"/>
      <c r="S17221"/>
    </row>
    <row r="17222" spans="13:19" ht="13.95" customHeight="1">
      <c r="M17222"/>
      <c r="N17222"/>
      <c r="O17222"/>
      <c r="P17222"/>
      <c r="Q17222"/>
      <c r="R17222"/>
      <c r="S17222"/>
    </row>
    <row r="17223" spans="13:19" ht="13.95" customHeight="1">
      <c r="M17223"/>
      <c r="N17223"/>
      <c r="O17223"/>
      <c r="P17223"/>
      <c r="Q17223"/>
      <c r="R17223"/>
      <c r="S17223"/>
    </row>
    <row r="17224" spans="13:19" ht="13.95" customHeight="1">
      <c r="M17224"/>
      <c r="N17224"/>
      <c r="O17224"/>
      <c r="P17224"/>
      <c r="Q17224"/>
      <c r="R17224"/>
      <c r="S17224"/>
    </row>
    <row r="17225" spans="13:19" ht="13.95" customHeight="1">
      <c r="M17225"/>
      <c r="N17225"/>
      <c r="O17225"/>
      <c r="P17225"/>
      <c r="Q17225"/>
      <c r="R17225"/>
      <c r="S17225"/>
    </row>
    <row r="17226" spans="13:19" ht="13.95" customHeight="1">
      <c r="M17226"/>
      <c r="N17226"/>
      <c r="O17226"/>
      <c r="P17226"/>
      <c r="Q17226"/>
      <c r="R17226"/>
      <c r="S17226"/>
    </row>
    <row r="17227" spans="13:19" ht="13.95" customHeight="1">
      <c r="M17227"/>
      <c r="N17227"/>
      <c r="O17227"/>
      <c r="P17227"/>
      <c r="Q17227"/>
      <c r="R17227"/>
      <c r="S17227"/>
    </row>
    <row r="17228" spans="13:19" ht="13.95" customHeight="1">
      <c r="M17228"/>
      <c r="N17228"/>
      <c r="O17228"/>
      <c r="P17228"/>
      <c r="Q17228"/>
      <c r="R17228"/>
      <c r="S17228"/>
    </row>
    <row r="17229" spans="13:19" ht="13.95" customHeight="1">
      <c r="M17229"/>
      <c r="N17229"/>
      <c r="O17229"/>
      <c r="P17229"/>
      <c r="Q17229"/>
      <c r="R17229"/>
      <c r="S17229"/>
    </row>
    <row r="17230" spans="13:19" ht="13.95" customHeight="1">
      <c r="M17230"/>
      <c r="N17230"/>
      <c r="O17230"/>
      <c r="P17230"/>
      <c r="Q17230"/>
      <c r="R17230"/>
      <c r="S17230"/>
    </row>
    <row r="17231" spans="13:19" ht="13.95" customHeight="1">
      <c r="M17231"/>
      <c r="N17231"/>
      <c r="O17231"/>
      <c r="P17231"/>
      <c r="Q17231"/>
      <c r="R17231"/>
      <c r="S17231"/>
    </row>
    <row r="17232" spans="13:19" ht="13.95" customHeight="1">
      <c r="M17232"/>
      <c r="N17232"/>
      <c r="O17232"/>
      <c r="P17232"/>
      <c r="Q17232"/>
      <c r="R17232"/>
      <c r="S17232"/>
    </row>
    <row r="17233" spans="13:19" ht="13.95" customHeight="1">
      <c r="M17233"/>
      <c r="N17233"/>
      <c r="O17233"/>
      <c r="P17233"/>
      <c r="Q17233"/>
      <c r="R17233"/>
      <c r="S17233"/>
    </row>
    <row r="17234" spans="13:19" ht="13.95" customHeight="1">
      <c r="M17234"/>
      <c r="N17234"/>
      <c r="O17234"/>
      <c r="P17234"/>
      <c r="Q17234"/>
      <c r="R17234"/>
      <c r="S17234"/>
    </row>
    <row r="17235" spans="13:19" ht="13.95" customHeight="1">
      <c r="M17235"/>
      <c r="N17235"/>
      <c r="O17235"/>
      <c r="P17235"/>
      <c r="Q17235"/>
      <c r="R17235"/>
      <c r="S17235"/>
    </row>
    <row r="17236" spans="13:19" ht="13.95" customHeight="1">
      <c r="M17236"/>
      <c r="N17236"/>
      <c r="O17236"/>
      <c r="P17236"/>
      <c r="Q17236"/>
      <c r="R17236"/>
      <c r="S17236"/>
    </row>
    <row r="17237" spans="13:19" ht="13.95" customHeight="1">
      <c r="M17237"/>
      <c r="N17237"/>
      <c r="O17237"/>
      <c r="P17237"/>
      <c r="Q17237"/>
      <c r="R17237"/>
      <c r="S17237"/>
    </row>
    <row r="17238" spans="13:19" ht="13.95" customHeight="1">
      <c r="M17238"/>
      <c r="N17238"/>
      <c r="O17238"/>
      <c r="P17238"/>
      <c r="Q17238"/>
      <c r="R17238"/>
      <c r="S17238"/>
    </row>
    <row r="17239" spans="13:19" ht="13.95" customHeight="1">
      <c r="M17239"/>
      <c r="N17239"/>
      <c r="O17239"/>
      <c r="P17239"/>
      <c r="Q17239"/>
      <c r="R17239"/>
      <c r="S17239"/>
    </row>
    <row r="17240" spans="13:19" ht="13.95" customHeight="1">
      <c r="M17240"/>
      <c r="N17240"/>
      <c r="O17240"/>
      <c r="P17240"/>
      <c r="Q17240"/>
      <c r="R17240"/>
      <c r="S17240"/>
    </row>
    <row r="17241" spans="13:19" ht="13.95" customHeight="1">
      <c r="M17241"/>
      <c r="N17241"/>
      <c r="O17241"/>
      <c r="P17241"/>
      <c r="Q17241"/>
      <c r="R17241"/>
      <c r="S17241"/>
    </row>
    <row r="17242" spans="13:19" ht="13.95" customHeight="1">
      <c r="M17242"/>
      <c r="N17242"/>
      <c r="O17242"/>
      <c r="P17242"/>
      <c r="Q17242"/>
      <c r="R17242"/>
      <c r="S17242"/>
    </row>
    <row r="17243" spans="13:19" ht="13.95" customHeight="1">
      <c r="M17243"/>
      <c r="N17243"/>
      <c r="O17243"/>
      <c r="P17243"/>
      <c r="Q17243"/>
      <c r="R17243"/>
      <c r="S17243"/>
    </row>
    <row r="17244" spans="13:19" ht="13.95" customHeight="1">
      <c r="M17244"/>
      <c r="N17244"/>
      <c r="O17244"/>
      <c r="P17244"/>
      <c r="Q17244"/>
      <c r="R17244"/>
      <c r="S17244"/>
    </row>
    <row r="17245" spans="13:19" ht="13.95" customHeight="1">
      <c r="M17245"/>
      <c r="N17245"/>
      <c r="O17245"/>
      <c r="P17245"/>
      <c r="Q17245"/>
      <c r="R17245"/>
      <c r="S17245"/>
    </row>
    <row r="17246" spans="13:19" ht="13.95" customHeight="1">
      <c r="M17246"/>
      <c r="N17246"/>
      <c r="O17246"/>
      <c r="P17246"/>
      <c r="Q17246"/>
      <c r="R17246"/>
      <c r="S17246"/>
    </row>
    <row r="17247" spans="13:19" ht="13.95" customHeight="1">
      <c r="M17247"/>
      <c r="N17247"/>
      <c r="O17247"/>
      <c r="P17247"/>
      <c r="Q17247"/>
      <c r="R17247"/>
      <c r="S17247"/>
    </row>
    <row r="17248" spans="13:19" ht="13.95" customHeight="1">
      <c r="M17248"/>
      <c r="N17248"/>
      <c r="O17248"/>
      <c r="P17248"/>
      <c r="Q17248"/>
      <c r="R17248"/>
      <c r="S17248"/>
    </row>
    <row r="17249" spans="13:19" ht="13.95" customHeight="1">
      <c r="M17249"/>
      <c r="N17249"/>
      <c r="O17249"/>
      <c r="P17249"/>
      <c r="Q17249"/>
      <c r="R17249"/>
      <c r="S17249"/>
    </row>
    <row r="17250" spans="13:19" ht="13.95" customHeight="1">
      <c r="M17250"/>
      <c r="N17250"/>
      <c r="O17250"/>
      <c r="P17250"/>
      <c r="Q17250"/>
      <c r="R17250"/>
      <c r="S17250"/>
    </row>
    <row r="17251" spans="13:19" ht="13.95" customHeight="1">
      <c r="M17251"/>
      <c r="N17251"/>
      <c r="O17251"/>
      <c r="P17251"/>
      <c r="Q17251"/>
      <c r="R17251"/>
      <c r="S17251"/>
    </row>
    <row r="17252" spans="13:19" ht="13.95" customHeight="1">
      <c r="M17252"/>
      <c r="N17252"/>
      <c r="O17252"/>
      <c r="P17252"/>
      <c r="Q17252"/>
      <c r="R17252"/>
      <c r="S17252"/>
    </row>
    <row r="17253" spans="13:19" ht="13.95" customHeight="1">
      <c r="M17253"/>
      <c r="N17253"/>
      <c r="O17253"/>
      <c r="P17253"/>
      <c r="Q17253"/>
      <c r="R17253"/>
      <c r="S17253"/>
    </row>
    <row r="17254" spans="13:19" ht="13.95" customHeight="1">
      <c r="M17254"/>
      <c r="N17254"/>
      <c r="O17254"/>
      <c r="P17254"/>
      <c r="Q17254"/>
      <c r="R17254"/>
      <c r="S17254"/>
    </row>
    <row r="17255" spans="13:19" ht="13.95" customHeight="1">
      <c r="M17255"/>
      <c r="N17255"/>
      <c r="O17255"/>
      <c r="P17255"/>
      <c r="Q17255"/>
      <c r="R17255"/>
      <c r="S17255"/>
    </row>
    <row r="17256" spans="13:19" ht="13.95" customHeight="1">
      <c r="M17256"/>
      <c r="N17256"/>
      <c r="O17256"/>
      <c r="P17256"/>
      <c r="Q17256"/>
      <c r="R17256"/>
      <c r="S17256"/>
    </row>
    <row r="17257" spans="13:19" ht="13.95" customHeight="1">
      <c r="M17257"/>
      <c r="N17257"/>
      <c r="O17257"/>
      <c r="P17257"/>
      <c r="Q17257"/>
      <c r="R17257"/>
      <c r="S17257"/>
    </row>
    <row r="17258" spans="13:19" ht="13.95" customHeight="1">
      <c r="M17258"/>
      <c r="N17258"/>
      <c r="O17258"/>
      <c r="P17258"/>
      <c r="Q17258"/>
      <c r="R17258"/>
      <c r="S17258"/>
    </row>
    <row r="17259" spans="13:19" ht="13.95" customHeight="1">
      <c r="M17259"/>
      <c r="N17259"/>
      <c r="O17259"/>
      <c r="P17259"/>
      <c r="Q17259"/>
      <c r="R17259"/>
      <c r="S17259"/>
    </row>
    <row r="17260" spans="13:19" ht="13.95" customHeight="1">
      <c r="M17260"/>
      <c r="N17260"/>
      <c r="O17260"/>
      <c r="P17260"/>
      <c r="Q17260"/>
      <c r="R17260"/>
      <c r="S17260"/>
    </row>
    <row r="17261" spans="13:19" ht="13.95" customHeight="1">
      <c r="M17261"/>
      <c r="N17261"/>
      <c r="O17261"/>
      <c r="P17261"/>
      <c r="Q17261"/>
      <c r="R17261"/>
      <c r="S17261"/>
    </row>
    <row r="17262" spans="13:19" ht="13.95" customHeight="1">
      <c r="M17262"/>
      <c r="N17262"/>
      <c r="O17262"/>
      <c r="P17262"/>
      <c r="Q17262"/>
      <c r="R17262"/>
      <c r="S17262"/>
    </row>
    <row r="17263" spans="13:19" ht="13.95" customHeight="1">
      <c r="M17263"/>
      <c r="N17263"/>
      <c r="O17263"/>
      <c r="P17263"/>
      <c r="Q17263"/>
      <c r="R17263"/>
      <c r="S17263"/>
    </row>
    <row r="17264" spans="13:19" ht="13.95" customHeight="1">
      <c r="M17264"/>
      <c r="N17264"/>
      <c r="O17264"/>
      <c r="P17264"/>
      <c r="Q17264"/>
      <c r="R17264"/>
      <c r="S17264"/>
    </row>
    <row r="17265" spans="13:19" ht="13.95" customHeight="1">
      <c r="M17265"/>
      <c r="N17265"/>
      <c r="O17265"/>
      <c r="P17265"/>
      <c r="Q17265"/>
      <c r="R17265"/>
      <c r="S17265"/>
    </row>
    <row r="17266" spans="13:19" ht="13.95" customHeight="1">
      <c r="M17266"/>
      <c r="N17266"/>
      <c r="O17266"/>
      <c r="P17266"/>
      <c r="Q17266"/>
      <c r="R17266"/>
      <c r="S17266"/>
    </row>
    <row r="17267" spans="13:19" ht="13.95" customHeight="1">
      <c r="M17267"/>
      <c r="N17267"/>
      <c r="O17267"/>
      <c r="P17267"/>
      <c r="Q17267"/>
      <c r="R17267"/>
      <c r="S17267"/>
    </row>
    <row r="17268" spans="13:19" ht="13.95" customHeight="1">
      <c r="M17268"/>
      <c r="N17268"/>
      <c r="O17268"/>
      <c r="P17268"/>
      <c r="Q17268"/>
      <c r="R17268"/>
      <c r="S17268"/>
    </row>
    <row r="17269" spans="13:19" ht="13.95" customHeight="1">
      <c r="M17269"/>
      <c r="N17269"/>
      <c r="O17269"/>
      <c r="P17269"/>
      <c r="Q17269"/>
      <c r="R17269"/>
      <c r="S17269"/>
    </row>
    <row r="17270" spans="13:19" ht="13.95" customHeight="1">
      <c r="M17270"/>
      <c r="N17270"/>
      <c r="O17270"/>
      <c r="P17270"/>
      <c r="Q17270"/>
      <c r="R17270"/>
      <c r="S17270"/>
    </row>
    <row r="17271" spans="13:19" ht="13.95" customHeight="1">
      <c r="M17271"/>
      <c r="N17271"/>
      <c r="O17271"/>
      <c r="P17271"/>
      <c r="Q17271"/>
      <c r="R17271"/>
      <c r="S17271"/>
    </row>
    <row r="17272" spans="13:19" ht="13.95" customHeight="1">
      <c r="M17272"/>
      <c r="N17272"/>
      <c r="O17272"/>
      <c r="P17272"/>
      <c r="Q17272"/>
      <c r="R17272"/>
      <c r="S17272"/>
    </row>
    <row r="17273" spans="13:19" ht="13.95" customHeight="1">
      <c r="M17273"/>
      <c r="N17273"/>
      <c r="O17273"/>
      <c r="P17273"/>
      <c r="Q17273"/>
      <c r="R17273"/>
      <c r="S17273"/>
    </row>
    <row r="17274" spans="13:19" ht="13.95" customHeight="1">
      <c r="M17274"/>
      <c r="N17274"/>
      <c r="O17274"/>
      <c r="P17274"/>
      <c r="Q17274"/>
      <c r="R17274"/>
      <c r="S17274"/>
    </row>
    <row r="17275" spans="13:19" ht="13.95" customHeight="1">
      <c r="M17275"/>
      <c r="N17275"/>
      <c r="O17275"/>
      <c r="P17275"/>
      <c r="Q17275"/>
      <c r="R17275"/>
      <c r="S17275"/>
    </row>
    <row r="17276" spans="13:19" ht="13.95" customHeight="1">
      <c r="M17276"/>
      <c r="N17276"/>
      <c r="O17276"/>
      <c r="P17276"/>
      <c r="Q17276"/>
      <c r="R17276"/>
      <c r="S17276"/>
    </row>
    <row r="17277" spans="13:19" ht="13.95" customHeight="1">
      <c r="M17277"/>
      <c r="N17277"/>
      <c r="O17277"/>
      <c r="P17277"/>
      <c r="Q17277"/>
      <c r="R17277"/>
      <c r="S17277"/>
    </row>
    <row r="17278" spans="13:19" ht="13.95" customHeight="1">
      <c r="M17278"/>
      <c r="N17278"/>
      <c r="O17278"/>
      <c r="P17278"/>
      <c r="Q17278"/>
      <c r="R17278"/>
      <c r="S17278"/>
    </row>
    <row r="17279" spans="13:19" ht="13.95" customHeight="1">
      <c r="M17279"/>
      <c r="N17279"/>
      <c r="O17279"/>
      <c r="P17279"/>
      <c r="Q17279"/>
      <c r="R17279"/>
      <c r="S17279"/>
    </row>
    <row r="17280" spans="13:19" ht="13.95" customHeight="1">
      <c r="M17280"/>
      <c r="N17280"/>
      <c r="O17280"/>
      <c r="P17280"/>
      <c r="Q17280"/>
      <c r="R17280"/>
      <c r="S17280"/>
    </row>
    <row r="17281" spans="13:19" ht="13.95" customHeight="1">
      <c r="M17281"/>
      <c r="N17281"/>
      <c r="O17281"/>
      <c r="P17281"/>
      <c r="Q17281"/>
      <c r="R17281"/>
      <c r="S17281"/>
    </row>
    <row r="17282" spans="13:19" ht="13.95" customHeight="1">
      <c r="M17282"/>
      <c r="N17282"/>
      <c r="O17282"/>
      <c r="P17282"/>
      <c r="Q17282"/>
      <c r="R17282"/>
      <c r="S17282"/>
    </row>
    <row r="17283" spans="13:19" ht="13.95" customHeight="1">
      <c r="M17283"/>
      <c r="N17283"/>
      <c r="O17283"/>
      <c r="P17283"/>
      <c r="Q17283"/>
      <c r="R17283"/>
      <c r="S17283"/>
    </row>
    <row r="17284" spans="13:19" ht="13.95" customHeight="1">
      <c r="M17284"/>
      <c r="N17284"/>
      <c r="O17284"/>
      <c r="P17284"/>
      <c r="Q17284"/>
      <c r="R17284"/>
      <c r="S17284"/>
    </row>
    <row r="17285" spans="13:19" ht="13.95" customHeight="1">
      <c r="M17285"/>
      <c r="N17285"/>
      <c r="O17285"/>
      <c r="P17285"/>
      <c r="Q17285"/>
      <c r="R17285"/>
      <c r="S17285"/>
    </row>
    <row r="17286" spans="13:19" ht="13.95" customHeight="1">
      <c r="M17286"/>
      <c r="N17286"/>
      <c r="O17286"/>
      <c r="P17286"/>
      <c r="Q17286"/>
      <c r="R17286"/>
      <c r="S17286"/>
    </row>
    <row r="17287" spans="13:19" ht="13.95" customHeight="1">
      <c r="M17287"/>
      <c r="N17287"/>
      <c r="O17287"/>
      <c r="P17287"/>
      <c r="Q17287"/>
      <c r="R17287"/>
      <c r="S17287"/>
    </row>
    <row r="17288" spans="13:19" ht="13.95" customHeight="1">
      <c r="M17288"/>
      <c r="N17288"/>
      <c r="O17288"/>
      <c r="P17288"/>
      <c r="Q17288"/>
      <c r="R17288"/>
      <c r="S17288"/>
    </row>
    <row r="17289" spans="13:19" ht="13.95" customHeight="1">
      <c r="M17289"/>
      <c r="N17289"/>
      <c r="O17289"/>
      <c r="P17289"/>
      <c r="Q17289"/>
      <c r="R17289"/>
      <c r="S17289"/>
    </row>
    <row r="17290" spans="13:19" ht="13.95" customHeight="1">
      <c r="M17290"/>
      <c r="N17290"/>
      <c r="O17290"/>
      <c r="P17290"/>
      <c r="Q17290"/>
      <c r="R17290"/>
      <c r="S17290"/>
    </row>
    <row r="17291" spans="13:19" ht="13.95" customHeight="1">
      <c r="M17291"/>
      <c r="N17291"/>
      <c r="O17291"/>
      <c r="P17291"/>
      <c r="Q17291"/>
      <c r="R17291"/>
      <c r="S17291"/>
    </row>
    <row r="17292" spans="13:19" ht="13.95" customHeight="1">
      <c r="M17292"/>
      <c r="N17292"/>
      <c r="O17292"/>
      <c r="P17292"/>
      <c r="Q17292"/>
      <c r="R17292"/>
      <c r="S17292"/>
    </row>
    <row r="17293" spans="13:19" ht="13.95" customHeight="1">
      <c r="M17293"/>
      <c r="N17293"/>
      <c r="O17293"/>
      <c r="P17293"/>
      <c r="Q17293"/>
      <c r="R17293"/>
      <c r="S17293"/>
    </row>
    <row r="17294" spans="13:19" ht="13.95" customHeight="1">
      <c r="M17294"/>
      <c r="N17294"/>
      <c r="O17294"/>
      <c r="P17294"/>
      <c r="Q17294"/>
      <c r="R17294"/>
      <c r="S17294"/>
    </row>
    <row r="17295" spans="13:19" ht="13.95" customHeight="1">
      <c r="M17295"/>
      <c r="N17295"/>
      <c r="O17295"/>
      <c r="P17295"/>
      <c r="Q17295"/>
      <c r="R17295"/>
      <c r="S17295"/>
    </row>
    <row r="17296" spans="13:19" ht="13.95" customHeight="1">
      <c r="M17296"/>
      <c r="N17296"/>
      <c r="O17296"/>
      <c r="P17296"/>
      <c r="Q17296"/>
      <c r="R17296"/>
      <c r="S17296"/>
    </row>
    <row r="17297" spans="13:19" ht="13.95" customHeight="1">
      <c r="M17297"/>
      <c r="N17297"/>
      <c r="O17297"/>
      <c r="P17297"/>
      <c r="Q17297"/>
      <c r="R17297"/>
      <c r="S17297"/>
    </row>
    <row r="17298" spans="13:19" ht="13.95" customHeight="1">
      <c r="M17298"/>
      <c r="N17298"/>
      <c r="O17298"/>
      <c r="P17298"/>
      <c r="Q17298"/>
      <c r="R17298"/>
      <c r="S17298"/>
    </row>
    <row r="17299" spans="13:19" ht="13.95" customHeight="1">
      <c r="M17299"/>
      <c r="N17299"/>
      <c r="O17299"/>
      <c r="P17299"/>
      <c r="Q17299"/>
      <c r="R17299"/>
      <c r="S17299"/>
    </row>
    <row r="17300" spans="13:19" ht="13.95" customHeight="1">
      <c r="M17300"/>
      <c r="N17300"/>
      <c r="O17300"/>
      <c r="P17300"/>
      <c r="Q17300"/>
      <c r="R17300"/>
      <c r="S17300"/>
    </row>
    <row r="17301" spans="13:19" ht="13.95" customHeight="1">
      <c r="M17301"/>
      <c r="N17301"/>
      <c r="O17301"/>
      <c r="P17301"/>
      <c r="Q17301"/>
      <c r="R17301"/>
      <c r="S17301"/>
    </row>
    <row r="17302" spans="13:19" ht="13.95" customHeight="1">
      <c r="M17302"/>
      <c r="N17302"/>
      <c r="O17302"/>
      <c r="P17302"/>
      <c r="Q17302"/>
      <c r="R17302"/>
      <c r="S17302"/>
    </row>
    <row r="17303" spans="13:19" ht="13.95" customHeight="1">
      <c r="M17303"/>
      <c r="N17303"/>
      <c r="O17303"/>
      <c r="P17303"/>
      <c r="Q17303"/>
      <c r="R17303"/>
      <c r="S17303"/>
    </row>
    <row r="17304" spans="13:19" ht="13.95" customHeight="1">
      <c r="M17304"/>
      <c r="N17304"/>
      <c r="O17304"/>
      <c r="P17304"/>
      <c r="Q17304"/>
      <c r="R17304"/>
      <c r="S17304"/>
    </row>
    <row r="17305" spans="13:19" ht="13.95" customHeight="1">
      <c r="M17305"/>
      <c r="N17305"/>
      <c r="O17305"/>
      <c r="P17305"/>
      <c r="Q17305"/>
      <c r="R17305"/>
      <c r="S17305"/>
    </row>
    <row r="17306" spans="13:19" ht="13.95" customHeight="1">
      <c r="M17306"/>
      <c r="N17306"/>
      <c r="O17306"/>
      <c r="P17306"/>
      <c r="Q17306"/>
      <c r="R17306"/>
      <c r="S17306"/>
    </row>
    <row r="17307" spans="13:19" ht="13.95" customHeight="1">
      <c r="M17307"/>
      <c r="N17307"/>
      <c r="O17307"/>
      <c r="P17307"/>
      <c r="Q17307"/>
      <c r="R17307"/>
      <c r="S17307"/>
    </row>
    <row r="17308" spans="13:19" ht="13.95" customHeight="1">
      <c r="M17308"/>
      <c r="N17308"/>
      <c r="O17308"/>
      <c r="P17308"/>
      <c r="Q17308"/>
      <c r="R17308"/>
      <c r="S17308"/>
    </row>
    <row r="17309" spans="13:19" ht="13.95" customHeight="1">
      <c r="M17309"/>
      <c r="N17309"/>
      <c r="O17309"/>
      <c r="P17309"/>
      <c r="Q17309"/>
      <c r="R17309"/>
      <c r="S17309"/>
    </row>
    <row r="17310" spans="13:19" ht="13.95" customHeight="1">
      <c r="M17310"/>
      <c r="N17310"/>
      <c r="O17310"/>
      <c r="P17310"/>
      <c r="Q17310"/>
      <c r="R17310"/>
      <c r="S17310"/>
    </row>
    <row r="17311" spans="13:19" ht="13.95" customHeight="1">
      <c r="M17311"/>
      <c r="N17311"/>
      <c r="O17311"/>
      <c r="P17311"/>
      <c r="Q17311"/>
      <c r="R17311"/>
      <c r="S17311"/>
    </row>
    <row r="17312" spans="13:19" ht="13.95" customHeight="1">
      <c r="M17312"/>
      <c r="N17312"/>
      <c r="O17312"/>
      <c r="P17312"/>
      <c r="Q17312"/>
      <c r="R17312"/>
      <c r="S17312"/>
    </row>
    <row r="17313" spans="13:19" ht="13.95" customHeight="1">
      <c r="M17313"/>
      <c r="N17313"/>
      <c r="O17313"/>
      <c r="P17313"/>
      <c r="Q17313"/>
      <c r="R17313"/>
      <c r="S17313"/>
    </row>
    <row r="17314" spans="13:19" ht="13.95" customHeight="1">
      <c r="M17314"/>
      <c r="N17314"/>
      <c r="O17314"/>
      <c r="P17314"/>
      <c r="Q17314"/>
      <c r="R17314"/>
      <c r="S17314"/>
    </row>
    <row r="17315" spans="13:19" ht="13.95" customHeight="1">
      <c r="M17315"/>
      <c r="N17315"/>
      <c r="O17315"/>
      <c r="P17315"/>
      <c r="Q17315"/>
      <c r="R17315"/>
      <c r="S17315"/>
    </row>
    <row r="17316" spans="13:19" ht="13.95" customHeight="1">
      <c r="M17316"/>
      <c r="N17316"/>
      <c r="O17316"/>
      <c r="P17316"/>
      <c r="Q17316"/>
      <c r="R17316"/>
      <c r="S17316"/>
    </row>
    <row r="17317" spans="13:19" ht="13.95" customHeight="1">
      <c r="M17317"/>
      <c r="N17317"/>
      <c r="O17317"/>
      <c r="P17317"/>
      <c r="Q17317"/>
      <c r="R17317"/>
      <c r="S17317"/>
    </row>
    <row r="17318" spans="13:19" ht="13.95" customHeight="1">
      <c r="M17318"/>
      <c r="N17318"/>
      <c r="O17318"/>
      <c r="P17318"/>
      <c r="Q17318"/>
      <c r="R17318"/>
      <c r="S17318"/>
    </row>
    <row r="17319" spans="13:19" ht="13.95" customHeight="1">
      <c r="M17319"/>
      <c r="N17319"/>
      <c r="O17319"/>
      <c r="P17319"/>
      <c r="Q17319"/>
      <c r="R17319"/>
      <c r="S17319"/>
    </row>
    <row r="17320" spans="13:19" ht="13.95" customHeight="1">
      <c r="M17320"/>
      <c r="N17320"/>
      <c r="O17320"/>
      <c r="P17320"/>
      <c r="Q17320"/>
      <c r="R17320"/>
      <c r="S17320"/>
    </row>
    <row r="17321" spans="13:19" ht="13.95" customHeight="1">
      <c r="M17321"/>
      <c r="N17321"/>
      <c r="O17321"/>
      <c r="P17321"/>
      <c r="Q17321"/>
      <c r="R17321"/>
      <c r="S17321"/>
    </row>
    <row r="17322" spans="13:19" ht="13.95" customHeight="1">
      <c r="M17322"/>
      <c r="N17322"/>
      <c r="O17322"/>
      <c r="P17322"/>
      <c r="Q17322"/>
      <c r="R17322"/>
      <c r="S17322"/>
    </row>
    <row r="17323" spans="13:19" ht="13.95" customHeight="1">
      <c r="M17323"/>
      <c r="N17323"/>
      <c r="O17323"/>
      <c r="P17323"/>
      <c r="Q17323"/>
      <c r="R17323"/>
      <c r="S17323"/>
    </row>
    <row r="17324" spans="13:19" ht="13.95" customHeight="1">
      <c r="M17324"/>
      <c r="N17324"/>
      <c r="O17324"/>
      <c r="P17324"/>
      <c r="Q17324"/>
      <c r="R17324"/>
      <c r="S17324"/>
    </row>
    <row r="17325" spans="13:19" ht="13.95" customHeight="1">
      <c r="M17325"/>
      <c r="N17325"/>
      <c r="O17325"/>
      <c r="P17325"/>
      <c r="Q17325"/>
      <c r="R17325"/>
      <c r="S17325"/>
    </row>
    <row r="17326" spans="13:19" ht="13.95" customHeight="1">
      <c r="M17326"/>
      <c r="N17326"/>
      <c r="O17326"/>
      <c r="P17326"/>
      <c r="Q17326"/>
      <c r="R17326"/>
      <c r="S17326"/>
    </row>
    <row r="17327" spans="13:19" ht="13.95" customHeight="1">
      <c r="M17327"/>
      <c r="N17327"/>
      <c r="O17327"/>
      <c r="P17327"/>
      <c r="Q17327"/>
      <c r="R17327"/>
      <c r="S17327"/>
    </row>
    <row r="17328" spans="13:19" ht="13.95" customHeight="1">
      <c r="M17328"/>
      <c r="N17328"/>
      <c r="O17328"/>
      <c r="P17328"/>
      <c r="Q17328"/>
      <c r="R17328"/>
      <c r="S17328"/>
    </row>
    <row r="17329" spans="13:19" ht="13.95" customHeight="1">
      <c r="M17329"/>
      <c r="N17329"/>
      <c r="O17329"/>
      <c r="P17329"/>
      <c r="Q17329"/>
      <c r="R17329"/>
      <c r="S17329"/>
    </row>
    <row r="17330" spans="13:19" ht="13.95" customHeight="1">
      <c r="M17330"/>
      <c r="N17330"/>
      <c r="O17330"/>
      <c r="P17330"/>
      <c r="Q17330"/>
      <c r="R17330"/>
      <c r="S17330"/>
    </row>
    <row r="17331" spans="13:19" ht="13.95" customHeight="1">
      <c r="M17331"/>
      <c r="N17331"/>
      <c r="O17331"/>
      <c r="P17331"/>
      <c r="Q17331"/>
      <c r="R17331"/>
      <c r="S17331"/>
    </row>
    <row r="17332" spans="13:19" ht="13.95" customHeight="1">
      <c r="M17332"/>
      <c r="N17332"/>
      <c r="O17332"/>
      <c r="P17332"/>
      <c r="Q17332"/>
      <c r="R17332"/>
      <c r="S17332"/>
    </row>
    <row r="17333" spans="13:19" ht="13.95" customHeight="1">
      <c r="M17333"/>
      <c r="N17333"/>
      <c r="O17333"/>
      <c r="P17333"/>
      <c r="Q17333"/>
      <c r="R17333"/>
      <c r="S17333"/>
    </row>
    <row r="17334" spans="13:19" ht="13.95" customHeight="1">
      <c r="M17334"/>
      <c r="N17334"/>
      <c r="O17334"/>
      <c r="P17334"/>
      <c r="Q17334"/>
      <c r="R17334"/>
      <c r="S17334"/>
    </row>
    <row r="17335" spans="13:19" ht="13.95" customHeight="1">
      <c r="M17335"/>
      <c r="N17335"/>
      <c r="O17335"/>
      <c r="P17335"/>
      <c r="Q17335"/>
      <c r="R17335"/>
      <c r="S17335"/>
    </row>
    <row r="17336" spans="13:19" ht="13.95" customHeight="1">
      <c r="M17336"/>
      <c r="N17336"/>
      <c r="O17336"/>
      <c r="P17336"/>
      <c r="Q17336"/>
      <c r="R17336"/>
      <c r="S17336"/>
    </row>
    <row r="17337" spans="13:19" ht="13.95" customHeight="1">
      <c r="M17337"/>
      <c r="N17337"/>
      <c r="O17337"/>
      <c r="P17337"/>
      <c r="Q17337"/>
      <c r="R17337"/>
      <c r="S17337"/>
    </row>
    <row r="17338" spans="13:19" ht="13.95" customHeight="1">
      <c r="M17338"/>
      <c r="N17338"/>
      <c r="O17338"/>
      <c r="P17338"/>
      <c r="Q17338"/>
      <c r="R17338"/>
      <c r="S17338"/>
    </row>
    <row r="17339" spans="13:19" ht="13.95" customHeight="1">
      <c r="M17339"/>
      <c r="N17339"/>
      <c r="O17339"/>
      <c r="P17339"/>
      <c r="Q17339"/>
      <c r="R17339"/>
      <c r="S17339"/>
    </row>
    <row r="17340" spans="13:19" ht="13.95" customHeight="1">
      <c r="M17340"/>
      <c r="N17340"/>
      <c r="O17340"/>
      <c r="P17340"/>
      <c r="Q17340"/>
      <c r="R17340"/>
      <c r="S17340"/>
    </row>
    <row r="17341" spans="13:19" ht="13.95" customHeight="1">
      <c r="M17341"/>
      <c r="N17341"/>
      <c r="O17341"/>
      <c r="P17341"/>
      <c r="Q17341"/>
      <c r="R17341"/>
      <c r="S17341"/>
    </row>
    <row r="17342" spans="13:19" ht="13.95" customHeight="1">
      <c r="M17342"/>
      <c r="N17342"/>
      <c r="O17342"/>
      <c r="P17342"/>
      <c r="Q17342"/>
      <c r="R17342"/>
      <c r="S17342"/>
    </row>
    <row r="17343" spans="13:19" ht="13.95" customHeight="1">
      <c r="M17343"/>
      <c r="N17343"/>
      <c r="O17343"/>
      <c r="P17343"/>
      <c r="Q17343"/>
      <c r="R17343"/>
      <c r="S17343"/>
    </row>
    <row r="17344" spans="13:19" ht="13.95" customHeight="1">
      <c r="M17344"/>
      <c r="N17344"/>
      <c r="O17344"/>
      <c r="P17344"/>
      <c r="Q17344"/>
      <c r="R17344"/>
      <c r="S17344"/>
    </row>
    <row r="17345" spans="13:19" ht="13.95" customHeight="1">
      <c r="M17345"/>
      <c r="N17345"/>
      <c r="O17345"/>
      <c r="P17345"/>
      <c r="Q17345"/>
      <c r="R17345"/>
      <c r="S17345"/>
    </row>
    <row r="17346" spans="13:19" ht="13.95" customHeight="1">
      <c r="M17346"/>
      <c r="N17346"/>
      <c r="O17346"/>
      <c r="P17346"/>
      <c r="Q17346"/>
      <c r="R17346"/>
      <c r="S17346"/>
    </row>
    <row r="17347" spans="13:19" ht="13.95" customHeight="1">
      <c r="M17347"/>
      <c r="N17347"/>
      <c r="O17347"/>
      <c r="P17347"/>
      <c r="Q17347"/>
      <c r="R17347"/>
      <c r="S17347"/>
    </row>
    <row r="17348" spans="13:19" ht="13.95" customHeight="1">
      <c r="M17348"/>
      <c r="N17348"/>
      <c r="O17348"/>
      <c r="P17348"/>
      <c r="Q17348"/>
      <c r="R17348"/>
      <c r="S17348"/>
    </row>
    <row r="17349" spans="13:19" ht="13.95" customHeight="1">
      <c r="M17349"/>
      <c r="N17349"/>
      <c r="O17349"/>
      <c r="P17349"/>
      <c r="Q17349"/>
      <c r="R17349"/>
      <c r="S17349"/>
    </row>
    <row r="17350" spans="13:19" ht="13.95" customHeight="1">
      <c r="M17350"/>
      <c r="N17350"/>
      <c r="O17350"/>
      <c r="P17350"/>
      <c r="Q17350"/>
      <c r="R17350"/>
      <c r="S17350"/>
    </row>
    <row r="17351" spans="13:19" ht="13.95" customHeight="1">
      <c r="M17351"/>
      <c r="N17351"/>
      <c r="O17351"/>
      <c r="P17351"/>
      <c r="Q17351"/>
      <c r="R17351"/>
      <c r="S17351"/>
    </row>
    <row r="17352" spans="13:19" ht="13.95" customHeight="1">
      <c r="M17352"/>
      <c r="N17352"/>
      <c r="O17352"/>
      <c r="P17352"/>
      <c r="Q17352"/>
      <c r="R17352"/>
      <c r="S17352"/>
    </row>
    <row r="17353" spans="13:19" ht="13.95" customHeight="1">
      <c r="M17353"/>
      <c r="N17353"/>
      <c r="O17353"/>
      <c r="P17353"/>
      <c r="Q17353"/>
      <c r="R17353"/>
      <c r="S17353"/>
    </row>
    <row r="17354" spans="13:19" ht="13.95" customHeight="1">
      <c r="M17354"/>
      <c r="N17354"/>
      <c r="O17354"/>
      <c r="P17354"/>
      <c r="Q17354"/>
      <c r="R17354"/>
      <c r="S17354"/>
    </row>
    <row r="17355" spans="13:19" ht="13.95" customHeight="1">
      <c r="M17355"/>
      <c r="N17355"/>
      <c r="O17355"/>
      <c r="P17355"/>
      <c r="Q17355"/>
      <c r="R17355"/>
      <c r="S17355"/>
    </row>
    <row r="17356" spans="13:19" ht="13.95" customHeight="1">
      <c r="M17356"/>
      <c r="N17356"/>
      <c r="O17356"/>
      <c r="P17356"/>
      <c r="Q17356"/>
      <c r="R17356"/>
      <c r="S17356"/>
    </row>
    <row r="17357" spans="13:19" ht="13.95" customHeight="1">
      <c r="M17357"/>
      <c r="N17357"/>
      <c r="O17357"/>
      <c r="P17357"/>
      <c r="Q17357"/>
      <c r="R17357"/>
      <c r="S17357"/>
    </row>
    <row r="17358" spans="13:19" ht="13.95" customHeight="1">
      <c r="M17358"/>
      <c r="N17358"/>
      <c r="O17358"/>
      <c r="P17358"/>
      <c r="Q17358"/>
      <c r="R17358"/>
      <c r="S17358"/>
    </row>
    <row r="17359" spans="13:19" ht="13.95" customHeight="1">
      <c r="M17359"/>
      <c r="N17359"/>
      <c r="O17359"/>
      <c r="P17359"/>
      <c r="Q17359"/>
      <c r="R17359"/>
      <c r="S17359"/>
    </row>
    <row r="17360" spans="13:19" ht="13.95" customHeight="1">
      <c r="M17360"/>
      <c r="N17360"/>
      <c r="O17360"/>
      <c r="P17360"/>
      <c r="Q17360"/>
      <c r="R17360"/>
      <c r="S17360"/>
    </row>
    <row r="17361" spans="13:19" ht="13.95" customHeight="1">
      <c r="M17361"/>
      <c r="N17361"/>
      <c r="O17361"/>
      <c r="P17361"/>
      <c r="Q17361"/>
      <c r="R17361"/>
      <c r="S17361"/>
    </row>
    <row r="17362" spans="13:19" ht="13.95" customHeight="1">
      <c r="M17362"/>
      <c r="N17362"/>
      <c r="O17362"/>
      <c r="P17362"/>
      <c r="Q17362"/>
      <c r="R17362"/>
      <c r="S17362"/>
    </row>
    <row r="17363" spans="13:19" ht="13.95" customHeight="1">
      <c r="M17363"/>
      <c r="N17363"/>
      <c r="O17363"/>
      <c r="P17363"/>
      <c r="Q17363"/>
      <c r="R17363"/>
      <c r="S17363"/>
    </row>
    <row r="17364" spans="13:19" ht="13.95" customHeight="1">
      <c r="M17364"/>
      <c r="N17364"/>
      <c r="O17364"/>
      <c r="P17364"/>
      <c r="Q17364"/>
      <c r="R17364"/>
      <c r="S17364"/>
    </row>
    <row r="17365" spans="13:19" ht="13.95" customHeight="1">
      <c r="M17365"/>
      <c r="N17365"/>
      <c r="O17365"/>
      <c r="P17365"/>
      <c r="Q17365"/>
      <c r="R17365"/>
      <c r="S17365"/>
    </row>
    <row r="17366" spans="13:19" ht="13.95" customHeight="1">
      <c r="M17366"/>
      <c r="N17366"/>
      <c r="O17366"/>
      <c r="P17366"/>
      <c r="Q17366"/>
      <c r="R17366"/>
      <c r="S17366"/>
    </row>
    <row r="17367" spans="13:19" ht="13.95" customHeight="1">
      <c r="M17367"/>
      <c r="N17367"/>
      <c r="O17367"/>
      <c r="P17367"/>
      <c r="Q17367"/>
      <c r="R17367"/>
      <c r="S17367"/>
    </row>
    <row r="17368" spans="13:19" ht="13.95" customHeight="1">
      <c r="M17368"/>
      <c r="N17368"/>
      <c r="O17368"/>
      <c r="P17368"/>
      <c r="Q17368"/>
      <c r="R17368"/>
      <c r="S17368"/>
    </row>
    <row r="17369" spans="13:19" ht="13.95" customHeight="1">
      <c r="M17369"/>
      <c r="N17369"/>
      <c r="O17369"/>
      <c r="P17369"/>
      <c r="Q17369"/>
      <c r="R17369"/>
      <c r="S17369"/>
    </row>
    <row r="17370" spans="13:19" ht="13.95" customHeight="1">
      <c r="M17370"/>
      <c r="N17370"/>
      <c r="O17370"/>
      <c r="P17370"/>
      <c r="Q17370"/>
      <c r="R17370"/>
      <c r="S17370"/>
    </row>
    <row r="17371" spans="13:19" ht="13.95" customHeight="1">
      <c r="M17371"/>
      <c r="N17371"/>
      <c r="O17371"/>
      <c r="P17371"/>
      <c r="Q17371"/>
      <c r="R17371"/>
      <c r="S17371"/>
    </row>
    <row r="17372" spans="13:19" ht="13.95" customHeight="1">
      <c r="M17372"/>
      <c r="N17372"/>
      <c r="O17372"/>
      <c r="P17372"/>
      <c r="Q17372"/>
      <c r="R17372"/>
      <c r="S17372"/>
    </row>
    <row r="17373" spans="13:19" ht="13.95" customHeight="1">
      <c r="M17373"/>
      <c r="N17373"/>
      <c r="O17373"/>
      <c r="P17373"/>
      <c r="Q17373"/>
      <c r="R17373"/>
      <c r="S17373"/>
    </row>
    <row r="17374" spans="13:19" ht="13.95" customHeight="1">
      <c r="M17374"/>
      <c r="N17374"/>
      <c r="O17374"/>
      <c r="P17374"/>
      <c r="Q17374"/>
      <c r="R17374"/>
      <c r="S17374"/>
    </row>
    <row r="17375" spans="13:19" ht="13.95" customHeight="1">
      <c r="M17375"/>
      <c r="N17375"/>
      <c r="O17375"/>
      <c r="P17375"/>
      <c r="Q17375"/>
      <c r="R17375"/>
      <c r="S17375"/>
    </row>
    <row r="17376" spans="13:19" ht="13.95" customHeight="1">
      <c r="M17376"/>
      <c r="N17376"/>
      <c r="O17376"/>
      <c r="P17376"/>
      <c r="Q17376"/>
      <c r="R17376"/>
      <c r="S17376"/>
    </row>
    <row r="17377" spans="13:19" ht="13.95" customHeight="1">
      <c r="M17377"/>
      <c r="N17377"/>
      <c r="O17377"/>
      <c r="P17377"/>
      <c r="Q17377"/>
      <c r="R17377"/>
      <c r="S17377"/>
    </row>
    <row r="17378" spans="13:19" ht="13.95" customHeight="1">
      <c r="M17378"/>
      <c r="N17378"/>
      <c r="O17378"/>
      <c r="P17378"/>
      <c r="Q17378"/>
      <c r="R17378"/>
      <c r="S17378"/>
    </row>
    <row r="17379" spans="13:19" ht="13.95" customHeight="1">
      <c r="M17379"/>
      <c r="N17379"/>
      <c r="O17379"/>
      <c r="P17379"/>
      <c r="Q17379"/>
      <c r="R17379"/>
      <c r="S17379"/>
    </row>
    <row r="17380" spans="13:19" ht="13.95" customHeight="1">
      <c r="M17380"/>
      <c r="N17380"/>
      <c r="O17380"/>
      <c r="P17380"/>
      <c r="Q17380"/>
      <c r="R17380"/>
      <c r="S17380"/>
    </row>
    <row r="17381" spans="13:19" ht="13.95" customHeight="1">
      <c r="M17381"/>
      <c r="N17381"/>
      <c r="O17381"/>
      <c r="P17381"/>
      <c r="Q17381"/>
      <c r="R17381"/>
      <c r="S17381"/>
    </row>
    <row r="17382" spans="13:19" ht="13.95" customHeight="1">
      <c r="M17382"/>
      <c r="N17382"/>
      <c r="O17382"/>
      <c r="P17382"/>
      <c r="Q17382"/>
      <c r="R17382"/>
      <c r="S17382"/>
    </row>
    <row r="17383" spans="13:19" ht="13.95" customHeight="1">
      <c r="M17383"/>
      <c r="N17383"/>
      <c r="O17383"/>
      <c r="P17383"/>
      <c r="Q17383"/>
      <c r="R17383"/>
      <c r="S17383"/>
    </row>
    <row r="17384" spans="13:19" ht="13.95" customHeight="1">
      <c r="M17384"/>
      <c r="N17384"/>
      <c r="O17384"/>
      <c r="P17384"/>
      <c r="Q17384"/>
      <c r="R17384"/>
      <c r="S17384"/>
    </row>
    <row r="17385" spans="13:19" ht="13.95" customHeight="1">
      <c r="M17385"/>
      <c r="N17385"/>
      <c r="O17385"/>
      <c r="P17385"/>
      <c r="Q17385"/>
      <c r="R17385"/>
      <c r="S17385"/>
    </row>
    <row r="17386" spans="13:19" ht="13.95" customHeight="1">
      <c r="M17386"/>
      <c r="N17386"/>
      <c r="O17386"/>
      <c r="P17386"/>
      <c r="Q17386"/>
      <c r="R17386"/>
      <c r="S17386"/>
    </row>
    <row r="17387" spans="13:19" ht="13.95" customHeight="1">
      <c r="M17387"/>
      <c r="N17387"/>
      <c r="O17387"/>
      <c r="P17387"/>
      <c r="Q17387"/>
      <c r="R17387"/>
      <c r="S17387"/>
    </row>
    <row r="17388" spans="13:19" ht="13.95" customHeight="1">
      <c r="M17388"/>
      <c r="N17388"/>
      <c r="O17388"/>
      <c r="P17388"/>
      <c r="Q17388"/>
      <c r="R17388"/>
      <c r="S17388"/>
    </row>
    <row r="17389" spans="13:19" ht="13.95" customHeight="1">
      <c r="M17389"/>
      <c r="N17389"/>
      <c r="O17389"/>
      <c r="P17389"/>
      <c r="Q17389"/>
      <c r="R17389"/>
      <c r="S17389"/>
    </row>
    <row r="17390" spans="13:19" ht="13.95" customHeight="1">
      <c r="M17390"/>
      <c r="N17390"/>
      <c r="O17390"/>
      <c r="P17390"/>
      <c r="Q17390"/>
      <c r="R17390"/>
      <c r="S17390"/>
    </row>
    <row r="17391" spans="13:19" ht="13.95" customHeight="1">
      <c r="M17391"/>
      <c r="N17391"/>
      <c r="O17391"/>
      <c r="P17391"/>
      <c r="Q17391"/>
      <c r="R17391"/>
      <c r="S17391"/>
    </row>
    <row r="17392" spans="13:19" ht="13.95" customHeight="1">
      <c r="M17392"/>
      <c r="N17392"/>
      <c r="O17392"/>
      <c r="P17392"/>
      <c r="Q17392"/>
      <c r="R17392"/>
      <c r="S17392"/>
    </row>
    <row r="17393" spans="13:19" ht="13.95" customHeight="1">
      <c r="M17393"/>
      <c r="N17393"/>
      <c r="O17393"/>
      <c r="P17393"/>
      <c r="Q17393"/>
      <c r="R17393"/>
      <c r="S17393"/>
    </row>
    <row r="17394" spans="13:19" ht="13.95" customHeight="1">
      <c r="M17394"/>
      <c r="N17394"/>
      <c r="O17394"/>
      <c r="P17394"/>
      <c r="Q17394"/>
      <c r="R17394"/>
      <c r="S17394"/>
    </row>
    <row r="17395" spans="13:19" ht="13.95" customHeight="1">
      <c r="M17395"/>
      <c r="N17395"/>
      <c r="O17395"/>
      <c r="P17395"/>
      <c r="Q17395"/>
      <c r="R17395"/>
      <c r="S17395"/>
    </row>
    <row r="17396" spans="13:19" ht="13.95" customHeight="1">
      <c r="M17396"/>
      <c r="N17396"/>
      <c r="O17396"/>
      <c r="P17396"/>
      <c r="Q17396"/>
      <c r="R17396"/>
      <c r="S17396"/>
    </row>
    <row r="17397" spans="13:19" ht="13.95" customHeight="1">
      <c r="M17397"/>
      <c r="N17397"/>
      <c r="O17397"/>
      <c r="P17397"/>
      <c r="Q17397"/>
      <c r="R17397"/>
      <c r="S17397"/>
    </row>
    <row r="17398" spans="13:19" ht="13.95" customHeight="1">
      <c r="M17398"/>
      <c r="N17398"/>
      <c r="O17398"/>
      <c r="P17398"/>
      <c r="Q17398"/>
      <c r="R17398"/>
      <c r="S17398"/>
    </row>
    <row r="17399" spans="13:19" ht="13.95" customHeight="1">
      <c r="M17399"/>
      <c r="N17399"/>
      <c r="O17399"/>
      <c r="P17399"/>
      <c r="Q17399"/>
      <c r="R17399"/>
      <c r="S17399"/>
    </row>
    <row r="17400" spans="13:19" ht="13.95" customHeight="1">
      <c r="M17400"/>
      <c r="N17400"/>
      <c r="O17400"/>
      <c r="P17400"/>
      <c r="Q17400"/>
      <c r="R17400"/>
      <c r="S17400"/>
    </row>
    <row r="17401" spans="13:19" ht="13.95" customHeight="1">
      <c r="M17401"/>
      <c r="N17401"/>
      <c r="O17401"/>
      <c r="P17401"/>
      <c r="Q17401"/>
      <c r="R17401"/>
      <c r="S17401"/>
    </row>
    <row r="17402" spans="13:19" ht="13.95" customHeight="1">
      <c r="M17402"/>
      <c r="N17402"/>
      <c r="O17402"/>
      <c r="P17402"/>
      <c r="Q17402"/>
      <c r="R17402"/>
      <c r="S17402"/>
    </row>
    <row r="17403" spans="13:19" ht="13.95" customHeight="1">
      <c r="M17403"/>
      <c r="N17403"/>
      <c r="O17403"/>
      <c r="P17403"/>
      <c r="Q17403"/>
      <c r="R17403"/>
      <c r="S17403"/>
    </row>
    <row r="17404" spans="13:19" ht="13.95" customHeight="1">
      <c r="M17404"/>
      <c r="N17404"/>
      <c r="O17404"/>
      <c r="P17404"/>
      <c r="Q17404"/>
      <c r="R17404"/>
      <c r="S17404"/>
    </row>
    <row r="17405" spans="13:19" ht="13.95" customHeight="1">
      <c r="M17405"/>
      <c r="N17405"/>
      <c r="O17405"/>
      <c r="P17405"/>
      <c r="Q17405"/>
      <c r="R17405"/>
      <c r="S17405"/>
    </row>
    <row r="17406" spans="13:19" ht="13.95" customHeight="1">
      <c r="M17406"/>
      <c r="N17406"/>
      <c r="O17406"/>
      <c r="P17406"/>
      <c r="Q17406"/>
      <c r="R17406"/>
      <c r="S17406"/>
    </row>
    <row r="17407" spans="13:19" ht="13.95" customHeight="1">
      <c r="M17407"/>
      <c r="N17407"/>
      <c r="O17407"/>
      <c r="P17407"/>
      <c r="Q17407"/>
      <c r="R17407"/>
      <c r="S17407"/>
    </row>
    <row r="17408" spans="13:19" ht="13.95" customHeight="1">
      <c r="M17408"/>
      <c r="N17408"/>
      <c r="O17408"/>
      <c r="P17408"/>
      <c r="Q17408"/>
      <c r="R17408"/>
      <c r="S17408"/>
    </row>
    <row r="17409" spans="13:19" ht="13.95" customHeight="1">
      <c r="M17409"/>
      <c r="N17409"/>
      <c r="O17409"/>
      <c r="P17409"/>
      <c r="Q17409"/>
      <c r="R17409"/>
      <c r="S17409"/>
    </row>
    <row r="17410" spans="13:19" ht="13.95" customHeight="1">
      <c r="M17410"/>
      <c r="N17410"/>
      <c r="O17410"/>
      <c r="P17410"/>
      <c r="Q17410"/>
      <c r="R17410"/>
      <c r="S17410"/>
    </row>
    <row r="17411" spans="13:19" ht="13.95" customHeight="1">
      <c r="M17411"/>
      <c r="N17411"/>
      <c r="O17411"/>
      <c r="P17411"/>
      <c r="Q17411"/>
      <c r="R17411"/>
      <c r="S17411"/>
    </row>
    <row r="17412" spans="13:19" ht="13.95" customHeight="1">
      <c r="M17412"/>
      <c r="N17412"/>
      <c r="O17412"/>
      <c r="P17412"/>
      <c r="Q17412"/>
      <c r="R17412"/>
      <c r="S17412"/>
    </row>
    <row r="17413" spans="13:19" ht="13.95" customHeight="1">
      <c r="M17413"/>
      <c r="N17413"/>
      <c r="O17413"/>
      <c r="P17413"/>
      <c r="Q17413"/>
      <c r="R17413"/>
      <c r="S17413"/>
    </row>
    <row r="17414" spans="13:19" ht="13.95" customHeight="1">
      <c r="M17414"/>
      <c r="N17414"/>
      <c r="O17414"/>
      <c r="P17414"/>
      <c r="Q17414"/>
      <c r="R17414"/>
      <c r="S17414"/>
    </row>
    <row r="17415" spans="13:19" ht="13.95" customHeight="1">
      <c r="M17415"/>
      <c r="N17415"/>
      <c r="O17415"/>
      <c r="P17415"/>
      <c r="Q17415"/>
      <c r="R17415"/>
      <c r="S17415"/>
    </row>
    <row r="17416" spans="13:19" ht="13.95" customHeight="1">
      <c r="M17416"/>
      <c r="N17416"/>
      <c r="O17416"/>
      <c r="P17416"/>
      <c r="Q17416"/>
      <c r="R17416"/>
      <c r="S17416"/>
    </row>
    <row r="17417" spans="13:19" ht="13.95" customHeight="1">
      <c r="M17417"/>
      <c r="N17417"/>
      <c r="O17417"/>
      <c r="P17417"/>
      <c r="Q17417"/>
      <c r="R17417"/>
      <c r="S17417"/>
    </row>
    <row r="17418" spans="13:19" ht="13.95" customHeight="1">
      <c r="M17418"/>
      <c r="N17418"/>
      <c r="O17418"/>
      <c r="P17418"/>
      <c r="Q17418"/>
      <c r="R17418"/>
      <c r="S17418"/>
    </row>
    <row r="17419" spans="13:19" ht="13.95" customHeight="1">
      <c r="M17419"/>
      <c r="N17419"/>
      <c r="O17419"/>
      <c r="P17419"/>
      <c r="Q17419"/>
      <c r="R17419"/>
      <c r="S17419"/>
    </row>
    <row r="17420" spans="13:19" ht="13.95" customHeight="1">
      <c r="M17420"/>
      <c r="N17420"/>
      <c r="O17420"/>
      <c r="P17420"/>
      <c r="Q17420"/>
      <c r="R17420"/>
      <c r="S17420"/>
    </row>
    <row r="17421" spans="13:19" ht="13.95" customHeight="1">
      <c r="M17421"/>
      <c r="N17421"/>
      <c r="O17421"/>
      <c r="P17421"/>
      <c r="Q17421"/>
      <c r="R17421"/>
      <c r="S17421"/>
    </row>
    <row r="17422" spans="13:19" ht="13.95" customHeight="1">
      <c r="M17422"/>
      <c r="N17422"/>
      <c r="O17422"/>
      <c r="P17422"/>
      <c r="Q17422"/>
      <c r="R17422"/>
      <c r="S17422"/>
    </row>
    <row r="17423" spans="13:19" ht="13.95" customHeight="1">
      <c r="M17423"/>
      <c r="N17423"/>
      <c r="O17423"/>
      <c r="P17423"/>
      <c r="Q17423"/>
      <c r="R17423"/>
      <c r="S17423"/>
    </row>
    <row r="17424" spans="13:19" ht="13.95" customHeight="1">
      <c r="M17424"/>
      <c r="N17424"/>
      <c r="O17424"/>
      <c r="P17424"/>
      <c r="Q17424"/>
      <c r="R17424"/>
      <c r="S17424"/>
    </row>
    <row r="17425" spans="13:19" ht="13.95" customHeight="1">
      <c r="M17425"/>
      <c r="N17425"/>
      <c r="O17425"/>
      <c r="P17425"/>
      <c r="Q17425"/>
      <c r="R17425"/>
      <c r="S17425"/>
    </row>
    <row r="17426" spans="13:19" ht="13.95" customHeight="1">
      <c r="M17426"/>
      <c r="N17426"/>
      <c r="O17426"/>
      <c r="P17426"/>
      <c r="Q17426"/>
      <c r="R17426"/>
      <c r="S17426"/>
    </row>
    <row r="17427" spans="13:19" ht="13.95" customHeight="1">
      <c r="M17427"/>
      <c r="N17427"/>
      <c r="O17427"/>
      <c r="P17427"/>
      <c r="Q17427"/>
      <c r="R17427"/>
      <c r="S17427"/>
    </row>
    <row r="17428" spans="13:19" ht="13.95" customHeight="1">
      <c r="M17428"/>
      <c r="N17428"/>
      <c r="O17428"/>
      <c r="P17428"/>
      <c r="Q17428"/>
      <c r="R17428"/>
      <c r="S17428"/>
    </row>
    <row r="17429" spans="13:19" ht="13.95" customHeight="1">
      <c r="M17429"/>
      <c r="N17429"/>
      <c r="O17429"/>
      <c r="P17429"/>
      <c r="Q17429"/>
      <c r="R17429"/>
      <c r="S17429"/>
    </row>
    <row r="17430" spans="13:19" ht="13.95" customHeight="1">
      <c r="M17430"/>
      <c r="N17430"/>
      <c r="O17430"/>
      <c r="P17430"/>
      <c r="Q17430"/>
      <c r="R17430"/>
      <c r="S17430"/>
    </row>
    <row r="17431" spans="13:19" ht="13.95" customHeight="1">
      <c r="M17431"/>
      <c r="N17431"/>
      <c r="O17431"/>
      <c r="P17431"/>
      <c r="Q17431"/>
      <c r="R17431"/>
      <c r="S17431"/>
    </row>
    <row r="17432" spans="13:19" ht="13.95" customHeight="1">
      <c r="M17432"/>
      <c r="N17432"/>
      <c r="O17432"/>
      <c r="P17432"/>
      <c r="Q17432"/>
      <c r="R17432"/>
      <c r="S17432"/>
    </row>
    <row r="17433" spans="13:19" ht="13.95" customHeight="1">
      <c r="M17433"/>
      <c r="N17433"/>
      <c r="O17433"/>
      <c r="P17433"/>
      <c r="Q17433"/>
      <c r="R17433"/>
      <c r="S17433"/>
    </row>
    <row r="17434" spans="13:19" ht="13.95" customHeight="1">
      <c r="M17434"/>
      <c r="N17434"/>
      <c r="O17434"/>
      <c r="P17434"/>
      <c r="Q17434"/>
      <c r="R17434"/>
      <c r="S17434"/>
    </row>
    <row r="17435" spans="13:19" ht="13.95" customHeight="1">
      <c r="M17435"/>
      <c r="N17435"/>
      <c r="O17435"/>
      <c r="P17435"/>
      <c r="Q17435"/>
      <c r="R17435"/>
      <c r="S17435"/>
    </row>
    <row r="17436" spans="13:19" ht="13.95" customHeight="1">
      <c r="M17436"/>
      <c r="N17436"/>
      <c r="O17436"/>
      <c r="P17436"/>
      <c r="Q17436"/>
      <c r="R17436"/>
      <c r="S17436"/>
    </row>
    <row r="17437" spans="13:19" ht="13.95" customHeight="1">
      <c r="M17437"/>
      <c r="N17437"/>
      <c r="O17437"/>
      <c r="P17437"/>
      <c r="Q17437"/>
      <c r="R17437"/>
      <c r="S17437"/>
    </row>
    <row r="17438" spans="13:19" ht="13.95" customHeight="1">
      <c r="M17438"/>
      <c r="N17438"/>
      <c r="O17438"/>
      <c r="P17438"/>
      <c r="Q17438"/>
      <c r="R17438"/>
      <c r="S17438"/>
    </row>
    <row r="17439" spans="13:19" ht="13.95" customHeight="1">
      <c r="M17439"/>
      <c r="N17439"/>
      <c r="O17439"/>
      <c r="P17439"/>
      <c r="Q17439"/>
      <c r="R17439"/>
      <c r="S17439"/>
    </row>
    <row r="17440" spans="13:19" ht="13.95" customHeight="1">
      <c r="M17440"/>
      <c r="N17440"/>
      <c r="O17440"/>
      <c r="P17440"/>
      <c r="Q17440"/>
      <c r="R17440"/>
      <c r="S17440"/>
    </row>
    <row r="17441" spans="13:19" ht="13.95" customHeight="1">
      <c r="M17441"/>
      <c r="N17441"/>
      <c r="O17441"/>
      <c r="P17441"/>
      <c r="Q17441"/>
      <c r="R17441"/>
      <c r="S17441"/>
    </row>
    <row r="17442" spans="13:19" ht="13.95" customHeight="1">
      <c r="M17442"/>
      <c r="N17442"/>
      <c r="O17442"/>
      <c r="P17442"/>
      <c r="Q17442"/>
      <c r="R17442"/>
      <c r="S17442"/>
    </row>
    <row r="17443" spans="13:19" ht="13.95" customHeight="1">
      <c r="M17443"/>
      <c r="N17443"/>
      <c r="O17443"/>
      <c r="P17443"/>
      <c r="Q17443"/>
      <c r="R17443"/>
      <c r="S17443"/>
    </row>
    <row r="17444" spans="13:19" ht="13.95" customHeight="1">
      <c r="M17444"/>
      <c r="N17444"/>
      <c r="O17444"/>
      <c r="P17444"/>
      <c r="Q17444"/>
      <c r="R17444"/>
      <c r="S17444"/>
    </row>
    <row r="17445" spans="13:19" ht="13.95" customHeight="1">
      <c r="M17445"/>
      <c r="N17445"/>
      <c r="O17445"/>
      <c r="P17445"/>
      <c r="Q17445"/>
      <c r="R17445"/>
      <c r="S17445"/>
    </row>
    <row r="17446" spans="13:19" ht="13.95" customHeight="1">
      <c r="M17446"/>
      <c r="N17446"/>
      <c r="O17446"/>
      <c r="P17446"/>
      <c r="Q17446"/>
      <c r="R17446"/>
      <c r="S17446"/>
    </row>
    <row r="17447" spans="13:19" ht="13.95" customHeight="1">
      <c r="M17447"/>
      <c r="N17447"/>
      <c r="O17447"/>
      <c r="P17447"/>
      <c r="Q17447"/>
      <c r="R17447"/>
      <c r="S17447"/>
    </row>
    <row r="17448" spans="13:19" ht="13.95" customHeight="1">
      <c r="M17448"/>
      <c r="N17448"/>
      <c r="O17448"/>
      <c r="P17448"/>
      <c r="Q17448"/>
      <c r="R17448"/>
      <c r="S17448"/>
    </row>
    <row r="17449" spans="13:19" ht="13.95" customHeight="1">
      <c r="M17449"/>
      <c r="N17449"/>
      <c r="O17449"/>
      <c r="P17449"/>
      <c r="Q17449"/>
      <c r="R17449"/>
      <c r="S17449"/>
    </row>
    <row r="17450" spans="13:19" ht="13.95" customHeight="1">
      <c r="M17450"/>
      <c r="N17450"/>
      <c r="O17450"/>
      <c r="P17450"/>
      <c r="Q17450"/>
      <c r="R17450"/>
      <c r="S17450"/>
    </row>
    <row r="17451" spans="13:19" ht="13.95" customHeight="1">
      <c r="M17451"/>
      <c r="N17451"/>
      <c r="O17451"/>
      <c r="P17451"/>
      <c r="Q17451"/>
      <c r="R17451"/>
      <c r="S17451"/>
    </row>
    <row r="17452" spans="13:19" ht="13.95" customHeight="1">
      <c r="M17452"/>
      <c r="N17452"/>
      <c r="O17452"/>
      <c r="P17452"/>
      <c r="Q17452"/>
      <c r="R17452"/>
      <c r="S17452"/>
    </row>
    <row r="17453" spans="13:19" ht="13.95" customHeight="1">
      <c r="M17453"/>
      <c r="N17453"/>
      <c r="O17453"/>
      <c r="P17453"/>
      <c r="Q17453"/>
      <c r="R17453"/>
      <c r="S17453"/>
    </row>
    <row r="17454" spans="13:19" ht="13.95" customHeight="1">
      <c r="M17454"/>
      <c r="N17454"/>
      <c r="O17454"/>
      <c r="P17454"/>
      <c r="Q17454"/>
      <c r="R17454"/>
      <c r="S17454"/>
    </row>
    <row r="17455" spans="13:19" ht="13.95" customHeight="1">
      <c r="M17455"/>
      <c r="N17455"/>
      <c r="O17455"/>
      <c r="P17455"/>
      <c r="Q17455"/>
      <c r="R17455"/>
      <c r="S17455"/>
    </row>
    <row r="17456" spans="13:19" ht="13.95" customHeight="1">
      <c r="M17456"/>
      <c r="N17456"/>
      <c r="O17456"/>
      <c r="P17456"/>
      <c r="Q17456"/>
      <c r="R17456"/>
      <c r="S17456"/>
    </row>
    <row r="17457" spans="13:19" ht="13.95" customHeight="1">
      <c r="M17457"/>
      <c r="N17457"/>
      <c r="O17457"/>
      <c r="P17457"/>
      <c r="Q17457"/>
      <c r="R17457"/>
      <c r="S17457"/>
    </row>
    <row r="17458" spans="13:19" ht="13.95" customHeight="1">
      <c r="M17458"/>
      <c r="N17458"/>
      <c r="O17458"/>
      <c r="P17458"/>
      <c r="Q17458"/>
      <c r="R17458"/>
      <c r="S17458"/>
    </row>
    <row r="17459" spans="13:19" ht="13.95" customHeight="1">
      <c r="M17459"/>
      <c r="N17459"/>
      <c r="O17459"/>
      <c r="P17459"/>
      <c r="Q17459"/>
      <c r="R17459"/>
      <c r="S17459"/>
    </row>
    <row r="17460" spans="13:19" ht="13.95" customHeight="1">
      <c r="M17460"/>
      <c r="N17460"/>
      <c r="O17460"/>
      <c r="P17460"/>
      <c r="Q17460"/>
      <c r="R17460"/>
      <c r="S17460"/>
    </row>
    <row r="17461" spans="13:19" ht="13.95" customHeight="1">
      <c r="M17461"/>
      <c r="N17461"/>
      <c r="O17461"/>
      <c r="P17461"/>
      <c r="Q17461"/>
      <c r="R17461"/>
      <c r="S17461"/>
    </row>
    <row r="17462" spans="13:19" ht="13.95" customHeight="1">
      <c r="M17462"/>
      <c r="N17462"/>
      <c r="O17462"/>
      <c r="P17462"/>
      <c r="Q17462"/>
      <c r="R17462"/>
      <c r="S17462"/>
    </row>
    <row r="17463" spans="13:19" ht="13.95" customHeight="1">
      <c r="M17463"/>
      <c r="N17463"/>
      <c r="O17463"/>
      <c r="P17463"/>
      <c r="Q17463"/>
      <c r="R17463"/>
      <c r="S17463"/>
    </row>
    <row r="17464" spans="13:19" ht="13.95" customHeight="1">
      <c r="M17464"/>
      <c r="N17464"/>
      <c r="O17464"/>
      <c r="P17464"/>
      <c r="Q17464"/>
      <c r="R17464"/>
      <c r="S17464"/>
    </row>
    <row r="17465" spans="13:19" ht="13.95" customHeight="1">
      <c r="M17465"/>
      <c r="N17465"/>
      <c r="O17465"/>
      <c r="P17465"/>
      <c r="Q17465"/>
      <c r="R17465"/>
      <c r="S17465"/>
    </row>
    <row r="17466" spans="13:19" ht="13.95" customHeight="1">
      <c r="M17466"/>
      <c r="N17466"/>
      <c r="O17466"/>
      <c r="P17466"/>
      <c r="Q17466"/>
      <c r="R17466"/>
      <c r="S17466"/>
    </row>
    <row r="17467" spans="13:19" ht="13.95" customHeight="1">
      <c r="M17467"/>
      <c r="N17467"/>
      <c r="O17467"/>
      <c r="P17467"/>
      <c r="Q17467"/>
      <c r="R17467"/>
      <c r="S17467"/>
    </row>
    <row r="17468" spans="13:19" ht="13.95" customHeight="1">
      <c r="M17468"/>
      <c r="N17468"/>
      <c r="O17468"/>
      <c r="P17468"/>
      <c r="Q17468"/>
      <c r="R17468"/>
      <c r="S17468"/>
    </row>
    <row r="17469" spans="13:19" ht="13.95" customHeight="1">
      <c r="M17469"/>
      <c r="N17469"/>
      <c r="O17469"/>
      <c r="P17469"/>
      <c r="Q17469"/>
      <c r="R17469"/>
      <c r="S17469"/>
    </row>
    <row r="17470" spans="13:19" ht="13.95" customHeight="1">
      <c r="M17470"/>
      <c r="N17470"/>
      <c r="O17470"/>
      <c r="P17470"/>
      <c r="Q17470"/>
      <c r="R17470"/>
      <c r="S17470"/>
    </row>
    <row r="17471" spans="13:19" ht="13.95" customHeight="1">
      <c r="M17471"/>
      <c r="N17471"/>
      <c r="O17471"/>
      <c r="P17471"/>
      <c r="Q17471"/>
      <c r="R17471"/>
      <c r="S17471"/>
    </row>
    <row r="17472" spans="13:19" ht="13.95" customHeight="1">
      <c r="M17472"/>
      <c r="N17472"/>
      <c r="O17472"/>
      <c r="P17472"/>
      <c r="Q17472"/>
      <c r="R17472"/>
      <c r="S17472"/>
    </row>
    <row r="17473" spans="13:19" ht="13.95" customHeight="1">
      <c r="M17473"/>
      <c r="N17473"/>
      <c r="O17473"/>
      <c r="P17473"/>
      <c r="Q17473"/>
      <c r="R17473"/>
      <c r="S17473"/>
    </row>
    <row r="17474" spans="13:19" ht="13.95" customHeight="1">
      <c r="M17474"/>
      <c r="N17474"/>
      <c r="O17474"/>
      <c r="P17474"/>
      <c r="Q17474"/>
      <c r="R17474"/>
      <c r="S17474"/>
    </row>
    <row r="17475" spans="13:19" ht="13.95" customHeight="1">
      <c r="M17475"/>
      <c r="N17475"/>
      <c r="O17475"/>
      <c r="P17475"/>
      <c r="Q17475"/>
      <c r="R17475"/>
      <c r="S17475"/>
    </row>
    <row r="17476" spans="13:19" ht="13.95" customHeight="1">
      <c r="M17476"/>
      <c r="N17476"/>
      <c r="O17476"/>
      <c r="P17476"/>
      <c r="Q17476"/>
      <c r="R17476"/>
      <c r="S17476"/>
    </row>
    <row r="17477" spans="13:19" ht="13.95" customHeight="1">
      <c r="M17477"/>
      <c r="N17477"/>
      <c r="O17477"/>
      <c r="P17477"/>
      <c r="Q17477"/>
      <c r="R17477"/>
      <c r="S17477"/>
    </row>
    <row r="17478" spans="13:19" ht="13.95" customHeight="1">
      <c r="M17478"/>
      <c r="N17478"/>
      <c r="O17478"/>
      <c r="P17478"/>
      <c r="Q17478"/>
      <c r="R17478"/>
      <c r="S17478"/>
    </row>
    <row r="17479" spans="13:19" ht="13.95" customHeight="1">
      <c r="M17479"/>
      <c r="N17479"/>
      <c r="O17479"/>
      <c r="P17479"/>
      <c r="Q17479"/>
      <c r="R17479"/>
      <c r="S17479"/>
    </row>
    <row r="17480" spans="13:19" ht="13.95" customHeight="1">
      <c r="M17480"/>
      <c r="N17480"/>
      <c r="O17480"/>
      <c r="P17480"/>
      <c r="Q17480"/>
      <c r="R17480"/>
      <c r="S17480"/>
    </row>
    <row r="17481" spans="13:19" ht="13.95" customHeight="1">
      <c r="M17481"/>
      <c r="N17481"/>
      <c r="O17481"/>
      <c r="P17481"/>
      <c r="Q17481"/>
      <c r="R17481"/>
      <c r="S17481"/>
    </row>
    <row r="17482" spans="13:19" ht="13.95" customHeight="1">
      <c r="M17482"/>
      <c r="N17482"/>
      <c r="O17482"/>
      <c r="P17482"/>
      <c r="Q17482"/>
      <c r="R17482"/>
      <c r="S17482"/>
    </row>
    <row r="17483" spans="13:19" ht="13.95" customHeight="1">
      <c r="M17483"/>
      <c r="N17483"/>
      <c r="O17483"/>
      <c r="P17483"/>
      <c r="Q17483"/>
      <c r="R17483"/>
      <c r="S17483"/>
    </row>
    <row r="17484" spans="13:19" ht="13.95" customHeight="1">
      <c r="M17484"/>
      <c r="N17484"/>
      <c r="O17484"/>
      <c r="P17484"/>
      <c r="Q17484"/>
      <c r="R17484"/>
      <c r="S17484"/>
    </row>
    <row r="17485" spans="13:19" ht="13.95" customHeight="1">
      <c r="M17485"/>
      <c r="N17485"/>
      <c r="O17485"/>
      <c r="P17485"/>
      <c r="Q17485"/>
      <c r="R17485"/>
      <c r="S17485"/>
    </row>
    <row r="17486" spans="13:19" ht="13.95" customHeight="1">
      <c r="M17486"/>
      <c r="N17486"/>
      <c r="O17486"/>
      <c r="P17486"/>
      <c r="Q17486"/>
      <c r="R17486"/>
      <c r="S17486"/>
    </row>
    <row r="17487" spans="13:19" ht="13.95" customHeight="1">
      <c r="M17487"/>
      <c r="N17487"/>
      <c r="O17487"/>
      <c r="P17487"/>
      <c r="Q17487"/>
      <c r="R17487"/>
      <c r="S17487"/>
    </row>
    <row r="17488" spans="13:19" ht="13.95" customHeight="1">
      <c r="M17488"/>
      <c r="N17488"/>
      <c r="O17488"/>
      <c r="P17488"/>
      <c r="Q17488"/>
      <c r="R17488"/>
      <c r="S17488"/>
    </row>
    <row r="17489" spans="13:19" ht="13.95" customHeight="1">
      <c r="M17489"/>
      <c r="N17489"/>
      <c r="O17489"/>
      <c r="P17489"/>
      <c r="Q17489"/>
      <c r="R17489"/>
      <c r="S17489"/>
    </row>
    <row r="17490" spans="13:19" ht="13.95" customHeight="1">
      <c r="M17490"/>
      <c r="N17490"/>
      <c r="O17490"/>
      <c r="P17490"/>
      <c r="Q17490"/>
      <c r="R17490"/>
      <c r="S17490"/>
    </row>
    <row r="17491" spans="13:19" ht="13.95" customHeight="1">
      <c r="M17491"/>
      <c r="N17491"/>
      <c r="O17491"/>
      <c r="P17491"/>
      <c r="Q17491"/>
      <c r="R17491"/>
      <c r="S17491"/>
    </row>
    <row r="17492" spans="13:19" ht="13.95" customHeight="1">
      <c r="M17492"/>
      <c r="N17492"/>
      <c r="O17492"/>
      <c r="P17492"/>
      <c r="Q17492"/>
      <c r="R17492"/>
      <c r="S17492"/>
    </row>
    <row r="17493" spans="13:19" ht="13.95" customHeight="1">
      <c r="M17493"/>
      <c r="N17493"/>
      <c r="O17493"/>
      <c r="P17493"/>
      <c r="Q17493"/>
      <c r="R17493"/>
      <c r="S17493"/>
    </row>
    <row r="17494" spans="13:19" ht="13.95" customHeight="1">
      <c r="M17494"/>
      <c r="N17494"/>
      <c r="O17494"/>
      <c r="P17494"/>
      <c r="Q17494"/>
      <c r="R17494"/>
      <c r="S17494"/>
    </row>
    <row r="17495" spans="13:19" ht="13.95" customHeight="1">
      <c r="M17495"/>
      <c r="N17495"/>
      <c r="O17495"/>
      <c r="P17495"/>
      <c r="Q17495"/>
      <c r="R17495"/>
      <c r="S17495"/>
    </row>
    <row r="17496" spans="13:19" ht="13.95" customHeight="1">
      <c r="M17496"/>
      <c r="N17496"/>
      <c r="O17496"/>
      <c r="P17496"/>
      <c r="Q17496"/>
      <c r="R17496"/>
      <c r="S17496"/>
    </row>
    <row r="17497" spans="13:19" ht="13.95" customHeight="1">
      <c r="M17497"/>
      <c r="N17497"/>
      <c r="O17497"/>
      <c r="P17497"/>
      <c r="Q17497"/>
      <c r="R17497"/>
      <c r="S17497"/>
    </row>
    <row r="17498" spans="13:19" ht="13.95" customHeight="1">
      <c r="M17498"/>
      <c r="N17498"/>
      <c r="O17498"/>
      <c r="P17498"/>
      <c r="Q17498"/>
      <c r="R17498"/>
      <c r="S17498"/>
    </row>
    <row r="17499" spans="13:19" ht="13.95" customHeight="1">
      <c r="M17499"/>
      <c r="N17499"/>
      <c r="O17499"/>
      <c r="P17499"/>
      <c r="Q17499"/>
      <c r="R17499"/>
      <c r="S17499"/>
    </row>
    <row r="17500" spans="13:19" ht="13.95" customHeight="1">
      <c r="M17500"/>
      <c r="N17500"/>
      <c r="O17500"/>
      <c r="P17500"/>
      <c r="Q17500"/>
      <c r="R17500"/>
      <c r="S17500"/>
    </row>
    <row r="17501" spans="13:19" ht="13.95" customHeight="1">
      <c r="M17501"/>
      <c r="N17501"/>
      <c r="O17501"/>
      <c r="P17501"/>
      <c r="Q17501"/>
      <c r="R17501"/>
      <c r="S17501"/>
    </row>
    <row r="17502" spans="13:19" ht="13.95" customHeight="1">
      <c r="M17502"/>
      <c r="N17502"/>
      <c r="O17502"/>
      <c r="P17502"/>
      <c r="Q17502"/>
      <c r="R17502"/>
      <c r="S17502"/>
    </row>
    <row r="17503" spans="13:19" ht="13.95" customHeight="1">
      <c r="M17503"/>
      <c r="N17503"/>
      <c r="O17503"/>
      <c r="P17503"/>
      <c r="Q17503"/>
      <c r="R17503"/>
      <c r="S17503"/>
    </row>
    <row r="17504" spans="13:19" ht="13.95" customHeight="1">
      <c r="M17504"/>
      <c r="N17504"/>
      <c r="O17504"/>
      <c r="P17504"/>
      <c r="Q17504"/>
      <c r="R17504"/>
      <c r="S17504"/>
    </row>
    <row r="17505" spans="13:19" ht="13.95" customHeight="1">
      <c r="M17505"/>
      <c r="N17505"/>
      <c r="O17505"/>
      <c r="P17505"/>
      <c r="Q17505"/>
      <c r="R17505"/>
      <c r="S17505"/>
    </row>
    <row r="17506" spans="13:19" ht="13.95" customHeight="1">
      <c r="M17506"/>
      <c r="N17506"/>
      <c r="O17506"/>
      <c r="P17506"/>
      <c r="Q17506"/>
      <c r="R17506"/>
      <c r="S17506"/>
    </row>
    <row r="17507" spans="13:19" ht="13.95" customHeight="1">
      <c r="M17507"/>
      <c r="N17507"/>
      <c r="O17507"/>
      <c r="P17507"/>
      <c r="Q17507"/>
      <c r="R17507"/>
      <c r="S17507"/>
    </row>
    <row r="17508" spans="13:19" ht="13.95" customHeight="1">
      <c r="M17508"/>
      <c r="N17508"/>
      <c r="O17508"/>
      <c r="P17508"/>
      <c r="Q17508"/>
      <c r="R17508"/>
      <c r="S17508"/>
    </row>
    <row r="17509" spans="13:19" ht="13.95" customHeight="1">
      <c r="M17509"/>
      <c r="N17509"/>
      <c r="O17509"/>
      <c r="P17509"/>
      <c r="Q17509"/>
      <c r="R17509"/>
      <c r="S17509"/>
    </row>
    <row r="17510" spans="13:19" ht="13.95" customHeight="1">
      <c r="M17510"/>
      <c r="N17510"/>
      <c r="O17510"/>
      <c r="P17510"/>
      <c r="Q17510"/>
      <c r="R17510"/>
      <c r="S17510"/>
    </row>
    <row r="17511" spans="13:19" ht="13.95" customHeight="1">
      <c r="M17511"/>
      <c r="N17511"/>
      <c r="O17511"/>
      <c r="P17511"/>
      <c r="Q17511"/>
      <c r="R17511"/>
      <c r="S17511"/>
    </row>
    <row r="17512" spans="13:19" ht="13.95" customHeight="1">
      <c r="M17512"/>
      <c r="N17512"/>
      <c r="O17512"/>
      <c r="P17512"/>
      <c r="Q17512"/>
      <c r="R17512"/>
      <c r="S17512"/>
    </row>
    <row r="17513" spans="13:19" ht="13.95" customHeight="1">
      <c r="M17513"/>
      <c r="N17513"/>
      <c r="O17513"/>
      <c r="P17513"/>
      <c r="Q17513"/>
      <c r="R17513"/>
      <c r="S17513"/>
    </row>
    <row r="17514" spans="13:19" ht="13.95" customHeight="1">
      <c r="M17514"/>
      <c r="N17514"/>
      <c r="O17514"/>
      <c r="P17514"/>
      <c r="Q17514"/>
      <c r="R17514"/>
      <c r="S17514"/>
    </row>
    <row r="17515" spans="13:19" ht="13.95" customHeight="1">
      <c r="M17515"/>
      <c r="N17515"/>
      <c r="O17515"/>
      <c r="P17515"/>
      <c r="Q17515"/>
      <c r="R17515"/>
      <c r="S17515"/>
    </row>
    <row r="17516" spans="13:19" ht="13.95" customHeight="1">
      <c r="M17516"/>
      <c r="N17516"/>
      <c r="O17516"/>
      <c r="P17516"/>
      <c r="Q17516"/>
      <c r="R17516"/>
      <c r="S17516"/>
    </row>
    <row r="17517" spans="13:19" ht="13.95" customHeight="1">
      <c r="M17517"/>
      <c r="N17517"/>
      <c r="O17517"/>
      <c r="P17517"/>
      <c r="Q17517"/>
      <c r="R17517"/>
      <c r="S17517"/>
    </row>
    <row r="17518" spans="13:19" ht="13.95" customHeight="1">
      <c r="M17518"/>
      <c r="N17518"/>
      <c r="O17518"/>
      <c r="P17518"/>
      <c r="Q17518"/>
      <c r="R17518"/>
      <c r="S17518"/>
    </row>
    <row r="17519" spans="13:19" ht="13.95" customHeight="1">
      <c r="M17519"/>
      <c r="N17519"/>
      <c r="O17519"/>
      <c r="P17519"/>
      <c r="Q17519"/>
      <c r="R17519"/>
      <c r="S17519"/>
    </row>
    <row r="17520" spans="13:19" ht="13.95" customHeight="1">
      <c r="M17520"/>
      <c r="N17520"/>
      <c r="O17520"/>
      <c r="P17520"/>
      <c r="Q17520"/>
      <c r="R17520"/>
      <c r="S17520"/>
    </row>
    <row r="17521" spans="13:19" ht="13.95" customHeight="1">
      <c r="M17521"/>
      <c r="N17521"/>
      <c r="O17521"/>
      <c r="P17521"/>
      <c r="Q17521"/>
      <c r="R17521"/>
      <c r="S17521"/>
    </row>
    <row r="17522" spans="13:19" ht="13.95" customHeight="1">
      <c r="M17522"/>
      <c r="N17522"/>
      <c r="O17522"/>
      <c r="P17522"/>
      <c r="Q17522"/>
      <c r="R17522"/>
      <c r="S17522"/>
    </row>
    <row r="17523" spans="13:19" ht="13.95" customHeight="1">
      <c r="M17523"/>
      <c r="N17523"/>
      <c r="O17523"/>
      <c r="P17523"/>
      <c r="Q17523"/>
      <c r="R17523"/>
      <c r="S17523"/>
    </row>
    <row r="17524" spans="13:19" ht="13.95" customHeight="1">
      <c r="M17524"/>
      <c r="N17524"/>
      <c r="O17524"/>
      <c r="P17524"/>
      <c r="Q17524"/>
      <c r="R17524"/>
      <c r="S17524"/>
    </row>
    <row r="17525" spans="13:19" ht="13.95" customHeight="1">
      <c r="M17525"/>
      <c r="N17525"/>
      <c r="O17525"/>
      <c r="P17525"/>
      <c r="Q17525"/>
      <c r="R17525"/>
      <c r="S17525"/>
    </row>
    <row r="17526" spans="13:19" ht="13.95" customHeight="1">
      <c r="M17526"/>
      <c r="N17526"/>
      <c r="O17526"/>
      <c r="P17526"/>
      <c r="Q17526"/>
      <c r="R17526"/>
      <c r="S17526"/>
    </row>
    <row r="17527" spans="13:19" ht="13.95" customHeight="1">
      <c r="M17527"/>
      <c r="N17527"/>
      <c r="O17527"/>
      <c r="P17527"/>
      <c r="Q17527"/>
      <c r="R17527"/>
      <c r="S17527"/>
    </row>
    <row r="17528" spans="13:19" ht="13.95" customHeight="1">
      <c r="M17528"/>
      <c r="N17528"/>
      <c r="O17528"/>
      <c r="P17528"/>
      <c r="Q17528"/>
      <c r="R17528"/>
      <c r="S17528"/>
    </row>
    <row r="17529" spans="13:19" ht="13.95" customHeight="1">
      <c r="M17529"/>
      <c r="N17529"/>
      <c r="O17529"/>
      <c r="P17529"/>
      <c r="Q17529"/>
      <c r="R17529"/>
      <c r="S17529"/>
    </row>
    <row r="17530" spans="13:19" ht="13.95" customHeight="1">
      <c r="M17530"/>
      <c r="N17530"/>
      <c r="O17530"/>
      <c r="P17530"/>
      <c r="Q17530"/>
      <c r="R17530"/>
      <c r="S17530"/>
    </row>
    <row r="17531" spans="13:19" ht="13.95" customHeight="1">
      <c r="M17531"/>
      <c r="N17531"/>
      <c r="O17531"/>
      <c r="P17531"/>
      <c r="Q17531"/>
      <c r="R17531"/>
      <c r="S17531"/>
    </row>
    <row r="17532" spans="13:19" ht="13.95" customHeight="1">
      <c r="M17532"/>
      <c r="N17532"/>
      <c r="O17532"/>
      <c r="P17532"/>
      <c r="Q17532"/>
      <c r="R17532"/>
      <c r="S17532"/>
    </row>
    <row r="17533" spans="13:19" ht="13.95" customHeight="1">
      <c r="M17533"/>
      <c r="N17533"/>
      <c r="O17533"/>
      <c r="P17533"/>
      <c r="Q17533"/>
      <c r="R17533"/>
      <c r="S17533"/>
    </row>
    <row r="17534" spans="13:19" ht="13.95" customHeight="1">
      <c r="M17534"/>
      <c r="N17534"/>
      <c r="O17534"/>
      <c r="P17534"/>
      <c r="Q17534"/>
      <c r="R17534"/>
      <c r="S17534"/>
    </row>
    <row r="17535" spans="13:19" ht="13.95" customHeight="1">
      <c r="M17535"/>
      <c r="N17535"/>
      <c r="O17535"/>
      <c r="P17535"/>
      <c r="Q17535"/>
      <c r="R17535"/>
      <c r="S17535"/>
    </row>
    <row r="17536" spans="13:19" ht="13.95" customHeight="1">
      <c r="M17536"/>
      <c r="N17536"/>
      <c r="O17536"/>
      <c r="P17536"/>
      <c r="Q17536"/>
      <c r="R17536"/>
      <c r="S17536"/>
    </row>
    <row r="17537" spans="13:19" ht="13.95" customHeight="1">
      <c r="M17537"/>
      <c r="N17537"/>
      <c r="O17537"/>
      <c r="P17537"/>
      <c r="Q17537"/>
      <c r="R17537"/>
      <c r="S17537"/>
    </row>
    <row r="17538" spans="13:19" ht="13.95" customHeight="1">
      <c r="M17538"/>
      <c r="N17538"/>
      <c r="O17538"/>
      <c r="P17538"/>
      <c r="Q17538"/>
      <c r="R17538"/>
      <c r="S17538"/>
    </row>
    <row r="17539" spans="13:19" ht="13.95" customHeight="1">
      <c r="M17539"/>
      <c r="N17539"/>
      <c r="O17539"/>
      <c r="P17539"/>
      <c r="Q17539"/>
      <c r="R17539"/>
      <c r="S17539"/>
    </row>
    <row r="17540" spans="13:19" ht="13.95" customHeight="1">
      <c r="M17540"/>
      <c r="N17540"/>
      <c r="O17540"/>
      <c r="P17540"/>
      <c r="Q17540"/>
      <c r="R17540"/>
      <c r="S17540"/>
    </row>
    <row r="17541" spans="13:19" ht="13.95" customHeight="1">
      <c r="M17541"/>
      <c r="N17541"/>
      <c r="O17541"/>
      <c r="P17541"/>
      <c r="Q17541"/>
      <c r="R17541"/>
      <c r="S17541"/>
    </row>
    <row r="17542" spans="13:19" ht="13.95" customHeight="1">
      <c r="M17542"/>
      <c r="N17542"/>
      <c r="O17542"/>
      <c r="P17542"/>
      <c r="Q17542"/>
      <c r="R17542"/>
      <c r="S17542"/>
    </row>
    <row r="17543" spans="13:19" ht="13.95" customHeight="1">
      <c r="M17543"/>
      <c r="N17543"/>
      <c r="O17543"/>
      <c r="P17543"/>
      <c r="Q17543"/>
      <c r="R17543"/>
      <c r="S17543"/>
    </row>
    <row r="17544" spans="13:19" ht="13.95" customHeight="1">
      <c r="M17544"/>
      <c r="N17544"/>
      <c r="O17544"/>
      <c r="P17544"/>
      <c r="Q17544"/>
      <c r="R17544"/>
      <c r="S17544"/>
    </row>
    <row r="17545" spans="13:19" ht="13.95" customHeight="1">
      <c r="M17545"/>
      <c r="N17545"/>
      <c r="O17545"/>
      <c r="P17545"/>
      <c r="Q17545"/>
      <c r="R17545"/>
      <c r="S17545"/>
    </row>
    <row r="17546" spans="13:19" ht="13.95" customHeight="1">
      <c r="M17546"/>
      <c r="N17546"/>
      <c r="O17546"/>
      <c r="P17546"/>
      <c r="Q17546"/>
      <c r="R17546"/>
      <c r="S17546"/>
    </row>
    <row r="17547" spans="13:19" ht="13.95" customHeight="1">
      <c r="M17547"/>
      <c r="N17547"/>
      <c r="O17547"/>
      <c r="P17547"/>
      <c r="Q17547"/>
      <c r="R17547"/>
      <c r="S17547"/>
    </row>
    <row r="17548" spans="13:19" ht="13.95" customHeight="1">
      <c r="M17548"/>
      <c r="N17548"/>
      <c r="O17548"/>
      <c r="P17548"/>
      <c r="Q17548"/>
      <c r="R17548"/>
      <c r="S17548"/>
    </row>
    <row r="17549" spans="13:19" ht="13.95" customHeight="1">
      <c r="M17549"/>
      <c r="N17549"/>
      <c r="O17549"/>
      <c r="P17549"/>
      <c r="Q17549"/>
      <c r="R17549"/>
      <c r="S17549"/>
    </row>
    <row r="17550" spans="13:19" ht="13.95" customHeight="1">
      <c r="M17550"/>
      <c r="N17550"/>
      <c r="O17550"/>
      <c r="P17550"/>
      <c r="Q17550"/>
      <c r="R17550"/>
      <c r="S17550"/>
    </row>
    <row r="17551" spans="13:19" ht="13.95" customHeight="1">
      <c r="M17551"/>
      <c r="N17551"/>
      <c r="O17551"/>
      <c r="P17551"/>
      <c r="Q17551"/>
      <c r="R17551"/>
      <c r="S17551"/>
    </row>
    <row r="17552" spans="13:19" ht="13.95" customHeight="1">
      <c r="M17552"/>
      <c r="N17552"/>
      <c r="O17552"/>
      <c r="P17552"/>
      <c r="Q17552"/>
      <c r="R17552"/>
      <c r="S17552"/>
    </row>
    <row r="17553" spans="13:19" ht="13.95" customHeight="1">
      <c r="M17553"/>
      <c r="N17553"/>
      <c r="O17553"/>
      <c r="P17553"/>
      <c r="Q17553"/>
      <c r="R17553"/>
      <c r="S17553"/>
    </row>
    <row r="17554" spans="13:19" ht="13.95" customHeight="1">
      <c r="M17554"/>
      <c r="N17554"/>
      <c r="O17554"/>
      <c r="P17554"/>
      <c r="Q17554"/>
      <c r="R17554"/>
      <c r="S17554"/>
    </row>
    <row r="17555" spans="13:19" ht="13.95" customHeight="1">
      <c r="M17555"/>
      <c r="N17555"/>
      <c r="O17555"/>
      <c r="P17555"/>
      <c r="Q17555"/>
      <c r="R17555"/>
      <c r="S17555"/>
    </row>
    <row r="17556" spans="13:19" ht="13.95" customHeight="1">
      <c r="M17556"/>
      <c r="N17556"/>
      <c r="O17556"/>
      <c r="P17556"/>
      <c r="Q17556"/>
      <c r="R17556"/>
      <c r="S17556"/>
    </row>
    <row r="17557" spans="13:19" ht="13.95" customHeight="1">
      <c r="M17557"/>
      <c r="N17557"/>
      <c r="O17557"/>
      <c r="P17557"/>
      <c r="Q17557"/>
      <c r="R17557"/>
      <c r="S17557"/>
    </row>
    <row r="17558" spans="13:19" ht="13.95" customHeight="1">
      <c r="M17558"/>
      <c r="N17558"/>
      <c r="O17558"/>
      <c r="P17558"/>
      <c r="Q17558"/>
      <c r="R17558"/>
      <c r="S17558"/>
    </row>
    <row r="17559" spans="13:19" ht="13.95" customHeight="1">
      <c r="M17559"/>
      <c r="N17559"/>
      <c r="O17559"/>
      <c r="P17559"/>
      <c r="Q17559"/>
      <c r="R17559"/>
      <c r="S17559"/>
    </row>
    <row r="17560" spans="13:19" ht="13.95" customHeight="1">
      <c r="M17560"/>
      <c r="N17560"/>
      <c r="O17560"/>
      <c r="P17560"/>
      <c r="Q17560"/>
      <c r="R17560"/>
      <c r="S17560"/>
    </row>
    <row r="17561" spans="13:19" ht="13.95" customHeight="1">
      <c r="M17561"/>
      <c r="N17561"/>
      <c r="O17561"/>
      <c r="P17561"/>
      <c r="Q17561"/>
      <c r="R17561"/>
      <c r="S17561"/>
    </row>
    <row r="17562" spans="13:19" ht="13.95" customHeight="1">
      <c r="M17562"/>
      <c r="N17562"/>
      <c r="O17562"/>
      <c r="P17562"/>
      <c r="Q17562"/>
      <c r="R17562"/>
      <c r="S17562"/>
    </row>
    <row r="17563" spans="13:19" ht="13.95" customHeight="1">
      <c r="M17563"/>
      <c r="N17563"/>
      <c r="O17563"/>
      <c r="P17563"/>
      <c r="Q17563"/>
      <c r="R17563"/>
      <c r="S17563"/>
    </row>
    <row r="17564" spans="13:19" ht="13.95" customHeight="1">
      <c r="M17564"/>
      <c r="N17564"/>
      <c r="O17564"/>
      <c r="P17564"/>
      <c r="Q17564"/>
      <c r="R17564"/>
      <c r="S17564"/>
    </row>
    <row r="17565" spans="13:19" ht="13.95" customHeight="1">
      <c r="M17565"/>
      <c r="N17565"/>
      <c r="O17565"/>
      <c r="P17565"/>
      <c r="Q17565"/>
      <c r="R17565"/>
      <c r="S17565"/>
    </row>
    <row r="17566" spans="13:19" ht="13.95" customHeight="1">
      <c r="M17566"/>
      <c r="N17566"/>
      <c r="O17566"/>
      <c r="P17566"/>
      <c r="Q17566"/>
      <c r="R17566"/>
      <c r="S17566"/>
    </row>
    <row r="17567" spans="13:19" ht="13.95" customHeight="1">
      <c r="M17567"/>
      <c r="N17567"/>
      <c r="O17567"/>
      <c r="P17567"/>
      <c r="Q17567"/>
      <c r="R17567"/>
      <c r="S17567"/>
    </row>
    <row r="17568" spans="13:19" ht="13.95" customHeight="1">
      <c r="M17568"/>
      <c r="N17568"/>
      <c r="O17568"/>
      <c r="P17568"/>
      <c r="Q17568"/>
      <c r="R17568"/>
      <c r="S17568"/>
    </row>
    <row r="17569" spans="13:19" ht="13.95" customHeight="1">
      <c r="M17569"/>
      <c r="N17569"/>
      <c r="O17569"/>
      <c r="P17569"/>
      <c r="Q17569"/>
      <c r="R17569"/>
      <c r="S17569"/>
    </row>
    <row r="17570" spans="13:19" ht="13.95" customHeight="1">
      <c r="M17570"/>
      <c r="N17570"/>
      <c r="O17570"/>
      <c r="P17570"/>
      <c r="Q17570"/>
      <c r="R17570"/>
      <c r="S17570"/>
    </row>
    <row r="17571" spans="13:19" ht="13.95" customHeight="1">
      <c r="M17571"/>
      <c r="N17571"/>
      <c r="O17571"/>
      <c r="P17571"/>
      <c r="Q17571"/>
      <c r="R17571"/>
      <c r="S17571"/>
    </row>
    <row r="17572" spans="13:19" ht="13.95" customHeight="1">
      <c r="M17572"/>
      <c r="N17572"/>
      <c r="O17572"/>
      <c r="P17572"/>
      <c r="Q17572"/>
      <c r="R17572"/>
      <c r="S17572"/>
    </row>
    <row r="17573" spans="13:19" ht="13.95" customHeight="1">
      <c r="M17573"/>
      <c r="N17573"/>
      <c r="O17573"/>
      <c r="P17573"/>
      <c r="Q17573"/>
      <c r="R17573"/>
      <c r="S17573"/>
    </row>
    <row r="17574" spans="13:19" ht="13.95" customHeight="1">
      <c r="M17574"/>
      <c r="N17574"/>
      <c r="O17574"/>
      <c r="P17574"/>
      <c r="Q17574"/>
      <c r="R17574"/>
      <c r="S17574"/>
    </row>
    <row r="17575" spans="13:19" ht="13.95" customHeight="1">
      <c r="M17575"/>
      <c r="N17575"/>
      <c r="O17575"/>
      <c r="P17575"/>
      <c r="Q17575"/>
      <c r="R17575"/>
      <c r="S17575"/>
    </row>
    <row r="17576" spans="13:19" ht="13.95" customHeight="1">
      <c r="M17576"/>
      <c r="N17576"/>
      <c r="O17576"/>
      <c r="P17576"/>
      <c r="Q17576"/>
      <c r="R17576"/>
      <c r="S17576"/>
    </row>
    <row r="17577" spans="13:19" ht="13.95" customHeight="1">
      <c r="M17577"/>
      <c r="N17577"/>
      <c r="O17577"/>
      <c r="P17577"/>
      <c r="Q17577"/>
      <c r="R17577"/>
      <c r="S17577"/>
    </row>
    <row r="17578" spans="13:19" ht="13.95" customHeight="1">
      <c r="M17578"/>
      <c r="N17578"/>
      <c r="O17578"/>
      <c r="P17578"/>
      <c r="Q17578"/>
      <c r="R17578"/>
      <c r="S17578"/>
    </row>
    <row r="17579" spans="13:19" ht="13.95" customHeight="1">
      <c r="M17579"/>
      <c r="N17579"/>
      <c r="O17579"/>
      <c r="P17579"/>
      <c r="Q17579"/>
      <c r="R17579"/>
      <c r="S17579"/>
    </row>
    <row r="17580" spans="13:19" ht="13.95" customHeight="1">
      <c r="M17580"/>
      <c r="N17580"/>
      <c r="O17580"/>
      <c r="P17580"/>
      <c r="Q17580"/>
      <c r="R17580"/>
      <c r="S17580"/>
    </row>
    <row r="17581" spans="13:19" ht="13.95" customHeight="1">
      <c r="M17581"/>
      <c r="N17581"/>
      <c r="O17581"/>
      <c r="P17581"/>
      <c r="Q17581"/>
      <c r="R17581"/>
      <c r="S17581"/>
    </row>
    <row r="17582" spans="13:19" ht="13.95" customHeight="1">
      <c r="M17582"/>
      <c r="N17582"/>
      <c r="O17582"/>
      <c r="P17582"/>
      <c r="Q17582"/>
      <c r="R17582"/>
      <c r="S17582"/>
    </row>
    <row r="17583" spans="13:19" ht="13.95" customHeight="1">
      <c r="M17583"/>
      <c r="N17583"/>
      <c r="O17583"/>
      <c r="P17583"/>
      <c r="Q17583"/>
      <c r="R17583"/>
      <c r="S17583"/>
    </row>
    <row r="17584" spans="13:19" ht="13.95" customHeight="1">
      <c r="M17584"/>
      <c r="N17584"/>
      <c r="O17584"/>
      <c r="P17584"/>
      <c r="Q17584"/>
      <c r="R17584"/>
      <c r="S17584"/>
    </row>
    <row r="17585" spans="13:19" ht="13.95" customHeight="1">
      <c r="M17585"/>
      <c r="N17585"/>
      <c r="O17585"/>
      <c r="P17585"/>
      <c r="Q17585"/>
      <c r="R17585"/>
      <c r="S17585"/>
    </row>
    <row r="17586" spans="13:19" ht="13.95" customHeight="1">
      <c r="M17586"/>
      <c r="N17586"/>
      <c r="O17586"/>
      <c r="P17586"/>
      <c r="Q17586"/>
      <c r="R17586"/>
      <c r="S17586"/>
    </row>
    <row r="17587" spans="13:19" ht="13.95" customHeight="1">
      <c r="M17587"/>
      <c r="N17587"/>
      <c r="O17587"/>
      <c r="P17587"/>
      <c r="Q17587"/>
      <c r="R17587"/>
      <c r="S17587"/>
    </row>
    <row r="17588" spans="13:19" ht="13.95" customHeight="1">
      <c r="M17588"/>
      <c r="N17588"/>
      <c r="O17588"/>
      <c r="P17588"/>
      <c r="Q17588"/>
      <c r="R17588"/>
      <c r="S17588"/>
    </row>
    <row r="17589" spans="13:19" ht="13.95" customHeight="1">
      <c r="M17589"/>
      <c r="N17589"/>
      <c r="O17589"/>
      <c r="P17589"/>
      <c r="Q17589"/>
      <c r="R17589"/>
      <c r="S17589"/>
    </row>
    <row r="17590" spans="13:19" ht="13.95" customHeight="1">
      <c r="M17590"/>
      <c r="N17590"/>
      <c r="O17590"/>
      <c r="P17590"/>
      <c r="Q17590"/>
      <c r="R17590"/>
      <c r="S17590"/>
    </row>
    <row r="17591" spans="13:19" ht="13.95" customHeight="1">
      <c r="M17591"/>
      <c r="N17591"/>
      <c r="O17591"/>
      <c r="P17591"/>
      <c r="Q17591"/>
      <c r="R17591"/>
      <c r="S17591"/>
    </row>
    <row r="17592" spans="13:19" ht="13.95" customHeight="1">
      <c r="M17592"/>
      <c r="N17592"/>
      <c r="O17592"/>
      <c r="P17592"/>
      <c r="Q17592"/>
      <c r="R17592"/>
      <c r="S17592"/>
    </row>
    <row r="17593" spans="13:19" ht="13.95" customHeight="1">
      <c r="M17593"/>
      <c r="N17593"/>
      <c r="O17593"/>
      <c r="P17593"/>
      <c r="Q17593"/>
      <c r="R17593"/>
      <c r="S17593"/>
    </row>
    <row r="17594" spans="13:19" ht="13.95" customHeight="1">
      <c r="M17594"/>
      <c r="N17594"/>
      <c r="O17594"/>
      <c r="P17594"/>
      <c r="Q17594"/>
      <c r="R17594"/>
      <c r="S17594"/>
    </row>
    <row r="17595" spans="13:19" ht="13.95" customHeight="1">
      <c r="M17595"/>
      <c r="N17595"/>
      <c r="O17595"/>
      <c r="P17595"/>
      <c r="Q17595"/>
      <c r="R17595"/>
      <c r="S17595"/>
    </row>
    <row r="17596" spans="13:19" ht="13.95" customHeight="1">
      <c r="M17596"/>
      <c r="N17596"/>
      <c r="O17596"/>
      <c r="P17596"/>
      <c r="Q17596"/>
      <c r="R17596"/>
      <c r="S17596"/>
    </row>
    <row r="17597" spans="13:19" ht="13.95" customHeight="1">
      <c r="M17597"/>
      <c r="N17597"/>
      <c r="O17597"/>
      <c r="P17597"/>
      <c r="Q17597"/>
      <c r="R17597"/>
      <c r="S17597"/>
    </row>
    <row r="17598" spans="13:19" ht="13.95" customHeight="1">
      <c r="M17598"/>
      <c r="N17598"/>
      <c r="O17598"/>
      <c r="P17598"/>
      <c r="Q17598"/>
      <c r="R17598"/>
      <c r="S17598"/>
    </row>
    <row r="17599" spans="13:19" ht="13.95" customHeight="1">
      <c r="M17599"/>
      <c r="N17599"/>
      <c r="O17599"/>
      <c r="P17599"/>
      <c r="Q17599"/>
      <c r="R17599"/>
      <c r="S17599"/>
    </row>
    <row r="17600" spans="13:19" ht="13.95" customHeight="1">
      <c r="M17600"/>
      <c r="N17600"/>
      <c r="O17600"/>
      <c r="P17600"/>
      <c r="Q17600"/>
      <c r="R17600"/>
      <c r="S17600"/>
    </row>
    <row r="17601" spans="13:19" ht="13.95" customHeight="1">
      <c r="M17601"/>
      <c r="N17601"/>
      <c r="O17601"/>
      <c r="P17601"/>
      <c r="Q17601"/>
      <c r="R17601"/>
      <c r="S17601"/>
    </row>
    <row r="17602" spans="13:19" ht="13.95" customHeight="1">
      <c r="M17602"/>
      <c r="N17602"/>
      <c r="O17602"/>
      <c r="P17602"/>
      <c r="Q17602"/>
      <c r="R17602"/>
      <c r="S17602"/>
    </row>
    <row r="17603" spans="13:19" ht="13.95" customHeight="1">
      <c r="M17603"/>
      <c r="N17603"/>
      <c r="O17603"/>
      <c r="P17603"/>
      <c r="Q17603"/>
      <c r="R17603"/>
      <c r="S17603"/>
    </row>
    <row r="17604" spans="13:19" ht="13.95" customHeight="1">
      <c r="M17604"/>
      <c r="N17604"/>
      <c r="O17604"/>
      <c r="P17604"/>
      <c r="Q17604"/>
      <c r="R17604"/>
      <c r="S17604"/>
    </row>
    <row r="17605" spans="13:19" ht="13.95" customHeight="1">
      <c r="M17605"/>
      <c r="N17605"/>
      <c r="O17605"/>
      <c r="P17605"/>
      <c r="Q17605"/>
      <c r="R17605"/>
      <c r="S17605"/>
    </row>
    <row r="17606" spans="13:19" ht="13.95" customHeight="1">
      <c r="M17606"/>
      <c r="N17606"/>
      <c r="O17606"/>
      <c r="P17606"/>
      <c r="Q17606"/>
      <c r="R17606"/>
      <c r="S17606"/>
    </row>
    <row r="17607" spans="13:19" ht="13.95" customHeight="1">
      <c r="M17607"/>
      <c r="N17607"/>
      <c r="O17607"/>
      <c r="P17607"/>
      <c r="Q17607"/>
      <c r="R17607"/>
      <c r="S17607"/>
    </row>
    <row r="17608" spans="13:19" ht="13.95" customHeight="1">
      <c r="M17608"/>
      <c r="N17608"/>
      <c r="O17608"/>
      <c r="P17608"/>
      <c r="Q17608"/>
      <c r="R17608"/>
      <c r="S17608"/>
    </row>
    <row r="17609" spans="13:19" ht="13.95" customHeight="1">
      <c r="M17609"/>
      <c r="N17609"/>
      <c r="O17609"/>
      <c r="P17609"/>
      <c r="Q17609"/>
      <c r="R17609"/>
      <c r="S17609"/>
    </row>
    <row r="17610" spans="13:19" ht="13.95" customHeight="1">
      <c r="M17610"/>
      <c r="N17610"/>
      <c r="O17610"/>
      <c r="P17610"/>
      <c r="Q17610"/>
      <c r="R17610"/>
      <c r="S17610"/>
    </row>
    <row r="17611" spans="13:19" ht="13.95" customHeight="1">
      <c r="M17611"/>
      <c r="N17611"/>
      <c r="O17611"/>
      <c r="P17611"/>
      <c r="Q17611"/>
      <c r="R17611"/>
      <c r="S17611"/>
    </row>
    <row r="17612" spans="13:19" ht="13.95" customHeight="1">
      <c r="M17612"/>
      <c r="N17612"/>
      <c r="O17612"/>
      <c r="P17612"/>
      <c r="Q17612"/>
      <c r="R17612"/>
      <c r="S17612"/>
    </row>
    <row r="17613" spans="13:19" ht="13.95" customHeight="1">
      <c r="M17613"/>
      <c r="N17613"/>
      <c r="O17613"/>
      <c r="P17613"/>
      <c r="Q17613"/>
      <c r="R17613"/>
      <c r="S17613"/>
    </row>
    <row r="17614" spans="13:19" ht="13.95" customHeight="1">
      <c r="M17614"/>
      <c r="N17614"/>
      <c r="O17614"/>
      <c r="P17614"/>
      <c r="Q17614"/>
      <c r="R17614"/>
      <c r="S17614"/>
    </row>
    <row r="17615" spans="13:19" ht="13.95" customHeight="1">
      <c r="M17615"/>
      <c r="N17615"/>
      <c r="O17615"/>
      <c r="P17615"/>
      <c r="Q17615"/>
      <c r="R17615"/>
      <c r="S17615"/>
    </row>
    <row r="17616" spans="13:19" ht="13.95" customHeight="1">
      <c r="M17616"/>
      <c r="N17616"/>
      <c r="O17616"/>
      <c r="P17616"/>
      <c r="Q17616"/>
      <c r="R17616"/>
      <c r="S17616"/>
    </row>
    <row r="17617" spans="13:19" ht="13.95" customHeight="1">
      <c r="M17617"/>
      <c r="N17617"/>
      <c r="O17617"/>
      <c r="P17617"/>
      <c r="Q17617"/>
      <c r="R17617"/>
      <c r="S17617"/>
    </row>
    <row r="17618" spans="13:19" ht="13.95" customHeight="1">
      <c r="M17618"/>
      <c r="N17618"/>
      <c r="O17618"/>
      <c r="P17618"/>
      <c r="Q17618"/>
      <c r="R17618"/>
      <c r="S17618"/>
    </row>
    <row r="17619" spans="13:19" ht="13.95" customHeight="1">
      <c r="M17619"/>
      <c r="N17619"/>
      <c r="O17619"/>
      <c r="P17619"/>
      <c r="Q17619"/>
      <c r="R17619"/>
      <c r="S17619"/>
    </row>
    <row r="17620" spans="13:19" ht="13.95" customHeight="1">
      <c r="M17620"/>
      <c r="N17620"/>
      <c r="O17620"/>
      <c r="P17620"/>
      <c r="Q17620"/>
      <c r="R17620"/>
      <c r="S17620"/>
    </row>
    <row r="17621" spans="13:19" ht="13.95" customHeight="1">
      <c r="M17621"/>
      <c r="N17621"/>
      <c r="O17621"/>
      <c r="P17621"/>
      <c r="Q17621"/>
      <c r="R17621"/>
      <c r="S17621"/>
    </row>
    <row r="17622" spans="13:19" ht="13.95" customHeight="1">
      <c r="M17622"/>
      <c r="N17622"/>
      <c r="O17622"/>
      <c r="P17622"/>
      <c r="Q17622"/>
      <c r="R17622"/>
      <c r="S17622"/>
    </row>
    <row r="17623" spans="13:19" ht="13.95" customHeight="1">
      <c r="M17623"/>
      <c r="N17623"/>
      <c r="O17623"/>
      <c r="P17623"/>
      <c r="Q17623"/>
      <c r="R17623"/>
      <c r="S17623"/>
    </row>
    <row r="17624" spans="13:19" ht="13.95" customHeight="1">
      <c r="M17624"/>
      <c r="N17624"/>
      <c r="O17624"/>
      <c r="P17624"/>
      <c r="Q17624"/>
      <c r="R17624"/>
      <c r="S17624"/>
    </row>
    <row r="17625" spans="13:19" ht="13.95" customHeight="1">
      <c r="M17625"/>
      <c r="N17625"/>
      <c r="O17625"/>
      <c r="P17625"/>
      <c r="Q17625"/>
      <c r="R17625"/>
      <c r="S17625"/>
    </row>
    <row r="17626" spans="13:19" ht="13.95" customHeight="1">
      <c r="M17626"/>
      <c r="N17626"/>
      <c r="O17626"/>
      <c r="P17626"/>
      <c r="Q17626"/>
      <c r="R17626"/>
      <c r="S17626"/>
    </row>
    <row r="17627" spans="13:19" ht="13.95" customHeight="1">
      <c r="M17627"/>
      <c r="N17627"/>
      <c r="O17627"/>
      <c r="P17627"/>
      <c r="Q17627"/>
      <c r="R17627"/>
      <c r="S17627"/>
    </row>
    <row r="17628" spans="13:19" ht="13.95" customHeight="1">
      <c r="M17628"/>
      <c r="N17628"/>
      <c r="O17628"/>
      <c r="P17628"/>
      <c r="Q17628"/>
      <c r="R17628"/>
      <c r="S17628"/>
    </row>
    <row r="17629" spans="13:19" ht="13.95" customHeight="1">
      <c r="M17629"/>
      <c r="N17629"/>
      <c r="O17629"/>
      <c r="P17629"/>
      <c r="Q17629"/>
      <c r="R17629"/>
      <c r="S17629"/>
    </row>
    <row r="17630" spans="13:19" ht="13.95" customHeight="1">
      <c r="M17630"/>
      <c r="N17630"/>
      <c r="O17630"/>
      <c r="P17630"/>
      <c r="Q17630"/>
      <c r="R17630"/>
      <c r="S17630"/>
    </row>
    <row r="17631" spans="13:19" ht="13.95" customHeight="1">
      <c r="M17631"/>
      <c r="N17631"/>
      <c r="O17631"/>
      <c r="P17631"/>
      <c r="Q17631"/>
      <c r="R17631"/>
      <c r="S17631"/>
    </row>
    <row r="17632" spans="13:19" ht="13.95" customHeight="1">
      <c r="M17632"/>
      <c r="N17632"/>
      <c r="O17632"/>
      <c r="P17632"/>
      <c r="Q17632"/>
      <c r="R17632"/>
      <c r="S17632"/>
    </row>
    <row r="17633" spans="13:19" ht="13.95" customHeight="1">
      <c r="M17633"/>
      <c r="N17633"/>
      <c r="O17633"/>
      <c r="P17633"/>
      <c r="Q17633"/>
      <c r="R17633"/>
      <c r="S17633"/>
    </row>
    <row r="17634" spans="13:19" ht="13.95" customHeight="1">
      <c r="M17634"/>
      <c r="N17634"/>
      <c r="O17634"/>
      <c r="P17634"/>
      <c r="Q17634"/>
      <c r="R17634"/>
      <c r="S17634"/>
    </row>
    <row r="17635" spans="13:19" ht="13.95" customHeight="1">
      <c r="M17635"/>
      <c r="N17635"/>
      <c r="O17635"/>
      <c r="P17635"/>
      <c r="Q17635"/>
      <c r="R17635"/>
      <c r="S17635"/>
    </row>
    <row r="17636" spans="13:19" ht="13.95" customHeight="1">
      <c r="M17636"/>
      <c r="N17636"/>
      <c r="O17636"/>
      <c r="P17636"/>
      <c r="Q17636"/>
      <c r="R17636"/>
      <c r="S17636"/>
    </row>
    <row r="17637" spans="13:19" ht="13.95" customHeight="1">
      <c r="M17637"/>
      <c r="N17637"/>
      <c r="O17637"/>
      <c r="P17637"/>
      <c r="Q17637"/>
      <c r="R17637"/>
      <c r="S17637"/>
    </row>
    <row r="17638" spans="13:19" ht="13.95" customHeight="1">
      <c r="M17638"/>
      <c r="N17638"/>
      <c r="O17638"/>
      <c r="P17638"/>
      <c r="Q17638"/>
      <c r="R17638"/>
      <c r="S17638"/>
    </row>
    <row r="17639" spans="13:19" ht="13.95" customHeight="1">
      <c r="M17639"/>
      <c r="N17639"/>
      <c r="O17639"/>
      <c r="P17639"/>
      <c r="Q17639"/>
      <c r="R17639"/>
      <c r="S17639"/>
    </row>
    <row r="17640" spans="13:19" ht="13.95" customHeight="1">
      <c r="M17640"/>
      <c r="N17640"/>
      <c r="O17640"/>
      <c r="P17640"/>
      <c r="Q17640"/>
      <c r="R17640"/>
      <c r="S17640"/>
    </row>
    <row r="17641" spans="13:19" ht="13.95" customHeight="1">
      <c r="M17641"/>
      <c r="N17641"/>
      <c r="O17641"/>
      <c r="P17641"/>
      <c r="Q17641"/>
      <c r="R17641"/>
      <c r="S17641"/>
    </row>
    <row r="17642" spans="13:19" ht="13.95" customHeight="1">
      <c r="M17642"/>
      <c r="N17642"/>
      <c r="O17642"/>
      <c r="P17642"/>
      <c r="Q17642"/>
      <c r="R17642"/>
      <c r="S17642"/>
    </row>
    <row r="17643" spans="13:19" ht="13.95" customHeight="1">
      <c r="M17643"/>
      <c r="N17643"/>
      <c r="O17643"/>
      <c r="P17643"/>
      <c r="Q17643"/>
      <c r="R17643"/>
      <c r="S17643"/>
    </row>
    <row r="17644" spans="13:19" ht="13.95" customHeight="1">
      <c r="M17644"/>
      <c r="N17644"/>
      <c r="O17644"/>
      <c r="P17644"/>
      <c r="Q17644"/>
      <c r="R17644"/>
      <c r="S17644"/>
    </row>
    <row r="17645" spans="13:19" ht="13.95" customHeight="1">
      <c r="M17645"/>
      <c r="N17645"/>
      <c r="O17645"/>
      <c r="P17645"/>
      <c r="Q17645"/>
      <c r="R17645"/>
      <c r="S17645"/>
    </row>
    <row r="17646" spans="13:19" ht="13.95" customHeight="1">
      <c r="M17646"/>
      <c r="N17646"/>
      <c r="O17646"/>
      <c r="P17646"/>
      <c r="Q17646"/>
      <c r="R17646"/>
      <c r="S17646"/>
    </row>
    <row r="17647" spans="13:19" ht="13.95" customHeight="1">
      <c r="M17647"/>
      <c r="N17647"/>
      <c r="O17647"/>
      <c r="P17647"/>
      <c r="Q17647"/>
      <c r="R17647"/>
      <c r="S17647"/>
    </row>
    <row r="17648" spans="13:19" ht="13.95" customHeight="1">
      <c r="M17648"/>
      <c r="N17648"/>
      <c r="O17648"/>
      <c r="P17648"/>
      <c r="Q17648"/>
      <c r="R17648"/>
      <c r="S17648"/>
    </row>
    <row r="17649" spans="13:19" ht="13.95" customHeight="1">
      <c r="M17649"/>
      <c r="N17649"/>
      <c r="O17649"/>
      <c r="P17649"/>
      <c r="Q17649"/>
      <c r="R17649"/>
      <c r="S17649"/>
    </row>
    <row r="17650" spans="13:19" ht="13.95" customHeight="1">
      <c r="M17650"/>
      <c r="N17650"/>
      <c r="O17650"/>
      <c r="P17650"/>
      <c r="Q17650"/>
      <c r="R17650"/>
      <c r="S17650"/>
    </row>
    <row r="17651" spans="13:19" ht="13.95" customHeight="1">
      <c r="M17651"/>
      <c r="N17651"/>
      <c r="O17651"/>
      <c r="P17651"/>
      <c r="Q17651"/>
      <c r="R17651"/>
      <c r="S17651"/>
    </row>
    <row r="17652" spans="13:19" ht="13.95" customHeight="1">
      <c r="M17652"/>
      <c r="N17652"/>
      <c r="O17652"/>
      <c r="P17652"/>
      <c r="Q17652"/>
      <c r="R17652"/>
      <c r="S17652"/>
    </row>
    <row r="17653" spans="13:19" ht="13.95" customHeight="1">
      <c r="M17653"/>
      <c r="N17653"/>
      <c r="O17653"/>
      <c r="P17653"/>
      <c r="Q17653"/>
      <c r="R17653"/>
      <c r="S17653"/>
    </row>
    <row r="17654" spans="13:19" ht="13.95" customHeight="1">
      <c r="M17654"/>
      <c r="N17654"/>
      <c r="O17654"/>
      <c r="P17654"/>
      <c r="Q17654"/>
      <c r="R17654"/>
      <c r="S17654"/>
    </row>
    <row r="17655" spans="13:19" ht="13.95" customHeight="1">
      <c r="M17655"/>
      <c r="N17655"/>
      <c r="O17655"/>
      <c r="P17655"/>
      <c r="Q17655"/>
      <c r="R17655"/>
      <c r="S17655"/>
    </row>
    <row r="17656" spans="13:19" ht="13.95" customHeight="1">
      <c r="M17656"/>
      <c r="N17656"/>
      <c r="O17656"/>
      <c r="P17656"/>
      <c r="Q17656"/>
      <c r="R17656"/>
      <c r="S17656"/>
    </row>
    <row r="17657" spans="13:19" ht="13.95" customHeight="1">
      <c r="M17657"/>
      <c r="N17657"/>
      <c r="O17657"/>
      <c r="P17657"/>
      <c r="Q17657"/>
      <c r="R17657"/>
      <c r="S17657"/>
    </row>
    <row r="17658" spans="13:19" ht="13.95" customHeight="1">
      <c r="M17658"/>
      <c r="N17658"/>
      <c r="O17658"/>
      <c r="P17658"/>
      <c r="Q17658"/>
      <c r="R17658"/>
      <c r="S17658"/>
    </row>
    <row r="17659" spans="13:19" ht="13.95" customHeight="1">
      <c r="M17659"/>
      <c r="N17659"/>
      <c r="O17659"/>
      <c r="P17659"/>
      <c r="Q17659"/>
      <c r="R17659"/>
      <c r="S17659"/>
    </row>
    <row r="17660" spans="13:19" ht="13.95" customHeight="1">
      <c r="M17660"/>
      <c r="N17660"/>
      <c r="O17660"/>
      <c r="P17660"/>
      <c r="Q17660"/>
      <c r="R17660"/>
      <c r="S17660"/>
    </row>
    <row r="17661" spans="13:19" ht="13.95" customHeight="1">
      <c r="M17661"/>
      <c r="N17661"/>
      <c r="O17661"/>
      <c r="P17661"/>
      <c r="Q17661"/>
      <c r="R17661"/>
      <c r="S17661"/>
    </row>
    <row r="17662" spans="13:19" ht="13.95" customHeight="1">
      <c r="M17662"/>
      <c r="N17662"/>
      <c r="O17662"/>
      <c r="P17662"/>
      <c r="Q17662"/>
      <c r="R17662"/>
      <c r="S17662"/>
    </row>
    <row r="17663" spans="13:19" ht="13.95" customHeight="1">
      <c r="M17663"/>
      <c r="N17663"/>
      <c r="O17663"/>
      <c r="P17663"/>
      <c r="Q17663"/>
      <c r="R17663"/>
      <c r="S17663"/>
    </row>
    <row r="17664" spans="13:19" ht="13.95" customHeight="1">
      <c r="M17664"/>
      <c r="N17664"/>
      <c r="O17664"/>
      <c r="P17664"/>
      <c r="Q17664"/>
      <c r="R17664"/>
      <c r="S17664"/>
    </row>
    <row r="17665" spans="13:19" ht="13.95" customHeight="1">
      <c r="M17665"/>
      <c r="N17665"/>
      <c r="O17665"/>
      <c r="P17665"/>
      <c r="Q17665"/>
      <c r="R17665"/>
      <c r="S17665"/>
    </row>
    <row r="17666" spans="13:19" ht="13.95" customHeight="1">
      <c r="M17666"/>
      <c r="N17666"/>
      <c r="O17666"/>
      <c r="P17666"/>
      <c r="Q17666"/>
      <c r="R17666"/>
      <c r="S17666"/>
    </row>
    <row r="17667" spans="13:19" ht="13.95" customHeight="1">
      <c r="M17667"/>
      <c r="N17667"/>
      <c r="O17667"/>
      <c r="P17667"/>
      <c r="Q17667"/>
      <c r="R17667"/>
      <c r="S17667"/>
    </row>
    <row r="17668" spans="13:19" ht="13.95" customHeight="1">
      <c r="M17668"/>
      <c r="N17668"/>
      <c r="O17668"/>
      <c r="P17668"/>
      <c r="Q17668"/>
      <c r="R17668"/>
      <c r="S17668"/>
    </row>
    <row r="17669" spans="13:19" ht="13.95" customHeight="1">
      <c r="M17669"/>
      <c r="N17669"/>
      <c r="O17669"/>
      <c r="P17669"/>
      <c r="Q17669"/>
      <c r="R17669"/>
      <c r="S17669"/>
    </row>
    <row r="17670" spans="13:19" ht="13.95" customHeight="1">
      <c r="M17670"/>
      <c r="N17670"/>
      <c r="O17670"/>
      <c r="P17670"/>
      <c r="Q17670"/>
      <c r="R17670"/>
      <c r="S17670"/>
    </row>
    <row r="17671" spans="13:19" ht="13.95" customHeight="1">
      <c r="M17671"/>
      <c r="N17671"/>
      <c r="O17671"/>
      <c r="P17671"/>
      <c r="Q17671"/>
      <c r="R17671"/>
      <c r="S17671"/>
    </row>
    <row r="17672" spans="13:19" ht="13.95" customHeight="1">
      <c r="M17672"/>
      <c r="N17672"/>
      <c r="O17672"/>
      <c r="P17672"/>
      <c r="Q17672"/>
      <c r="R17672"/>
      <c r="S17672"/>
    </row>
    <row r="17673" spans="13:19" ht="13.95" customHeight="1">
      <c r="M17673"/>
      <c r="N17673"/>
      <c r="O17673"/>
      <c r="P17673"/>
      <c r="Q17673"/>
      <c r="R17673"/>
      <c r="S17673"/>
    </row>
    <row r="17674" spans="13:19" ht="13.95" customHeight="1">
      <c r="M17674"/>
      <c r="N17674"/>
      <c r="O17674"/>
      <c r="P17674"/>
      <c r="Q17674"/>
      <c r="R17674"/>
      <c r="S17674"/>
    </row>
    <row r="17675" spans="13:19" ht="13.95" customHeight="1">
      <c r="M17675"/>
      <c r="N17675"/>
      <c r="O17675"/>
      <c r="P17675"/>
      <c r="Q17675"/>
      <c r="R17675"/>
      <c r="S17675"/>
    </row>
    <row r="17676" spans="13:19" ht="13.95" customHeight="1">
      <c r="M17676"/>
      <c r="N17676"/>
      <c r="O17676"/>
      <c r="P17676"/>
      <c r="Q17676"/>
      <c r="R17676"/>
      <c r="S17676"/>
    </row>
    <row r="17677" spans="13:19" ht="13.95" customHeight="1">
      <c r="M17677"/>
      <c r="N17677"/>
      <c r="O17677"/>
      <c r="P17677"/>
      <c r="Q17677"/>
      <c r="R17677"/>
      <c r="S17677"/>
    </row>
    <row r="17678" spans="13:19" ht="13.95" customHeight="1">
      <c r="M17678"/>
      <c r="N17678"/>
      <c r="O17678"/>
      <c r="P17678"/>
      <c r="Q17678"/>
      <c r="R17678"/>
      <c r="S17678"/>
    </row>
    <row r="17679" spans="13:19" ht="13.95" customHeight="1">
      <c r="M17679"/>
      <c r="N17679"/>
      <c r="O17679"/>
      <c r="P17679"/>
      <c r="Q17679"/>
      <c r="R17679"/>
      <c r="S17679"/>
    </row>
    <row r="17680" spans="13:19" ht="13.95" customHeight="1">
      <c r="M17680"/>
      <c r="N17680"/>
      <c r="O17680"/>
      <c r="P17680"/>
      <c r="Q17680"/>
      <c r="R17680"/>
      <c r="S17680"/>
    </row>
    <row r="17681" spans="13:19" ht="13.95" customHeight="1">
      <c r="M17681"/>
      <c r="N17681"/>
      <c r="O17681"/>
      <c r="P17681"/>
      <c r="Q17681"/>
      <c r="R17681"/>
      <c r="S17681"/>
    </row>
    <row r="17682" spans="13:19" ht="13.95" customHeight="1">
      <c r="M17682"/>
      <c r="N17682"/>
      <c r="O17682"/>
      <c r="P17682"/>
      <c r="Q17682"/>
      <c r="R17682"/>
      <c r="S17682"/>
    </row>
    <row r="17683" spans="13:19" ht="13.95" customHeight="1">
      <c r="M17683"/>
      <c r="N17683"/>
      <c r="O17683"/>
      <c r="P17683"/>
      <c r="Q17683"/>
      <c r="R17683"/>
      <c r="S17683"/>
    </row>
    <row r="17684" spans="13:19" ht="13.95" customHeight="1">
      <c r="M17684"/>
      <c r="N17684"/>
      <c r="O17684"/>
      <c r="P17684"/>
      <c r="Q17684"/>
      <c r="R17684"/>
      <c r="S17684"/>
    </row>
    <row r="17685" spans="13:19" ht="13.95" customHeight="1">
      <c r="M17685"/>
      <c r="N17685"/>
      <c r="O17685"/>
      <c r="P17685"/>
      <c r="Q17685"/>
      <c r="R17685"/>
      <c r="S17685"/>
    </row>
    <row r="17686" spans="13:19" ht="13.95" customHeight="1">
      <c r="M17686"/>
      <c r="N17686"/>
      <c r="O17686"/>
      <c r="P17686"/>
      <c r="Q17686"/>
      <c r="R17686"/>
      <c r="S17686"/>
    </row>
    <row r="17687" spans="13:19" ht="13.95" customHeight="1">
      <c r="M17687"/>
      <c r="N17687"/>
      <c r="O17687"/>
      <c r="P17687"/>
      <c r="Q17687"/>
      <c r="R17687"/>
      <c r="S17687"/>
    </row>
    <row r="17688" spans="13:19" ht="13.95" customHeight="1">
      <c r="M17688"/>
      <c r="N17688"/>
      <c r="O17688"/>
      <c r="P17688"/>
      <c r="Q17688"/>
      <c r="R17688"/>
      <c r="S17688"/>
    </row>
    <row r="17689" spans="13:19" ht="13.95" customHeight="1">
      <c r="M17689"/>
      <c r="N17689"/>
      <c r="O17689"/>
      <c r="P17689"/>
      <c r="Q17689"/>
      <c r="R17689"/>
      <c r="S17689"/>
    </row>
    <row r="17690" spans="13:19" ht="13.95" customHeight="1">
      <c r="M17690"/>
      <c r="N17690"/>
      <c r="O17690"/>
      <c r="P17690"/>
      <c r="Q17690"/>
      <c r="R17690"/>
      <c r="S17690"/>
    </row>
    <row r="17691" spans="13:19" ht="13.95" customHeight="1">
      <c r="M17691"/>
      <c r="N17691"/>
      <c r="O17691"/>
      <c r="P17691"/>
      <c r="Q17691"/>
      <c r="R17691"/>
      <c r="S17691"/>
    </row>
    <row r="17692" spans="13:19" ht="13.95" customHeight="1">
      <c r="M17692"/>
      <c r="N17692"/>
      <c r="O17692"/>
      <c r="P17692"/>
      <c r="Q17692"/>
      <c r="R17692"/>
      <c r="S17692"/>
    </row>
    <row r="17693" spans="13:19" ht="13.95" customHeight="1">
      <c r="M17693"/>
      <c r="N17693"/>
      <c r="O17693"/>
      <c r="P17693"/>
      <c r="Q17693"/>
      <c r="R17693"/>
      <c r="S17693"/>
    </row>
    <row r="17694" spans="13:19" ht="13.95" customHeight="1">
      <c r="M17694"/>
      <c r="N17694"/>
      <c r="O17694"/>
      <c r="P17694"/>
      <c r="Q17694"/>
      <c r="R17694"/>
      <c r="S17694"/>
    </row>
    <row r="17695" spans="13:19" ht="13.95" customHeight="1">
      <c r="M17695"/>
      <c r="N17695"/>
      <c r="O17695"/>
      <c r="P17695"/>
      <c r="Q17695"/>
      <c r="R17695"/>
      <c r="S17695"/>
    </row>
    <row r="17696" spans="13:19" ht="13.95" customHeight="1">
      <c r="M17696"/>
      <c r="N17696"/>
      <c r="O17696"/>
      <c r="P17696"/>
      <c r="Q17696"/>
      <c r="R17696"/>
      <c r="S17696"/>
    </row>
    <row r="17697" spans="13:19" ht="13.95" customHeight="1">
      <c r="M17697"/>
      <c r="N17697"/>
      <c r="O17697"/>
      <c r="P17697"/>
      <c r="Q17697"/>
      <c r="R17697"/>
      <c r="S17697"/>
    </row>
    <row r="17698" spans="13:19" ht="13.95" customHeight="1">
      <c r="M17698"/>
      <c r="N17698"/>
      <c r="O17698"/>
      <c r="P17698"/>
      <c r="Q17698"/>
      <c r="R17698"/>
      <c r="S17698"/>
    </row>
    <row r="17699" spans="13:19" ht="13.95" customHeight="1">
      <c r="M17699"/>
      <c r="N17699"/>
      <c r="O17699"/>
      <c r="P17699"/>
      <c r="Q17699"/>
      <c r="R17699"/>
      <c r="S17699"/>
    </row>
    <row r="17700" spans="13:19" ht="13.95" customHeight="1">
      <c r="M17700"/>
      <c r="N17700"/>
      <c r="O17700"/>
      <c r="P17700"/>
      <c r="Q17700"/>
      <c r="R17700"/>
      <c r="S17700"/>
    </row>
    <row r="17701" spans="13:19" ht="13.95" customHeight="1">
      <c r="M17701"/>
      <c r="N17701"/>
      <c r="O17701"/>
      <c r="P17701"/>
      <c r="Q17701"/>
      <c r="R17701"/>
      <c r="S17701"/>
    </row>
    <row r="17702" spans="13:19" ht="13.95" customHeight="1">
      <c r="M17702"/>
      <c r="N17702"/>
      <c r="O17702"/>
      <c r="P17702"/>
      <c r="Q17702"/>
      <c r="R17702"/>
      <c r="S17702"/>
    </row>
    <row r="17703" spans="13:19" ht="13.95" customHeight="1">
      <c r="M17703"/>
      <c r="N17703"/>
      <c r="O17703"/>
      <c r="P17703"/>
      <c r="Q17703"/>
      <c r="R17703"/>
      <c r="S17703"/>
    </row>
    <row r="17704" spans="13:19" ht="13.95" customHeight="1">
      <c r="M17704"/>
      <c r="N17704"/>
      <c r="O17704"/>
      <c r="P17704"/>
      <c r="Q17704"/>
      <c r="R17704"/>
      <c r="S17704"/>
    </row>
    <row r="17705" spans="13:19" ht="13.95" customHeight="1">
      <c r="M17705"/>
      <c r="N17705"/>
      <c r="O17705"/>
      <c r="P17705"/>
      <c r="Q17705"/>
      <c r="R17705"/>
      <c r="S17705"/>
    </row>
    <row r="17706" spans="13:19" ht="13.95" customHeight="1">
      <c r="M17706"/>
      <c r="N17706"/>
      <c r="O17706"/>
      <c r="P17706"/>
      <c r="Q17706"/>
      <c r="R17706"/>
      <c r="S17706"/>
    </row>
    <row r="17707" spans="13:19" ht="13.95" customHeight="1">
      <c r="M17707"/>
      <c r="N17707"/>
      <c r="O17707"/>
      <c r="P17707"/>
      <c r="Q17707"/>
      <c r="R17707"/>
      <c r="S17707"/>
    </row>
    <row r="17708" spans="13:19" ht="13.95" customHeight="1">
      <c r="M17708"/>
      <c r="N17708"/>
      <c r="O17708"/>
      <c r="P17708"/>
      <c r="Q17708"/>
      <c r="R17708"/>
      <c r="S17708"/>
    </row>
    <row r="17709" spans="13:19" ht="13.95" customHeight="1">
      <c r="M17709"/>
      <c r="N17709"/>
      <c r="O17709"/>
      <c r="P17709"/>
      <c r="Q17709"/>
      <c r="R17709"/>
      <c r="S17709"/>
    </row>
    <row r="17710" spans="13:19" ht="13.95" customHeight="1">
      <c r="M17710"/>
      <c r="N17710"/>
      <c r="O17710"/>
      <c r="P17710"/>
      <c r="Q17710"/>
      <c r="R17710"/>
      <c r="S17710"/>
    </row>
    <row r="17711" spans="13:19" ht="13.95" customHeight="1">
      <c r="M17711"/>
      <c r="N17711"/>
      <c r="O17711"/>
      <c r="P17711"/>
      <c r="Q17711"/>
      <c r="R17711"/>
      <c r="S17711"/>
    </row>
    <row r="17712" spans="13:19" ht="13.95" customHeight="1">
      <c r="M17712"/>
      <c r="N17712"/>
      <c r="O17712"/>
      <c r="P17712"/>
      <c r="Q17712"/>
      <c r="R17712"/>
      <c r="S17712"/>
    </row>
    <row r="17713" spans="13:19" ht="13.95" customHeight="1">
      <c r="M17713"/>
      <c r="N17713"/>
      <c r="O17713"/>
      <c r="P17713"/>
      <c r="Q17713"/>
      <c r="R17713"/>
      <c r="S17713"/>
    </row>
    <row r="17714" spans="13:19" ht="13.95" customHeight="1">
      <c r="M17714"/>
      <c r="N17714"/>
      <c r="O17714"/>
      <c r="P17714"/>
      <c r="Q17714"/>
      <c r="R17714"/>
      <c r="S17714"/>
    </row>
    <row r="17715" spans="13:19" ht="13.95" customHeight="1">
      <c r="M17715"/>
      <c r="N17715"/>
      <c r="O17715"/>
      <c r="P17715"/>
      <c r="Q17715"/>
      <c r="R17715"/>
      <c r="S17715"/>
    </row>
    <row r="17716" spans="13:19" ht="13.95" customHeight="1">
      <c r="M17716"/>
      <c r="N17716"/>
      <c r="O17716"/>
      <c r="P17716"/>
      <c r="Q17716"/>
      <c r="R17716"/>
      <c r="S17716"/>
    </row>
    <row r="17717" spans="13:19" ht="13.95" customHeight="1">
      <c r="M17717"/>
      <c r="N17717"/>
      <c r="O17717"/>
      <c r="P17717"/>
      <c r="Q17717"/>
      <c r="R17717"/>
      <c r="S17717"/>
    </row>
    <row r="17718" spans="13:19" ht="13.95" customHeight="1">
      <c r="M17718"/>
      <c r="N17718"/>
      <c r="O17718"/>
      <c r="P17718"/>
      <c r="Q17718"/>
      <c r="R17718"/>
      <c r="S17718"/>
    </row>
    <row r="17719" spans="13:19" ht="13.95" customHeight="1">
      <c r="M17719"/>
      <c r="N17719"/>
      <c r="O17719"/>
      <c r="P17719"/>
      <c r="Q17719"/>
      <c r="R17719"/>
      <c r="S17719"/>
    </row>
    <row r="17720" spans="13:19" ht="13.95" customHeight="1">
      <c r="M17720"/>
      <c r="N17720"/>
      <c r="O17720"/>
      <c r="P17720"/>
      <c r="Q17720"/>
      <c r="R17720"/>
      <c r="S17720"/>
    </row>
    <row r="17721" spans="13:19" ht="13.95" customHeight="1">
      <c r="M17721"/>
      <c r="N17721"/>
      <c r="O17721"/>
      <c r="P17721"/>
      <c r="Q17721"/>
      <c r="R17721"/>
      <c r="S17721"/>
    </row>
    <row r="17722" spans="13:19" ht="13.95" customHeight="1">
      <c r="M17722"/>
      <c r="N17722"/>
      <c r="O17722"/>
      <c r="P17722"/>
      <c r="Q17722"/>
      <c r="R17722"/>
      <c r="S17722"/>
    </row>
    <row r="17723" spans="13:19" ht="13.95" customHeight="1">
      <c r="M17723"/>
      <c r="N17723"/>
      <c r="O17723"/>
      <c r="P17723"/>
      <c r="Q17723"/>
      <c r="R17723"/>
      <c r="S17723"/>
    </row>
    <row r="17724" spans="13:19" ht="13.95" customHeight="1">
      <c r="M17724"/>
      <c r="N17724"/>
      <c r="O17724"/>
      <c r="P17724"/>
      <c r="Q17724"/>
      <c r="R17724"/>
      <c r="S17724"/>
    </row>
    <row r="17725" spans="13:19" ht="13.95" customHeight="1">
      <c r="M17725"/>
      <c r="N17725"/>
      <c r="O17725"/>
      <c r="P17725"/>
      <c r="Q17725"/>
      <c r="R17725"/>
      <c r="S17725"/>
    </row>
    <row r="17726" spans="13:19" ht="13.95" customHeight="1">
      <c r="M17726"/>
      <c r="N17726"/>
      <c r="O17726"/>
      <c r="P17726"/>
      <c r="Q17726"/>
      <c r="R17726"/>
      <c r="S17726"/>
    </row>
    <row r="17727" spans="13:19" ht="13.95" customHeight="1">
      <c r="M17727"/>
      <c r="N17727"/>
      <c r="O17727"/>
      <c r="P17727"/>
      <c r="Q17727"/>
      <c r="R17727"/>
      <c r="S17727"/>
    </row>
    <row r="17728" spans="13:19" ht="13.95" customHeight="1">
      <c r="M17728"/>
      <c r="N17728"/>
      <c r="O17728"/>
      <c r="P17728"/>
      <c r="Q17728"/>
      <c r="R17728"/>
      <c r="S17728"/>
    </row>
    <row r="17729" spans="13:19" ht="13.95" customHeight="1">
      <c r="M17729"/>
      <c r="N17729"/>
      <c r="O17729"/>
      <c r="P17729"/>
      <c r="Q17729"/>
      <c r="R17729"/>
      <c r="S17729"/>
    </row>
    <row r="17730" spans="13:19" ht="13.95" customHeight="1">
      <c r="M17730"/>
      <c r="N17730"/>
      <c r="O17730"/>
      <c r="P17730"/>
      <c r="Q17730"/>
      <c r="R17730"/>
      <c r="S17730"/>
    </row>
    <row r="17731" spans="13:19" ht="13.95" customHeight="1">
      <c r="M17731"/>
      <c r="N17731"/>
      <c r="O17731"/>
      <c r="P17731"/>
      <c r="Q17731"/>
      <c r="R17731"/>
      <c r="S17731"/>
    </row>
    <row r="17732" spans="13:19" ht="13.95" customHeight="1">
      <c r="M17732"/>
      <c r="N17732"/>
      <c r="O17732"/>
      <c r="P17732"/>
      <c r="Q17732"/>
      <c r="R17732"/>
      <c r="S17732"/>
    </row>
    <row r="17733" spans="13:19" ht="13.95" customHeight="1">
      <c r="M17733"/>
      <c r="N17733"/>
      <c r="O17733"/>
      <c r="P17733"/>
      <c r="Q17733"/>
      <c r="R17733"/>
      <c r="S17733"/>
    </row>
    <row r="17734" spans="13:19" ht="13.95" customHeight="1">
      <c r="M17734"/>
      <c r="N17734"/>
      <c r="O17734"/>
      <c r="P17734"/>
      <c r="Q17734"/>
      <c r="R17734"/>
      <c r="S17734"/>
    </row>
    <row r="17735" spans="13:19" ht="13.95" customHeight="1">
      <c r="M17735"/>
      <c r="N17735"/>
      <c r="O17735"/>
      <c r="P17735"/>
      <c r="Q17735"/>
      <c r="R17735"/>
      <c r="S17735"/>
    </row>
    <row r="17736" spans="13:19" ht="13.95" customHeight="1">
      <c r="M17736"/>
      <c r="N17736"/>
      <c r="O17736"/>
      <c r="P17736"/>
      <c r="Q17736"/>
      <c r="R17736"/>
      <c r="S17736"/>
    </row>
    <row r="17737" spans="13:19" ht="13.95" customHeight="1">
      <c r="M17737"/>
      <c r="N17737"/>
      <c r="O17737"/>
      <c r="P17737"/>
      <c r="Q17737"/>
      <c r="R17737"/>
      <c r="S17737"/>
    </row>
    <row r="17738" spans="13:19" ht="13.95" customHeight="1">
      <c r="M17738"/>
      <c r="N17738"/>
      <c r="O17738"/>
      <c r="P17738"/>
      <c r="Q17738"/>
      <c r="R17738"/>
      <c r="S17738"/>
    </row>
    <row r="17739" spans="13:19" ht="13.95" customHeight="1">
      <c r="M17739"/>
      <c r="N17739"/>
      <c r="O17739"/>
      <c r="P17739"/>
      <c r="Q17739"/>
      <c r="R17739"/>
      <c r="S17739"/>
    </row>
    <row r="17740" spans="13:19" ht="13.95" customHeight="1">
      <c r="M17740"/>
      <c r="N17740"/>
      <c r="O17740"/>
      <c r="P17740"/>
      <c r="Q17740"/>
      <c r="R17740"/>
      <c r="S17740"/>
    </row>
    <row r="17741" spans="13:19" ht="13.95" customHeight="1">
      <c r="M17741"/>
      <c r="N17741"/>
      <c r="O17741"/>
      <c r="P17741"/>
      <c r="Q17741"/>
      <c r="R17741"/>
      <c r="S17741"/>
    </row>
    <row r="17742" spans="13:19" ht="13.95" customHeight="1">
      <c r="M17742"/>
      <c r="N17742"/>
      <c r="O17742"/>
      <c r="P17742"/>
      <c r="Q17742"/>
      <c r="R17742"/>
      <c r="S17742"/>
    </row>
    <row r="17743" spans="13:19" ht="13.95" customHeight="1">
      <c r="M17743"/>
      <c r="N17743"/>
      <c r="O17743"/>
      <c r="P17743"/>
      <c r="Q17743"/>
      <c r="R17743"/>
      <c r="S17743"/>
    </row>
    <row r="17744" spans="13:19" ht="13.95" customHeight="1">
      <c r="M17744"/>
      <c r="N17744"/>
      <c r="O17744"/>
      <c r="P17744"/>
      <c r="Q17744"/>
      <c r="R17744"/>
      <c r="S17744"/>
    </row>
    <row r="17745" spans="13:19" ht="13.95" customHeight="1">
      <c r="M17745"/>
      <c r="N17745"/>
      <c r="O17745"/>
      <c r="P17745"/>
      <c r="Q17745"/>
      <c r="R17745"/>
      <c r="S17745"/>
    </row>
    <row r="17746" spans="13:19" ht="13.95" customHeight="1">
      <c r="M17746"/>
      <c r="N17746"/>
      <c r="O17746"/>
      <c r="P17746"/>
      <c r="Q17746"/>
      <c r="R17746"/>
      <c r="S17746"/>
    </row>
    <row r="17747" spans="13:19" ht="13.95" customHeight="1">
      <c r="M17747"/>
      <c r="N17747"/>
      <c r="O17747"/>
      <c r="P17747"/>
      <c r="Q17747"/>
      <c r="R17747"/>
      <c r="S17747"/>
    </row>
    <row r="17748" spans="13:19" ht="13.95" customHeight="1">
      <c r="M17748"/>
      <c r="N17748"/>
      <c r="O17748"/>
      <c r="P17748"/>
      <c r="Q17748"/>
      <c r="R17748"/>
      <c r="S17748"/>
    </row>
    <row r="17749" spans="13:19" ht="13.95" customHeight="1">
      <c r="M17749"/>
      <c r="N17749"/>
      <c r="O17749"/>
      <c r="P17749"/>
      <c r="Q17749"/>
      <c r="R17749"/>
      <c r="S17749"/>
    </row>
    <row r="17750" spans="13:19" ht="13.95" customHeight="1">
      <c r="M17750"/>
      <c r="N17750"/>
      <c r="O17750"/>
      <c r="P17750"/>
      <c r="Q17750"/>
      <c r="R17750"/>
      <c r="S17750"/>
    </row>
    <row r="17751" spans="13:19" ht="13.95" customHeight="1">
      <c r="M17751"/>
      <c r="N17751"/>
      <c r="O17751"/>
      <c r="P17751"/>
      <c r="Q17751"/>
      <c r="R17751"/>
      <c r="S17751"/>
    </row>
    <row r="17752" spans="13:19" ht="13.95" customHeight="1">
      <c r="M17752"/>
      <c r="N17752"/>
      <c r="O17752"/>
      <c r="P17752"/>
      <c r="Q17752"/>
      <c r="R17752"/>
      <c r="S17752"/>
    </row>
    <row r="17753" spans="13:19" ht="13.95" customHeight="1">
      <c r="M17753"/>
      <c r="N17753"/>
      <c r="O17753"/>
      <c r="P17753"/>
      <c r="Q17753"/>
      <c r="R17753"/>
      <c r="S17753"/>
    </row>
    <row r="17754" spans="13:19" ht="13.95" customHeight="1">
      <c r="M17754"/>
      <c r="N17754"/>
      <c r="O17754"/>
      <c r="P17754"/>
      <c r="Q17754"/>
      <c r="R17754"/>
      <c r="S17754"/>
    </row>
    <row r="17755" spans="13:19" ht="13.95" customHeight="1">
      <c r="M17755"/>
      <c r="N17755"/>
      <c r="O17755"/>
      <c r="P17755"/>
      <c r="Q17755"/>
      <c r="R17755"/>
      <c r="S17755"/>
    </row>
    <row r="17756" spans="13:19" ht="13.95" customHeight="1">
      <c r="M17756"/>
      <c r="N17756"/>
      <c r="O17756"/>
      <c r="P17756"/>
      <c r="Q17756"/>
      <c r="R17756"/>
      <c r="S17756"/>
    </row>
    <row r="17757" spans="13:19" ht="13.95" customHeight="1">
      <c r="M17757"/>
      <c r="N17757"/>
      <c r="O17757"/>
      <c r="P17757"/>
      <c r="Q17757"/>
      <c r="R17757"/>
      <c r="S17757"/>
    </row>
    <row r="17758" spans="13:19" ht="13.95" customHeight="1">
      <c r="M17758"/>
      <c r="N17758"/>
      <c r="O17758"/>
      <c r="P17758"/>
      <c r="Q17758"/>
      <c r="R17758"/>
      <c r="S17758"/>
    </row>
    <row r="17759" spans="13:19" ht="13.95" customHeight="1">
      <c r="M17759"/>
      <c r="N17759"/>
      <c r="O17759"/>
      <c r="P17759"/>
      <c r="Q17759"/>
      <c r="R17759"/>
      <c r="S17759"/>
    </row>
    <row r="17760" spans="13:19" ht="13.95" customHeight="1">
      <c r="M17760"/>
      <c r="N17760"/>
      <c r="O17760"/>
      <c r="P17760"/>
      <c r="Q17760"/>
      <c r="R17760"/>
      <c r="S17760"/>
    </row>
    <row r="17761" spans="13:19" ht="13.95" customHeight="1">
      <c r="M17761"/>
      <c r="N17761"/>
      <c r="O17761"/>
      <c r="P17761"/>
      <c r="Q17761"/>
      <c r="R17761"/>
      <c r="S17761"/>
    </row>
    <row r="17762" spans="13:19" ht="13.95" customHeight="1">
      <c r="M17762"/>
      <c r="N17762"/>
      <c r="O17762"/>
      <c r="P17762"/>
      <c r="Q17762"/>
      <c r="R17762"/>
      <c r="S17762"/>
    </row>
    <row r="17763" spans="13:19" ht="13.95" customHeight="1">
      <c r="M17763"/>
      <c r="N17763"/>
      <c r="O17763"/>
      <c r="P17763"/>
      <c r="Q17763"/>
      <c r="R17763"/>
      <c r="S17763"/>
    </row>
    <row r="17764" spans="13:19" ht="13.95" customHeight="1">
      <c r="M17764"/>
      <c r="N17764"/>
      <c r="O17764"/>
      <c r="P17764"/>
      <c r="Q17764"/>
      <c r="R17764"/>
      <c r="S17764"/>
    </row>
    <row r="17765" spans="13:19" ht="13.95" customHeight="1">
      <c r="M17765"/>
      <c r="N17765"/>
      <c r="O17765"/>
      <c r="P17765"/>
      <c r="Q17765"/>
      <c r="R17765"/>
      <c r="S17765"/>
    </row>
    <row r="17766" spans="13:19" ht="13.95" customHeight="1">
      <c r="M17766"/>
      <c r="N17766"/>
      <c r="O17766"/>
      <c r="P17766"/>
      <c r="Q17766"/>
      <c r="R17766"/>
      <c r="S17766"/>
    </row>
    <row r="17767" spans="13:19" ht="13.95" customHeight="1">
      <c r="M17767"/>
      <c r="N17767"/>
      <c r="O17767"/>
      <c r="P17767"/>
      <c r="Q17767"/>
      <c r="R17767"/>
      <c r="S17767"/>
    </row>
    <row r="17768" spans="13:19" ht="13.95" customHeight="1">
      <c r="M17768"/>
      <c r="N17768"/>
      <c r="O17768"/>
      <c r="P17768"/>
      <c r="Q17768"/>
      <c r="R17768"/>
      <c r="S17768"/>
    </row>
    <row r="17769" spans="13:19" ht="13.95" customHeight="1">
      <c r="M17769"/>
      <c r="N17769"/>
      <c r="O17769"/>
      <c r="P17769"/>
      <c r="Q17769"/>
      <c r="R17769"/>
      <c r="S17769"/>
    </row>
    <row r="17770" spans="13:19" ht="13.95" customHeight="1">
      <c r="M17770"/>
      <c r="N17770"/>
      <c r="O17770"/>
      <c r="P17770"/>
      <c r="Q17770"/>
      <c r="R17770"/>
      <c r="S17770"/>
    </row>
    <row r="17771" spans="13:19" ht="13.95" customHeight="1">
      <c r="M17771"/>
      <c r="N17771"/>
      <c r="O17771"/>
      <c r="P17771"/>
      <c r="Q17771"/>
      <c r="R17771"/>
      <c r="S17771"/>
    </row>
    <row r="17772" spans="13:19" ht="13.95" customHeight="1">
      <c r="M17772"/>
      <c r="N17772"/>
      <c r="O17772"/>
      <c r="P17772"/>
      <c r="Q17772"/>
      <c r="R17772"/>
      <c r="S17772"/>
    </row>
    <row r="17773" spans="13:19" ht="13.95" customHeight="1">
      <c r="M17773"/>
      <c r="N17773"/>
      <c r="O17773"/>
      <c r="P17773"/>
      <c r="Q17773"/>
      <c r="R17773"/>
      <c r="S17773"/>
    </row>
    <row r="17774" spans="13:19" ht="13.95" customHeight="1">
      <c r="M17774"/>
      <c r="N17774"/>
      <c r="O17774"/>
      <c r="P17774"/>
      <c r="Q17774"/>
      <c r="R17774"/>
      <c r="S17774"/>
    </row>
    <row r="17775" spans="13:19" ht="13.95" customHeight="1">
      <c r="M17775"/>
      <c r="N17775"/>
      <c r="O17775"/>
      <c r="P17775"/>
      <c r="Q17775"/>
      <c r="R17775"/>
      <c r="S17775"/>
    </row>
    <row r="17776" spans="13:19" ht="13.95" customHeight="1">
      <c r="M17776"/>
      <c r="N17776"/>
      <c r="O17776"/>
      <c r="P17776"/>
      <c r="Q17776"/>
      <c r="R17776"/>
      <c r="S17776"/>
    </row>
    <row r="17777" spans="13:19" ht="13.95" customHeight="1">
      <c r="M17777"/>
      <c r="N17777"/>
      <c r="O17777"/>
      <c r="P17777"/>
      <c r="Q17777"/>
      <c r="R17777"/>
      <c r="S17777"/>
    </row>
    <row r="17778" spans="13:19" ht="13.95" customHeight="1">
      <c r="M17778"/>
      <c r="N17778"/>
      <c r="O17778"/>
      <c r="P17778"/>
      <c r="Q17778"/>
      <c r="R17778"/>
      <c r="S17778"/>
    </row>
    <row r="17779" spans="13:19" ht="13.95" customHeight="1">
      <c r="M17779"/>
      <c r="N17779"/>
      <c r="O17779"/>
      <c r="P17779"/>
      <c r="Q17779"/>
      <c r="R17779"/>
      <c r="S17779"/>
    </row>
    <row r="17780" spans="13:19" ht="13.95" customHeight="1">
      <c r="M17780"/>
      <c r="N17780"/>
      <c r="O17780"/>
      <c r="P17780"/>
      <c r="Q17780"/>
      <c r="R17780"/>
      <c r="S17780"/>
    </row>
    <row r="17781" spans="13:19" ht="13.95" customHeight="1">
      <c r="M17781"/>
      <c r="N17781"/>
      <c r="O17781"/>
      <c r="P17781"/>
      <c r="Q17781"/>
      <c r="R17781"/>
      <c r="S17781"/>
    </row>
    <row r="17782" spans="13:19" ht="13.95" customHeight="1">
      <c r="M17782"/>
      <c r="N17782"/>
      <c r="O17782"/>
      <c r="P17782"/>
      <c r="Q17782"/>
      <c r="R17782"/>
      <c r="S17782"/>
    </row>
    <row r="17783" spans="13:19" ht="13.95" customHeight="1">
      <c r="M17783"/>
      <c r="N17783"/>
      <c r="O17783"/>
      <c r="P17783"/>
      <c r="Q17783"/>
      <c r="R17783"/>
      <c r="S17783"/>
    </row>
    <row r="17784" spans="13:19" ht="13.95" customHeight="1">
      <c r="M17784"/>
      <c r="N17784"/>
      <c r="O17784"/>
      <c r="P17784"/>
      <c r="Q17784"/>
      <c r="R17784"/>
      <c r="S17784"/>
    </row>
    <row r="17785" spans="13:19" ht="13.95" customHeight="1">
      <c r="M17785"/>
      <c r="N17785"/>
      <c r="O17785"/>
      <c r="P17785"/>
      <c r="Q17785"/>
      <c r="R17785"/>
      <c r="S17785"/>
    </row>
    <row r="17786" spans="13:19" ht="13.95" customHeight="1">
      <c r="M17786"/>
      <c r="N17786"/>
      <c r="O17786"/>
      <c r="P17786"/>
      <c r="Q17786"/>
      <c r="R17786"/>
      <c r="S17786"/>
    </row>
    <row r="17787" spans="13:19" ht="13.95" customHeight="1">
      <c r="M17787"/>
      <c r="N17787"/>
      <c r="O17787"/>
      <c r="P17787"/>
      <c r="Q17787"/>
      <c r="R17787"/>
      <c r="S17787"/>
    </row>
    <row r="17788" spans="13:19" ht="13.95" customHeight="1">
      <c r="M17788"/>
      <c r="N17788"/>
      <c r="O17788"/>
      <c r="P17788"/>
      <c r="Q17788"/>
      <c r="R17788"/>
      <c r="S17788"/>
    </row>
    <row r="17789" spans="13:19" ht="13.95" customHeight="1">
      <c r="M17789"/>
      <c r="N17789"/>
      <c r="O17789"/>
      <c r="P17789"/>
      <c r="Q17789"/>
      <c r="R17789"/>
      <c r="S17789"/>
    </row>
    <row r="17790" spans="13:19" ht="13.95" customHeight="1">
      <c r="M17790"/>
      <c r="N17790"/>
      <c r="O17790"/>
      <c r="P17790"/>
      <c r="Q17790"/>
      <c r="R17790"/>
      <c r="S17790"/>
    </row>
    <row r="17791" spans="13:19" ht="13.95" customHeight="1">
      <c r="M17791"/>
      <c r="N17791"/>
      <c r="O17791"/>
      <c r="P17791"/>
      <c r="Q17791"/>
      <c r="R17791"/>
      <c r="S17791"/>
    </row>
    <row r="17792" spans="13:19" ht="13.95" customHeight="1">
      <c r="M17792"/>
      <c r="N17792"/>
      <c r="O17792"/>
      <c r="P17792"/>
      <c r="Q17792"/>
      <c r="R17792"/>
      <c r="S17792"/>
    </row>
    <row r="17793" spans="13:19" ht="13.95" customHeight="1">
      <c r="M17793"/>
      <c r="N17793"/>
      <c r="O17793"/>
      <c r="P17793"/>
      <c r="Q17793"/>
      <c r="R17793"/>
      <c r="S17793"/>
    </row>
    <row r="17794" spans="13:19" ht="13.95" customHeight="1">
      <c r="M17794"/>
      <c r="N17794"/>
      <c r="O17794"/>
      <c r="P17794"/>
      <c r="Q17794"/>
      <c r="R17794"/>
      <c r="S17794"/>
    </row>
    <row r="17795" spans="13:19" ht="13.95" customHeight="1">
      <c r="M17795"/>
      <c r="N17795"/>
      <c r="O17795"/>
      <c r="P17795"/>
      <c r="Q17795"/>
      <c r="R17795"/>
      <c r="S17795"/>
    </row>
    <row r="17796" spans="13:19" ht="13.95" customHeight="1">
      <c r="M17796"/>
      <c r="N17796"/>
      <c r="O17796"/>
      <c r="P17796"/>
      <c r="Q17796"/>
      <c r="R17796"/>
      <c r="S17796"/>
    </row>
    <row r="17797" spans="13:19" ht="13.95" customHeight="1">
      <c r="M17797"/>
      <c r="N17797"/>
      <c r="O17797"/>
      <c r="P17797"/>
      <c r="Q17797"/>
      <c r="R17797"/>
      <c r="S17797"/>
    </row>
    <row r="17798" spans="13:19" ht="13.95" customHeight="1">
      <c r="M17798"/>
      <c r="N17798"/>
      <c r="O17798"/>
      <c r="P17798"/>
      <c r="Q17798"/>
      <c r="R17798"/>
      <c r="S17798"/>
    </row>
    <row r="17799" spans="13:19" ht="13.95" customHeight="1">
      <c r="M17799"/>
      <c r="N17799"/>
      <c r="O17799"/>
      <c r="P17799"/>
      <c r="Q17799"/>
      <c r="R17799"/>
      <c r="S17799"/>
    </row>
    <row r="17800" spans="13:19" ht="13.95" customHeight="1">
      <c r="M17800"/>
      <c r="N17800"/>
      <c r="O17800"/>
      <c r="P17800"/>
      <c r="Q17800"/>
      <c r="R17800"/>
      <c r="S17800"/>
    </row>
    <row r="17801" spans="13:19" ht="13.95" customHeight="1">
      <c r="M17801"/>
      <c r="N17801"/>
      <c r="O17801"/>
      <c r="P17801"/>
      <c r="Q17801"/>
      <c r="R17801"/>
      <c r="S17801"/>
    </row>
    <row r="17802" spans="13:19" ht="13.95" customHeight="1">
      <c r="M17802"/>
      <c r="N17802"/>
      <c r="O17802"/>
      <c r="P17802"/>
      <c r="Q17802"/>
      <c r="R17802"/>
      <c r="S17802"/>
    </row>
    <row r="17803" spans="13:19" ht="13.95" customHeight="1">
      <c r="M17803"/>
      <c r="N17803"/>
      <c r="O17803"/>
      <c r="P17803"/>
      <c r="Q17803"/>
      <c r="R17803"/>
      <c r="S17803"/>
    </row>
    <row r="17804" spans="13:19" ht="13.95" customHeight="1">
      <c r="M17804"/>
      <c r="N17804"/>
      <c r="O17804"/>
      <c r="P17804"/>
      <c r="Q17804"/>
      <c r="R17804"/>
      <c r="S17804"/>
    </row>
    <row r="17805" spans="13:19" ht="13.95" customHeight="1">
      <c r="M17805"/>
      <c r="N17805"/>
      <c r="O17805"/>
      <c r="P17805"/>
      <c r="Q17805"/>
      <c r="R17805"/>
      <c r="S17805"/>
    </row>
    <row r="17806" spans="13:19" ht="13.95" customHeight="1">
      <c r="M17806"/>
      <c r="N17806"/>
      <c r="O17806"/>
      <c r="P17806"/>
      <c r="Q17806"/>
      <c r="R17806"/>
      <c r="S17806"/>
    </row>
    <row r="17807" spans="13:19" ht="13.95" customHeight="1">
      <c r="M17807"/>
      <c r="N17807"/>
      <c r="O17807"/>
      <c r="P17807"/>
      <c r="Q17807"/>
      <c r="R17807"/>
      <c r="S17807"/>
    </row>
    <row r="17808" spans="13:19" ht="13.95" customHeight="1">
      <c r="M17808"/>
      <c r="N17808"/>
      <c r="O17808"/>
      <c r="P17808"/>
      <c r="Q17808"/>
      <c r="R17808"/>
      <c r="S17808"/>
    </row>
    <row r="17809" spans="13:19" ht="13.95" customHeight="1">
      <c r="M17809"/>
      <c r="N17809"/>
      <c r="O17809"/>
      <c r="P17809"/>
      <c r="Q17809"/>
      <c r="R17809"/>
      <c r="S17809"/>
    </row>
    <row r="17810" spans="13:19" ht="13.95" customHeight="1">
      <c r="M17810"/>
      <c r="N17810"/>
      <c r="O17810"/>
      <c r="P17810"/>
      <c r="Q17810"/>
      <c r="R17810"/>
      <c r="S17810"/>
    </row>
    <row r="17811" spans="13:19" ht="13.95" customHeight="1">
      <c r="M17811"/>
      <c r="N17811"/>
      <c r="O17811"/>
      <c r="P17811"/>
      <c r="Q17811"/>
      <c r="R17811"/>
      <c r="S17811"/>
    </row>
    <row r="17812" spans="13:19" ht="13.95" customHeight="1">
      <c r="M17812"/>
      <c r="N17812"/>
      <c r="O17812"/>
      <c r="P17812"/>
      <c r="Q17812"/>
      <c r="R17812"/>
      <c r="S17812"/>
    </row>
    <row r="17813" spans="13:19" ht="13.95" customHeight="1">
      <c r="M17813"/>
      <c r="N17813"/>
      <c r="O17813"/>
      <c r="P17813"/>
      <c r="Q17813"/>
      <c r="R17813"/>
      <c r="S17813"/>
    </row>
    <row r="17814" spans="13:19" ht="13.95" customHeight="1">
      <c r="M17814"/>
      <c r="N17814"/>
      <c r="O17814"/>
      <c r="P17814"/>
      <c r="Q17814"/>
      <c r="R17814"/>
      <c r="S17814"/>
    </row>
    <row r="17815" spans="13:19" ht="13.95" customHeight="1">
      <c r="M17815"/>
      <c r="N17815"/>
      <c r="O17815"/>
      <c r="P17815"/>
      <c r="Q17815"/>
      <c r="R17815"/>
      <c r="S17815"/>
    </row>
    <row r="17816" spans="13:19" ht="13.95" customHeight="1">
      <c r="M17816"/>
      <c r="N17816"/>
      <c r="O17816"/>
      <c r="P17816"/>
      <c r="Q17816"/>
      <c r="R17816"/>
      <c r="S17816"/>
    </row>
    <row r="17817" spans="13:19" ht="13.95" customHeight="1">
      <c r="M17817"/>
      <c r="N17817"/>
      <c r="O17817"/>
      <c r="P17817"/>
      <c r="Q17817"/>
      <c r="R17817"/>
      <c r="S17817"/>
    </row>
    <row r="17818" spans="13:19" ht="13.95" customHeight="1">
      <c r="M17818"/>
      <c r="N17818"/>
      <c r="O17818"/>
      <c r="P17818"/>
      <c r="Q17818"/>
      <c r="R17818"/>
      <c r="S17818"/>
    </row>
    <row r="17819" spans="13:19" ht="13.95" customHeight="1">
      <c r="M17819"/>
      <c r="N17819"/>
      <c r="O17819"/>
      <c r="P17819"/>
      <c r="Q17819"/>
      <c r="R17819"/>
      <c r="S17819"/>
    </row>
    <row r="17820" spans="13:19" ht="13.95" customHeight="1">
      <c r="M17820"/>
      <c r="N17820"/>
      <c r="O17820"/>
      <c r="P17820"/>
      <c r="Q17820"/>
      <c r="R17820"/>
      <c r="S17820"/>
    </row>
    <row r="17821" spans="13:19" ht="13.95" customHeight="1">
      <c r="M17821"/>
      <c r="N17821"/>
      <c r="O17821"/>
      <c r="P17821"/>
      <c r="Q17821"/>
      <c r="R17821"/>
      <c r="S17821"/>
    </row>
    <row r="17822" spans="13:19" ht="13.95" customHeight="1">
      <c r="M17822"/>
      <c r="N17822"/>
      <c r="O17822"/>
      <c r="P17822"/>
      <c r="Q17822"/>
      <c r="R17822"/>
      <c r="S17822"/>
    </row>
    <row r="17823" spans="13:19" ht="13.95" customHeight="1">
      <c r="M17823"/>
      <c r="N17823"/>
      <c r="O17823"/>
      <c r="P17823"/>
      <c r="Q17823"/>
      <c r="R17823"/>
      <c r="S17823"/>
    </row>
    <row r="17824" spans="13:19" ht="13.95" customHeight="1">
      <c r="M17824"/>
      <c r="N17824"/>
      <c r="O17824"/>
      <c r="P17824"/>
      <c r="Q17824"/>
      <c r="R17824"/>
      <c r="S17824"/>
    </row>
    <row r="17825" spans="13:19" ht="13.95" customHeight="1">
      <c r="M17825"/>
      <c r="N17825"/>
      <c r="O17825"/>
      <c r="P17825"/>
      <c r="Q17825"/>
      <c r="R17825"/>
      <c r="S17825"/>
    </row>
    <row r="17826" spans="13:19" ht="13.95" customHeight="1">
      <c r="M17826"/>
      <c r="N17826"/>
      <c r="O17826"/>
      <c r="P17826"/>
      <c r="Q17826"/>
      <c r="R17826"/>
      <c r="S17826"/>
    </row>
    <row r="17827" spans="13:19" ht="13.95" customHeight="1">
      <c r="M17827"/>
      <c r="N17827"/>
      <c r="O17827"/>
      <c r="P17827"/>
      <c r="Q17827"/>
      <c r="R17827"/>
      <c r="S17827"/>
    </row>
    <row r="17828" spans="13:19" ht="13.95" customHeight="1">
      <c r="M17828"/>
      <c r="N17828"/>
      <c r="O17828"/>
      <c r="P17828"/>
      <c r="Q17828"/>
      <c r="R17828"/>
      <c r="S17828"/>
    </row>
    <row r="17829" spans="13:19" ht="13.95" customHeight="1">
      <c r="M17829"/>
      <c r="N17829"/>
      <c r="O17829"/>
      <c r="P17829"/>
      <c r="Q17829"/>
      <c r="R17829"/>
      <c r="S17829"/>
    </row>
    <row r="17830" spans="13:19" ht="13.95" customHeight="1">
      <c r="M17830"/>
      <c r="N17830"/>
      <c r="O17830"/>
      <c r="P17830"/>
      <c r="Q17830"/>
      <c r="R17830"/>
      <c r="S17830"/>
    </row>
    <row r="17831" spans="13:19" ht="13.95" customHeight="1">
      <c r="M17831"/>
      <c r="N17831"/>
      <c r="O17831"/>
      <c r="P17831"/>
      <c r="Q17831"/>
      <c r="R17831"/>
      <c r="S17831"/>
    </row>
    <row r="17832" spans="13:19" ht="13.95" customHeight="1">
      <c r="M17832"/>
      <c r="N17832"/>
      <c r="O17832"/>
      <c r="P17832"/>
      <c r="Q17832"/>
      <c r="R17832"/>
      <c r="S17832"/>
    </row>
    <row r="17833" spans="13:19" ht="13.95" customHeight="1">
      <c r="M17833"/>
      <c r="N17833"/>
      <c r="O17833"/>
      <c r="P17833"/>
      <c r="Q17833"/>
      <c r="R17833"/>
      <c r="S17833"/>
    </row>
    <row r="17834" spans="13:19" ht="13.95" customHeight="1">
      <c r="M17834"/>
      <c r="N17834"/>
      <c r="O17834"/>
      <c r="P17834"/>
      <c r="Q17834"/>
      <c r="R17834"/>
      <c r="S17834"/>
    </row>
    <row r="17835" spans="13:19" ht="13.95" customHeight="1">
      <c r="M17835"/>
      <c r="N17835"/>
      <c r="O17835"/>
      <c r="P17835"/>
      <c r="Q17835"/>
      <c r="R17835"/>
      <c r="S17835"/>
    </row>
    <row r="17836" spans="13:19" ht="13.95" customHeight="1">
      <c r="M17836"/>
      <c r="N17836"/>
      <c r="O17836"/>
      <c r="P17836"/>
      <c r="Q17836"/>
      <c r="R17836"/>
      <c r="S17836"/>
    </row>
    <row r="17837" spans="13:19" ht="13.95" customHeight="1">
      <c r="M17837"/>
      <c r="N17837"/>
      <c r="O17837"/>
      <c r="P17837"/>
      <c r="Q17837"/>
      <c r="R17837"/>
      <c r="S17837"/>
    </row>
    <row r="17838" spans="13:19" ht="13.95" customHeight="1">
      <c r="M17838"/>
      <c r="N17838"/>
      <c r="O17838"/>
      <c r="P17838"/>
      <c r="Q17838"/>
      <c r="R17838"/>
      <c r="S17838"/>
    </row>
    <row r="17839" spans="13:19" ht="13.95" customHeight="1">
      <c r="M17839"/>
      <c r="N17839"/>
      <c r="O17839"/>
      <c r="P17839"/>
      <c r="Q17839"/>
      <c r="R17839"/>
      <c r="S17839"/>
    </row>
    <row r="17840" spans="13:19" ht="13.95" customHeight="1">
      <c r="M17840"/>
      <c r="N17840"/>
      <c r="O17840"/>
      <c r="P17840"/>
      <c r="Q17840"/>
      <c r="R17840"/>
      <c r="S17840"/>
    </row>
    <row r="17841" spans="13:19" ht="13.95" customHeight="1">
      <c r="M17841"/>
      <c r="N17841"/>
      <c r="O17841"/>
      <c r="P17841"/>
      <c r="Q17841"/>
      <c r="R17841"/>
      <c r="S17841"/>
    </row>
    <row r="17842" spans="13:19" ht="13.95" customHeight="1">
      <c r="M17842"/>
      <c r="N17842"/>
      <c r="O17842"/>
      <c r="P17842"/>
      <c r="Q17842"/>
      <c r="R17842"/>
      <c r="S17842"/>
    </row>
    <row r="17843" spans="13:19" ht="13.95" customHeight="1">
      <c r="M17843"/>
      <c r="N17843"/>
      <c r="O17843"/>
      <c r="P17843"/>
      <c r="Q17843"/>
      <c r="R17843"/>
      <c r="S17843"/>
    </row>
    <row r="17844" spans="13:19" ht="13.95" customHeight="1">
      <c r="M17844"/>
      <c r="N17844"/>
      <c r="O17844"/>
      <c r="P17844"/>
      <c r="Q17844"/>
      <c r="R17844"/>
      <c r="S17844"/>
    </row>
    <row r="17845" spans="13:19" ht="13.95" customHeight="1">
      <c r="M17845"/>
      <c r="N17845"/>
      <c r="O17845"/>
      <c r="P17845"/>
      <c r="Q17845"/>
      <c r="R17845"/>
      <c r="S17845"/>
    </row>
    <row r="17846" spans="13:19" ht="13.95" customHeight="1">
      <c r="M17846"/>
      <c r="N17846"/>
      <c r="O17846"/>
      <c r="P17846"/>
      <c r="Q17846"/>
      <c r="R17846"/>
      <c r="S17846"/>
    </row>
    <row r="17847" spans="13:19" ht="13.95" customHeight="1">
      <c r="M17847"/>
      <c r="N17847"/>
      <c r="O17847"/>
      <c r="P17847"/>
      <c r="Q17847"/>
      <c r="R17847"/>
      <c r="S17847"/>
    </row>
    <row r="17848" spans="13:19" ht="13.95" customHeight="1">
      <c r="M17848"/>
      <c r="N17848"/>
      <c r="O17848"/>
      <c r="P17848"/>
      <c r="Q17848"/>
      <c r="R17848"/>
      <c r="S17848"/>
    </row>
    <row r="17849" spans="13:19" ht="13.95" customHeight="1">
      <c r="M17849"/>
      <c r="N17849"/>
      <c r="O17849"/>
      <c r="P17849"/>
      <c r="Q17849"/>
      <c r="R17849"/>
      <c r="S17849"/>
    </row>
    <row r="17850" spans="13:19" ht="13.95" customHeight="1">
      <c r="M17850"/>
      <c r="N17850"/>
      <c r="O17850"/>
      <c r="P17850"/>
      <c r="Q17850"/>
      <c r="R17850"/>
      <c r="S17850"/>
    </row>
    <row r="17851" spans="13:19" ht="13.95" customHeight="1">
      <c r="M17851"/>
      <c r="N17851"/>
      <c r="O17851"/>
      <c r="P17851"/>
      <c r="Q17851"/>
      <c r="R17851"/>
      <c r="S17851"/>
    </row>
    <row r="17852" spans="13:19" ht="13.95" customHeight="1">
      <c r="M17852"/>
      <c r="N17852"/>
      <c r="O17852"/>
      <c r="P17852"/>
      <c r="Q17852"/>
      <c r="R17852"/>
      <c r="S17852"/>
    </row>
    <row r="17853" spans="13:19" ht="13.95" customHeight="1">
      <c r="M17853"/>
      <c r="N17853"/>
      <c r="O17853"/>
      <c r="P17853"/>
      <c r="Q17853"/>
      <c r="R17853"/>
      <c r="S17853"/>
    </row>
    <row r="17854" spans="13:19" ht="13.95" customHeight="1">
      <c r="M17854"/>
      <c r="N17854"/>
      <c r="O17854"/>
      <c r="P17854"/>
      <c r="Q17854"/>
      <c r="R17854"/>
      <c r="S17854"/>
    </row>
    <row r="17855" spans="13:19" ht="13.95" customHeight="1">
      <c r="M17855"/>
      <c r="N17855"/>
      <c r="O17855"/>
      <c r="P17855"/>
      <c r="Q17855"/>
      <c r="R17855"/>
      <c r="S17855"/>
    </row>
    <row r="17856" spans="13:19" ht="13.95" customHeight="1">
      <c r="M17856"/>
      <c r="N17856"/>
      <c r="O17856"/>
      <c r="P17856"/>
      <c r="Q17856"/>
      <c r="R17856"/>
      <c r="S17856"/>
    </row>
    <row r="17857" spans="13:19" ht="13.95" customHeight="1">
      <c r="M17857"/>
      <c r="N17857"/>
      <c r="O17857"/>
      <c r="P17857"/>
      <c r="Q17857"/>
      <c r="R17857"/>
      <c r="S17857"/>
    </row>
    <row r="17858" spans="13:19" ht="13.95" customHeight="1">
      <c r="M17858"/>
      <c r="N17858"/>
      <c r="O17858"/>
      <c r="P17858"/>
      <c r="Q17858"/>
      <c r="R17858"/>
      <c r="S17858"/>
    </row>
    <row r="17859" spans="13:19" ht="13.95" customHeight="1">
      <c r="M17859"/>
      <c r="N17859"/>
      <c r="O17859"/>
      <c r="P17859"/>
      <c r="Q17859"/>
      <c r="R17859"/>
      <c r="S17859"/>
    </row>
    <row r="17860" spans="13:19" ht="13.95" customHeight="1">
      <c r="M17860"/>
      <c r="N17860"/>
      <c r="O17860"/>
      <c r="P17860"/>
      <c r="Q17860"/>
      <c r="R17860"/>
      <c r="S17860"/>
    </row>
    <row r="17861" spans="13:19" ht="13.95" customHeight="1">
      <c r="M17861"/>
      <c r="N17861"/>
      <c r="O17861"/>
      <c r="P17861"/>
      <c r="Q17861"/>
      <c r="R17861"/>
      <c r="S17861"/>
    </row>
    <row r="17862" spans="13:19" ht="13.95" customHeight="1">
      <c r="M17862"/>
      <c r="N17862"/>
      <c r="O17862"/>
      <c r="P17862"/>
      <c r="Q17862"/>
      <c r="R17862"/>
      <c r="S17862"/>
    </row>
    <row r="17863" spans="13:19" ht="13.95" customHeight="1">
      <c r="M17863"/>
      <c r="N17863"/>
      <c r="O17863"/>
      <c r="P17863"/>
      <c r="Q17863"/>
      <c r="R17863"/>
      <c r="S17863"/>
    </row>
    <row r="17864" spans="13:19" ht="13.95" customHeight="1">
      <c r="M17864"/>
      <c r="N17864"/>
      <c r="O17864"/>
      <c r="P17864"/>
      <c r="Q17864"/>
      <c r="R17864"/>
      <c r="S17864"/>
    </row>
    <row r="17865" spans="13:19" ht="13.95" customHeight="1">
      <c r="M17865"/>
      <c r="N17865"/>
      <c r="O17865"/>
      <c r="P17865"/>
      <c r="Q17865"/>
      <c r="R17865"/>
      <c r="S17865"/>
    </row>
    <row r="17866" spans="13:19" ht="13.95" customHeight="1">
      <c r="M17866"/>
      <c r="N17866"/>
      <c r="O17866"/>
      <c r="P17866"/>
      <c r="Q17866"/>
      <c r="R17866"/>
      <c r="S17866"/>
    </row>
    <row r="17867" spans="13:19" ht="13.95" customHeight="1">
      <c r="M17867"/>
      <c r="N17867"/>
      <c r="O17867"/>
      <c r="P17867"/>
      <c r="Q17867"/>
      <c r="R17867"/>
      <c r="S17867"/>
    </row>
    <row r="17868" spans="13:19" ht="13.95" customHeight="1">
      <c r="M17868"/>
      <c r="N17868"/>
      <c r="O17868"/>
      <c r="P17868"/>
      <c r="Q17868"/>
      <c r="R17868"/>
      <c r="S17868"/>
    </row>
    <row r="17869" spans="13:19" ht="13.95" customHeight="1">
      <c r="M17869"/>
      <c r="N17869"/>
      <c r="O17869"/>
      <c r="P17869"/>
      <c r="Q17869"/>
      <c r="R17869"/>
      <c r="S17869"/>
    </row>
    <row r="17870" spans="13:19" ht="13.95" customHeight="1">
      <c r="M17870"/>
      <c r="N17870"/>
      <c r="O17870"/>
      <c r="P17870"/>
      <c r="Q17870"/>
      <c r="R17870"/>
      <c r="S17870"/>
    </row>
    <row r="17871" spans="13:19" ht="13.95" customHeight="1">
      <c r="M17871"/>
      <c r="N17871"/>
      <c r="O17871"/>
      <c r="P17871"/>
      <c r="Q17871"/>
      <c r="R17871"/>
      <c r="S17871"/>
    </row>
    <row r="17872" spans="13:19" ht="13.95" customHeight="1">
      <c r="M17872"/>
      <c r="N17872"/>
      <c r="O17872"/>
      <c r="P17872"/>
      <c r="Q17872"/>
      <c r="R17872"/>
      <c r="S17872"/>
    </row>
    <row r="17873" spans="13:19" ht="13.95" customHeight="1">
      <c r="M17873"/>
      <c r="N17873"/>
      <c r="O17873"/>
      <c r="P17873"/>
      <c r="Q17873"/>
      <c r="R17873"/>
      <c r="S17873"/>
    </row>
    <row r="17874" spans="13:19" ht="13.95" customHeight="1">
      <c r="M17874"/>
      <c r="N17874"/>
      <c r="O17874"/>
      <c r="P17874"/>
      <c r="Q17874"/>
      <c r="R17874"/>
      <c r="S17874"/>
    </row>
    <row r="17875" spans="13:19" ht="13.95" customHeight="1">
      <c r="M17875"/>
      <c r="N17875"/>
      <c r="O17875"/>
      <c r="P17875"/>
      <c r="Q17875"/>
      <c r="R17875"/>
      <c r="S17875"/>
    </row>
    <row r="17876" spans="13:19" ht="13.95" customHeight="1">
      <c r="M17876"/>
      <c r="N17876"/>
      <c r="O17876"/>
      <c r="P17876"/>
      <c r="Q17876"/>
      <c r="R17876"/>
      <c r="S17876"/>
    </row>
    <row r="17877" spans="13:19" ht="13.95" customHeight="1">
      <c r="M17877"/>
      <c r="N17877"/>
      <c r="O17877"/>
      <c r="P17877"/>
      <c r="Q17877"/>
      <c r="R17877"/>
      <c r="S17877"/>
    </row>
    <row r="17878" spans="13:19" ht="13.95" customHeight="1">
      <c r="M17878"/>
      <c r="N17878"/>
      <c r="O17878"/>
      <c r="P17878"/>
      <c r="Q17878"/>
      <c r="R17878"/>
      <c r="S17878"/>
    </row>
    <row r="17879" spans="13:19" ht="13.95" customHeight="1">
      <c r="M17879"/>
      <c r="N17879"/>
      <c r="O17879"/>
      <c r="P17879"/>
      <c r="Q17879"/>
      <c r="R17879"/>
      <c r="S17879"/>
    </row>
    <row r="17880" spans="13:19" ht="13.95" customHeight="1">
      <c r="M17880"/>
      <c r="N17880"/>
      <c r="O17880"/>
      <c r="P17880"/>
      <c r="Q17880"/>
      <c r="R17880"/>
      <c r="S17880"/>
    </row>
    <row r="17881" spans="13:19" ht="13.95" customHeight="1">
      <c r="M17881"/>
      <c r="N17881"/>
      <c r="O17881"/>
      <c r="P17881"/>
      <c r="Q17881"/>
      <c r="R17881"/>
      <c r="S17881"/>
    </row>
    <row r="17882" spans="13:19" ht="13.95" customHeight="1">
      <c r="M17882"/>
      <c r="N17882"/>
      <c r="O17882"/>
      <c r="P17882"/>
      <c r="Q17882"/>
      <c r="R17882"/>
      <c r="S17882"/>
    </row>
    <row r="17883" spans="13:19" ht="13.95" customHeight="1">
      <c r="M17883"/>
      <c r="N17883"/>
      <c r="O17883"/>
      <c r="P17883"/>
      <c r="Q17883"/>
      <c r="R17883"/>
      <c r="S17883"/>
    </row>
    <row r="17884" spans="13:19" ht="13.95" customHeight="1">
      <c r="M17884"/>
      <c r="N17884"/>
      <c r="O17884"/>
      <c r="P17884"/>
      <c r="Q17884"/>
      <c r="R17884"/>
      <c r="S17884"/>
    </row>
    <row r="17885" spans="13:19" ht="13.95" customHeight="1">
      <c r="M17885"/>
      <c r="N17885"/>
      <c r="O17885"/>
      <c r="P17885"/>
      <c r="Q17885"/>
      <c r="R17885"/>
      <c r="S17885"/>
    </row>
    <row r="17886" spans="13:19" ht="13.95" customHeight="1">
      <c r="M17886"/>
      <c r="N17886"/>
      <c r="O17886"/>
      <c r="P17886"/>
      <c r="Q17886"/>
      <c r="R17886"/>
      <c r="S17886"/>
    </row>
    <row r="17887" spans="13:19" ht="13.95" customHeight="1">
      <c r="M17887"/>
      <c r="N17887"/>
      <c r="O17887"/>
      <c r="P17887"/>
      <c r="Q17887"/>
      <c r="R17887"/>
      <c r="S17887"/>
    </row>
    <row r="17888" spans="13:19" ht="13.95" customHeight="1">
      <c r="M17888"/>
      <c r="N17888"/>
      <c r="O17888"/>
      <c r="P17888"/>
      <c r="Q17888"/>
      <c r="R17888"/>
      <c r="S17888"/>
    </row>
    <row r="17889" spans="13:19" ht="13.95" customHeight="1">
      <c r="M17889"/>
      <c r="N17889"/>
      <c r="O17889"/>
      <c r="P17889"/>
      <c r="Q17889"/>
      <c r="R17889"/>
      <c r="S17889"/>
    </row>
    <row r="17890" spans="13:19" ht="13.95" customHeight="1">
      <c r="M17890"/>
      <c r="N17890"/>
      <c r="O17890"/>
      <c r="P17890"/>
      <c r="Q17890"/>
      <c r="R17890"/>
      <c r="S17890"/>
    </row>
    <row r="17891" spans="13:19" ht="13.95" customHeight="1">
      <c r="M17891"/>
      <c r="N17891"/>
      <c r="O17891"/>
      <c r="P17891"/>
      <c r="Q17891"/>
      <c r="R17891"/>
      <c r="S17891"/>
    </row>
    <row r="17892" spans="13:19" ht="13.95" customHeight="1">
      <c r="M17892"/>
      <c r="N17892"/>
      <c r="O17892"/>
      <c r="P17892"/>
      <c r="Q17892"/>
      <c r="R17892"/>
      <c r="S17892"/>
    </row>
    <row r="17893" spans="13:19" ht="13.95" customHeight="1">
      <c r="M17893"/>
      <c r="N17893"/>
      <c r="O17893"/>
      <c r="P17893"/>
      <c r="Q17893"/>
      <c r="R17893"/>
      <c r="S17893"/>
    </row>
    <row r="17894" spans="13:19" ht="13.95" customHeight="1">
      <c r="M17894"/>
      <c r="N17894"/>
      <c r="O17894"/>
      <c r="P17894"/>
      <c r="Q17894"/>
      <c r="R17894"/>
      <c r="S17894"/>
    </row>
    <row r="17895" spans="13:19" ht="13.95" customHeight="1">
      <c r="M17895"/>
      <c r="N17895"/>
      <c r="O17895"/>
      <c r="P17895"/>
      <c r="Q17895"/>
      <c r="R17895"/>
      <c r="S17895"/>
    </row>
    <row r="17896" spans="13:19" ht="13.95" customHeight="1">
      <c r="M17896"/>
      <c r="N17896"/>
      <c r="O17896"/>
      <c r="P17896"/>
      <c r="Q17896"/>
      <c r="R17896"/>
      <c r="S17896"/>
    </row>
    <row r="17897" spans="13:19" ht="13.95" customHeight="1">
      <c r="M17897"/>
      <c r="N17897"/>
      <c r="O17897"/>
      <c r="P17897"/>
      <c r="Q17897"/>
      <c r="R17897"/>
      <c r="S17897"/>
    </row>
    <row r="17898" spans="13:19" ht="13.95" customHeight="1">
      <c r="M17898"/>
      <c r="N17898"/>
      <c r="O17898"/>
      <c r="P17898"/>
      <c r="Q17898"/>
      <c r="R17898"/>
      <c r="S17898"/>
    </row>
    <row r="17899" spans="13:19" ht="13.95" customHeight="1">
      <c r="M17899"/>
      <c r="N17899"/>
      <c r="O17899"/>
      <c r="P17899"/>
      <c r="Q17899"/>
      <c r="R17899"/>
      <c r="S17899"/>
    </row>
    <row r="17900" spans="13:19" ht="13.95" customHeight="1">
      <c r="M17900"/>
      <c r="N17900"/>
      <c r="O17900"/>
      <c r="P17900"/>
      <c r="Q17900"/>
      <c r="R17900"/>
      <c r="S17900"/>
    </row>
    <row r="17901" spans="13:19" ht="13.95" customHeight="1">
      <c r="M17901"/>
      <c r="N17901"/>
      <c r="O17901"/>
      <c r="P17901"/>
      <c r="Q17901"/>
      <c r="R17901"/>
      <c r="S17901"/>
    </row>
    <row r="17902" spans="13:19" ht="13.95" customHeight="1">
      <c r="M17902"/>
      <c r="N17902"/>
      <c r="O17902"/>
      <c r="P17902"/>
      <c r="Q17902"/>
      <c r="R17902"/>
      <c r="S17902"/>
    </row>
    <row r="17903" spans="13:19" ht="13.95" customHeight="1">
      <c r="M17903"/>
      <c r="N17903"/>
      <c r="O17903"/>
      <c r="P17903"/>
      <c r="Q17903"/>
      <c r="R17903"/>
      <c r="S17903"/>
    </row>
    <row r="17904" spans="13:19" ht="13.95" customHeight="1">
      <c r="M17904"/>
      <c r="N17904"/>
      <c r="O17904"/>
      <c r="P17904"/>
      <c r="Q17904"/>
      <c r="R17904"/>
      <c r="S17904"/>
    </row>
    <row r="17905" spans="13:19" ht="13.95" customHeight="1">
      <c r="M17905"/>
      <c r="N17905"/>
      <c r="O17905"/>
      <c r="P17905"/>
      <c r="Q17905"/>
      <c r="R17905"/>
      <c r="S17905"/>
    </row>
    <row r="17906" spans="13:19" ht="13.95" customHeight="1">
      <c r="M17906"/>
      <c r="N17906"/>
      <c r="O17906"/>
      <c r="P17906"/>
      <c r="Q17906"/>
      <c r="R17906"/>
      <c r="S17906"/>
    </row>
    <row r="17907" spans="13:19" ht="13.95" customHeight="1">
      <c r="M17907"/>
      <c r="N17907"/>
      <c r="O17907"/>
      <c r="P17907"/>
      <c r="Q17907"/>
      <c r="R17907"/>
      <c r="S17907"/>
    </row>
    <row r="17908" spans="13:19" ht="13.95" customHeight="1">
      <c r="M17908"/>
      <c r="N17908"/>
      <c r="O17908"/>
      <c r="P17908"/>
      <c r="Q17908"/>
      <c r="R17908"/>
      <c r="S17908"/>
    </row>
    <row r="17909" spans="13:19" ht="13.95" customHeight="1">
      <c r="M17909"/>
      <c r="N17909"/>
      <c r="O17909"/>
      <c r="P17909"/>
      <c r="Q17909"/>
      <c r="R17909"/>
      <c r="S17909"/>
    </row>
    <row r="17910" spans="13:19" ht="13.95" customHeight="1">
      <c r="M17910"/>
      <c r="N17910"/>
      <c r="O17910"/>
      <c r="P17910"/>
      <c r="Q17910"/>
      <c r="R17910"/>
      <c r="S17910"/>
    </row>
    <row r="17911" spans="13:19" ht="13.95" customHeight="1">
      <c r="M17911"/>
      <c r="N17911"/>
      <c r="O17911"/>
      <c r="P17911"/>
      <c r="Q17911"/>
      <c r="R17911"/>
      <c r="S17911"/>
    </row>
    <row r="17912" spans="13:19" ht="13.95" customHeight="1">
      <c r="M17912"/>
      <c r="N17912"/>
      <c r="O17912"/>
      <c r="P17912"/>
      <c r="Q17912"/>
      <c r="R17912"/>
      <c r="S17912"/>
    </row>
    <row r="17913" spans="13:19" ht="13.95" customHeight="1">
      <c r="M17913"/>
      <c r="N17913"/>
      <c r="O17913"/>
      <c r="P17913"/>
      <c r="Q17913"/>
      <c r="R17913"/>
      <c r="S17913"/>
    </row>
    <row r="17914" spans="13:19" ht="13.95" customHeight="1">
      <c r="M17914"/>
      <c r="N17914"/>
      <c r="O17914"/>
      <c r="P17914"/>
      <c r="Q17914"/>
      <c r="R17914"/>
      <c r="S17914"/>
    </row>
    <row r="17915" spans="13:19" ht="13.95" customHeight="1">
      <c r="M17915"/>
      <c r="N17915"/>
      <c r="O17915"/>
      <c r="P17915"/>
      <c r="Q17915"/>
      <c r="R17915"/>
      <c r="S17915"/>
    </row>
    <row r="17916" spans="13:19" ht="13.95" customHeight="1">
      <c r="M17916"/>
      <c r="N17916"/>
      <c r="O17916"/>
      <c r="P17916"/>
      <c r="Q17916"/>
      <c r="R17916"/>
      <c r="S17916"/>
    </row>
    <row r="17917" spans="13:19" ht="13.95" customHeight="1">
      <c r="M17917"/>
      <c r="N17917"/>
      <c r="O17917"/>
      <c r="P17917"/>
      <c r="Q17917"/>
      <c r="R17917"/>
      <c r="S17917"/>
    </row>
    <row r="17918" spans="13:19" ht="13.95" customHeight="1">
      <c r="M17918"/>
      <c r="N17918"/>
      <c r="O17918"/>
      <c r="P17918"/>
      <c r="Q17918"/>
      <c r="R17918"/>
      <c r="S17918"/>
    </row>
    <row r="17919" spans="13:19" ht="13.95" customHeight="1">
      <c r="M17919"/>
      <c r="N17919"/>
      <c r="O17919"/>
      <c r="P17919"/>
      <c r="Q17919"/>
      <c r="R17919"/>
      <c r="S17919"/>
    </row>
    <row r="17920" spans="13:19" ht="13.95" customHeight="1">
      <c r="M17920"/>
      <c r="N17920"/>
      <c r="O17920"/>
      <c r="P17920"/>
      <c r="Q17920"/>
      <c r="R17920"/>
      <c r="S17920"/>
    </row>
    <row r="17921" spans="13:19" ht="13.95" customHeight="1">
      <c r="M17921"/>
      <c r="N17921"/>
      <c r="O17921"/>
      <c r="P17921"/>
      <c r="Q17921"/>
      <c r="R17921"/>
      <c r="S17921"/>
    </row>
    <row r="17922" spans="13:19" ht="13.95" customHeight="1">
      <c r="M17922"/>
      <c r="N17922"/>
      <c r="O17922"/>
      <c r="P17922"/>
      <c r="Q17922"/>
      <c r="R17922"/>
      <c r="S17922"/>
    </row>
    <row r="17923" spans="13:19" ht="13.95" customHeight="1">
      <c r="M17923"/>
      <c r="N17923"/>
      <c r="O17923"/>
      <c r="P17923"/>
      <c r="Q17923"/>
      <c r="R17923"/>
      <c r="S17923"/>
    </row>
    <row r="17924" spans="13:19" ht="13.95" customHeight="1">
      <c r="M17924"/>
      <c r="N17924"/>
      <c r="O17924"/>
      <c r="P17924"/>
      <c r="Q17924"/>
      <c r="R17924"/>
      <c r="S17924"/>
    </row>
    <row r="17925" spans="13:19" ht="13.95" customHeight="1">
      <c r="M17925"/>
      <c r="N17925"/>
      <c r="O17925"/>
      <c r="P17925"/>
      <c r="Q17925"/>
      <c r="R17925"/>
      <c r="S17925"/>
    </row>
    <row r="17926" spans="13:19" ht="13.95" customHeight="1">
      <c r="M17926"/>
      <c r="N17926"/>
      <c r="O17926"/>
      <c r="P17926"/>
      <c r="Q17926"/>
      <c r="R17926"/>
      <c r="S17926"/>
    </row>
    <row r="17927" spans="13:19" ht="13.95" customHeight="1">
      <c r="M17927"/>
      <c r="N17927"/>
      <c r="O17927"/>
      <c r="P17927"/>
      <c r="Q17927"/>
      <c r="R17927"/>
      <c r="S17927"/>
    </row>
    <row r="17928" spans="13:19" ht="13.95" customHeight="1">
      <c r="M17928"/>
      <c r="N17928"/>
      <c r="O17928"/>
      <c r="P17928"/>
      <c r="Q17928"/>
      <c r="R17928"/>
      <c r="S17928"/>
    </row>
    <row r="17929" spans="13:19" ht="13.95" customHeight="1">
      <c r="M17929"/>
      <c r="N17929"/>
      <c r="O17929"/>
      <c r="P17929"/>
      <c r="Q17929"/>
      <c r="R17929"/>
      <c r="S17929"/>
    </row>
    <row r="17930" spans="13:19" ht="13.95" customHeight="1">
      <c r="M17930"/>
      <c r="N17930"/>
      <c r="O17930"/>
      <c r="P17930"/>
      <c r="Q17930"/>
      <c r="R17930"/>
      <c r="S17930"/>
    </row>
    <row r="17931" spans="13:19" ht="13.95" customHeight="1">
      <c r="M17931"/>
      <c r="N17931"/>
      <c r="O17931"/>
      <c r="P17931"/>
      <c r="Q17931"/>
      <c r="R17931"/>
      <c r="S17931"/>
    </row>
    <row r="17932" spans="13:19" ht="13.95" customHeight="1">
      <c r="M17932"/>
      <c r="N17932"/>
      <c r="O17932"/>
      <c r="P17932"/>
      <c r="Q17932"/>
      <c r="R17932"/>
      <c r="S17932"/>
    </row>
    <row r="17933" spans="13:19" ht="13.95" customHeight="1">
      <c r="M17933"/>
      <c r="N17933"/>
      <c r="O17933"/>
      <c r="P17933"/>
      <c r="Q17933"/>
      <c r="R17933"/>
      <c r="S17933"/>
    </row>
    <row r="17934" spans="13:19" ht="13.95" customHeight="1">
      <c r="M17934"/>
      <c r="N17934"/>
      <c r="O17934"/>
      <c r="P17934"/>
      <c r="Q17934"/>
      <c r="R17934"/>
      <c r="S17934"/>
    </row>
    <row r="17935" spans="13:19" ht="13.95" customHeight="1">
      <c r="M17935"/>
      <c r="N17935"/>
      <c r="O17935"/>
      <c r="P17935"/>
      <c r="Q17935"/>
      <c r="R17935"/>
      <c r="S17935"/>
    </row>
    <row r="17936" spans="13:19" ht="13.95" customHeight="1">
      <c r="M17936"/>
      <c r="N17936"/>
      <c r="O17936"/>
      <c r="P17936"/>
      <c r="Q17936"/>
      <c r="R17936"/>
      <c r="S17936"/>
    </row>
    <row r="17937" spans="13:19" ht="13.95" customHeight="1">
      <c r="M17937"/>
      <c r="N17937"/>
      <c r="O17937"/>
      <c r="P17937"/>
      <c r="Q17937"/>
      <c r="R17937"/>
      <c r="S17937"/>
    </row>
    <row r="17938" spans="13:19" ht="13.95" customHeight="1">
      <c r="M17938"/>
      <c r="N17938"/>
      <c r="O17938"/>
      <c r="P17938"/>
      <c r="Q17938"/>
      <c r="R17938"/>
      <c r="S17938"/>
    </row>
    <row r="17939" spans="13:19" ht="13.95" customHeight="1">
      <c r="M17939"/>
      <c r="N17939"/>
      <c r="O17939"/>
      <c r="P17939"/>
      <c r="Q17939"/>
      <c r="R17939"/>
      <c r="S17939"/>
    </row>
    <row r="17940" spans="13:19" ht="13.95" customHeight="1">
      <c r="M17940"/>
      <c r="N17940"/>
      <c r="O17940"/>
      <c r="P17940"/>
      <c r="Q17940"/>
      <c r="R17940"/>
      <c r="S17940"/>
    </row>
    <row r="17941" spans="13:19" ht="13.95" customHeight="1">
      <c r="M17941"/>
      <c r="N17941"/>
      <c r="O17941"/>
      <c r="P17941"/>
      <c r="Q17941"/>
      <c r="R17941"/>
      <c r="S17941"/>
    </row>
    <row r="17942" spans="13:19" ht="13.95" customHeight="1">
      <c r="M17942"/>
      <c r="N17942"/>
      <c r="O17942"/>
      <c r="P17942"/>
      <c r="Q17942"/>
      <c r="R17942"/>
      <c r="S17942"/>
    </row>
    <row r="17943" spans="13:19" ht="13.95" customHeight="1">
      <c r="M17943"/>
      <c r="N17943"/>
      <c r="O17943"/>
      <c r="P17943"/>
      <c r="Q17943"/>
      <c r="R17943"/>
      <c r="S17943"/>
    </row>
    <row r="17944" spans="13:19" ht="13.95" customHeight="1">
      <c r="M17944"/>
      <c r="N17944"/>
      <c r="O17944"/>
      <c r="P17944"/>
      <c r="Q17944"/>
      <c r="R17944"/>
      <c r="S17944"/>
    </row>
    <row r="17945" spans="13:19" ht="13.95" customHeight="1">
      <c r="M17945"/>
      <c r="N17945"/>
      <c r="O17945"/>
      <c r="P17945"/>
      <c r="Q17945"/>
      <c r="R17945"/>
      <c r="S17945"/>
    </row>
    <row r="17946" spans="13:19" ht="13.95" customHeight="1">
      <c r="M17946"/>
      <c r="N17946"/>
      <c r="O17946"/>
      <c r="P17946"/>
      <c r="Q17946"/>
      <c r="R17946"/>
      <c r="S17946"/>
    </row>
    <row r="17947" spans="13:19" ht="13.95" customHeight="1">
      <c r="M17947"/>
      <c r="N17947"/>
      <c r="O17947"/>
      <c r="P17947"/>
      <c r="Q17947"/>
      <c r="R17947"/>
      <c r="S17947"/>
    </row>
    <row r="17948" spans="13:19" ht="13.95" customHeight="1">
      <c r="M17948"/>
      <c r="N17948"/>
      <c r="O17948"/>
      <c r="P17948"/>
      <c r="Q17948"/>
      <c r="R17948"/>
      <c r="S17948"/>
    </row>
    <row r="17949" spans="13:19" ht="13.95" customHeight="1">
      <c r="M17949"/>
      <c r="N17949"/>
      <c r="O17949"/>
      <c r="P17949"/>
      <c r="Q17949"/>
      <c r="R17949"/>
      <c r="S17949"/>
    </row>
    <row r="17950" spans="13:19" ht="13.95" customHeight="1">
      <c r="M17950"/>
      <c r="N17950"/>
      <c r="O17950"/>
      <c r="P17950"/>
      <c r="Q17950"/>
      <c r="R17950"/>
      <c r="S17950"/>
    </row>
    <row r="17951" spans="13:19" ht="13.95" customHeight="1">
      <c r="M17951"/>
      <c r="N17951"/>
      <c r="O17951"/>
      <c r="P17951"/>
      <c r="Q17951"/>
      <c r="R17951"/>
      <c r="S17951"/>
    </row>
    <row r="17952" spans="13:19" ht="13.95" customHeight="1">
      <c r="M17952"/>
      <c r="N17952"/>
      <c r="O17952"/>
      <c r="P17952"/>
      <c r="Q17952"/>
      <c r="R17952"/>
      <c r="S17952"/>
    </row>
    <row r="17953" spans="13:19" ht="13.95" customHeight="1">
      <c r="M17953"/>
      <c r="N17953"/>
      <c r="O17953"/>
      <c r="P17953"/>
      <c r="Q17953"/>
      <c r="R17953"/>
      <c r="S17953"/>
    </row>
    <row r="17954" spans="13:19" ht="13.95" customHeight="1">
      <c r="M17954"/>
      <c r="N17954"/>
      <c r="O17954"/>
      <c r="P17954"/>
      <c r="Q17954"/>
      <c r="R17954"/>
      <c r="S17954"/>
    </row>
    <row r="17955" spans="13:19" ht="13.95" customHeight="1">
      <c r="M17955"/>
      <c r="N17955"/>
      <c r="O17955"/>
      <c r="P17955"/>
      <c r="Q17955"/>
      <c r="R17955"/>
      <c r="S17955"/>
    </row>
    <row r="17956" spans="13:19" ht="13.95" customHeight="1">
      <c r="M17956"/>
      <c r="N17956"/>
      <c r="O17956"/>
      <c r="P17956"/>
      <c r="Q17956"/>
      <c r="R17956"/>
      <c r="S17956"/>
    </row>
    <row r="17957" spans="13:19" ht="13.95" customHeight="1">
      <c r="M17957"/>
      <c r="N17957"/>
      <c r="O17957"/>
      <c r="P17957"/>
      <c r="Q17957"/>
      <c r="R17957"/>
      <c r="S17957"/>
    </row>
    <row r="17958" spans="13:19" ht="13.95" customHeight="1">
      <c r="M17958"/>
      <c r="N17958"/>
      <c r="O17958"/>
      <c r="P17958"/>
      <c r="Q17958"/>
      <c r="R17958"/>
      <c r="S17958"/>
    </row>
    <row r="17959" spans="13:19" ht="13.95" customHeight="1">
      <c r="M17959"/>
      <c r="N17959"/>
      <c r="O17959"/>
      <c r="P17959"/>
      <c r="Q17959"/>
      <c r="R17959"/>
      <c r="S17959"/>
    </row>
    <row r="17960" spans="13:19" ht="13.95" customHeight="1">
      <c r="M17960"/>
      <c r="N17960"/>
      <c r="O17960"/>
      <c r="P17960"/>
      <c r="Q17960"/>
      <c r="R17960"/>
      <c r="S17960"/>
    </row>
    <row r="17961" spans="13:19" ht="13.95" customHeight="1">
      <c r="M17961"/>
      <c r="N17961"/>
      <c r="O17961"/>
      <c r="P17961"/>
      <c r="Q17961"/>
      <c r="R17961"/>
      <c r="S17961"/>
    </row>
    <row r="17962" spans="13:19" ht="13.95" customHeight="1">
      <c r="M17962"/>
      <c r="N17962"/>
      <c r="O17962"/>
      <c r="P17962"/>
      <c r="Q17962"/>
      <c r="R17962"/>
      <c r="S17962"/>
    </row>
    <row r="17963" spans="13:19" ht="13.95" customHeight="1">
      <c r="M17963"/>
      <c r="N17963"/>
      <c r="O17963"/>
      <c r="P17963"/>
      <c r="Q17963"/>
      <c r="R17963"/>
      <c r="S17963"/>
    </row>
    <row r="17964" spans="13:19" ht="13.95" customHeight="1">
      <c r="M17964"/>
      <c r="N17964"/>
      <c r="O17964"/>
      <c r="P17964"/>
      <c r="Q17964"/>
      <c r="R17964"/>
      <c r="S17964"/>
    </row>
    <row r="17965" spans="13:19" ht="13.95" customHeight="1">
      <c r="M17965"/>
      <c r="N17965"/>
      <c r="O17965"/>
      <c r="P17965"/>
      <c r="Q17965"/>
      <c r="R17965"/>
      <c r="S17965"/>
    </row>
    <row r="17966" spans="13:19" ht="13.95" customHeight="1">
      <c r="M17966"/>
      <c r="N17966"/>
      <c r="O17966"/>
      <c r="P17966"/>
      <c r="Q17966"/>
      <c r="R17966"/>
      <c r="S17966"/>
    </row>
    <row r="17967" spans="13:19" ht="13.95" customHeight="1">
      <c r="M17967"/>
      <c r="N17967"/>
      <c r="O17967"/>
      <c r="P17967"/>
      <c r="Q17967"/>
      <c r="R17967"/>
      <c r="S17967"/>
    </row>
    <row r="17968" spans="13:19" ht="13.95" customHeight="1">
      <c r="M17968"/>
      <c r="N17968"/>
      <c r="O17968"/>
      <c r="P17968"/>
      <c r="Q17968"/>
      <c r="R17968"/>
      <c r="S17968"/>
    </row>
    <row r="17969" spans="13:19" ht="13.95" customHeight="1">
      <c r="M17969"/>
      <c r="N17969"/>
      <c r="O17969"/>
      <c r="P17969"/>
      <c r="Q17969"/>
      <c r="R17969"/>
      <c r="S17969"/>
    </row>
    <row r="17970" spans="13:19" ht="13.95" customHeight="1">
      <c r="M17970"/>
      <c r="N17970"/>
      <c r="O17970"/>
      <c r="P17970"/>
      <c r="Q17970"/>
      <c r="R17970"/>
      <c r="S17970"/>
    </row>
    <row r="17971" spans="13:19" ht="13.95" customHeight="1">
      <c r="M17971"/>
      <c r="N17971"/>
      <c r="O17971"/>
      <c r="P17971"/>
      <c r="Q17971"/>
      <c r="R17971"/>
      <c r="S17971"/>
    </row>
    <row r="17972" spans="13:19" ht="13.95" customHeight="1">
      <c r="M17972"/>
      <c r="N17972"/>
      <c r="O17972"/>
      <c r="P17972"/>
      <c r="Q17972"/>
      <c r="R17972"/>
      <c r="S17972"/>
    </row>
    <row r="17973" spans="13:19" ht="13.95" customHeight="1">
      <c r="M17973"/>
      <c r="N17973"/>
      <c r="O17973"/>
      <c r="P17973"/>
      <c r="Q17973"/>
      <c r="R17973"/>
      <c r="S17973"/>
    </row>
    <row r="17974" spans="13:19" ht="13.95" customHeight="1">
      <c r="M17974"/>
      <c r="N17974"/>
      <c r="O17974"/>
      <c r="P17974"/>
      <c r="Q17974"/>
      <c r="R17974"/>
      <c r="S17974"/>
    </row>
    <row r="17975" spans="13:19" ht="13.95" customHeight="1">
      <c r="M17975"/>
      <c r="N17975"/>
      <c r="O17975"/>
      <c r="P17975"/>
      <c r="Q17975"/>
      <c r="R17975"/>
      <c r="S17975"/>
    </row>
    <row r="17976" spans="13:19" ht="13.95" customHeight="1">
      <c r="M17976"/>
      <c r="N17976"/>
      <c r="O17976"/>
      <c r="P17976"/>
      <c r="Q17976"/>
      <c r="R17976"/>
      <c r="S17976"/>
    </row>
    <row r="17977" spans="13:19" ht="13.95" customHeight="1">
      <c r="M17977"/>
      <c r="N17977"/>
      <c r="O17977"/>
      <c r="P17977"/>
      <c r="Q17977"/>
      <c r="R17977"/>
      <c r="S17977"/>
    </row>
    <row r="17978" spans="13:19" ht="13.95" customHeight="1">
      <c r="M17978"/>
      <c r="N17978"/>
      <c r="O17978"/>
      <c r="P17978"/>
      <c r="Q17978"/>
      <c r="R17978"/>
      <c r="S17978"/>
    </row>
    <row r="17979" spans="13:19" ht="13.95" customHeight="1">
      <c r="M17979"/>
      <c r="N17979"/>
      <c r="O17979"/>
      <c r="P17979"/>
      <c r="Q17979"/>
      <c r="R17979"/>
      <c r="S17979"/>
    </row>
    <row r="17980" spans="13:19" ht="13.95" customHeight="1">
      <c r="M17980"/>
      <c r="N17980"/>
      <c r="O17980"/>
      <c r="P17980"/>
      <c r="Q17980"/>
      <c r="R17980"/>
      <c r="S17980"/>
    </row>
    <row r="17981" spans="13:19" ht="13.95" customHeight="1">
      <c r="M17981"/>
      <c r="N17981"/>
      <c r="O17981"/>
      <c r="P17981"/>
      <c r="Q17981"/>
      <c r="R17981"/>
      <c r="S17981"/>
    </row>
    <row r="17982" spans="13:19" ht="13.95" customHeight="1">
      <c r="M17982"/>
      <c r="N17982"/>
      <c r="O17982"/>
      <c r="P17982"/>
      <c r="Q17982"/>
      <c r="R17982"/>
      <c r="S17982"/>
    </row>
    <row r="17983" spans="13:19" ht="13.95" customHeight="1">
      <c r="M17983"/>
      <c r="N17983"/>
      <c r="O17983"/>
      <c r="P17983"/>
      <c r="Q17983"/>
      <c r="R17983"/>
      <c r="S17983"/>
    </row>
    <row r="17984" spans="13:19" ht="13.95" customHeight="1">
      <c r="M17984"/>
      <c r="N17984"/>
      <c r="O17984"/>
      <c r="P17984"/>
      <c r="Q17984"/>
      <c r="R17984"/>
      <c r="S17984"/>
    </row>
    <row r="17985" spans="13:19" ht="13.95" customHeight="1">
      <c r="M17985"/>
      <c r="N17985"/>
      <c r="O17985"/>
      <c r="P17985"/>
      <c r="Q17985"/>
      <c r="R17985"/>
      <c r="S17985"/>
    </row>
    <row r="17986" spans="13:19" ht="13.95" customHeight="1">
      <c r="M17986"/>
      <c r="N17986"/>
      <c r="O17986"/>
      <c r="P17986"/>
      <c r="Q17986"/>
      <c r="R17986"/>
      <c r="S17986"/>
    </row>
    <row r="17987" spans="13:19" ht="13.95" customHeight="1">
      <c r="M17987"/>
      <c r="N17987"/>
      <c r="O17987"/>
      <c r="P17987"/>
      <c r="Q17987"/>
      <c r="R17987"/>
      <c r="S17987"/>
    </row>
    <row r="17988" spans="13:19" ht="13.95" customHeight="1">
      <c r="M17988"/>
      <c r="N17988"/>
      <c r="O17988"/>
      <c r="P17988"/>
      <c r="Q17988"/>
      <c r="R17988"/>
      <c r="S17988"/>
    </row>
    <row r="17989" spans="13:19" ht="13.95" customHeight="1">
      <c r="M17989"/>
      <c r="N17989"/>
      <c r="O17989"/>
      <c r="P17989"/>
      <c r="Q17989"/>
      <c r="R17989"/>
      <c r="S17989"/>
    </row>
    <row r="17990" spans="13:19" ht="13.95" customHeight="1">
      <c r="M17990"/>
      <c r="N17990"/>
      <c r="O17990"/>
      <c r="P17990"/>
      <c r="Q17990"/>
      <c r="R17990"/>
      <c r="S17990"/>
    </row>
    <row r="17991" spans="13:19" ht="13.95" customHeight="1">
      <c r="M17991"/>
      <c r="N17991"/>
      <c r="O17991"/>
      <c r="P17991"/>
      <c r="Q17991"/>
      <c r="R17991"/>
      <c r="S17991"/>
    </row>
    <row r="17992" spans="13:19" ht="13.95" customHeight="1">
      <c r="M17992"/>
      <c r="N17992"/>
      <c r="O17992"/>
      <c r="P17992"/>
      <c r="Q17992"/>
      <c r="R17992"/>
      <c r="S17992"/>
    </row>
    <row r="17993" spans="13:19" ht="13.95" customHeight="1">
      <c r="M17993"/>
      <c r="N17993"/>
      <c r="O17993"/>
      <c r="P17993"/>
      <c r="Q17993"/>
      <c r="R17993"/>
      <c r="S17993"/>
    </row>
    <row r="17994" spans="13:19" ht="13.95" customHeight="1">
      <c r="M17994"/>
      <c r="N17994"/>
      <c r="O17994"/>
      <c r="P17994"/>
      <c r="Q17994"/>
      <c r="R17994"/>
      <c r="S17994"/>
    </row>
    <row r="17995" spans="13:19" ht="13.95" customHeight="1">
      <c r="M17995"/>
      <c r="N17995"/>
      <c r="O17995"/>
      <c r="P17995"/>
      <c r="Q17995"/>
      <c r="R17995"/>
      <c r="S17995"/>
    </row>
    <row r="17996" spans="13:19" ht="13.95" customHeight="1">
      <c r="M17996"/>
      <c r="N17996"/>
      <c r="O17996"/>
      <c r="P17996"/>
      <c r="Q17996"/>
      <c r="R17996"/>
      <c r="S17996"/>
    </row>
    <row r="17997" spans="13:19" ht="13.95" customHeight="1">
      <c r="M17997"/>
      <c r="N17997"/>
      <c r="O17997"/>
      <c r="P17997"/>
      <c r="Q17997"/>
      <c r="R17997"/>
      <c r="S17997"/>
    </row>
    <row r="17998" spans="13:19" ht="13.95" customHeight="1">
      <c r="M17998"/>
      <c r="N17998"/>
      <c r="O17998"/>
      <c r="P17998"/>
      <c r="Q17998"/>
      <c r="R17998"/>
      <c r="S17998"/>
    </row>
    <row r="17999" spans="13:19" ht="13.95" customHeight="1">
      <c r="M17999"/>
      <c r="N17999"/>
      <c r="O17999"/>
      <c r="P17999"/>
      <c r="Q17999"/>
      <c r="R17999"/>
      <c r="S17999"/>
    </row>
    <row r="18000" spans="13:19" ht="13.95" customHeight="1">
      <c r="M18000"/>
      <c r="N18000"/>
      <c r="O18000"/>
      <c r="P18000"/>
      <c r="Q18000"/>
      <c r="R18000"/>
      <c r="S18000"/>
    </row>
    <row r="18001" spans="13:19" ht="13.95" customHeight="1">
      <c r="M18001"/>
      <c r="N18001"/>
      <c r="O18001"/>
      <c r="P18001"/>
      <c r="Q18001"/>
      <c r="R18001"/>
      <c r="S18001"/>
    </row>
    <row r="18002" spans="13:19" ht="13.95" customHeight="1">
      <c r="M18002"/>
      <c r="N18002"/>
      <c r="O18002"/>
      <c r="P18002"/>
      <c r="Q18002"/>
      <c r="R18002"/>
      <c r="S18002"/>
    </row>
    <row r="18003" spans="13:19" ht="13.95" customHeight="1">
      <c r="M18003"/>
      <c r="N18003"/>
      <c r="O18003"/>
      <c r="P18003"/>
      <c r="Q18003"/>
      <c r="R18003"/>
      <c r="S18003"/>
    </row>
    <row r="18004" spans="13:19" ht="13.95" customHeight="1">
      <c r="M18004"/>
      <c r="N18004"/>
      <c r="O18004"/>
      <c r="P18004"/>
      <c r="Q18004"/>
      <c r="R18004"/>
      <c r="S18004"/>
    </row>
    <row r="18005" spans="13:19" ht="13.95" customHeight="1">
      <c r="M18005"/>
      <c r="N18005"/>
      <c r="O18005"/>
      <c r="P18005"/>
      <c r="Q18005"/>
      <c r="R18005"/>
      <c r="S18005"/>
    </row>
    <row r="18006" spans="13:19" ht="13.95" customHeight="1">
      <c r="M18006"/>
      <c r="N18006"/>
      <c r="O18006"/>
      <c r="P18006"/>
      <c r="Q18006"/>
      <c r="R18006"/>
      <c r="S18006"/>
    </row>
    <row r="18007" spans="13:19" ht="13.95" customHeight="1">
      <c r="M18007"/>
      <c r="N18007"/>
      <c r="O18007"/>
      <c r="P18007"/>
      <c r="Q18007"/>
      <c r="R18007"/>
      <c r="S18007"/>
    </row>
    <row r="18008" spans="13:19" ht="13.95" customHeight="1">
      <c r="M18008"/>
      <c r="N18008"/>
      <c r="O18008"/>
      <c r="P18008"/>
      <c r="Q18008"/>
      <c r="R18008"/>
      <c r="S18008"/>
    </row>
    <row r="18009" spans="13:19" ht="13.95" customHeight="1">
      <c r="M18009"/>
      <c r="N18009"/>
      <c r="O18009"/>
      <c r="P18009"/>
      <c r="Q18009"/>
      <c r="R18009"/>
      <c r="S18009"/>
    </row>
    <row r="18010" spans="13:19" ht="13.95" customHeight="1">
      <c r="M18010"/>
      <c r="N18010"/>
      <c r="O18010"/>
      <c r="P18010"/>
      <c r="Q18010"/>
      <c r="R18010"/>
      <c r="S18010"/>
    </row>
    <row r="18011" spans="13:19" ht="13.95" customHeight="1">
      <c r="M18011"/>
      <c r="N18011"/>
      <c r="O18011"/>
      <c r="P18011"/>
      <c r="Q18011"/>
      <c r="R18011"/>
      <c r="S18011"/>
    </row>
    <row r="18012" spans="13:19" ht="13.95" customHeight="1">
      <c r="M18012"/>
      <c r="N18012"/>
      <c r="O18012"/>
      <c r="P18012"/>
      <c r="Q18012"/>
      <c r="R18012"/>
      <c r="S18012"/>
    </row>
    <row r="18013" spans="13:19" ht="13.95" customHeight="1">
      <c r="M18013"/>
      <c r="N18013"/>
      <c r="O18013"/>
      <c r="P18013"/>
      <c r="Q18013"/>
      <c r="R18013"/>
      <c r="S18013"/>
    </row>
    <row r="18014" spans="13:19" ht="13.95" customHeight="1">
      <c r="M18014"/>
      <c r="N18014"/>
      <c r="O18014"/>
      <c r="P18014"/>
      <c r="Q18014"/>
      <c r="R18014"/>
      <c r="S18014"/>
    </row>
    <row r="18015" spans="13:19" ht="13.95" customHeight="1">
      <c r="M18015"/>
      <c r="N18015"/>
      <c r="O18015"/>
      <c r="P18015"/>
      <c r="Q18015"/>
      <c r="R18015"/>
      <c r="S18015"/>
    </row>
    <row r="18016" spans="13:19" ht="13.95" customHeight="1">
      <c r="M18016"/>
      <c r="N18016"/>
      <c r="O18016"/>
      <c r="P18016"/>
      <c r="Q18016"/>
      <c r="R18016"/>
      <c r="S18016"/>
    </row>
    <row r="18017" spans="13:19" ht="13.95" customHeight="1">
      <c r="M18017"/>
      <c r="N18017"/>
      <c r="O18017"/>
      <c r="P18017"/>
      <c r="Q18017"/>
      <c r="R18017"/>
      <c r="S18017"/>
    </row>
    <row r="18018" spans="13:19" ht="13.95" customHeight="1">
      <c r="M18018"/>
      <c r="N18018"/>
      <c r="O18018"/>
      <c r="P18018"/>
      <c r="Q18018"/>
      <c r="R18018"/>
      <c r="S18018"/>
    </row>
    <row r="18019" spans="13:19" ht="13.95" customHeight="1">
      <c r="M18019"/>
      <c r="N18019"/>
      <c r="O18019"/>
      <c r="P18019"/>
      <c r="Q18019"/>
      <c r="R18019"/>
      <c r="S18019"/>
    </row>
    <row r="18020" spans="13:19" ht="13.95" customHeight="1">
      <c r="M18020"/>
      <c r="N18020"/>
      <c r="O18020"/>
      <c r="P18020"/>
      <c r="Q18020"/>
      <c r="R18020"/>
      <c r="S18020"/>
    </row>
    <row r="18021" spans="13:19" ht="13.95" customHeight="1">
      <c r="M18021"/>
      <c r="N18021"/>
      <c r="O18021"/>
      <c r="P18021"/>
      <c r="Q18021"/>
      <c r="R18021"/>
      <c r="S18021"/>
    </row>
    <row r="18022" spans="13:19" ht="13.95" customHeight="1">
      <c r="M18022"/>
      <c r="N18022"/>
      <c r="O18022"/>
      <c r="P18022"/>
      <c r="Q18022"/>
      <c r="R18022"/>
      <c r="S18022"/>
    </row>
    <row r="18023" spans="13:19" ht="13.95" customHeight="1">
      <c r="M18023"/>
      <c r="N18023"/>
      <c r="O18023"/>
      <c r="P18023"/>
      <c r="Q18023"/>
      <c r="R18023"/>
      <c r="S18023"/>
    </row>
    <row r="18024" spans="13:19" ht="13.95" customHeight="1">
      <c r="M18024"/>
      <c r="N18024"/>
      <c r="O18024"/>
      <c r="P18024"/>
      <c r="Q18024"/>
      <c r="R18024"/>
      <c r="S18024"/>
    </row>
    <row r="18025" spans="13:19" ht="13.95" customHeight="1">
      <c r="M18025"/>
      <c r="N18025"/>
      <c r="O18025"/>
      <c r="P18025"/>
      <c r="Q18025"/>
      <c r="R18025"/>
      <c r="S18025"/>
    </row>
    <row r="18026" spans="13:19" ht="13.95" customHeight="1">
      <c r="M18026"/>
      <c r="N18026"/>
      <c r="O18026"/>
      <c r="P18026"/>
      <c r="Q18026"/>
      <c r="R18026"/>
      <c r="S18026"/>
    </row>
    <row r="18027" spans="13:19" ht="13.95" customHeight="1">
      <c r="M18027"/>
      <c r="N18027"/>
      <c r="O18027"/>
      <c r="P18027"/>
      <c r="Q18027"/>
      <c r="R18027"/>
      <c r="S18027"/>
    </row>
    <row r="18028" spans="13:19" ht="13.95" customHeight="1">
      <c r="M18028"/>
      <c r="N18028"/>
      <c r="O18028"/>
      <c r="P18028"/>
      <c r="Q18028"/>
      <c r="R18028"/>
      <c r="S18028"/>
    </row>
    <row r="18029" spans="13:19" ht="13.95" customHeight="1">
      <c r="M18029"/>
      <c r="N18029"/>
      <c r="O18029"/>
      <c r="P18029"/>
      <c r="Q18029"/>
      <c r="R18029"/>
      <c r="S18029"/>
    </row>
    <row r="18030" spans="13:19" ht="13.95" customHeight="1">
      <c r="M18030"/>
      <c r="N18030"/>
      <c r="O18030"/>
      <c r="P18030"/>
      <c r="Q18030"/>
      <c r="R18030"/>
      <c r="S18030"/>
    </row>
    <row r="18031" spans="13:19" ht="13.95" customHeight="1">
      <c r="M18031"/>
      <c r="N18031"/>
      <c r="O18031"/>
      <c r="P18031"/>
      <c r="Q18031"/>
      <c r="R18031"/>
      <c r="S18031"/>
    </row>
    <row r="18032" spans="13:19" ht="13.95" customHeight="1">
      <c r="M18032"/>
      <c r="N18032"/>
      <c r="O18032"/>
      <c r="P18032"/>
      <c r="Q18032"/>
      <c r="R18032"/>
      <c r="S18032"/>
    </row>
    <row r="18033" spans="13:19" ht="13.95" customHeight="1">
      <c r="M18033"/>
      <c r="N18033"/>
      <c r="O18033"/>
      <c r="P18033"/>
      <c r="Q18033"/>
      <c r="R18033"/>
      <c r="S18033"/>
    </row>
    <row r="18034" spans="13:19" ht="13.95" customHeight="1">
      <c r="M18034"/>
      <c r="N18034"/>
      <c r="O18034"/>
      <c r="P18034"/>
      <c r="Q18034"/>
      <c r="R18034"/>
      <c r="S18034"/>
    </row>
    <row r="18035" spans="13:19" ht="13.95" customHeight="1">
      <c r="M18035"/>
      <c r="N18035"/>
      <c r="O18035"/>
      <c r="P18035"/>
      <c r="Q18035"/>
      <c r="R18035"/>
      <c r="S18035"/>
    </row>
    <row r="18036" spans="13:19" ht="13.95" customHeight="1">
      <c r="M18036"/>
      <c r="N18036"/>
      <c r="O18036"/>
      <c r="P18036"/>
      <c r="Q18036"/>
      <c r="R18036"/>
      <c r="S18036"/>
    </row>
    <row r="18037" spans="13:19" ht="13.95" customHeight="1">
      <c r="M18037"/>
      <c r="N18037"/>
      <c r="O18037"/>
      <c r="P18037"/>
      <c r="Q18037"/>
      <c r="R18037"/>
      <c r="S18037"/>
    </row>
    <row r="18038" spans="13:19" ht="13.95" customHeight="1">
      <c r="M18038"/>
      <c r="N18038"/>
      <c r="O18038"/>
      <c r="P18038"/>
      <c r="Q18038"/>
      <c r="R18038"/>
      <c r="S18038"/>
    </row>
    <row r="18039" spans="13:19" ht="13.95" customHeight="1">
      <c r="M18039"/>
      <c r="N18039"/>
      <c r="O18039"/>
      <c r="P18039"/>
      <c r="Q18039"/>
      <c r="R18039"/>
      <c r="S18039"/>
    </row>
    <row r="18040" spans="13:19" ht="13.95" customHeight="1">
      <c r="M18040"/>
      <c r="N18040"/>
      <c r="O18040"/>
      <c r="P18040"/>
      <c r="Q18040"/>
      <c r="R18040"/>
      <c r="S18040"/>
    </row>
    <row r="18041" spans="13:19" ht="13.95" customHeight="1">
      <c r="M18041"/>
      <c r="N18041"/>
      <c r="O18041"/>
      <c r="P18041"/>
      <c r="Q18041"/>
      <c r="R18041"/>
      <c r="S18041"/>
    </row>
    <row r="18042" spans="13:19" ht="13.95" customHeight="1">
      <c r="M18042"/>
      <c r="N18042"/>
      <c r="O18042"/>
      <c r="P18042"/>
      <c r="Q18042"/>
      <c r="R18042"/>
      <c r="S18042"/>
    </row>
    <row r="18043" spans="13:19" ht="13.95" customHeight="1">
      <c r="M18043"/>
      <c r="N18043"/>
      <c r="O18043"/>
      <c r="P18043"/>
      <c r="Q18043"/>
      <c r="R18043"/>
      <c r="S18043"/>
    </row>
    <row r="18044" spans="13:19" ht="13.95" customHeight="1">
      <c r="M18044"/>
      <c r="N18044"/>
      <c r="O18044"/>
      <c r="P18044"/>
      <c r="Q18044"/>
      <c r="R18044"/>
      <c r="S18044"/>
    </row>
    <row r="18045" spans="13:19" ht="13.95" customHeight="1">
      <c r="M18045"/>
      <c r="N18045"/>
      <c r="O18045"/>
      <c r="P18045"/>
      <c r="Q18045"/>
      <c r="R18045"/>
      <c r="S18045"/>
    </row>
    <row r="18046" spans="13:19" ht="13.95" customHeight="1">
      <c r="M18046"/>
      <c r="N18046"/>
      <c r="O18046"/>
      <c r="P18046"/>
      <c r="Q18046"/>
      <c r="R18046"/>
      <c r="S18046"/>
    </row>
    <row r="18047" spans="13:19" ht="13.95" customHeight="1">
      <c r="M18047"/>
      <c r="N18047"/>
      <c r="O18047"/>
      <c r="P18047"/>
      <c r="Q18047"/>
      <c r="R18047"/>
      <c r="S18047"/>
    </row>
    <row r="18048" spans="13:19" ht="13.95" customHeight="1">
      <c r="M18048"/>
      <c r="N18048"/>
      <c r="O18048"/>
      <c r="P18048"/>
      <c r="Q18048"/>
      <c r="R18048"/>
      <c r="S18048"/>
    </row>
    <row r="18049" spans="13:19" ht="13.95" customHeight="1">
      <c r="M18049"/>
      <c r="N18049"/>
      <c r="O18049"/>
      <c r="P18049"/>
      <c r="Q18049"/>
      <c r="R18049"/>
      <c r="S18049"/>
    </row>
    <row r="18050" spans="13:19" ht="13.95" customHeight="1">
      <c r="M18050"/>
      <c r="N18050"/>
      <c r="O18050"/>
      <c r="P18050"/>
      <c r="Q18050"/>
      <c r="R18050"/>
      <c r="S18050"/>
    </row>
    <row r="18051" spans="13:19" ht="13.95" customHeight="1">
      <c r="M18051"/>
      <c r="N18051"/>
      <c r="O18051"/>
      <c r="P18051"/>
      <c r="Q18051"/>
      <c r="R18051"/>
      <c r="S18051"/>
    </row>
    <row r="18052" spans="13:19" ht="13.95" customHeight="1">
      <c r="M18052"/>
      <c r="N18052"/>
      <c r="O18052"/>
      <c r="P18052"/>
      <c r="Q18052"/>
      <c r="R18052"/>
      <c r="S18052"/>
    </row>
    <row r="18053" spans="13:19" ht="13.95" customHeight="1">
      <c r="M18053"/>
      <c r="N18053"/>
      <c r="O18053"/>
      <c r="P18053"/>
      <c r="Q18053"/>
      <c r="R18053"/>
      <c r="S18053"/>
    </row>
    <row r="18054" spans="13:19" ht="13.95" customHeight="1">
      <c r="M18054"/>
      <c r="N18054"/>
      <c r="O18054"/>
      <c r="P18054"/>
      <c r="Q18054"/>
      <c r="R18054"/>
      <c r="S18054"/>
    </row>
    <row r="18055" spans="13:19" ht="13.95" customHeight="1">
      <c r="M18055"/>
      <c r="N18055"/>
      <c r="O18055"/>
      <c r="P18055"/>
      <c r="Q18055"/>
      <c r="R18055"/>
      <c r="S18055"/>
    </row>
    <row r="18056" spans="13:19" ht="13.95" customHeight="1">
      <c r="M18056"/>
      <c r="N18056"/>
      <c r="O18056"/>
      <c r="P18056"/>
      <c r="Q18056"/>
      <c r="R18056"/>
      <c r="S18056"/>
    </row>
    <row r="18057" spans="13:19" ht="13.95" customHeight="1">
      <c r="M18057"/>
      <c r="N18057"/>
      <c r="O18057"/>
      <c r="P18057"/>
      <c r="Q18057"/>
      <c r="R18057"/>
      <c r="S18057"/>
    </row>
    <row r="18058" spans="13:19" ht="13.95" customHeight="1">
      <c r="M18058"/>
      <c r="N18058"/>
      <c r="O18058"/>
      <c r="P18058"/>
      <c r="Q18058"/>
      <c r="R18058"/>
      <c r="S18058"/>
    </row>
    <row r="18059" spans="13:19" ht="13.95" customHeight="1">
      <c r="M18059"/>
      <c r="N18059"/>
      <c r="O18059"/>
      <c r="P18059"/>
      <c r="Q18059"/>
      <c r="R18059"/>
      <c r="S18059"/>
    </row>
    <row r="18060" spans="13:19" ht="13.95" customHeight="1">
      <c r="M18060"/>
      <c r="N18060"/>
      <c r="O18060"/>
      <c r="P18060"/>
      <c r="Q18060"/>
      <c r="R18060"/>
      <c r="S18060"/>
    </row>
    <row r="18061" spans="13:19" ht="13.95" customHeight="1">
      <c r="M18061"/>
      <c r="N18061"/>
      <c r="O18061"/>
      <c r="P18061"/>
      <c r="Q18061"/>
      <c r="R18061"/>
      <c r="S18061"/>
    </row>
    <row r="18062" spans="13:19" ht="13.95" customHeight="1">
      <c r="M18062"/>
      <c r="N18062"/>
      <c r="O18062"/>
      <c r="P18062"/>
      <c r="Q18062"/>
      <c r="R18062"/>
      <c r="S18062"/>
    </row>
    <row r="18063" spans="13:19" ht="13.95" customHeight="1">
      <c r="M18063"/>
      <c r="N18063"/>
      <c r="O18063"/>
      <c r="P18063"/>
      <c r="Q18063"/>
      <c r="R18063"/>
      <c r="S18063"/>
    </row>
    <row r="18064" spans="13:19" ht="13.95" customHeight="1">
      <c r="M18064"/>
      <c r="N18064"/>
      <c r="O18064"/>
      <c r="P18064"/>
      <c r="Q18064"/>
      <c r="R18064"/>
      <c r="S18064"/>
    </row>
    <row r="18065" spans="13:19" ht="13.95" customHeight="1">
      <c r="M18065"/>
      <c r="N18065"/>
      <c r="O18065"/>
      <c r="P18065"/>
      <c r="Q18065"/>
      <c r="R18065"/>
      <c r="S18065"/>
    </row>
    <row r="18066" spans="13:19" ht="13.95" customHeight="1">
      <c r="M18066"/>
      <c r="N18066"/>
      <c r="O18066"/>
      <c r="P18066"/>
      <c r="Q18066"/>
      <c r="R18066"/>
      <c r="S18066"/>
    </row>
    <row r="18067" spans="13:19" ht="13.95" customHeight="1">
      <c r="M18067"/>
      <c r="N18067"/>
      <c r="O18067"/>
      <c r="P18067"/>
      <c r="Q18067"/>
      <c r="R18067"/>
      <c r="S18067"/>
    </row>
    <row r="18068" spans="13:19" ht="13.95" customHeight="1">
      <c r="M18068"/>
      <c r="N18068"/>
      <c r="O18068"/>
      <c r="P18068"/>
      <c r="Q18068"/>
      <c r="R18068"/>
      <c r="S18068"/>
    </row>
    <row r="18069" spans="13:19" ht="13.95" customHeight="1">
      <c r="M18069"/>
      <c r="N18069"/>
      <c r="O18069"/>
      <c r="P18069"/>
      <c r="Q18069"/>
      <c r="R18069"/>
      <c r="S18069"/>
    </row>
    <row r="18070" spans="13:19" ht="13.95" customHeight="1">
      <c r="M18070"/>
      <c r="N18070"/>
      <c r="O18070"/>
      <c r="P18070"/>
      <c r="Q18070"/>
      <c r="R18070"/>
      <c r="S18070"/>
    </row>
    <row r="18071" spans="13:19" ht="13.95" customHeight="1">
      <c r="M18071"/>
      <c r="N18071"/>
      <c r="O18071"/>
      <c r="P18071"/>
      <c r="Q18071"/>
      <c r="R18071"/>
      <c r="S18071"/>
    </row>
    <row r="18072" spans="13:19" ht="13.95" customHeight="1">
      <c r="M18072"/>
      <c r="N18072"/>
      <c r="O18072"/>
      <c r="P18072"/>
      <c r="Q18072"/>
      <c r="R18072"/>
      <c r="S18072"/>
    </row>
    <row r="18073" spans="13:19" ht="13.95" customHeight="1">
      <c r="M18073"/>
      <c r="N18073"/>
      <c r="O18073"/>
      <c r="P18073"/>
      <c r="Q18073"/>
      <c r="R18073"/>
      <c r="S18073"/>
    </row>
    <row r="18074" spans="13:19" ht="13.95" customHeight="1">
      <c r="M18074"/>
      <c r="N18074"/>
      <c r="O18074"/>
      <c r="P18074"/>
      <c r="Q18074"/>
      <c r="R18074"/>
      <c r="S18074"/>
    </row>
    <row r="18075" spans="13:19" ht="13.95" customHeight="1">
      <c r="M18075"/>
      <c r="N18075"/>
      <c r="O18075"/>
      <c r="P18075"/>
      <c r="Q18075"/>
      <c r="R18075"/>
      <c r="S18075"/>
    </row>
    <row r="18076" spans="13:19" ht="13.95" customHeight="1">
      <c r="M18076"/>
      <c r="N18076"/>
      <c r="O18076"/>
      <c r="P18076"/>
      <c r="Q18076"/>
      <c r="R18076"/>
      <c r="S18076"/>
    </row>
    <row r="18077" spans="13:19" ht="13.95" customHeight="1">
      <c r="M18077"/>
      <c r="N18077"/>
      <c r="O18077"/>
      <c r="P18077"/>
      <c r="Q18077"/>
      <c r="R18077"/>
      <c r="S18077"/>
    </row>
    <row r="18078" spans="13:19" ht="13.95" customHeight="1">
      <c r="M18078"/>
      <c r="N18078"/>
      <c r="O18078"/>
      <c r="P18078"/>
      <c r="Q18078"/>
      <c r="R18078"/>
      <c r="S18078"/>
    </row>
    <row r="18079" spans="13:19" ht="13.95" customHeight="1">
      <c r="M18079"/>
      <c r="N18079"/>
      <c r="O18079"/>
      <c r="P18079"/>
      <c r="Q18079"/>
      <c r="R18079"/>
      <c r="S18079"/>
    </row>
    <row r="18080" spans="13:19" ht="13.95" customHeight="1">
      <c r="M18080"/>
      <c r="N18080"/>
      <c r="O18080"/>
      <c r="P18080"/>
      <c r="Q18080"/>
      <c r="R18080"/>
      <c r="S18080"/>
    </row>
    <row r="18081" spans="13:19" ht="13.95" customHeight="1">
      <c r="M18081"/>
      <c r="N18081"/>
      <c r="O18081"/>
      <c r="P18081"/>
      <c r="Q18081"/>
      <c r="R18081"/>
      <c r="S18081"/>
    </row>
    <row r="18082" spans="13:19" ht="13.95" customHeight="1">
      <c r="M18082"/>
      <c r="N18082"/>
      <c r="O18082"/>
      <c r="P18082"/>
      <c r="Q18082"/>
      <c r="R18082"/>
      <c r="S18082"/>
    </row>
    <row r="18083" spans="13:19" ht="13.95" customHeight="1">
      <c r="M18083"/>
      <c r="N18083"/>
      <c r="O18083"/>
      <c r="P18083"/>
      <c r="Q18083"/>
      <c r="R18083"/>
      <c r="S18083"/>
    </row>
    <row r="18084" spans="13:19" ht="13.95" customHeight="1">
      <c r="M18084"/>
      <c r="N18084"/>
      <c r="O18084"/>
      <c r="P18084"/>
      <c r="Q18084"/>
      <c r="R18084"/>
      <c r="S18084"/>
    </row>
    <row r="18085" spans="13:19" ht="13.95" customHeight="1">
      <c r="M18085"/>
      <c r="N18085"/>
      <c r="O18085"/>
      <c r="P18085"/>
      <c r="Q18085"/>
      <c r="R18085"/>
      <c r="S18085"/>
    </row>
    <row r="18086" spans="13:19" ht="13.95" customHeight="1">
      <c r="M18086"/>
      <c r="N18086"/>
      <c r="O18086"/>
      <c r="P18086"/>
      <c r="Q18086"/>
      <c r="R18086"/>
      <c r="S18086"/>
    </row>
    <row r="18087" spans="13:19" ht="13.95" customHeight="1">
      <c r="M18087"/>
      <c r="N18087"/>
      <c r="O18087"/>
      <c r="P18087"/>
      <c r="Q18087"/>
      <c r="R18087"/>
      <c r="S18087"/>
    </row>
    <row r="18088" spans="13:19" ht="13.95" customHeight="1">
      <c r="M18088"/>
      <c r="N18088"/>
      <c r="O18088"/>
      <c r="P18088"/>
      <c r="Q18088"/>
      <c r="R18088"/>
      <c r="S18088"/>
    </row>
    <row r="18089" spans="13:19" ht="13.95" customHeight="1">
      <c r="M18089"/>
      <c r="N18089"/>
      <c r="O18089"/>
      <c r="P18089"/>
      <c r="Q18089"/>
      <c r="R18089"/>
      <c r="S18089"/>
    </row>
    <row r="18090" spans="13:19" ht="13.95" customHeight="1">
      <c r="M18090"/>
      <c r="N18090"/>
      <c r="O18090"/>
      <c r="P18090"/>
      <c r="Q18090"/>
      <c r="R18090"/>
      <c r="S18090"/>
    </row>
    <row r="18091" spans="13:19" ht="13.95" customHeight="1">
      <c r="M18091"/>
      <c r="N18091"/>
      <c r="O18091"/>
      <c r="P18091"/>
      <c r="Q18091"/>
      <c r="R18091"/>
      <c r="S18091"/>
    </row>
    <row r="18092" spans="13:19" ht="13.95" customHeight="1">
      <c r="M18092"/>
      <c r="N18092"/>
      <c r="O18092"/>
      <c r="P18092"/>
      <c r="Q18092"/>
      <c r="R18092"/>
      <c r="S18092"/>
    </row>
    <row r="18093" spans="13:19" ht="13.95" customHeight="1">
      <c r="M18093"/>
      <c r="N18093"/>
      <c r="O18093"/>
      <c r="P18093"/>
      <c r="Q18093"/>
      <c r="R18093"/>
      <c r="S18093"/>
    </row>
    <row r="18094" spans="13:19" ht="13.95" customHeight="1">
      <c r="M18094"/>
      <c r="N18094"/>
      <c r="O18094"/>
      <c r="P18094"/>
      <c r="Q18094"/>
      <c r="R18094"/>
      <c r="S18094"/>
    </row>
    <row r="18095" spans="13:19" ht="13.95" customHeight="1">
      <c r="M18095"/>
      <c r="N18095"/>
      <c r="O18095"/>
      <c r="P18095"/>
      <c r="Q18095"/>
      <c r="R18095"/>
      <c r="S18095"/>
    </row>
    <row r="18096" spans="13:19" ht="13.95" customHeight="1">
      <c r="M18096"/>
      <c r="N18096"/>
      <c r="O18096"/>
      <c r="P18096"/>
      <c r="Q18096"/>
      <c r="R18096"/>
      <c r="S18096"/>
    </row>
    <row r="18097" spans="13:19" ht="13.95" customHeight="1">
      <c r="M18097"/>
      <c r="N18097"/>
      <c r="O18097"/>
      <c r="P18097"/>
      <c r="Q18097"/>
      <c r="R18097"/>
      <c r="S18097"/>
    </row>
    <row r="18098" spans="13:19" ht="13.95" customHeight="1">
      <c r="M18098"/>
      <c r="N18098"/>
      <c r="O18098"/>
      <c r="P18098"/>
      <c r="Q18098"/>
      <c r="R18098"/>
      <c r="S18098"/>
    </row>
    <row r="18099" spans="13:19" ht="13.95" customHeight="1">
      <c r="M18099"/>
      <c r="N18099"/>
      <c r="O18099"/>
      <c r="P18099"/>
      <c r="Q18099"/>
      <c r="R18099"/>
      <c r="S18099"/>
    </row>
    <row r="18100" spans="13:19" ht="13.95" customHeight="1">
      <c r="M18100"/>
      <c r="N18100"/>
      <c r="O18100"/>
      <c r="P18100"/>
      <c r="Q18100"/>
      <c r="R18100"/>
      <c r="S18100"/>
    </row>
    <row r="18101" spans="13:19" ht="13.95" customHeight="1">
      <c r="M18101"/>
      <c r="N18101"/>
      <c r="O18101"/>
      <c r="P18101"/>
      <c r="Q18101"/>
      <c r="R18101"/>
      <c r="S18101"/>
    </row>
    <row r="18102" spans="13:19" ht="13.95" customHeight="1">
      <c r="M18102"/>
      <c r="N18102"/>
      <c r="O18102"/>
      <c r="P18102"/>
      <c r="Q18102"/>
      <c r="R18102"/>
      <c r="S18102"/>
    </row>
    <row r="18103" spans="13:19" ht="13.95" customHeight="1">
      <c r="M18103"/>
      <c r="N18103"/>
      <c r="O18103"/>
      <c r="P18103"/>
      <c r="Q18103"/>
      <c r="R18103"/>
      <c r="S18103"/>
    </row>
    <row r="18104" spans="13:19" ht="13.95" customHeight="1">
      <c r="M18104"/>
      <c r="N18104"/>
      <c r="O18104"/>
      <c r="P18104"/>
      <c r="Q18104"/>
      <c r="R18104"/>
      <c r="S18104"/>
    </row>
    <row r="18105" spans="13:19" ht="13.95" customHeight="1">
      <c r="M18105"/>
      <c r="N18105"/>
      <c r="O18105"/>
      <c r="P18105"/>
      <c r="Q18105"/>
      <c r="R18105"/>
      <c r="S18105"/>
    </row>
    <row r="18106" spans="13:19" ht="13.95" customHeight="1">
      <c r="M18106"/>
      <c r="N18106"/>
      <c r="O18106"/>
      <c r="P18106"/>
      <c r="Q18106"/>
      <c r="R18106"/>
      <c r="S18106"/>
    </row>
    <row r="18107" spans="13:19" ht="13.95" customHeight="1">
      <c r="M18107"/>
      <c r="N18107"/>
      <c r="O18107"/>
      <c r="P18107"/>
      <c r="Q18107"/>
      <c r="R18107"/>
      <c r="S18107"/>
    </row>
    <row r="18108" spans="13:19" ht="13.95" customHeight="1">
      <c r="M18108"/>
      <c r="N18108"/>
      <c r="O18108"/>
      <c r="P18108"/>
      <c r="Q18108"/>
      <c r="R18108"/>
      <c r="S18108"/>
    </row>
    <row r="18109" spans="13:19" ht="13.95" customHeight="1">
      <c r="M18109"/>
      <c r="N18109"/>
      <c r="O18109"/>
      <c r="P18109"/>
      <c r="Q18109"/>
      <c r="R18109"/>
      <c r="S18109"/>
    </row>
    <row r="18110" spans="13:19" ht="13.95" customHeight="1">
      <c r="M18110"/>
      <c r="N18110"/>
      <c r="O18110"/>
      <c r="P18110"/>
      <c r="Q18110"/>
      <c r="R18110"/>
      <c r="S18110"/>
    </row>
    <row r="18111" spans="13:19" ht="13.95" customHeight="1">
      <c r="M18111"/>
      <c r="N18111"/>
      <c r="O18111"/>
      <c r="P18111"/>
      <c r="Q18111"/>
      <c r="R18111"/>
      <c r="S18111"/>
    </row>
    <row r="18112" spans="13:19" ht="13.95" customHeight="1">
      <c r="M18112"/>
      <c r="N18112"/>
      <c r="O18112"/>
      <c r="P18112"/>
      <c r="Q18112"/>
      <c r="R18112"/>
      <c r="S18112"/>
    </row>
    <row r="18113" spans="13:19" ht="13.95" customHeight="1">
      <c r="M18113"/>
      <c r="N18113"/>
      <c r="O18113"/>
      <c r="P18113"/>
      <c r="Q18113"/>
      <c r="R18113"/>
      <c r="S18113"/>
    </row>
    <row r="18114" spans="13:19" ht="13.95" customHeight="1">
      <c r="M18114"/>
      <c r="N18114"/>
      <c r="O18114"/>
      <c r="P18114"/>
      <c r="Q18114"/>
      <c r="R18114"/>
      <c r="S18114"/>
    </row>
    <row r="18115" spans="13:19" ht="13.95" customHeight="1">
      <c r="M18115"/>
      <c r="N18115"/>
      <c r="O18115"/>
      <c r="P18115"/>
      <c r="Q18115"/>
      <c r="R18115"/>
      <c r="S18115"/>
    </row>
    <row r="18116" spans="13:19" ht="13.95" customHeight="1">
      <c r="M18116"/>
      <c r="N18116"/>
      <c r="O18116"/>
      <c r="P18116"/>
      <c r="Q18116"/>
      <c r="R18116"/>
      <c r="S18116"/>
    </row>
    <row r="18117" spans="13:19" ht="13.95" customHeight="1">
      <c r="M18117"/>
      <c r="N18117"/>
      <c r="O18117"/>
      <c r="P18117"/>
      <c r="Q18117"/>
      <c r="R18117"/>
      <c r="S18117"/>
    </row>
    <row r="18118" spans="13:19" ht="13.95" customHeight="1">
      <c r="M18118"/>
      <c r="N18118"/>
      <c r="O18118"/>
      <c r="P18118"/>
      <c r="Q18118"/>
      <c r="R18118"/>
      <c r="S18118"/>
    </row>
    <row r="18119" spans="13:19" ht="13.95" customHeight="1">
      <c r="M18119"/>
      <c r="N18119"/>
      <c r="O18119"/>
      <c r="P18119"/>
      <c r="Q18119"/>
      <c r="R18119"/>
      <c r="S18119"/>
    </row>
    <row r="18120" spans="13:19" ht="13.95" customHeight="1">
      <c r="M18120"/>
      <c r="N18120"/>
      <c r="O18120"/>
      <c r="P18120"/>
      <c r="Q18120"/>
      <c r="R18120"/>
      <c r="S18120"/>
    </row>
    <row r="18121" spans="13:19" ht="13.95" customHeight="1">
      <c r="M18121"/>
      <c r="N18121"/>
      <c r="O18121"/>
      <c r="P18121"/>
      <c r="Q18121"/>
      <c r="R18121"/>
      <c r="S18121"/>
    </row>
    <row r="18122" spans="13:19" ht="13.95" customHeight="1">
      <c r="M18122"/>
      <c r="N18122"/>
      <c r="O18122"/>
      <c r="P18122"/>
      <c r="Q18122"/>
      <c r="R18122"/>
      <c r="S18122"/>
    </row>
    <row r="18123" spans="13:19" ht="13.95" customHeight="1">
      <c r="M18123"/>
      <c r="N18123"/>
      <c r="O18123"/>
      <c r="P18123"/>
      <c r="Q18123"/>
      <c r="R18123"/>
      <c r="S18123"/>
    </row>
    <row r="18124" spans="13:19" ht="13.95" customHeight="1">
      <c r="M18124"/>
      <c r="N18124"/>
      <c r="O18124"/>
      <c r="P18124"/>
      <c r="Q18124"/>
      <c r="R18124"/>
      <c r="S18124"/>
    </row>
    <row r="18125" spans="13:19" ht="13.95" customHeight="1">
      <c r="M18125"/>
      <c r="N18125"/>
      <c r="O18125"/>
      <c r="P18125"/>
      <c r="Q18125"/>
      <c r="R18125"/>
      <c r="S18125"/>
    </row>
    <row r="18126" spans="13:19" ht="13.95" customHeight="1">
      <c r="M18126"/>
      <c r="N18126"/>
      <c r="O18126"/>
      <c r="P18126"/>
      <c r="Q18126"/>
      <c r="R18126"/>
      <c r="S18126"/>
    </row>
    <row r="18127" spans="13:19" ht="13.95" customHeight="1">
      <c r="M18127"/>
      <c r="N18127"/>
      <c r="O18127"/>
      <c r="P18127"/>
      <c r="Q18127"/>
      <c r="R18127"/>
      <c r="S18127"/>
    </row>
    <row r="18128" spans="13:19" ht="13.95" customHeight="1">
      <c r="M18128"/>
      <c r="N18128"/>
      <c r="O18128"/>
      <c r="P18128"/>
      <c r="Q18128"/>
      <c r="R18128"/>
      <c r="S18128"/>
    </row>
    <row r="18129" spans="13:19" ht="13.95" customHeight="1">
      <c r="M18129"/>
      <c r="N18129"/>
      <c r="O18129"/>
      <c r="P18129"/>
      <c r="Q18129"/>
      <c r="R18129"/>
      <c r="S18129"/>
    </row>
    <row r="18130" spans="13:19" ht="13.95" customHeight="1">
      <c r="M18130"/>
      <c r="N18130"/>
      <c r="O18130"/>
      <c r="P18130"/>
      <c r="Q18130"/>
      <c r="R18130"/>
      <c r="S18130"/>
    </row>
    <row r="18131" spans="13:19" ht="13.95" customHeight="1">
      <c r="M18131"/>
      <c r="N18131"/>
      <c r="O18131"/>
      <c r="P18131"/>
      <c r="Q18131"/>
      <c r="R18131"/>
      <c r="S18131"/>
    </row>
    <row r="18132" spans="13:19" ht="13.95" customHeight="1">
      <c r="M18132"/>
      <c r="N18132"/>
      <c r="O18132"/>
      <c r="P18132"/>
      <c r="Q18132"/>
      <c r="R18132"/>
      <c r="S18132"/>
    </row>
    <row r="18133" spans="13:19" ht="13.95" customHeight="1">
      <c r="M18133"/>
      <c r="N18133"/>
      <c r="O18133"/>
      <c r="P18133"/>
      <c r="Q18133"/>
      <c r="R18133"/>
      <c r="S18133"/>
    </row>
    <row r="18134" spans="13:19" ht="13.95" customHeight="1">
      <c r="M18134"/>
      <c r="N18134"/>
      <c r="O18134"/>
      <c r="P18134"/>
      <c r="Q18134"/>
      <c r="R18134"/>
      <c r="S18134"/>
    </row>
    <row r="18135" spans="13:19" ht="13.95" customHeight="1">
      <c r="M18135"/>
      <c r="N18135"/>
      <c r="O18135"/>
      <c r="P18135"/>
      <c r="Q18135"/>
      <c r="R18135"/>
      <c r="S18135"/>
    </row>
    <row r="18136" spans="13:19" ht="13.95" customHeight="1">
      <c r="M18136"/>
      <c r="N18136"/>
      <c r="O18136"/>
      <c r="P18136"/>
      <c r="Q18136"/>
      <c r="R18136"/>
      <c r="S18136"/>
    </row>
    <row r="18137" spans="13:19" ht="13.95" customHeight="1">
      <c r="M18137"/>
      <c r="N18137"/>
      <c r="O18137"/>
      <c r="P18137"/>
      <c r="Q18137"/>
      <c r="R18137"/>
      <c r="S18137"/>
    </row>
    <row r="18138" spans="13:19" ht="13.95" customHeight="1">
      <c r="M18138"/>
      <c r="N18138"/>
      <c r="O18138"/>
      <c r="P18138"/>
      <c r="Q18138"/>
      <c r="R18138"/>
      <c r="S18138"/>
    </row>
    <row r="18139" spans="13:19" ht="13.95" customHeight="1">
      <c r="M18139"/>
      <c r="N18139"/>
      <c r="O18139"/>
      <c r="P18139"/>
      <c r="Q18139"/>
      <c r="R18139"/>
      <c r="S18139"/>
    </row>
    <row r="18140" spans="13:19" ht="13.95" customHeight="1">
      <c r="M18140"/>
      <c r="N18140"/>
      <c r="O18140"/>
      <c r="P18140"/>
      <c r="Q18140"/>
      <c r="R18140"/>
      <c r="S18140"/>
    </row>
    <row r="18141" spans="13:19" ht="13.95" customHeight="1">
      <c r="M18141"/>
      <c r="N18141"/>
      <c r="O18141"/>
      <c r="P18141"/>
      <c r="Q18141"/>
      <c r="R18141"/>
      <c r="S18141"/>
    </row>
    <row r="18142" spans="13:19" ht="13.95" customHeight="1">
      <c r="M18142"/>
      <c r="N18142"/>
      <c r="O18142"/>
      <c r="P18142"/>
      <c r="Q18142"/>
      <c r="R18142"/>
      <c r="S18142"/>
    </row>
    <row r="18143" spans="13:19" ht="13.95" customHeight="1">
      <c r="M18143"/>
      <c r="N18143"/>
      <c r="O18143"/>
      <c r="P18143"/>
      <c r="Q18143"/>
      <c r="R18143"/>
      <c r="S18143"/>
    </row>
    <row r="18144" spans="13:19" ht="13.95" customHeight="1">
      <c r="M18144"/>
      <c r="N18144"/>
      <c r="O18144"/>
      <c r="P18144"/>
      <c r="Q18144"/>
      <c r="R18144"/>
      <c r="S18144"/>
    </row>
    <row r="18145" spans="13:19" ht="13.95" customHeight="1">
      <c r="M18145"/>
      <c r="N18145"/>
      <c r="O18145"/>
      <c r="P18145"/>
      <c r="Q18145"/>
      <c r="R18145"/>
      <c r="S18145"/>
    </row>
    <row r="18146" spans="13:19" ht="13.95" customHeight="1">
      <c r="M18146"/>
      <c r="N18146"/>
      <c r="O18146"/>
      <c r="P18146"/>
      <c r="Q18146"/>
      <c r="R18146"/>
      <c r="S18146"/>
    </row>
    <row r="18147" spans="13:19" ht="13.95" customHeight="1">
      <c r="M18147"/>
      <c r="N18147"/>
      <c r="O18147"/>
      <c r="P18147"/>
      <c r="Q18147"/>
      <c r="R18147"/>
      <c r="S18147"/>
    </row>
    <row r="18148" spans="13:19" ht="13.95" customHeight="1">
      <c r="M18148"/>
      <c r="N18148"/>
      <c r="O18148"/>
      <c r="P18148"/>
      <c r="Q18148"/>
      <c r="R18148"/>
      <c r="S18148"/>
    </row>
    <row r="18149" spans="13:19" ht="13.95" customHeight="1">
      <c r="M18149"/>
      <c r="N18149"/>
      <c r="O18149"/>
      <c r="P18149"/>
      <c r="Q18149"/>
      <c r="R18149"/>
      <c r="S18149"/>
    </row>
    <row r="18150" spans="13:19" ht="13.95" customHeight="1">
      <c r="M18150"/>
      <c r="N18150"/>
      <c r="O18150"/>
      <c r="P18150"/>
      <c r="Q18150"/>
      <c r="R18150"/>
      <c r="S18150"/>
    </row>
    <row r="18151" spans="13:19" ht="13.95" customHeight="1">
      <c r="M18151"/>
      <c r="N18151"/>
      <c r="O18151"/>
      <c r="P18151"/>
      <c r="Q18151"/>
      <c r="R18151"/>
      <c r="S18151"/>
    </row>
    <row r="18152" spans="13:19" ht="13.95" customHeight="1">
      <c r="M18152"/>
      <c r="N18152"/>
      <c r="O18152"/>
      <c r="P18152"/>
      <c r="Q18152"/>
      <c r="R18152"/>
      <c r="S18152"/>
    </row>
    <row r="18153" spans="13:19" ht="13.95" customHeight="1">
      <c r="M18153"/>
      <c r="N18153"/>
      <c r="O18153"/>
      <c r="P18153"/>
      <c r="Q18153"/>
      <c r="R18153"/>
      <c r="S18153"/>
    </row>
    <row r="18154" spans="13:19" ht="13.95" customHeight="1">
      <c r="M18154"/>
      <c r="N18154"/>
      <c r="O18154"/>
      <c r="P18154"/>
      <c r="Q18154"/>
      <c r="R18154"/>
      <c r="S18154"/>
    </row>
    <row r="18155" spans="13:19" ht="13.95" customHeight="1">
      <c r="M18155"/>
      <c r="N18155"/>
      <c r="O18155"/>
      <c r="P18155"/>
      <c r="Q18155"/>
      <c r="R18155"/>
      <c r="S18155"/>
    </row>
    <row r="18156" spans="13:19" ht="13.95" customHeight="1">
      <c r="M18156"/>
      <c r="N18156"/>
      <c r="O18156"/>
      <c r="P18156"/>
      <c r="Q18156"/>
      <c r="R18156"/>
      <c r="S18156"/>
    </row>
    <row r="18157" spans="13:19" ht="13.95" customHeight="1">
      <c r="M18157"/>
      <c r="N18157"/>
      <c r="O18157"/>
      <c r="P18157"/>
      <c r="Q18157"/>
      <c r="R18157"/>
      <c r="S18157"/>
    </row>
    <row r="18158" spans="13:19" ht="13.95" customHeight="1">
      <c r="M18158"/>
      <c r="N18158"/>
      <c r="O18158"/>
      <c r="P18158"/>
      <c r="Q18158"/>
      <c r="R18158"/>
      <c r="S18158"/>
    </row>
    <row r="18159" spans="13:19" ht="13.95" customHeight="1">
      <c r="M18159"/>
      <c r="N18159"/>
      <c r="O18159"/>
      <c r="P18159"/>
      <c r="Q18159"/>
      <c r="R18159"/>
      <c r="S18159"/>
    </row>
    <row r="18160" spans="13:19" ht="13.95" customHeight="1">
      <c r="M18160"/>
      <c r="N18160"/>
      <c r="O18160"/>
      <c r="P18160"/>
      <c r="Q18160"/>
      <c r="R18160"/>
      <c r="S18160"/>
    </row>
    <row r="18161" spans="13:19" ht="13.95" customHeight="1">
      <c r="M18161"/>
      <c r="N18161"/>
      <c r="O18161"/>
      <c r="P18161"/>
      <c r="Q18161"/>
      <c r="R18161"/>
      <c r="S18161"/>
    </row>
    <row r="18162" spans="13:19" ht="13.95" customHeight="1">
      <c r="M18162"/>
      <c r="N18162"/>
      <c r="O18162"/>
      <c r="P18162"/>
      <c r="Q18162"/>
      <c r="R18162"/>
      <c r="S18162"/>
    </row>
    <row r="18163" spans="13:19" ht="13.95" customHeight="1">
      <c r="M18163"/>
      <c r="N18163"/>
      <c r="O18163"/>
      <c r="P18163"/>
      <c r="Q18163"/>
      <c r="R18163"/>
      <c r="S18163"/>
    </row>
    <row r="18164" spans="13:19" ht="13.95" customHeight="1">
      <c r="M18164"/>
      <c r="N18164"/>
      <c r="O18164"/>
      <c r="P18164"/>
      <c r="Q18164"/>
      <c r="R18164"/>
      <c r="S18164"/>
    </row>
    <row r="18165" spans="13:19" ht="13.95" customHeight="1">
      <c r="M18165"/>
      <c r="N18165"/>
      <c r="O18165"/>
      <c r="P18165"/>
      <c r="Q18165"/>
      <c r="R18165"/>
      <c r="S18165"/>
    </row>
    <row r="18166" spans="13:19" ht="13.95" customHeight="1">
      <c r="M18166"/>
      <c r="N18166"/>
      <c r="O18166"/>
      <c r="P18166"/>
      <c r="Q18166"/>
      <c r="R18166"/>
      <c r="S18166"/>
    </row>
    <row r="18167" spans="13:19" ht="13.95" customHeight="1">
      <c r="M18167"/>
      <c r="N18167"/>
      <c r="O18167"/>
      <c r="P18167"/>
      <c r="Q18167"/>
      <c r="R18167"/>
      <c r="S18167"/>
    </row>
    <row r="18168" spans="13:19" ht="13.95" customHeight="1">
      <c r="M18168"/>
      <c r="N18168"/>
      <c r="O18168"/>
      <c r="P18168"/>
      <c r="Q18168"/>
      <c r="R18168"/>
      <c r="S18168"/>
    </row>
    <row r="18169" spans="13:19" ht="13.95" customHeight="1">
      <c r="M18169"/>
      <c r="N18169"/>
      <c r="O18169"/>
      <c r="P18169"/>
      <c r="Q18169"/>
      <c r="R18169"/>
      <c r="S18169"/>
    </row>
    <row r="18170" spans="13:19" ht="13.95" customHeight="1">
      <c r="M18170"/>
      <c r="N18170"/>
      <c r="O18170"/>
      <c r="P18170"/>
      <c r="Q18170"/>
      <c r="R18170"/>
      <c r="S18170"/>
    </row>
    <row r="18171" spans="13:19" ht="13.95" customHeight="1">
      <c r="M18171"/>
      <c r="N18171"/>
      <c r="O18171"/>
      <c r="P18171"/>
      <c r="Q18171"/>
      <c r="R18171"/>
      <c r="S18171"/>
    </row>
    <row r="18172" spans="13:19" ht="13.95" customHeight="1">
      <c r="M18172"/>
      <c r="N18172"/>
      <c r="O18172"/>
      <c r="P18172"/>
      <c r="Q18172"/>
      <c r="R18172"/>
      <c r="S18172"/>
    </row>
    <row r="18173" spans="13:19" ht="13.95" customHeight="1">
      <c r="M18173"/>
      <c r="N18173"/>
      <c r="O18173"/>
      <c r="P18173"/>
      <c r="Q18173"/>
      <c r="R18173"/>
      <c r="S18173"/>
    </row>
    <row r="18174" spans="13:19" ht="13.95" customHeight="1">
      <c r="M18174"/>
      <c r="N18174"/>
      <c r="O18174"/>
      <c r="P18174"/>
      <c r="Q18174"/>
      <c r="R18174"/>
      <c r="S18174"/>
    </row>
    <row r="18175" spans="13:19" ht="13.95" customHeight="1">
      <c r="M18175"/>
      <c r="N18175"/>
      <c r="O18175"/>
      <c r="P18175"/>
      <c r="Q18175"/>
      <c r="R18175"/>
      <c r="S18175"/>
    </row>
    <row r="18176" spans="13:19" ht="13.95" customHeight="1">
      <c r="M18176"/>
      <c r="N18176"/>
      <c r="O18176"/>
      <c r="P18176"/>
      <c r="Q18176"/>
      <c r="R18176"/>
      <c r="S18176"/>
    </row>
    <row r="18177" spans="13:19" ht="13.95" customHeight="1">
      <c r="M18177"/>
      <c r="N18177"/>
      <c r="O18177"/>
      <c r="P18177"/>
      <c r="Q18177"/>
      <c r="R18177"/>
      <c r="S18177"/>
    </row>
    <row r="18178" spans="13:19" ht="13.95" customHeight="1">
      <c r="M18178"/>
      <c r="N18178"/>
      <c r="O18178"/>
      <c r="P18178"/>
      <c r="Q18178"/>
      <c r="R18178"/>
      <c r="S18178"/>
    </row>
    <row r="18179" spans="13:19" ht="13.95" customHeight="1">
      <c r="M18179"/>
      <c r="N18179"/>
      <c r="O18179"/>
      <c r="P18179"/>
      <c r="Q18179"/>
      <c r="R18179"/>
      <c r="S18179"/>
    </row>
    <row r="18180" spans="13:19" ht="13.95" customHeight="1">
      <c r="M18180"/>
      <c r="N18180"/>
      <c r="O18180"/>
      <c r="P18180"/>
      <c r="Q18180"/>
      <c r="R18180"/>
      <c r="S18180"/>
    </row>
    <row r="18181" spans="13:19" ht="13.95" customHeight="1">
      <c r="M18181"/>
      <c r="N18181"/>
      <c r="O18181"/>
      <c r="P18181"/>
      <c r="Q18181"/>
      <c r="R18181"/>
      <c r="S18181"/>
    </row>
    <row r="18182" spans="13:19" ht="13.95" customHeight="1">
      <c r="M18182"/>
      <c r="N18182"/>
      <c r="O18182"/>
      <c r="P18182"/>
      <c r="Q18182"/>
      <c r="R18182"/>
      <c r="S18182"/>
    </row>
    <row r="18183" spans="13:19" ht="13.95" customHeight="1">
      <c r="M18183"/>
      <c r="N18183"/>
      <c r="O18183"/>
      <c r="P18183"/>
      <c r="Q18183"/>
      <c r="R18183"/>
      <c r="S18183"/>
    </row>
    <row r="18184" spans="13:19" ht="13.95" customHeight="1">
      <c r="M18184"/>
      <c r="N18184"/>
      <c r="O18184"/>
      <c r="P18184"/>
      <c r="Q18184"/>
      <c r="R18184"/>
      <c r="S18184"/>
    </row>
    <row r="18185" spans="13:19" ht="13.95" customHeight="1">
      <c r="M18185"/>
      <c r="N18185"/>
      <c r="O18185"/>
      <c r="P18185"/>
      <c r="Q18185"/>
      <c r="R18185"/>
      <c r="S18185"/>
    </row>
    <row r="18186" spans="13:19" ht="13.95" customHeight="1">
      <c r="M18186"/>
      <c r="N18186"/>
      <c r="O18186"/>
      <c r="P18186"/>
      <c r="Q18186"/>
      <c r="R18186"/>
      <c r="S18186"/>
    </row>
    <row r="18187" spans="13:19" ht="13.95" customHeight="1">
      <c r="M18187"/>
      <c r="N18187"/>
      <c r="O18187"/>
      <c r="P18187"/>
      <c r="Q18187"/>
      <c r="R18187"/>
      <c r="S18187"/>
    </row>
    <row r="18188" spans="13:19" ht="13.95" customHeight="1">
      <c r="M18188"/>
      <c r="N18188"/>
      <c r="O18188"/>
      <c r="P18188"/>
      <c r="Q18188"/>
      <c r="R18188"/>
      <c r="S18188"/>
    </row>
    <row r="18189" spans="13:19" ht="13.95" customHeight="1">
      <c r="M18189"/>
      <c r="N18189"/>
      <c r="O18189"/>
      <c r="P18189"/>
      <c r="Q18189"/>
      <c r="R18189"/>
      <c r="S18189"/>
    </row>
    <row r="18190" spans="13:19" ht="13.95" customHeight="1">
      <c r="M18190"/>
      <c r="N18190"/>
      <c r="O18190"/>
      <c r="P18190"/>
      <c r="Q18190"/>
      <c r="R18190"/>
      <c r="S18190"/>
    </row>
    <row r="18191" spans="13:19" ht="13.95" customHeight="1">
      <c r="M18191"/>
      <c r="N18191"/>
      <c r="O18191"/>
      <c r="P18191"/>
      <c r="Q18191"/>
      <c r="R18191"/>
      <c r="S18191"/>
    </row>
    <row r="18192" spans="13:19" ht="13.95" customHeight="1">
      <c r="M18192"/>
      <c r="N18192"/>
      <c r="O18192"/>
      <c r="P18192"/>
      <c r="Q18192"/>
      <c r="R18192"/>
      <c r="S18192"/>
    </row>
    <row r="18193" spans="13:19" ht="13.95" customHeight="1">
      <c r="M18193"/>
      <c r="N18193"/>
      <c r="O18193"/>
      <c r="P18193"/>
      <c r="Q18193"/>
      <c r="R18193"/>
      <c r="S18193"/>
    </row>
    <row r="18194" spans="13:19" ht="13.95" customHeight="1">
      <c r="M18194"/>
      <c r="N18194"/>
      <c r="O18194"/>
      <c r="P18194"/>
      <c r="Q18194"/>
      <c r="R18194"/>
      <c r="S18194"/>
    </row>
    <row r="18195" spans="13:19" ht="13.95" customHeight="1">
      <c r="M18195"/>
      <c r="N18195"/>
      <c r="O18195"/>
      <c r="P18195"/>
      <c r="Q18195"/>
      <c r="R18195"/>
      <c r="S18195"/>
    </row>
    <row r="18196" spans="13:19" ht="13.95" customHeight="1">
      <c r="M18196"/>
      <c r="N18196"/>
      <c r="O18196"/>
      <c r="P18196"/>
      <c r="Q18196"/>
      <c r="R18196"/>
      <c r="S18196"/>
    </row>
    <row r="18197" spans="13:19" ht="13.95" customHeight="1">
      <c r="M18197"/>
      <c r="N18197"/>
      <c r="O18197"/>
      <c r="P18197"/>
      <c r="Q18197"/>
      <c r="R18197"/>
      <c r="S18197"/>
    </row>
    <row r="18198" spans="13:19" ht="13.95" customHeight="1">
      <c r="M18198"/>
      <c r="N18198"/>
      <c r="O18198"/>
      <c r="P18198"/>
      <c r="Q18198"/>
      <c r="R18198"/>
      <c r="S18198"/>
    </row>
    <row r="18199" spans="13:19" ht="13.95" customHeight="1">
      <c r="M18199"/>
      <c r="N18199"/>
      <c r="O18199"/>
      <c r="P18199"/>
      <c r="Q18199"/>
      <c r="R18199"/>
      <c r="S18199"/>
    </row>
    <row r="18200" spans="13:19" ht="13.95" customHeight="1">
      <c r="M18200"/>
      <c r="N18200"/>
      <c r="O18200"/>
      <c r="P18200"/>
      <c r="Q18200"/>
      <c r="R18200"/>
      <c r="S18200"/>
    </row>
    <row r="18201" spans="13:19" ht="13.95" customHeight="1">
      <c r="M18201"/>
      <c r="N18201"/>
      <c r="O18201"/>
      <c r="P18201"/>
      <c r="Q18201"/>
      <c r="R18201"/>
      <c r="S18201"/>
    </row>
    <row r="18202" spans="13:19" ht="13.95" customHeight="1">
      <c r="M18202"/>
      <c r="N18202"/>
      <c r="O18202"/>
      <c r="P18202"/>
      <c r="Q18202"/>
      <c r="R18202"/>
      <c r="S18202"/>
    </row>
    <row r="18203" spans="13:19" ht="13.95" customHeight="1">
      <c r="M18203"/>
      <c r="N18203"/>
      <c r="O18203"/>
      <c r="P18203"/>
      <c r="Q18203"/>
      <c r="R18203"/>
      <c r="S18203"/>
    </row>
    <row r="18204" spans="13:19" ht="13.95" customHeight="1">
      <c r="M18204"/>
      <c r="N18204"/>
      <c r="O18204"/>
      <c r="P18204"/>
      <c r="Q18204"/>
      <c r="R18204"/>
      <c r="S18204"/>
    </row>
    <row r="18205" spans="13:19" ht="13.95" customHeight="1">
      <c r="M18205"/>
      <c r="N18205"/>
      <c r="O18205"/>
      <c r="P18205"/>
      <c r="Q18205"/>
      <c r="R18205"/>
      <c r="S18205"/>
    </row>
    <row r="18206" spans="13:19" ht="13.95" customHeight="1">
      <c r="M18206"/>
      <c r="N18206"/>
      <c r="O18206"/>
      <c r="P18206"/>
      <c r="Q18206"/>
      <c r="R18206"/>
      <c r="S18206"/>
    </row>
    <row r="18207" spans="13:19" ht="13.95" customHeight="1">
      <c r="M18207"/>
      <c r="N18207"/>
      <c r="O18207"/>
      <c r="P18207"/>
      <c r="Q18207"/>
      <c r="R18207"/>
      <c r="S18207"/>
    </row>
    <row r="18208" spans="13:19" ht="13.95" customHeight="1">
      <c r="M18208"/>
      <c r="N18208"/>
      <c r="O18208"/>
      <c r="P18208"/>
      <c r="Q18208"/>
      <c r="R18208"/>
      <c r="S18208"/>
    </row>
    <row r="18209" spans="13:19" ht="13.95" customHeight="1">
      <c r="M18209"/>
      <c r="N18209"/>
      <c r="O18209"/>
      <c r="P18209"/>
      <c r="Q18209"/>
      <c r="R18209"/>
      <c r="S18209"/>
    </row>
    <row r="18210" spans="13:19" ht="13.95" customHeight="1">
      <c r="M18210"/>
      <c r="N18210"/>
      <c r="O18210"/>
      <c r="P18210"/>
      <c r="Q18210"/>
      <c r="R18210"/>
      <c r="S18210"/>
    </row>
    <row r="18211" spans="13:19" ht="13.95" customHeight="1">
      <c r="M18211"/>
      <c r="N18211"/>
      <c r="O18211"/>
      <c r="P18211"/>
      <c r="Q18211"/>
      <c r="R18211"/>
      <c r="S18211"/>
    </row>
    <row r="18212" spans="13:19" ht="13.95" customHeight="1">
      <c r="M18212"/>
      <c r="N18212"/>
      <c r="O18212"/>
      <c r="P18212"/>
      <c r="Q18212"/>
      <c r="R18212"/>
      <c r="S18212"/>
    </row>
    <row r="18213" spans="13:19" ht="13.95" customHeight="1">
      <c r="M18213"/>
      <c r="N18213"/>
      <c r="O18213"/>
      <c r="P18213"/>
      <c r="Q18213"/>
      <c r="R18213"/>
      <c r="S18213"/>
    </row>
    <row r="18214" spans="13:19" ht="13.95" customHeight="1">
      <c r="M18214"/>
      <c r="N18214"/>
      <c r="O18214"/>
      <c r="P18214"/>
      <c r="Q18214"/>
      <c r="R18214"/>
      <c r="S18214"/>
    </row>
    <row r="18215" spans="13:19" ht="13.95" customHeight="1">
      <c r="M18215"/>
      <c r="N18215"/>
      <c r="O18215"/>
      <c r="P18215"/>
      <c r="Q18215"/>
      <c r="R18215"/>
      <c r="S18215"/>
    </row>
    <row r="18216" spans="13:19" ht="13.95" customHeight="1">
      <c r="M18216"/>
      <c r="N18216"/>
      <c r="O18216"/>
      <c r="P18216"/>
      <c r="Q18216"/>
      <c r="R18216"/>
      <c r="S18216"/>
    </row>
    <row r="18217" spans="13:19" ht="13.95" customHeight="1">
      <c r="M18217"/>
      <c r="N18217"/>
      <c r="O18217"/>
      <c r="P18217"/>
      <c r="Q18217"/>
      <c r="R18217"/>
      <c r="S18217"/>
    </row>
    <row r="18218" spans="13:19" ht="13.95" customHeight="1">
      <c r="M18218"/>
      <c r="N18218"/>
      <c r="O18218"/>
      <c r="P18218"/>
      <c r="Q18218"/>
      <c r="R18218"/>
      <c r="S18218"/>
    </row>
    <row r="18219" spans="13:19" ht="13.95" customHeight="1">
      <c r="M18219"/>
      <c r="N18219"/>
      <c r="O18219"/>
      <c r="P18219"/>
      <c r="Q18219"/>
      <c r="R18219"/>
      <c r="S18219"/>
    </row>
    <row r="18220" spans="13:19" ht="13.95" customHeight="1">
      <c r="M18220"/>
      <c r="N18220"/>
      <c r="O18220"/>
      <c r="P18220"/>
      <c r="Q18220"/>
      <c r="R18220"/>
      <c r="S18220"/>
    </row>
    <row r="18221" spans="13:19" ht="13.95" customHeight="1">
      <c r="M18221"/>
      <c r="N18221"/>
      <c r="O18221"/>
      <c r="P18221"/>
      <c r="Q18221"/>
      <c r="R18221"/>
      <c r="S18221"/>
    </row>
    <row r="18222" spans="13:19" ht="13.95" customHeight="1">
      <c r="M18222"/>
      <c r="N18222"/>
      <c r="O18222"/>
      <c r="P18222"/>
      <c r="Q18222"/>
      <c r="R18222"/>
      <c r="S18222"/>
    </row>
    <row r="18223" spans="13:19" ht="13.95" customHeight="1">
      <c r="M18223"/>
      <c r="N18223"/>
      <c r="O18223"/>
      <c r="P18223"/>
      <c r="Q18223"/>
      <c r="R18223"/>
      <c r="S18223"/>
    </row>
    <row r="18224" spans="13:19" ht="13.95" customHeight="1">
      <c r="M18224"/>
      <c r="N18224"/>
      <c r="O18224"/>
      <c r="P18224"/>
      <c r="Q18224"/>
      <c r="R18224"/>
      <c r="S18224"/>
    </row>
    <row r="18225" spans="13:19" ht="13.95" customHeight="1">
      <c r="M18225"/>
      <c r="N18225"/>
      <c r="O18225"/>
      <c r="P18225"/>
      <c r="Q18225"/>
      <c r="R18225"/>
      <c r="S18225"/>
    </row>
    <row r="18226" spans="13:19" ht="13.95" customHeight="1">
      <c r="M18226"/>
      <c r="N18226"/>
      <c r="O18226"/>
      <c r="P18226"/>
      <c r="Q18226"/>
      <c r="R18226"/>
      <c r="S18226"/>
    </row>
    <row r="18227" spans="13:19" ht="13.95" customHeight="1">
      <c r="M18227"/>
      <c r="N18227"/>
      <c r="O18227"/>
      <c r="P18227"/>
      <c r="Q18227"/>
      <c r="R18227"/>
      <c r="S18227"/>
    </row>
    <row r="18228" spans="13:19" ht="13.95" customHeight="1">
      <c r="M18228"/>
      <c r="N18228"/>
      <c r="O18228"/>
      <c r="P18228"/>
      <c r="Q18228"/>
      <c r="R18228"/>
      <c r="S18228"/>
    </row>
    <row r="18229" spans="13:19" ht="13.95" customHeight="1">
      <c r="M18229"/>
      <c r="N18229"/>
      <c r="O18229"/>
      <c r="P18229"/>
      <c r="Q18229"/>
      <c r="R18229"/>
      <c r="S18229"/>
    </row>
    <row r="18230" spans="13:19" ht="13.95" customHeight="1">
      <c r="M18230"/>
      <c r="N18230"/>
      <c r="O18230"/>
      <c r="P18230"/>
      <c r="Q18230"/>
      <c r="R18230"/>
      <c r="S18230"/>
    </row>
    <row r="18231" spans="13:19" ht="13.95" customHeight="1">
      <c r="M18231"/>
      <c r="N18231"/>
      <c r="O18231"/>
      <c r="P18231"/>
      <c r="Q18231"/>
      <c r="R18231"/>
      <c r="S18231"/>
    </row>
    <row r="18232" spans="13:19" ht="13.95" customHeight="1">
      <c r="M18232"/>
      <c r="N18232"/>
      <c r="O18232"/>
      <c r="P18232"/>
      <c r="Q18232"/>
      <c r="R18232"/>
      <c r="S18232"/>
    </row>
    <row r="18233" spans="13:19" ht="13.95" customHeight="1">
      <c r="M18233"/>
      <c r="N18233"/>
      <c r="O18233"/>
      <c r="P18233"/>
      <c r="Q18233"/>
      <c r="R18233"/>
      <c r="S18233"/>
    </row>
    <row r="18234" spans="13:19" ht="13.95" customHeight="1">
      <c r="M18234"/>
      <c r="N18234"/>
      <c r="O18234"/>
      <c r="P18234"/>
      <c r="Q18234"/>
      <c r="R18234"/>
      <c r="S18234"/>
    </row>
    <row r="18235" spans="13:19" ht="13.95" customHeight="1">
      <c r="M18235"/>
      <c r="N18235"/>
      <c r="O18235"/>
      <c r="P18235"/>
      <c r="Q18235"/>
      <c r="R18235"/>
      <c r="S18235"/>
    </row>
    <row r="18236" spans="13:19" ht="13.95" customHeight="1">
      <c r="M18236"/>
      <c r="N18236"/>
      <c r="O18236"/>
      <c r="P18236"/>
      <c r="Q18236"/>
      <c r="R18236"/>
      <c r="S18236"/>
    </row>
    <row r="18237" spans="13:19" ht="13.95" customHeight="1">
      <c r="M18237"/>
      <c r="N18237"/>
      <c r="O18237"/>
      <c r="P18237"/>
      <c r="Q18237"/>
      <c r="R18237"/>
      <c r="S18237"/>
    </row>
    <row r="18238" spans="13:19" ht="13.95" customHeight="1">
      <c r="M18238"/>
      <c r="N18238"/>
      <c r="O18238"/>
      <c r="P18238"/>
      <c r="Q18238"/>
      <c r="R18238"/>
      <c r="S18238"/>
    </row>
    <row r="18239" spans="13:19" ht="13.95" customHeight="1">
      <c r="M18239"/>
      <c r="N18239"/>
      <c r="O18239"/>
      <c r="P18239"/>
      <c r="Q18239"/>
      <c r="R18239"/>
      <c r="S18239"/>
    </row>
    <row r="18240" spans="13:19" ht="13.95" customHeight="1">
      <c r="M18240"/>
      <c r="N18240"/>
      <c r="O18240"/>
      <c r="P18240"/>
      <c r="Q18240"/>
      <c r="R18240"/>
      <c r="S18240"/>
    </row>
    <row r="18241" spans="13:19" ht="13.95" customHeight="1">
      <c r="M18241"/>
      <c r="N18241"/>
      <c r="O18241"/>
      <c r="P18241"/>
      <c r="Q18241"/>
      <c r="R18241"/>
      <c r="S18241"/>
    </row>
    <row r="18242" spans="13:19" ht="13.95" customHeight="1">
      <c r="M18242"/>
      <c r="N18242"/>
      <c r="O18242"/>
      <c r="P18242"/>
      <c r="Q18242"/>
      <c r="R18242"/>
      <c r="S18242"/>
    </row>
    <row r="18243" spans="13:19" ht="13.95" customHeight="1">
      <c r="M18243"/>
      <c r="N18243"/>
      <c r="O18243"/>
      <c r="P18243"/>
      <c r="Q18243"/>
      <c r="R18243"/>
      <c r="S18243"/>
    </row>
    <row r="18244" spans="13:19" ht="13.95" customHeight="1">
      <c r="M18244"/>
      <c r="N18244"/>
      <c r="O18244"/>
      <c r="P18244"/>
      <c r="Q18244"/>
      <c r="R18244"/>
      <c r="S18244"/>
    </row>
    <row r="18245" spans="13:19" ht="13.95" customHeight="1">
      <c r="M18245"/>
      <c r="N18245"/>
      <c r="O18245"/>
      <c r="P18245"/>
      <c r="Q18245"/>
      <c r="R18245"/>
      <c r="S18245"/>
    </row>
    <row r="18246" spans="13:19" ht="13.95" customHeight="1">
      <c r="M18246"/>
      <c r="N18246"/>
      <c r="O18246"/>
      <c r="P18246"/>
      <c r="Q18246"/>
      <c r="R18246"/>
      <c r="S18246"/>
    </row>
    <row r="18247" spans="13:19" ht="13.95" customHeight="1">
      <c r="M18247"/>
      <c r="N18247"/>
      <c r="O18247"/>
      <c r="P18247"/>
      <c r="Q18247"/>
      <c r="R18247"/>
      <c r="S18247"/>
    </row>
    <row r="18248" spans="13:19" ht="13.95" customHeight="1">
      <c r="M18248"/>
      <c r="N18248"/>
      <c r="O18248"/>
      <c r="P18248"/>
      <c r="Q18248"/>
      <c r="R18248"/>
      <c r="S18248"/>
    </row>
    <row r="18249" spans="13:19" ht="13.95" customHeight="1">
      <c r="M18249"/>
      <c r="N18249"/>
      <c r="O18249"/>
      <c r="P18249"/>
      <c r="Q18249"/>
      <c r="R18249"/>
      <c r="S18249"/>
    </row>
    <row r="18250" spans="13:19" ht="13.95" customHeight="1">
      <c r="M18250"/>
      <c r="N18250"/>
      <c r="O18250"/>
      <c r="P18250"/>
      <c r="Q18250"/>
      <c r="R18250"/>
      <c r="S18250"/>
    </row>
    <row r="18251" spans="13:19" ht="13.95" customHeight="1">
      <c r="M18251"/>
      <c r="N18251"/>
      <c r="O18251"/>
      <c r="P18251"/>
      <c r="Q18251"/>
      <c r="R18251"/>
      <c r="S18251"/>
    </row>
    <row r="18252" spans="13:19" ht="13.95" customHeight="1">
      <c r="M18252"/>
      <c r="N18252"/>
      <c r="O18252"/>
      <c r="P18252"/>
      <c r="Q18252"/>
      <c r="R18252"/>
      <c r="S18252"/>
    </row>
    <row r="18253" spans="13:19" ht="13.95" customHeight="1">
      <c r="M18253"/>
      <c r="N18253"/>
      <c r="O18253"/>
      <c r="P18253"/>
      <c r="Q18253"/>
      <c r="R18253"/>
      <c r="S18253"/>
    </row>
    <row r="18254" spans="13:19" ht="13.95" customHeight="1">
      <c r="M18254"/>
      <c r="N18254"/>
      <c r="O18254"/>
      <c r="P18254"/>
      <c r="Q18254"/>
      <c r="R18254"/>
      <c r="S18254"/>
    </row>
    <row r="18255" spans="13:19" ht="13.95" customHeight="1">
      <c r="M18255"/>
      <c r="N18255"/>
      <c r="O18255"/>
      <c r="P18255"/>
      <c r="Q18255"/>
      <c r="R18255"/>
      <c r="S18255"/>
    </row>
    <row r="18256" spans="13:19" ht="13.95" customHeight="1">
      <c r="M18256"/>
      <c r="N18256"/>
      <c r="O18256"/>
      <c r="P18256"/>
      <c r="Q18256"/>
      <c r="R18256"/>
      <c r="S18256"/>
    </row>
    <row r="18257" spans="13:19" ht="13.95" customHeight="1">
      <c r="M18257"/>
      <c r="N18257"/>
      <c r="O18257"/>
      <c r="P18257"/>
      <c r="Q18257"/>
      <c r="R18257"/>
      <c r="S18257"/>
    </row>
    <row r="18258" spans="13:19" ht="13.95" customHeight="1">
      <c r="M18258"/>
      <c r="N18258"/>
      <c r="O18258"/>
      <c r="P18258"/>
      <c r="Q18258"/>
      <c r="R18258"/>
      <c r="S18258"/>
    </row>
    <row r="18259" spans="13:19" ht="13.95" customHeight="1">
      <c r="M18259"/>
      <c r="N18259"/>
      <c r="O18259"/>
      <c r="P18259"/>
      <c r="Q18259"/>
      <c r="R18259"/>
      <c r="S18259"/>
    </row>
    <row r="18260" spans="13:19" ht="13.95" customHeight="1">
      <c r="M18260"/>
      <c r="N18260"/>
      <c r="O18260"/>
      <c r="P18260"/>
      <c r="Q18260"/>
      <c r="R18260"/>
      <c r="S18260"/>
    </row>
    <row r="18261" spans="13:19" ht="13.95" customHeight="1">
      <c r="M18261"/>
      <c r="N18261"/>
      <c r="O18261"/>
      <c r="P18261"/>
      <c r="Q18261"/>
      <c r="R18261"/>
      <c r="S18261"/>
    </row>
    <row r="18262" spans="13:19" ht="13.95" customHeight="1">
      <c r="M18262"/>
      <c r="N18262"/>
      <c r="O18262"/>
      <c r="P18262"/>
      <c r="Q18262"/>
      <c r="R18262"/>
      <c r="S18262"/>
    </row>
    <row r="18263" spans="13:19" ht="13.95" customHeight="1">
      <c r="M18263"/>
      <c r="N18263"/>
      <c r="O18263"/>
      <c r="P18263"/>
      <c r="Q18263"/>
      <c r="R18263"/>
      <c r="S18263"/>
    </row>
    <row r="18264" spans="13:19" ht="13.95" customHeight="1">
      <c r="M18264"/>
      <c r="N18264"/>
      <c r="O18264"/>
      <c r="P18264"/>
      <c r="Q18264"/>
      <c r="R18264"/>
      <c r="S18264"/>
    </row>
    <row r="18265" spans="13:19" ht="13.95" customHeight="1">
      <c r="M18265"/>
      <c r="N18265"/>
      <c r="O18265"/>
      <c r="P18265"/>
      <c r="Q18265"/>
      <c r="R18265"/>
      <c r="S18265"/>
    </row>
    <row r="18266" spans="13:19" ht="13.95" customHeight="1">
      <c r="M18266"/>
      <c r="N18266"/>
      <c r="O18266"/>
      <c r="P18266"/>
      <c r="Q18266"/>
      <c r="R18266"/>
      <c r="S18266"/>
    </row>
    <row r="18267" spans="13:19" ht="13.95" customHeight="1">
      <c r="M18267"/>
      <c r="N18267"/>
      <c r="O18267"/>
      <c r="P18267"/>
      <c r="Q18267"/>
      <c r="R18267"/>
      <c r="S18267"/>
    </row>
    <row r="18268" spans="13:19" ht="13.95" customHeight="1">
      <c r="M18268"/>
      <c r="N18268"/>
      <c r="O18268"/>
      <c r="P18268"/>
      <c r="Q18268"/>
      <c r="R18268"/>
      <c r="S18268"/>
    </row>
    <row r="18269" spans="13:19" ht="13.95" customHeight="1">
      <c r="M18269"/>
      <c r="N18269"/>
      <c r="O18269"/>
      <c r="P18269"/>
      <c r="Q18269"/>
      <c r="R18269"/>
      <c r="S18269"/>
    </row>
    <row r="18270" spans="13:19" ht="13.95" customHeight="1">
      <c r="M18270"/>
      <c r="N18270"/>
      <c r="O18270"/>
      <c r="P18270"/>
      <c r="Q18270"/>
      <c r="R18270"/>
      <c r="S18270"/>
    </row>
    <row r="18271" spans="13:19" ht="13.95" customHeight="1">
      <c r="M18271"/>
      <c r="N18271"/>
      <c r="O18271"/>
      <c r="P18271"/>
      <c r="Q18271"/>
      <c r="R18271"/>
      <c r="S18271"/>
    </row>
    <row r="18272" spans="13:19" ht="13.95" customHeight="1">
      <c r="M18272"/>
      <c r="N18272"/>
      <c r="O18272"/>
      <c r="P18272"/>
      <c r="Q18272"/>
      <c r="R18272"/>
      <c r="S18272"/>
    </row>
    <row r="18273" spans="13:19" ht="13.95" customHeight="1">
      <c r="M18273"/>
      <c r="N18273"/>
      <c r="O18273"/>
      <c r="P18273"/>
      <c r="Q18273"/>
      <c r="R18273"/>
      <c r="S18273"/>
    </row>
    <row r="18274" spans="13:19" ht="13.95" customHeight="1">
      <c r="M18274"/>
      <c r="N18274"/>
      <c r="O18274"/>
      <c r="P18274"/>
      <c r="Q18274"/>
      <c r="R18274"/>
      <c r="S18274"/>
    </row>
    <row r="18275" spans="13:19" ht="13.95" customHeight="1">
      <c r="M18275"/>
      <c r="N18275"/>
      <c r="O18275"/>
      <c r="P18275"/>
      <c r="Q18275"/>
      <c r="R18275"/>
      <c r="S18275"/>
    </row>
    <row r="18276" spans="13:19" ht="13.95" customHeight="1">
      <c r="M18276"/>
      <c r="N18276"/>
      <c r="O18276"/>
      <c r="P18276"/>
      <c r="Q18276"/>
      <c r="R18276"/>
      <c r="S18276"/>
    </row>
    <row r="18277" spans="13:19" ht="13.95" customHeight="1">
      <c r="M18277"/>
      <c r="N18277"/>
      <c r="O18277"/>
      <c r="P18277"/>
      <c r="Q18277"/>
      <c r="R18277"/>
      <c r="S18277"/>
    </row>
    <row r="18278" spans="13:19" ht="13.95" customHeight="1">
      <c r="M18278"/>
      <c r="N18278"/>
      <c r="O18278"/>
      <c r="P18278"/>
      <c r="Q18278"/>
      <c r="R18278"/>
      <c r="S18278"/>
    </row>
    <row r="18279" spans="13:19" ht="13.95" customHeight="1">
      <c r="M18279"/>
      <c r="N18279"/>
      <c r="O18279"/>
      <c r="P18279"/>
      <c r="Q18279"/>
      <c r="R18279"/>
      <c r="S18279"/>
    </row>
    <row r="18280" spans="13:19" ht="13.95" customHeight="1">
      <c r="M18280"/>
      <c r="N18280"/>
      <c r="O18280"/>
      <c r="P18280"/>
      <c r="Q18280"/>
      <c r="R18280"/>
      <c r="S18280"/>
    </row>
    <row r="18281" spans="13:19" ht="13.95" customHeight="1">
      <c r="M18281"/>
      <c r="N18281"/>
      <c r="O18281"/>
      <c r="P18281"/>
      <c r="Q18281"/>
      <c r="R18281"/>
      <c r="S18281"/>
    </row>
    <row r="18282" spans="13:19" ht="13.95" customHeight="1">
      <c r="M18282"/>
      <c r="N18282"/>
      <c r="O18282"/>
      <c r="P18282"/>
      <c r="Q18282"/>
      <c r="R18282"/>
      <c r="S18282"/>
    </row>
    <row r="18283" spans="13:19" ht="13.95" customHeight="1">
      <c r="M18283"/>
      <c r="N18283"/>
      <c r="O18283"/>
      <c r="P18283"/>
      <c r="Q18283"/>
      <c r="R18283"/>
      <c r="S18283"/>
    </row>
    <row r="18284" spans="13:19" ht="13.95" customHeight="1">
      <c r="M18284"/>
      <c r="N18284"/>
      <c r="O18284"/>
      <c r="P18284"/>
      <c r="Q18284"/>
      <c r="R18284"/>
      <c r="S18284"/>
    </row>
    <row r="18285" spans="13:19" ht="13.95" customHeight="1">
      <c r="M18285"/>
      <c r="N18285"/>
      <c r="O18285"/>
      <c r="P18285"/>
      <c r="Q18285"/>
      <c r="R18285"/>
      <c r="S18285"/>
    </row>
    <row r="18286" spans="13:19" ht="13.95" customHeight="1">
      <c r="M18286"/>
      <c r="N18286"/>
      <c r="O18286"/>
      <c r="P18286"/>
      <c r="Q18286"/>
      <c r="R18286"/>
      <c r="S18286"/>
    </row>
    <row r="18287" spans="13:19" ht="13.95" customHeight="1">
      <c r="M18287"/>
      <c r="N18287"/>
      <c r="O18287"/>
      <c r="P18287"/>
      <c r="Q18287"/>
      <c r="R18287"/>
      <c r="S18287"/>
    </row>
    <row r="18288" spans="13:19" ht="13.95" customHeight="1">
      <c r="M18288"/>
      <c r="N18288"/>
      <c r="O18288"/>
      <c r="P18288"/>
      <c r="Q18288"/>
      <c r="R18288"/>
      <c r="S18288"/>
    </row>
    <row r="18289" spans="13:19" ht="13.95" customHeight="1">
      <c r="M18289"/>
      <c r="N18289"/>
      <c r="O18289"/>
      <c r="P18289"/>
      <c r="Q18289"/>
      <c r="R18289"/>
      <c r="S18289"/>
    </row>
    <row r="18290" spans="13:19" ht="13.95" customHeight="1">
      <c r="M18290"/>
      <c r="N18290"/>
      <c r="O18290"/>
      <c r="P18290"/>
      <c r="Q18290"/>
      <c r="R18290"/>
      <c r="S18290"/>
    </row>
    <row r="18291" spans="13:19" ht="13.95" customHeight="1">
      <c r="M18291"/>
      <c r="N18291"/>
      <c r="O18291"/>
      <c r="P18291"/>
      <c r="Q18291"/>
      <c r="R18291"/>
      <c r="S18291"/>
    </row>
    <row r="18292" spans="13:19" ht="13.95" customHeight="1">
      <c r="M18292"/>
      <c r="N18292"/>
      <c r="O18292"/>
      <c r="P18292"/>
      <c r="Q18292"/>
      <c r="R18292"/>
      <c r="S18292"/>
    </row>
    <row r="18293" spans="13:19" ht="13.95" customHeight="1">
      <c r="M18293"/>
      <c r="N18293"/>
      <c r="O18293"/>
      <c r="P18293"/>
      <c r="Q18293"/>
      <c r="R18293"/>
      <c r="S18293"/>
    </row>
    <row r="18294" spans="13:19" ht="13.95" customHeight="1">
      <c r="M18294"/>
      <c r="N18294"/>
      <c r="O18294"/>
      <c r="P18294"/>
      <c r="Q18294"/>
      <c r="R18294"/>
      <c r="S18294"/>
    </row>
    <row r="18295" spans="13:19" ht="13.95" customHeight="1">
      <c r="M18295"/>
      <c r="N18295"/>
      <c r="O18295"/>
      <c r="P18295"/>
      <c r="Q18295"/>
      <c r="R18295"/>
      <c r="S18295"/>
    </row>
    <row r="18296" spans="13:19" ht="13.95" customHeight="1">
      <c r="M18296"/>
      <c r="N18296"/>
      <c r="O18296"/>
      <c r="P18296"/>
      <c r="Q18296"/>
      <c r="R18296"/>
      <c r="S18296"/>
    </row>
    <row r="18297" spans="13:19" ht="13.95" customHeight="1">
      <c r="M18297"/>
      <c r="N18297"/>
      <c r="O18297"/>
      <c r="P18297"/>
      <c r="Q18297"/>
      <c r="R18297"/>
      <c r="S18297"/>
    </row>
    <row r="18298" spans="13:19" ht="13.95" customHeight="1">
      <c r="M18298"/>
      <c r="N18298"/>
      <c r="O18298"/>
      <c r="P18298"/>
      <c r="Q18298"/>
      <c r="R18298"/>
      <c r="S18298"/>
    </row>
    <row r="18299" spans="13:19" ht="13.95" customHeight="1">
      <c r="M18299"/>
      <c r="N18299"/>
      <c r="O18299"/>
      <c r="P18299"/>
      <c r="Q18299"/>
      <c r="R18299"/>
      <c r="S18299"/>
    </row>
    <row r="18300" spans="13:19" ht="13.95" customHeight="1">
      <c r="M18300"/>
      <c r="N18300"/>
      <c r="O18300"/>
      <c r="P18300"/>
      <c r="Q18300"/>
      <c r="R18300"/>
      <c r="S18300"/>
    </row>
    <row r="18301" spans="13:19" ht="13.95" customHeight="1">
      <c r="M18301"/>
      <c r="N18301"/>
      <c r="O18301"/>
      <c r="P18301"/>
      <c r="Q18301"/>
      <c r="R18301"/>
      <c r="S18301"/>
    </row>
    <row r="18302" spans="13:19" ht="13.95" customHeight="1">
      <c r="M18302"/>
      <c r="N18302"/>
      <c r="O18302"/>
      <c r="P18302"/>
      <c r="Q18302"/>
      <c r="R18302"/>
      <c r="S18302"/>
    </row>
    <row r="18303" spans="13:19" ht="13.95" customHeight="1">
      <c r="M18303"/>
      <c r="N18303"/>
      <c r="O18303"/>
      <c r="P18303"/>
      <c r="Q18303"/>
      <c r="R18303"/>
      <c r="S18303"/>
    </row>
    <row r="18304" spans="13:19" ht="13.95" customHeight="1">
      <c r="M18304"/>
      <c r="N18304"/>
      <c r="O18304"/>
      <c r="P18304"/>
      <c r="Q18304"/>
      <c r="R18304"/>
      <c r="S18304"/>
    </row>
    <row r="18305" spans="13:19" ht="13.95" customHeight="1">
      <c r="M18305"/>
      <c r="N18305"/>
      <c r="O18305"/>
      <c r="P18305"/>
      <c r="Q18305"/>
      <c r="R18305"/>
      <c r="S18305"/>
    </row>
    <row r="18306" spans="13:19" ht="13.95" customHeight="1">
      <c r="M18306"/>
      <c r="N18306"/>
      <c r="O18306"/>
      <c r="P18306"/>
      <c r="Q18306"/>
      <c r="R18306"/>
      <c r="S18306"/>
    </row>
    <row r="18307" spans="13:19" ht="13.95" customHeight="1">
      <c r="M18307"/>
      <c r="N18307"/>
      <c r="O18307"/>
      <c r="P18307"/>
      <c r="Q18307"/>
      <c r="R18307"/>
      <c r="S18307"/>
    </row>
    <row r="18308" spans="13:19" ht="13.95" customHeight="1">
      <c r="M18308"/>
      <c r="N18308"/>
      <c r="O18308"/>
      <c r="P18308"/>
      <c r="Q18308"/>
      <c r="R18308"/>
      <c r="S18308"/>
    </row>
    <row r="18309" spans="13:19" ht="13.95" customHeight="1">
      <c r="M18309"/>
      <c r="N18309"/>
      <c r="O18309"/>
      <c r="P18309"/>
      <c r="Q18309"/>
      <c r="R18309"/>
      <c r="S18309"/>
    </row>
    <row r="18310" spans="13:19" ht="13.95" customHeight="1">
      <c r="M18310"/>
      <c r="N18310"/>
      <c r="O18310"/>
      <c r="P18310"/>
      <c r="Q18310"/>
      <c r="R18310"/>
      <c r="S18310"/>
    </row>
    <row r="18311" spans="13:19" ht="13.95" customHeight="1">
      <c r="M18311"/>
      <c r="N18311"/>
      <c r="O18311"/>
      <c r="P18311"/>
      <c r="Q18311"/>
      <c r="R18311"/>
      <c r="S18311"/>
    </row>
    <row r="18312" spans="13:19" ht="13.95" customHeight="1">
      <c r="M18312"/>
      <c r="N18312"/>
      <c r="O18312"/>
      <c r="P18312"/>
      <c r="Q18312"/>
      <c r="R18312"/>
      <c r="S18312"/>
    </row>
    <row r="18313" spans="13:19" ht="13.95" customHeight="1">
      <c r="M18313"/>
      <c r="N18313"/>
      <c r="O18313"/>
      <c r="P18313"/>
      <c r="Q18313"/>
      <c r="R18313"/>
      <c r="S18313"/>
    </row>
    <row r="18314" spans="13:19" ht="13.95" customHeight="1">
      <c r="M18314"/>
      <c r="N18314"/>
      <c r="O18314"/>
      <c r="P18314"/>
      <c r="Q18314"/>
      <c r="R18314"/>
      <c r="S18314"/>
    </row>
    <row r="18315" spans="13:19" ht="13.95" customHeight="1">
      <c r="M18315"/>
      <c r="N18315"/>
      <c r="O18315"/>
      <c r="P18315"/>
      <c r="Q18315"/>
      <c r="R18315"/>
      <c r="S18315"/>
    </row>
    <row r="18316" spans="13:19" ht="13.95" customHeight="1">
      <c r="M18316"/>
      <c r="N18316"/>
      <c r="O18316"/>
      <c r="P18316"/>
      <c r="Q18316"/>
      <c r="R18316"/>
      <c r="S18316"/>
    </row>
    <row r="18317" spans="13:19" ht="13.95" customHeight="1">
      <c r="M18317"/>
      <c r="N18317"/>
      <c r="O18317"/>
      <c r="P18317"/>
      <c r="Q18317"/>
      <c r="R18317"/>
      <c r="S18317"/>
    </row>
    <row r="18318" spans="13:19" ht="13.95" customHeight="1">
      <c r="M18318"/>
      <c r="N18318"/>
      <c r="O18318"/>
      <c r="P18318"/>
      <c r="Q18318"/>
      <c r="R18318"/>
      <c r="S18318"/>
    </row>
    <row r="18319" spans="13:19" ht="13.95" customHeight="1">
      <c r="M18319"/>
      <c r="N18319"/>
      <c r="O18319"/>
      <c r="P18319"/>
      <c r="Q18319"/>
      <c r="R18319"/>
      <c r="S18319"/>
    </row>
    <row r="18320" spans="13:19" ht="13.95" customHeight="1">
      <c r="M18320"/>
      <c r="N18320"/>
      <c r="O18320"/>
      <c r="P18320"/>
      <c r="Q18320"/>
      <c r="R18320"/>
      <c r="S18320"/>
    </row>
    <row r="18321" spans="13:19" ht="13.95" customHeight="1">
      <c r="M18321"/>
      <c r="N18321"/>
      <c r="O18321"/>
      <c r="P18321"/>
      <c r="Q18321"/>
      <c r="R18321"/>
      <c r="S18321"/>
    </row>
    <row r="18322" spans="13:19" ht="13.95" customHeight="1">
      <c r="M18322"/>
      <c r="N18322"/>
      <c r="O18322"/>
      <c r="P18322"/>
      <c r="Q18322"/>
      <c r="R18322"/>
      <c r="S18322"/>
    </row>
    <row r="18323" spans="13:19" ht="13.95" customHeight="1">
      <c r="M18323"/>
      <c r="N18323"/>
      <c r="O18323"/>
      <c r="P18323"/>
      <c r="Q18323"/>
      <c r="R18323"/>
      <c r="S18323"/>
    </row>
    <row r="18324" spans="13:19" ht="13.95" customHeight="1">
      <c r="M18324"/>
      <c r="N18324"/>
      <c r="O18324"/>
      <c r="P18324"/>
      <c r="Q18324"/>
      <c r="R18324"/>
      <c r="S18324"/>
    </row>
    <row r="18325" spans="13:19" ht="13.95" customHeight="1">
      <c r="M18325"/>
      <c r="N18325"/>
      <c r="O18325"/>
      <c r="P18325"/>
      <c r="Q18325"/>
      <c r="R18325"/>
      <c r="S18325"/>
    </row>
    <row r="18326" spans="13:19" ht="13.95" customHeight="1">
      <c r="M18326"/>
      <c r="N18326"/>
      <c r="O18326"/>
      <c r="P18326"/>
      <c r="Q18326"/>
      <c r="R18326"/>
      <c r="S18326"/>
    </row>
    <row r="18327" spans="13:19" ht="13.95" customHeight="1">
      <c r="M18327"/>
      <c r="N18327"/>
      <c r="O18327"/>
      <c r="P18327"/>
      <c r="Q18327"/>
      <c r="R18327"/>
      <c r="S18327"/>
    </row>
    <row r="18328" spans="13:19" ht="13.95" customHeight="1">
      <c r="M18328"/>
      <c r="N18328"/>
      <c r="O18328"/>
      <c r="P18328"/>
      <c r="Q18328"/>
      <c r="R18328"/>
      <c r="S18328"/>
    </row>
    <row r="18329" spans="13:19" ht="13.95" customHeight="1">
      <c r="M18329"/>
      <c r="N18329"/>
      <c r="O18329"/>
      <c r="P18329"/>
      <c r="Q18329"/>
      <c r="R18329"/>
      <c r="S18329"/>
    </row>
    <row r="18330" spans="13:19" ht="13.95" customHeight="1">
      <c r="M18330"/>
      <c r="N18330"/>
      <c r="O18330"/>
      <c r="P18330"/>
      <c r="Q18330"/>
      <c r="R18330"/>
      <c r="S18330"/>
    </row>
    <row r="18331" spans="13:19" ht="13.95" customHeight="1">
      <c r="M18331"/>
      <c r="N18331"/>
      <c r="O18331"/>
      <c r="P18331"/>
      <c r="Q18331"/>
      <c r="R18331"/>
      <c r="S18331"/>
    </row>
    <row r="18332" spans="13:19" ht="13.95" customHeight="1">
      <c r="M18332"/>
      <c r="N18332"/>
      <c r="O18332"/>
      <c r="P18332"/>
      <c r="Q18332"/>
      <c r="R18332"/>
      <c r="S18332"/>
    </row>
    <row r="18333" spans="13:19" ht="13.95" customHeight="1">
      <c r="M18333"/>
      <c r="N18333"/>
      <c r="O18333"/>
      <c r="P18333"/>
      <c r="Q18333"/>
      <c r="R18333"/>
      <c r="S18333"/>
    </row>
    <row r="18334" spans="13:19" ht="13.95" customHeight="1">
      <c r="M18334"/>
      <c r="N18334"/>
      <c r="O18334"/>
      <c r="P18334"/>
      <c r="Q18334"/>
      <c r="R18334"/>
      <c r="S18334"/>
    </row>
    <row r="18335" spans="13:19" ht="13.95" customHeight="1">
      <c r="M18335"/>
      <c r="N18335"/>
      <c r="O18335"/>
      <c r="P18335"/>
      <c r="Q18335"/>
      <c r="R18335"/>
      <c r="S18335"/>
    </row>
    <row r="18336" spans="13:19" ht="13.95" customHeight="1">
      <c r="M18336"/>
      <c r="N18336"/>
      <c r="O18336"/>
      <c r="P18336"/>
      <c r="Q18336"/>
      <c r="R18336"/>
      <c r="S18336"/>
    </row>
    <row r="18337" spans="13:19" ht="13.95" customHeight="1">
      <c r="M18337"/>
      <c r="N18337"/>
      <c r="O18337"/>
      <c r="P18337"/>
      <c r="Q18337"/>
      <c r="R18337"/>
      <c r="S18337"/>
    </row>
    <row r="18338" spans="13:19" ht="13.95" customHeight="1">
      <c r="M18338"/>
      <c r="N18338"/>
      <c r="O18338"/>
      <c r="P18338"/>
      <c r="Q18338"/>
      <c r="R18338"/>
      <c r="S18338"/>
    </row>
    <row r="18339" spans="13:19" ht="13.95" customHeight="1">
      <c r="M18339"/>
      <c r="N18339"/>
      <c r="O18339"/>
      <c r="P18339"/>
      <c r="Q18339"/>
      <c r="R18339"/>
      <c r="S18339"/>
    </row>
    <row r="18340" spans="13:19" ht="13.95" customHeight="1">
      <c r="M18340"/>
      <c r="N18340"/>
      <c r="O18340"/>
      <c r="P18340"/>
      <c r="Q18340"/>
      <c r="R18340"/>
      <c r="S18340"/>
    </row>
    <row r="18341" spans="13:19" ht="13.95" customHeight="1">
      <c r="M18341"/>
      <c r="N18341"/>
      <c r="O18341"/>
      <c r="P18341"/>
      <c r="Q18341"/>
      <c r="R18341"/>
      <c r="S18341"/>
    </row>
    <row r="18342" spans="13:19" ht="13.95" customHeight="1">
      <c r="M18342"/>
      <c r="N18342"/>
      <c r="O18342"/>
      <c r="P18342"/>
      <c r="Q18342"/>
      <c r="R18342"/>
      <c r="S18342"/>
    </row>
    <row r="18343" spans="13:19" ht="13.95" customHeight="1">
      <c r="M18343"/>
      <c r="N18343"/>
      <c r="O18343"/>
      <c r="P18343"/>
      <c r="Q18343"/>
      <c r="R18343"/>
      <c r="S18343"/>
    </row>
    <row r="18344" spans="13:19" ht="13.95" customHeight="1">
      <c r="M18344"/>
      <c r="N18344"/>
      <c r="O18344"/>
      <c r="P18344"/>
      <c r="Q18344"/>
      <c r="R18344"/>
      <c r="S18344"/>
    </row>
    <row r="18345" spans="13:19" ht="13.95" customHeight="1">
      <c r="M18345"/>
      <c r="N18345"/>
      <c r="O18345"/>
      <c r="P18345"/>
      <c r="Q18345"/>
      <c r="R18345"/>
      <c r="S18345"/>
    </row>
    <row r="18346" spans="13:19" ht="13.95" customHeight="1">
      <c r="M18346"/>
      <c r="N18346"/>
      <c r="O18346"/>
      <c r="P18346"/>
      <c r="Q18346"/>
      <c r="R18346"/>
      <c r="S18346"/>
    </row>
    <row r="18347" spans="13:19" ht="13.95" customHeight="1">
      <c r="M18347"/>
      <c r="N18347"/>
      <c r="O18347"/>
      <c r="P18347"/>
      <c r="Q18347"/>
      <c r="R18347"/>
      <c r="S18347"/>
    </row>
    <row r="18348" spans="13:19" ht="13.95" customHeight="1">
      <c r="M18348"/>
      <c r="N18348"/>
      <c r="O18348"/>
      <c r="P18348"/>
      <c r="Q18348"/>
      <c r="R18348"/>
      <c r="S18348"/>
    </row>
    <row r="18349" spans="13:19" ht="13.95" customHeight="1">
      <c r="M18349"/>
      <c r="N18349"/>
      <c r="O18349"/>
      <c r="P18349"/>
      <c r="Q18349"/>
      <c r="R18349"/>
      <c r="S18349"/>
    </row>
    <row r="18350" spans="13:19" ht="13.95" customHeight="1">
      <c r="M18350"/>
      <c r="N18350"/>
      <c r="O18350"/>
      <c r="P18350"/>
      <c r="Q18350"/>
      <c r="R18350"/>
      <c r="S18350"/>
    </row>
    <row r="18351" spans="13:19" ht="13.95" customHeight="1">
      <c r="M18351"/>
      <c r="N18351"/>
      <c r="O18351"/>
      <c r="P18351"/>
      <c r="Q18351"/>
      <c r="R18351"/>
      <c r="S18351"/>
    </row>
    <row r="18352" spans="13:19" ht="13.95" customHeight="1">
      <c r="M18352"/>
      <c r="N18352"/>
      <c r="O18352"/>
      <c r="P18352"/>
      <c r="Q18352"/>
      <c r="R18352"/>
      <c r="S18352"/>
    </row>
    <row r="18353" spans="13:19" ht="13.95" customHeight="1">
      <c r="M18353"/>
      <c r="N18353"/>
      <c r="O18353"/>
      <c r="P18353"/>
      <c r="Q18353"/>
      <c r="R18353"/>
      <c r="S18353"/>
    </row>
    <row r="18354" spans="13:19" ht="13.95" customHeight="1">
      <c r="M18354"/>
      <c r="N18354"/>
      <c r="O18354"/>
      <c r="P18354"/>
      <c r="Q18354"/>
      <c r="R18354"/>
      <c r="S18354"/>
    </row>
    <row r="18355" spans="13:19" ht="13.95" customHeight="1">
      <c r="M18355"/>
      <c r="N18355"/>
      <c r="O18355"/>
      <c r="P18355"/>
      <c r="Q18355"/>
      <c r="R18355"/>
      <c r="S18355"/>
    </row>
    <row r="18356" spans="13:19" ht="13.95" customHeight="1">
      <c r="M18356"/>
      <c r="N18356"/>
      <c r="O18356"/>
      <c r="P18356"/>
      <c r="Q18356"/>
      <c r="R18356"/>
      <c r="S18356"/>
    </row>
    <row r="18357" spans="13:19" ht="13.95" customHeight="1">
      <c r="M18357"/>
      <c r="N18357"/>
      <c r="O18357"/>
      <c r="P18357"/>
      <c r="Q18357"/>
      <c r="R18357"/>
      <c r="S18357"/>
    </row>
    <row r="18358" spans="13:19" ht="13.95" customHeight="1">
      <c r="M18358"/>
      <c r="N18358"/>
      <c r="O18358"/>
      <c r="P18358"/>
      <c r="Q18358"/>
      <c r="R18358"/>
      <c r="S18358"/>
    </row>
    <row r="18359" spans="13:19" ht="13.95" customHeight="1">
      <c r="M18359"/>
      <c r="N18359"/>
      <c r="O18359"/>
      <c r="P18359"/>
      <c r="Q18359"/>
      <c r="R18359"/>
      <c r="S18359"/>
    </row>
    <row r="18360" spans="13:19" ht="13.95" customHeight="1">
      <c r="M18360"/>
      <c r="N18360"/>
      <c r="O18360"/>
      <c r="P18360"/>
      <c r="Q18360"/>
      <c r="R18360"/>
      <c r="S18360"/>
    </row>
    <row r="18361" spans="13:19" ht="13.95" customHeight="1">
      <c r="M18361"/>
      <c r="N18361"/>
      <c r="O18361"/>
      <c r="P18361"/>
      <c r="Q18361"/>
      <c r="R18361"/>
      <c r="S18361"/>
    </row>
    <row r="18362" spans="13:19" ht="13.95" customHeight="1">
      <c r="M18362"/>
      <c r="N18362"/>
      <c r="O18362"/>
      <c r="P18362"/>
      <c r="Q18362"/>
      <c r="R18362"/>
      <c r="S18362"/>
    </row>
    <row r="18363" spans="13:19" ht="13.95" customHeight="1">
      <c r="M18363"/>
      <c r="N18363"/>
      <c r="O18363"/>
      <c r="P18363"/>
      <c r="Q18363"/>
      <c r="R18363"/>
      <c r="S18363"/>
    </row>
    <row r="18364" spans="13:19" ht="13.95" customHeight="1">
      <c r="M18364"/>
      <c r="N18364"/>
      <c r="O18364"/>
      <c r="P18364"/>
      <c r="Q18364"/>
      <c r="R18364"/>
      <c r="S18364"/>
    </row>
    <row r="18365" spans="13:19" ht="13.95" customHeight="1">
      <c r="M18365"/>
      <c r="N18365"/>
      <c r="O18365"/>
      <c r="P18365"/>
      <c r="Q18365"/>
      <c r="R18365"/>
      <c r="S18365"/>
    </row>
    <row r="18366" spans="13:19" ht="13.95" customHeight="1">
      <c r="M18366"/>
      <c r="N18366"/>
      <c r="O18366"/>
      <c r="P18366"/>
      <c r="Q18366"/>
      <c r="R18366"/>
      <c r="S18366"/>
    </row>
    <row r="18367" spans="13:19" ht="13.95" customHeight="1">
      <c r="M18367"/>
      <c r="N18367"/>
      <c r="O18367"/>
      <c r="P18367"/>
      <c r="Q18367"/>
      <c r="R18367"/>
      <c r="S18367"/>
    </row>
    <row r="18368" spans="13:19" ht="13.95" customHeight="1">
      <c r="M18368"/>
      <c r="N18368"/>
      <c r="O18368"/>
      <c r="P18368"/>
      <c r="Q18368"/>
      <c r="R18368"/>
      <c r="S18368"/>
    </row>
    <row r="18369" spans="13:19" ht="13.95" customHeight="1">
      <c r="M18369"/>
      <c r="N18369"/>
      <c r="O18369"/>
      <c r="P18369"/>
      <c r="Q18369"/>
      <c r="R18369"/>
      <c r="S18369"/>
    </row>
    <row r="18370" spans="13:19" ht="13.95" customHeight="1">
      <c r="M18370"/>
      <c r="N18370"/>
      <c r="O18370"/>
      <c r="P18370"/>
      <c r="Q18370"/>
      <c r="R18370"/>
      <c r="S18370"/>
    </row>
    <row r="18371" spans="13:19" ht="13.95" customHeight="1">
      <c r="M18371"/>
      <c r="N18371"/>
      <c r="O18371"/>
      <c r="P18371"/>
      <c r="Q18371"/>
      <c r="R18371"/>
      <c r="S18371"/>
    </row>
    <row r="18372" spans="13:19" ht="13.95" customHeight="1">
      <c r="M18372"/>
      <c r="N18372"/>
      <c r="O18372"/>
      <c r="P18372"/>
      <c r="Q18372"/>
      <c r="R18372"/>
      <c r="S18372"/>
    </row>
    <row r="18373" spans="13:19" ht="13.95" customHeight="1">
      <c r="M18373"/>
      <c r="N18373"/>
      <c r="O18373"/>
      <c r="P18373"/>
      <c r="Q18373"/>
      <c r="R18373"/>
      <c r="S18373"/>
    </row>
    <row r="18374" spans="13:19" ht="13.95" customHeight="1">
      <c r="M18374"/>
      <c r="N18374"/>
      <c r="O18374"/>
      <c r="P18374"/>
      <c r="Q18374"/>
      <c r="R18374"/>
      <c r="S18374"/>
    </row>
    <row r="18375" spans="13:19" ht="13.95" customHeight="1">
      <c r="M18375"/>
      <c r="N18375"/>
      <c r="O18375"/>
      <c r="P18375"/>
      <c r="Q18375"/>
      <c r="R18375"/>
      <c r="S18375"/>
    </row>
    <row r="18376" spans="13:19" ht="13.95" customHeight="1">
      <c r="M18376"/>
      <c r="N18376"/>
      <c r="O18376"/>
      <c r="P18376"/>
      <c r="Q18376"/>
      <c r="R18376"/>
      <c r="S18376"/>
    </row>
    <row r="18377" spans="13:19" ht="13.95" customHeight="1">
      <c r="M18377"/>
      <c r="N18377"/>
      <c r="O18377"/>
      <c r="P18377"/>
      <c r="Q18377"/>
      <c r="R18377"/>
      <c r="S18377"/>
    </row>
    <row r="18378" spans="13:19" ht="13.95" customHeight="1">
      <c r="M18378"/>
      <c r="N18378"/>
      <c r="O18378"/>
      <c r="P18378"/>
      <c r="Q18378"/>
      <c r="R18378"/>
      <c r="S18378"/>
    </row>
    <row r="18379" spans="13:19" ht="13.95" customHeight="1">
      <c r="M18379"/>
      <c r="N18379"/>
      <c r="O18379"/>
      <c r="P18379"/>
      <c r="Q18379"/>
      <c r="R18379"/>
      <c r="S18379"/>
    </row>
    <row r="18380" spans="13:19" ht="13.95" customHeight="1">
      <c r="M18380"/>
      <c r="N18380"/>
      <c r="O18380"/>
      <c r="P18380"/>
      <c r="Q18380"/>
      <c r="R18380"/>
      <c r="S18380"/>
    </row>
    <row r="18381" spans="13:19" ht="13.95" customHeight="1">
      <c r="M18381"/>
      <c r="N18381"/>
      <c r="O18381"/>
      <c r="P18381"/>
      <c r="Q18381"/>
      <c r="R18381"/>
      <c r="S18381"/>
    </row>
    <row r="18382" spans="13:19" ht="13.95" customHeight="1">
      <c r="M18382"/>
      <c r="N18382"/>
      <c r="O18382"/>
      <c r="P18382"/>
      <c r="Q18382"/>
      <c r="R18382"/>
      <c r="S18382"/>
    </row>
    <row r="18383" spans="13:19" ht="13.95" customHeight="1">
      <c r="M18383"/>
      <c r="N18383"/>
      <c r="O18383"/>
      <c r="P18383"/>
      <c r="Q18383"/>
      <c r="R18383"/>
      <c r="S18383"/>
    </row>
    <row r="18384" spans="13:19" ht="13.95" customHeight="1">
      <c r="M18384"/>
      <c r="N18384"/>
      <c r="O18384"/>
      <c r="P18384"/>
      <c r="Q18384"/>
      <c r="R18384"/>
      <c r="S18384"/>
    </row>
    <row r="18385" spans="13:19" ht="13.95" customHeight="1">
      <c r="M18385"/>
      <c r="N18385"/>
      <c r="O18385"/>
      <c r="P18385"/>
      <c r="Q18385"/>
      <c r="R18385"/>
      <c r="S18385"/>
    </row>
    <row r="18386" spans="13:19" ht="13.95" customHeight="1">
      <c r="M18386"/>
      <c r="N18386"/>
      <c r="O18386"/>
      <c r="P18386"/>
      <c r="Q18386"/>
      <c r="R18386"/>
      <c r="S18386"/>
    </row>
    <row r="18387" spans="13:19" ht="13.95" customHeight="1">
      <c r="M18387"/>
      <c r="N18387"/>
      <c r="O18387"/>
      <c r="P18387"/>
      <c r="Q18387"/>
      <c r="R18387"/>
      <c r="S18387"/>
    </row>
    <row r="18388" spans="13:19" ht="13.95" customHeight="1">
      <c r="M18388"/>
      <c r="N18388"/>
      <c r="O18388"/>
      <c r="P18388"/>
      <c r="Q18388"/>
      <c r="R18388"/>
      <c r="S18388"/>
    </row>
    <row r="18389" spans="13:19" ht="13.95" customHeight="1">
      <c r="M18389"/>
      <c r="N18389"/>
      <c r="O18389"/>
      <c r="P18389"/>
      <c r="Q18389"/>
      <c r="R18389"/>
      <c r="S18389"/>
    </row>
    <row r="18390" spans="13:19" ht="13.95" customHeight="1">
      <c r="M18390"/>
      <c r="N18390"/>
      <c r="O18390"/>
      <c r="P18390"/>
      <c r="Q18390"/>
      <c r="R18390"/>
      <c r="S18390"/>
    </row>
    <row r="18391" spans="13:19" ht="13.95" customHeight="1">
      <c r="M18391"/>
      <c r="N18391"/>
      <c r="O18391"/>
      <c r="P18391"/>
      <c r="Q18391"/>
      <c r="R18391"/>
      <c r="S18391"/>
    </row>
    <row r="18392" spans="13:19" ht="13.95" customHeight="1">
      <c r="M18392"/>
      <c r="N18392"/>
      <c r="O18392"/>
      <c r="P18392"/>
      <c r="Q18392"/>
      <c r="R18392"/>
      <c r="S18392"/>
    </row>
    <row r="18393" spans="13:19" ht="13.95" customHeight="1">
      <c r="M18393"/>
      <c r="N18393"/>
      <c r="O18393"/>
      <c r="P18393"/>
      <c r="Q18393"/>
      <c r="R18393"/>
      <c r="S18393"/>
    </row>
    <row r="18394" spans="13:19" ht="13.95" customHeight="1">
      <c r="M18394"/>
      <c r="N18394"/>
      <c r="O18394"/>
      <c r="P18394"/>
      <c r="Q18394"/>
      <c r="R18394"/>
      <c r="S18394"/>
    </row>
    <row r="18395" spans="13:19" ht="13.95" customHeight="1">
      <c r="M18395"/>
      <c r="N18395"/>
      <c r="O18395"/>
      <c r="P18395"/>
      <c r="Q18395"/>
      <c r="R18395"/>
      <c r="S18395"/>
    </row>
    <row r="18396" spans="13:19" ht="13.95" customHeight="1">
      <c r="M18396"/>
      <c r="N18396"/>
      <c r="O18396"/>
      <c r="P18396"/>
      <c r="Q18396"/>
      <c r="R18396"/>
      <c r="S18396"/>
    </row>
    <row r="18397" spans="13:19" ht="13.95" customHeight="1">
      <c r="M18397"/>
      <c r="N18397"/>
      <c r="O18397"/>
      <c r="P18397"/>
      <c r="Q18397"/>
      <c r="R18397"/>
      <c r="S18397"/>
    </row>
    <row r="18398" spans="13:19" ht="13.95" customHeight="1">
      <c r="M18398"/>
      <c r="N18398"/>
      <c r="O18398"/>
      <c r="P18398"/>
      <c r="Q18398"/>
      <c r="R18398"/>
      <c r="S18398"/>
    </row>
    <row r="18399" spans="13:19" ht="13.95" customHeight="1">
      <c r="M18399"/>
      <c r="N18399"/>
      <c r="O18399"/>
      <c r="P18399"/>
      <c r="Q18399"/>
      <c r="R18399"/>
      <c r="S18399"/>
    </row>
    <row r="18400" spans="13:19" ht="13.95" customHeight="1">
      <c r="M18400"/>
      <c r="N18400"/>
      <c r="O18400"/>
      <c r="P18400"/>
      <c r="Q18400"/>
      <c r="R18400"/>
      <c r="S18400"/>
    </row>
    <row r="18401" spans="13:19" ht="13.95" customHeight="1">
      <c r="M18401"/>
      <c r="N18401"/>
      <c r="O18401"/>
      <c r="P18401"/>
      <c r="Q18401"/>
      <c r="R18401"/>
      <c r="S18401"/>
    </row>
    <row r="18402" spans="13:19" ht="13.95" customHeight="1">
      <c r="M18402"/>
      <c r="N18402"/>
      <c r="O18402"/>
      <c r="P18402"/>
      <c r="Q18402"/>
      <c r="R18402"/>
      <c r="S18402"/>
    </row>
    <row r="18403" spans="13:19" ht="13.95" customHeight="1">
      <c r="M18403"/>
      <c r="N18403"/>
      <c r="O18403"/>
      <c r="P18403"/>
      <c r="Q18403"/>
      <c r="R18403"/>
      <c r="S18403"/>
    </row>
    <row r="18404" spans="13:19" ht="13.95" customHeight="1">
      <c r="M18404"/>
      <c r="N18404"/>
      <c r="O18404"/>
      <c r="P18404"/>
      <c r="Q18404"/>
      <c r="R18404"/>
      <c r="S18404"/>
    </row>
    <row r="18405" spans="13:19" ht="13.95" customHeight="1">
      <c r="M18405"/>
      <c r="N18405"/>
      <c r="O18405"/>
      <c r="P18405"/>
      <c r="Q18405"/>
      <c r="R18405"/>
      <c r="S18405"/>
    </row>
    <row r="18406" spans="13:19" ht="13.95" customHeight="1">
      <c r="M18406"/>
      <c r="N18406"/>
      <c r="O18406"/>
      <c r="P18406"/>
      <c r="Q18406"/>
      <c r="R18406"/>
      <c r="S18406"/>
    </row>
    <row r="18407" spans="13:19" ht="13.95" customHeight="1">
      <c r="M18407"/>
      <c r="N18407"/>
      <c r="O18407"/>
      <c r="P18407"/>
      <c r="Q18407"/>
      <c r="R18407"/>
      <c r="S18407"/>
    </row>
    <row r="18408" spans="13:19" ht="13.95" customHeight="1">
      <c r="M18408"/>
      <c r="N18408"/>
      <c r="O18408"/>
      <c r="P18408"/>
      <c r="Q18408"/>
      <c r="R18408"/>
      <c r="S18408"/>
    </row>
    <row r="18409" spans="13:19" ht="13.95" customHeight="1">
      <c r="M18409"/>
      <c r="N18409"/>
      <c r="O18409"/>
      <c r="P18409"/>
      <c r="Q18409"/>
      <c r="R18409"/>
      <c r="S18409"/>
    </row>
    <row r="18410" spans="13:19" ht="13.95" customHeight="1">
      <c r="M18410"/>
      <c r="N18410"/>
      <c r="O18410"/>
      <c r="P18410"/>
      <c r="Q18410"/>
      <c r="R18410"/>
      <c r="S18410"/>
    </row>
    <row r="18411" spans="13:19" ht="13.95" customHeight="1">
      <c r="M18411"/>
      <c r="N18411"/>
      <c r="O18411"/>
      <c r="P18411"/>
      <c r="Q18411"/>
      <c r="R18411"/>
      <c r="S18411"/>
    </row>
    <row r="18412" spans="13:19" ht="13.95" customHeight="1">
      <c r="M18412"/>
      <c r="N18412"/>
      <c r="O18412"/>
      <c r="P18412"/>
      <c r="Q18412"/>
      <c r="R18412"/>
      <c r="S18412"/>
    </row>
    <row r="18413" spans="13:19" ht="13.95" customHeight="1">
      <c r="M18413"/>
      <c r="N18413"/>
      <c r="O18413"/>
      <c r="P18413"/>
      <c r="Q18413"/>
      <c r="R18413"/>
      <c r="S18413"/>
    </row>
    <row r="18414" spans="13:19" ht="13.95" customHeight="1">
      <c r="M18414"/>
      <c r="N18414"/>
      <c r="O18414"/>
      <c r="P18414"/>
      <c r="Q18414"/>
      <c r="R18414"/>
      <c r="S18414"/>
    </row>
    <row r="18415" spans="13:19" ht="13.95" customHeight="1">
      <c r="M18415"/>
      <c r="N18415"/>
      <c r="O18415"/>
      <c r="P18415"/>
      <c r="Q18415"/>
      <c r="R18415"/>
      <c r="S18415"/>
    </row>
    <row r="18416" spans="13:19" ht="13.95" customHeight="1">
      <c r="M18416"/>
      <c r="N18416"/>
      <c r="O18416"/>
      <c r="P18416"/>
      <c r="Q18416"/>
      <c r="R18416"/>
      <c r="S18416"/>
    </row>
    <row r="18417" spans="13:19" ht="13.95" customHeight="1">
      <c r="M18417"/>
      <c r="N18417"/>
      <c r="O18417"/>
      <c r="P18417"/>
      <c r="Q18417"/>
      <c r="R18417"/>
      <c r="S18417"/>
    </row>
    <row r="18418" spans="13:19" ht="13.95" customHeight="1">
      <c r="M18418"/>
      <c r="N18418"/>
      <c r="O18418"/>
      <c r="P18418"/>
      <c r="Q18418"/>
      <c r="R18418"/>
      <c r="S18418"/>
    </row>
    <row r="18419" spans="13:19" ht="13.95" customHeight="1">
      <c r="M18419"/>
      <c r="N18419"/>
      <c r="O18419"/>
      <c r="P18419"/>
      <c r="Q18419"/>
      <c r="R18419"/>
      <c r="S18419"/>
    </row>
    <row r="18420" spans="13:19" ht="13.95" customHeight="1">
      <c r="M18420"/>
      <c r="N18420"/>
      <c r="O18420"/>
      <c r="P18420"/>
      <c r="Q18420"/>
      <c r="R18420"/>
      <c r="S18420"/>
    </row>
    <row r="18421" spans="13:19" ht="13.95" customHeight="1">
      <c r="M18421"/>
      <c r="N18421"/>
      <c r="O18421"/>
      <c r="P18421"/>
      <c r="Q18421"/>
      <c r="R18421"/>
      <c r="S18421"/>
    </row>
    <row r="18422" spans="13:19" ht="13.95" customHeight="1">
      <c r="M18422"/>
      <c r="N18422"/>
      <c r="O18422"/>
      <c r="P18422"/>
      <c r="Q18422"/>
      <c r="R18422"/>
      <c r="S18422"/>
    </row>
    <row r="18423" spans="13:19" ht="13.95" customHeight="1">
      <c r="M18423"/>
      <c r="N18423"/>
      <c r="O18423"/>
      <c r="P18423"/>
      <c r="Q18423"/>
      <c r="R18423"/>
      <c r="S18423"/>
    </row>
    <row r="18424" spans="13:19" ht="13.95" customHeight="1">
      <c r="M18424"/>
      <c r="N18424"/>
      <c r="O18424"/>
      <c r="P18424"/>
      <c r="Q18424"/>
      <c r="R18424"/>
      <c r="S18424"/>
    </row>
    <row r="18425" spans="13:19" ht="13.95" customHeight="1">
      <c r="M18425"/>
      <c r="N18425"/>
      <c r="O18425"/>
      <c r="P18425"/>
      <c r="Q18425"/>
      <c r="R18425"/>
      <c r="S18425"/>
    </row>
    <row r="18426" spans="13:19" ht="13.95" customHeight="1">
      <c r="M18426"/>
      <c r="N18426"/>
      <c r="O18426"/>
      <c r="P18426"/>
      <c r="Q18426"/>
      <c r="R18426"/>
      <c r="S18426"/>
    </row>
    <row r="18427" spans="13:19" ht="13.95" customHeight="1">
      <c r="M18427"/>
      <c r="N18427"/>
      <c r="O18427"/>
      <c r="P18427"/>
      <c r="Q18427"/>
      <c r="R18427"/>
      <c r="S18427"/>
    </row>
    <row r="18428" spans="13:19" ht="13.95" customHeight="1">
      <c r="M18428"/>
      <c r="N18428"/>
      <c r="O18428"/>
      <c r="P18428"/>
      <c r="Q18428"/>
      <c r="R18428"/>
      <c r="S18428"/>
    </row>
    <row r="18429" spans="13:19" ht="13.95" customHeight="1">
      <c r="M18429"/>
      <c r="N18429"/>
      <c r="O18429"/>
      <c r="P18429"/>
      <c r="Q18429"/>
      <c r="R18429"/>
      <c r="S18429"/>
    </row>
    <row r="18430" spans="13:19" ht="13.95" customHeight="1">
      <c r="M18430"/>
      <c r="N18430"/>
      <c r="O18430"/>
      <c r="P18430"/>
      <c r="Q18430"/>
      <c r="R18430"/>
      <c r="S18430"/>
    </row>
    <row r="18431" spans="13:19" ht="13.95" customHeight="1">
      <c r="M18431"/>
      <c r="N18431"/>
      <c r="O18431"/>
      <c r="P18431"/>
      <c r="Q18431"/>
      <c r="R18431"/>
      <c r="S18431"/>
    </row>
    <row r="18432" spans="13:19" ht="13.95" customHeight="1">
      <c r="M18432"/>
      <c r="N18432"/>
      <c r="O18432"/>
      <c r="P18432"/>
      <c r="Q18432"/>
      <c r="R18432"/>
      <c r="S18432"/>
    </row>
    <row r="18433" spans="13:19" ht="13.95" customHeight="1">
      <c r="M18433"/>
      <c r="N18433"/>
      <c r="O18433"/>
      <c r="P18433"/>
      <c r="Q18433"/>
      <c r="R18433"/>
      <c r="S18433"/>
    </row>
    <row r="18434" spans="13:19" ht="13.95" customHeight="1">
      <c r="M18434"/>
      <c r="N18434"/>
      <c r="O18434"/>
      <c r="P18434"/>
      <c r="Q18434"/>
      <c r="R18434"/>
      <c r="S18434"/>
    </row>
    <row r="18435" spans="13:19" ht="13.95" customHeight="1">
      <c r="M18435"/>
      <c r="N18435"/>
      <c r="O18435"/>
      <c r="P18435"/>
      <c r="Q18435"/>
      <c r="R18435"/>
      <c r="S18435"/>
    </row>
    <row r="18436" spans="13:19" ht="13.95" customHeight="1">
      <c r="M18436"/>
      <c r="N18436"/>
      <c r="O18436"/>
      <c r="P18436"/>
      <c r="Q18436"/>
      <c r="R18436"/>
      <c r="S18436"/>
    </row>
    <row r="18437" spans="13:19" ht="13.95" customHeight="1">
      <c r="M18437"/>
      <c r="N18437"/>
      <c r="O18437"/>
      <c r="P18437"/>
      <c r="Q18437"/>
      <c r="R18437"/>
      <c r="S18437"/>
    </row>
    <row r="18438" spans="13:19" ht="13.95" customHeight="1">
      <c r="M18438"/>
      <c r="N18438"/>
      <c r="O18438"/>
      <c r="P18438"/>
      <c r="Q18438"/>
      <c r="R18438"/>
      <c r="S18438"/>
    </row>
    <row r="18439" spans="13:19" ht="13.95" customHeight="1">
      <c r="M18439"/>
      <c r="N18439"/>
      <c r="O18439"/>
      <c r="P18439"/>
      <c r="Q18439"/>
      <c r="R18439"/>
      <c r="S18439"/>
    </row>
    <row r="18440" spans="13:19" ht="13.95" customHeight="1">
      <c r="M18440"/>
      <c r="N18440"/>
      <c r="O18440"/>
      <c r="P18440"/>
      <c r="Q18440"/>
      <c r="R18440"/>
      <c r="S18440"/>
    </row>
    <row r="18441" spans="13:19" ht="13.95" customHeight="1">
      <c r="M18441"/>
      <c r="N18441"/>
      <c r="O18441"/>
      <c r="P18441"/>
      <c r="Q18441"/>
      <c r="R18441"/>
      <c r="S18441"/>
    </row>
    <row r="18442" spans="13:19" ht="13.95" customHeight="1">
      <c r="M18442"/>
      <c r="N18442"/>
      <c r="O18442"/>
      <c r="P18442"/>
      <c r="Q18442"/>
      <c r="R18442"/>
      <c r="S18442"/>
    </row>
    <row r="18443" spans="13:19" ht="13.95" customHeight="1">
      <c r="M18443"/>
      <c r="N18443"/>
      <c r="O18443"/>
      <c r="P18443"/>
      <c r="Q18443"/>
      <c r="R18443"/>
      <c r="S18443"/>
    </row>
    <row r="18444" spans="13:19" ht="13.95" customHeight="1">
      <c r="M18444"/>
      <c r="N18444"/>
      <c r="O18444"/>
      <c r="P18444"/>
      <c r="Q18444"/>
      <c r="R18444"/>
      <c r="S18444"/>
    </row>
    <row r="18445" spans="13:19" ht="13.95" customHeight="1">
      <c r="M18445"/>
      <c r="N18445"/>
      <c r="O18445"/>
      <c r="P18445"/>
      <c r="Q18445"/>
      <c r="R18445"/>
      <c r="S18445"/>
    </row>
    <row r="18446" spans="13:19" ht="13.95" customHeight="1">
      <c r="M18446"/>
      <c r="N18446"/>
      <c r="O18446"/>
      <c r="P18446"/>
      <c r="Q18446"/>
      <c r="R18446"/>
      <c r="S18446"/>
    </row>
    <row r="18447" spans="13:19" ht="13.95" customHeight="1">
      <c r="M18447"/>
      <c r="N18447"/>
      <c r="O18447"/>
      <c r="P18447"/>
      <c r="Q18447"/>
      <c r="R18447"/>
      <c r="S18447"/>
    </row>
    <row r="18448" spans="13:19" ht="13.95" customHeight="1">
      <c r="M18448"/>
      <c r="N18448"/>
      <c r="O18448"/>
      <c r="P18448"/>
      <c r="Q18448"/>
      <c r="R18448"/>
      <c r="S18448"/>
    </row>
    <row r="18449" spans="13:19" ht="13.95" customHeight="1">
      <c r="M18449"/>
      <c r="N18449"/>
      <c r="O18449"/>
      <c r="P18449"/>
      <c r="Q18449"/>
      <c r="R18449"/>
      <c r="S18449"/>
    </row>
    <row r="18450" spans="13:19" ht="13.95" customHeight="1">
      <c r="M18450"/>
      <c r="N18450"/>
      <c r="O18450"/>
      <c r="P18450"/>
      <c r="Q18450"/>
      <c r="R18450"/>
      <c r="S18450"/>
    </row>
    <row r="18451" spans="13:19" ht="13.95" customHeight="1">
      <c r="M18451"/>
      <c r="N18451"/>
      <c r="O18451"/>
      <c r="P18451"/>
      <c r="Q18451"/>
      <c r="R18451"/>
      <c r="S18451"/>
    </row>
    <row r="18452" spans="13:19" ht="13.95" customHeight="1">
      <c r="M18452"/>
      <c r="N18452"/>
      <c r="O18452"/>
      <c r="P18452"/>
      <c r="Q18452"/>
      <c r="R18452"/>
      <c r="S18452"/>
    </row>
    <row r="18453" spans="13:19" ht="13.95" customHeight="1">
      <c r="M18453"/>
      <c r="N18453"/>
      <c r="O18453"/>
      <c r="P18453"/>
      <c r="Q18453"/>
      <c r="R18453"/>
      <c r="S18453"/>
    </row>
    <row r="18454" spans="13:19" ht="13.95" customHeight="1">
      <c r="M18454"/>
      <c r="N18454"/>
      <c r="O18454"/>
      <c r="P18454"/>
      <c r="Q18454"/>
      <c r="R18454"/>
      <c r="S18454"/>
    </row>
    <row r="18455" spans="13:19" ht="13.95" customHeight="1">
      <c r="M18455"/>
      <c r="N18455"/>
      <c r="O18455"/>
      <c r="P18455"/>
      <c r="Q18455"/>
      <c r="R18455"/>
      <c r="S18455"/>
    </row>
    <row r="18456" spans="13:19" ht="13.95" customHeight="1">
      <c r="M18456"/>
      <c r="N18456"/>
      <c r="O18456"/>
      <c r="P18456"/>
      <c r="Q18456"/>
      <c r="R18456"/>
      <c r="S18456"/>
    </row>
    <row r="18457" spans="13:19" ht="13.95" customHeight="1">
      <c r="M18457"/>
      <c r="N18457"/>
      <c r="O18457"/>
      <c r="P18457"/>
      <c r="Q18457"/>
      <c r="R18457"/>
      <c r="S18457"/>
    </row>
    <row r="18458" spans="13:19" ht="13.95" customHeight="1">
      <c r="M18458"/>
      <c r="N18458"/>
      <c r="O18458"/>
      <c r="P18458"/>
      <c r="Q18458"/>
      <c r="R18458"/>
      <c r="S18458"/>
    </row>
    <row r="18459" spans="13:19" ht="13.95" customHeight="1">
      <c r="M18459"/>
      <c r="N18459"/>
      <c r="O18459"/>
      <c r="P18459"/>
      <c r="Q18459"/>
      <c r="R18459"/>
      <c r="S18459"/>
    </row>
    <row r="18460" spans="13:19" ht="13.95" customHeight="1">
      <c r="M18460"/>
      <c r="N18460"/>
      <c r="O18460"/>
      <c r="P18460"/>
      <c r="Q18460"/>
      <c r="R18460"/>
      <c r="S18460"/>
    </row>
    <row r="18461" spans="13:19" ht="13.95" customHeight="1">
      <c r="M18461"/>
      <c r="N18461"/>
      <c r="O18461"/>
      <c r="P18461"/>
      <c r="Q18461"/>
      <c r="R18461"/>
      <c r="S18461"/>
    </row>
    <row r="18462" spans="13:19" ht="13.95" customHeight="1">
      <c r="M18462"/>
      <c r="N18462"/>
      <c r="O18462"/>
      <c r="P18462"/>
      <c r="Q18462"/>
      <c r="R18462"/>
      <c r="S18462"/>
    </row>
    <row r="18463" spans="13:19" ht="13.95" customHeight="1">
      <c r="M18463"/>
      <c r="N18463"/>
      <c r="O18463"/>
      <c r="P18463"/>
      <c r="Q18463"/>
      <c r="R18463"/>
      <c r="S18463"/>
    </row>
    <row r="18464" spans="13:19" ht="13.95" customHeight="1">
      <c r="M18464"/>
      <c r="N18464"/>
      <c r="O18464"/>
      <c r="P18464"/>
      <c r="Q18464"/>
      <c r="R18464"/>
      <c r="S18464"/>
    </row>
    <row r="18465" spans="13:19" ht="13.95" customHeight="1">
      <c r="M18465"/>
      <c r="N18465"/>
      <c r="O18465"/>
      <c r="P18465"/>
      <c r="Q18465"/>
      <c r="R18465"/>
      <c r="S18465"/>
    </row>
    <row r="18466" spans="13:19" ht="13.95" customHeight="1">
      <c r="M18466"/>
      <c r="N18466"/>
      <c r="O18466"/>
      <c r="P18466"/>
      <c r="Q18466"/>
      <c r="R18466"/>
      <c r="S18466"/>
    </row>
    <row r="18467" spans="13:19" ht="13.95" customHeight="1">
      <c r="M18467"/>
      <c r="N18467"/>
      <c r="O18467"/>
      <c r="P18467"/>
      <c r="Q18467"/>
      <c r="R18467"/>
      <c r="S18467"/>
    </row>
    <row r="18468" spans="13:19" ht="13.95" customHeight="1">
      <c r="M18468"/>
      <c r="N18468"/>
      <c r="O18468"/>
      <c r="P18468"/>
      <c r="Q18468"/>
      <c r="R18468"/>
      <c r="S18468"/>
    </row>
    <row r="18469" spans="13:19" ht="13.95" customHeight="1">
      <c r="M18469"/>
      <c r="N18469"/>
      <c r="O18469"/>
      <c r="P18469"/>
      <c r="Q18469"/>
      <c r="R18469"/>
      <c r="S18469"/>
    </row>
    <row r="18470" spans="13:19" ht="13.95" customHeight="1">
      <c r="M18470"/>
      <c r="N18470"/>
      <c r="O18470"/>
      <c r="P18470"/>
      <c r="Q18470"/>
      <c r="R18470"/>
      <c r="S18470"/>
    </row>
    <row r="18471" spans="13:19" ht="13.95" customHeight="1">
      <c r="M18471"/>
      <c r="N18471"/>
      <c r="O18471"/>
      <c r="P18471"/>
      <c r="Q18471"/>
      <c r="R18471"/>
      <c r="S18471"/>
    </row>
    <row r="18472" spans="13:19" ht="13.95" customHeight="1">
      <c r="M18472"/>
      <c r="N18472"/>
      <c r="O18472"/>
      <c r="P18472"/>
      <c r="Q18472"/>
      <c r="R18472"/>
      <c r="S18472"/>
    </row>
    <row r="18473" spans="13:19" ht="13.95" customHeight="1">
      <c r="M18473"/>
      <c r="N18473"/>
      <c r="O18473"/>
      <c r="P18473"/>
      <c r="Q18473"/>
      <c r="R18473"/>
      <c r="S18473"/>
    </row>
    <row r="18474" spans="13:19" ht="13.95" customHeight="1">
      <c r="M18474"/>
      <c r="N18474"/>
      <c r="O18474"/>
      <c r="P18474"/>
      <c r="Q18474"/>
      <c r="R18474"/>
      <c r="S18474"/>
    </row>
    <row r="18475" spans="13:19" ht="13.95" customHeight="1">
      <c r="M18475"/>
      <c r="N18475"/>
      <c r="O18475"/>
      <c r="P18475"/>
      <c r="Q18475"/>
      <c r="R18475"/>
      <c r="S18475"/>
    </row>
    <row r="18476" spans="13:19" ht="13.95" customHeight="1">
      <c r="M18476"/>
      <c r="N18476"/>
      <c r="O18476"/>
      <c r="P18476"/>
      <c r="Q18476"/>
      <c r="R18476"/>
      <c r="S18476"/>
    </row>
    <row r="18477" spans="13:19" ht="13.95" customHeight="1">
      <c r="M18477"/>
      <c r="N18477"/>
      <c r="O18477"/>
      <c r="P18477"/>
      <c r="Q18477"/>
      <c r="R18477"/>
      <c r="S18477"/>
    </row>
    <row r="18478" spans="13:19" ht="13.95" customHeight="1">
      <c r="M18478"/>
      <c r="N18478"/>
      <c r="O18478"/>
      <c r="P18478"/>
      <c r="Q18478"/>
      <c r="R18478"/>
      <c r="S18478"/>
    </row>
    <row r="18479" spans="13:19" ht="13.95" customHeight="1">
      <c r="M18479"/>
      <c r="N18479"/>
      <c r="O18479"/>
      <c r="P18479"/>
      <c r="Q18479"/>
      <c r="R18479"/>
      <c r="S18479"/>
    </row>
    <row r="18480" spans="13:19" ht="13.95" customHeight="1">
      <c r="M18480"/>
      <c r="N18480"/>
      <c r="O18480"/>
      <c r="P18480"/>
      <c r="Q18480"/>
      <c r="R18480"/>
      <c r="S18480"/>
    </row>
    <row r="18481" spans="13:19" ht="13.95" customHeight="1">
      <c r="M18481"/>
      <c r="N18481"/>
      <c r="O18481"/>
      <c r="P18481"/>
      <c r="Q18481"/>
      <c r="R18481"/>
      <c r="S18481"/>
    </row>
    <row r="18482" spans="13:19" ht="13.95" customHeight="1">
      <c r="M18482"/>
      <c r="N18482"/>
      <c r="O18482"/>
      <c r="P18482"/>
      <c r="Q18482"/>
      <c r="R18482"/>
      <c r="S18482"/>
    </row>
    <row r="18483" spans="13:19" ht="13.95" customHeight="1">
      <c r="M18483"/>
      <c r="N18483"/>
      <c r="O18483"/>
      <c r="P18483"/>
      <c r="Q18483"/>
      <c r="R18483"/>
      <c r="S18483"/>
    </row>
    <row r="18484" spans="13:19" ht="13.95" customHeight="1">
      <c r="M18484"/>
      <c r="N18484"/>
      <c r="O18484"/>
      <c r="P18484"/>
      <c r="Q18484"/>
      <c r="R18484"/>
      <c r="S18484"/>
    </row>
    <row r="18485" spans="13:19" ht="13.95" customHeight="1">
      <c r="M18485"/>
      <c r="N18485"/>
      <c r="O18485"/>
      <c r="P18485"/>
      <c r="Q18485"/>
      <c r="R18485"/>
      <c r="S18485"/>
    </row>
    <row r="18486" spans="13:19" ht="13.95" customHeight="1">
      <c r="M18486"/>
      <c r="N18486"/>
      <c r="O18486"/>
      <c r="P18486"/>
      <c r="Q18486"/>
      <c r="R18486"/>
      <c r="S18486"/>
    </row>
    <row r="18487" spans="13:19" ht="13.95" customHeight="1">
      <c r="M18487"/>
      <c r="N18487"/>
      <c r="O18487"/>
      <c r="P18487"/>
      <c r="Q18487"/>
      <c r="R18487"/>
      <c r="S18487"/>
    </row>
    <row r="18488" spans="13:19" ht="13.95" customHeight="1">
      <c r="M18488"/>
      <c r="N18488"/>
      <c r="O18488"/>
      <c r="P18488"/>
      <c r="Q18488"/>
      <c r="R18488"/>
      <c r="S18488"/>
    </row>
    <row r="18489" spans="13:19" ht="13.95" customHeight="1">
      <c r="M18489"/>
      <c r="N18489"/>
      <c r="O18489"/>
      <c r="P18489"/>
      <c r="Q18489"/>
      <c r="R18489"/>
      <c r="S18489"/>
    </row>
    <row r="18490" spans="13:19" ht="13.95" customHeight="1">
      <c r="M18490"/>
      <c r="N18490"/>
      <c r="O18490"/>
      <c r="P18490"/>
      <c r="Q18490"/>
      <c r="R18490"/>
      <c r="S18490"/>
    </row>
    <row r="18491" spans="13:19" ht="13.95" customHeight="1">
      <c r="M18491"/>
      <c r="N18491"/>
      <c r="O18491"/>
      <c r="P18491"/>
      <c r="Q18491"/>
      <c r="R18491"/>
      <c r="S18491"/>
    </row>
    <row r="18492" spans="13:19" ht="13.95" customHeight="1">
      <c r="M18492"/>
      <c r="N18492"/>
      <c r="O18492"/>
      <c r="P18492"/>
      <c r="Q18492"/>
      <c r="R18492"/>
      <c r="S18492"/>
    </row>
    <row r="18493" spans="13:19" ht="13.95" customHeight="1">
      <c r="M18493"/>
      <c r="N18493"/>
      <c r="O18493"/>
      <c r="P18493"/>
      <c r="Q18493"/>
      <c r="R18493"/>
      <c r="S18493"/>
    </row>
    <row r="18494" spans="13:19" ht="13.95" customHeight="1">
      <c r="M18494"/>
      <c r="N18494"/>
      <c r="O18494"/>
      <c r="P18494"/>
      <c r="Q18494"/>
      <c r="R18494"/>
      <c r="S18494"/>
    </row>
    <row r="18495" spans="13:19" ht="13.95" customHeight="1">
      <c r="M18495"/>
      <c r="N18495"/>
      <c r="O18495"/>
      <c r="P18495"/>
      <c r="Q18495"/>
      <c r="R18495"/>
      <c r="S18495"/>
    </row>
    <row r="18496" spans="13:19" ht="13.95" customHeight="1">
      <c r="M18496"/>
      <c r="N18496"/>
      <c r="O18496"/>
      <c r="P18496"/>
      <c r="Q18496"/>
      <c r="R18496"/>
      <c r="S18496"/>
    </row>
    <row r="18497" spans="13:19" ht="13.95" customHeight="1">
      <c r="M18497"/>
      <c r="N18497"/>
      <c r="O18497"/>
      <c r="P18497"/>
      <c r="Q18497"/>
      <c r="R18497"/>
      <c r="S18497"/>
    </row>
    <row r="18498" spans="13:19" ht="13.95" customHeight="1">
      <c r="M18498"/>
      <c r="N18498"/>
      <c r="O18498"/>
      <c r="P18498"/>
      <c r="Q18498"/>
      <c r="R18498"/>
      <c r="S18498"/>
    </row>
    <row r="18499" spans="13:19" ht="13.95" customHeight="1">
      <c r="M18499"/>
      <c r="N18499"/>
      <c r="O18499"/>
      <c r="P18499"/>
      <c r="Q18499"/>
      <c r="R18499"/>
      <c r="S18499"/>
    </row>
    <row r="18500" spans="13:19" ht="13.95" customHeight="1">
      <c r="M18500"/>
      <c r="N18500"/>
      <c r="O18500"/>
      <c r="P18500"/>
      <c r="Q18500"/>
      <c r="R18500"/>
      <c r="S18500"/>
    </row>
    <row r="18501" spans="13:19" ht="13.95" customHeight="1">
      <c r="M18501"/>
      <c r="N18501"/>
      <c r="O18501"/>
      <c r="P18501"/>
      <c r="Q18501"/>
      <c r="R18501"/>
      <c r="S18501"/>
    </row>
    <row r="18502" spans="13:19" ht="13.95" customHeight="1">
      <c r="M18502"/>
      <c r="N18502"/>
      <c r="O18502"/>
      <c r="P18502"/>
      <c r="Q18502"/>
      <c r="R18502"/>
      <c r="S18502"/>
    </row>
    <row r="18503" spans="13:19" ht="13.95" customHeight="1">
      <c r="M18503"/>
      <c r="N18503"/>
      <c r="O18503"/>
      <c r="P18503"/>
      <c r="Q18503"/>
      <c r="R18503"/>
      <c r="S18503"/>
    </row>
    <row r="18504" spans="13:19" ht="13.95" customHeight="1">
      <c r="M18504"/>
      <c r="N18504"/>
      <c r="O18504"/>
      <c r="P18504"/>
      <c r="Q18504"/>
      <c r="R18504"/>
      <c r="S18504"/>
    </row>
    <row r="18505" spans="13:19" ht="13.95" customHeight="1">
      <c r="M18505"/>
      <c r="N18505"/>
      <c r="O18505"/>
      <c r="P18505"/>
      <c r="Q18505"/>
      <c r="R18505"/>
      <c r="S18505"/>
    </row>
    <row r="18506" spans="13:19" ht="13.95" customHeight="1">
      <c r="M18506"/>
      <c r="N18506"/>
      <c r="O18506"/>
      <c r="P18506"/>
      <c r="Q18506"/>
      <c r="R18506"/>
      <c r="S18506"/>
    </row>
    <row r="18507" spans="13:19" ht="13.95" customHeight="1">
      <c r="M18507"/>
      <c r="N18507"/>
      <c r="O18507"/>
      <c r="P18507"/>
      <c r="Q18507"/>
      <c r="R18507"/>
      <c r="S18507"/>
    </row>
    <row r="18508" spans="13:19" ht="13.95" customHeight="1">
      <c r="M18508"/>
      <c r="N18508"/>
      <c r="O18508"/>
      <c r="P18508"/>
      <c r="Q18508"/>
      <c r="R18508"/>
      <c r="S18508"/>
    </row>
    <row r="18509" spans="13:19" ht="13.95" customHeight="1">
      <c r="M18509"/>
      <c r="N18509"/>
      <c r="O18509"/>
      <c r="P18509"/>
      <c r="Q18509"/>
      <c r="R18509"/>
      <c r="S18509"/>
    </row>
    <row r="18510" spans="13:19" ht="13.95" customHeight="1">
      <c r="M18510"/>
      <c r="N18510"/>
      <c r="O18510"/>
      <c r="P18510"/>
      <c r="Q18510"/>
      <c r="R18510"/>
      <c r="S18510"/>
    </row>
    <row r="18511" spans="13:19" ht="13.95" customHeight="1">
      <c r="M18511"/>
      <c r="N18511"/>
      <c r="O18511"/>
      <c r="P18511"/>
      <c r="Q18511"/>
      <c r="R18511"/>
      <c r="S18511"/>
    </row>
    <row r="18512" spans="13:19" ht="13.95" customHeight="1">
      <c r="M18512"/>
      <c r="N18512"/>
      <c r="O18512"/>
      <c r="P18512"/>
      <c r="Q18512"/>
      <c r="R18512"/>
      <c r="S18512"/>
    </row>
    <row r="18513" spans="13:19" ht="13.95" customHeight="1">
      <c r="M18513"/>
      <c r="N18513"/>
      <c r="O18513"/>
      <c r="P18513"/>
      <c r="Q18513"/>
      <c r="R18513"/>
      <c r="S18513"/>
    </row>
    <row r="18514" spans="13:19" ht="13.95" customHeight="1">
      <c r="M18514"/>
      <c r="N18514"/>
      <c r="O18514"/>
      <c r="P18514"/>
      <c r="Q18514"/>
      <c r="R18514"/>
      <c r="S18514"/>
    </row>
    <row r="18515" spans="13:19" ht="13.95" customHeight="1">
      <c r="M18515"/>
      <c r="N18515"/>
      <c r="O18515"/>
      <c r="P18515"/>
      <c r="Q18515"/>
      <c r="R18515"/>
      <c r="S18515"/>
    </row>
    <row r="18516" spans="13:19" ht="13.95" customHeight="1">
      <c r="M18516"/>
      <c r="N18516"/>
      <c r="O18516"/>
      <c r="P18516"/>
      <c r="Q18516"/>
      <c r="R18516"/>
      <c r="S18516"/>
    </row>
    <row r="18517" spans="13:19" ht="13.95" customHeight="1">
      <c r="M18517"/>
      <c r="N18517"/>
      <c r="O18517"/>
      <c r="P18517"/>
      <c r="Q18517"/>
      <c r="R18517"/>
      <c r="S18517"/>
    </row>
    <row r="18518" spans="13:19" ht="13.95" customHeight="1">
      <c r="M18518"/>
      <c r="N18518"/>
      <c r="O18518"/>
      <c r="P18518"/>
      <c r="Q18518"/>
      <c r="R18518"/>
      <c r="S18518"/>
    </row>
    <row r="18519" spans="13:19" ht="13.95" customHeight="1">
      <c r="M18519"/>
      <c r="N18519"/>
      <c r="O18519"/>
      <c r="P18519"/>
      <c r="Q18519"/>
      <c r="R18519"/>
      <c r="S18519"/>
    </row>
    <row r="18520" spans="13:19" ht="13.95" customHeight="1">
      <c r="M18520"/>
      <c r="N18520"/>
      <c r="O18520"/>
      <c r="P18520"/>
      <c r="Q18520"/>
      <c r="R18520"/>
      <c r="S18520"/>
    </row>
    <row r="18521" spans="13:19" ht="13.95" customHeight="1">
      <c r="M18521"/>
      <c r="N18521"/>
      <c r="O18521"/>
      <c r="P18521"/>
      <c r="Q18521"/>
      <c r="R18521"/>
      <c r="S18521"/>
    </row>
    <row r="18522" spans="13:19" ht="13.95" customHeight="1">
      <c r="M18522"/>
      <c r="N18522"/>
      <c r="O18522"/>
      <c r="P18522"/>
      <c r="Q18522"/>
      <c r="R18522"/>
      <c r="S18522"/>
    </row>
    <row r="18523" spans="13:19" ht="13.95" customHeight="1">
      <c r="M18523"/>
      <c r="N18523"/>
      <c r="O18523"/>
      <c r="P18523"/>
      <c r="Q18523"/>
      <c r="R18523"/>
      <c r="S18523"/>
    </row>
    <row r="18524" spans="13:19" ht="13.95" customHeight="1">
      <c r="M18524"/>
      <c r="N18524"/>
      <c r="O18524"/>
      <c r="P18524"/>
      <c r="Q18524"/>
      <c r="R18524"/>
      <c r="S18524"/>
    </row>
    <row r="18525" spans="13:19" ht="13.95" customHeight="1">
      <c r="M18525"/>
      <c r="N18525"/>
      <c r="O18525"/>
      <c r="P18525"/>
      <c r="Q18525"/>
      <c r="R18525"/>
      <c r="S18525"/>
    </row>
    <row r="18526" spans="13:19" ht="13.95" customHeight="1">
      <c r="M18526"/>
      <c r="N18526"/>
      <c r="O18526"/>
      <c r="P18526"/>
      <c r="Q18526"/>
      <c r="R18526"/>
      <c r="S18526"/>
    </row>
    <row r="18527" spans="13:19" ht="13.95" customHeight="1">
      <c r="M18527"/>
      <c r="N18527"/>
      <c r="O18527"/>
      <c r="P18527"/>
      <c r="Q18527"/>
      <c r="R18527"/>
      <c r="S18527"/>
    </row>
    <row r="18528" spans="13:19" ht="13.95" customHeight="1">
      <c r="M18528"/>
      <c r="N18528"/>
      <c r="O18528"/>
      <c r="P18528"/>
      <c r="Q18528"/>
      <c r="R18528"/>
      <c r="S18528"/>
    </row>
    <row r="18529" spans="13:19" ht="13.95" customHeight="1">
      <c r="M18529"/>
      <c r="N18529"/>
      <c r="O18529"/>
      <c r="P18529"/>
      <c r="Q18529"/>
      <c r="R18529"/>
      <c r="S18529"/>
    </row>
    <row r="18530" spans="13:19" ht="13.95" customHeight="1">
      <c r="M18530"/>
      <c r="N18530"/>
      <c r="O18530"/>
      <c r="P18530"/>
      <c r="Q18530"/>
      <c r="R18530"/>
      <c r="S18530"/>
    </row>
    <row r="18531" spans="13:19" ht="13.95" customHeight="1">
      <c r="M18531"/>
      <c r="N18531"/>
      <c r="O18531"/>
      <c r="P18531"/>
      <c r="Q18531"/>
      <c r="R18531"/>
      <c r="S18531"/>
    </row>
    <row r="18532" spans="13:19" ht="13.95" customHeight="1">
      <c r="M18532"/>
      <c r="N18532"/>
      <c r="O18532"/>
      <c r="P18532"/>
      <c r="Q18532"/>
      <c r="R18532"/>
      <c r="S18532"/>
    </row>
    <row r="18533" spans="13:19" ht="13.95" customHeight="1">
      <c r="M18533"/>
      <c r="N18533"/>
      <c r="O18533"/>
      <c r="P18533"/>
      <c r="Q18533"/>
      <c r="R18533"/>
      <c r="S18533"/>
    </row>
    <row r="18534" spans="13:19" ht="13.95" customHeight="1">
      <c r="M18534"/>
      <c r="N18534"/>
      <c r="O18534"/>
      <c r="P18534"/>
      <c r="Q18534"/>
      <c r="R18534"/>
      <c r="S18534"/>
    </row>
    <row r="18535" spans="13:19" ht="13.95" customHeight="1">
      <c r="M18535"/>
      <c r="N18535"/>
      <c r="O18535"/>
      <c r="P18535"/>
      <c r="Q18535"/>
      <c r="R18535"/>
      <c r="S18535"/>
    </row>
    <row r="18536" spans="13:19" ht="13.95" customHeight="1">
      <c r="M18536"/>
      <c r="N18536"/>
      <c r="O18536"/>
      <c r="P18536"/>
      <c r="Q18536"/>
      <c r="R18536"/>
      <c r="S18536"/>
    </row>
    <row r="18537" spans="13:19" ht="13.95" customHeight="1">
      <c r="M18537"/>
      <c r="N18537"/>
      <c r="O18537"/>
      <c r="P18537"/>
      <c r="Q18537"/>
      <c r="R18537"/>
      <c r="S18537"/>
    </row>
    <row r="18538" spans="13:19" ht="13.95" customHeight="1">
      <c r="M18538"/>
      <c r="N18538"/>
      <c r="O18538"/>
      <c r="P18538"/>
      <c r="Q18538"/>
      <c r="R18538"/>
      <c r="S18538"/>
    </row>
    <row r="18539" spans="13:19" ht="13.95" customHeight="1">
      <c r="M18539"/>
      <c r="N18539"/>
      <c r="O18539"/>
      <c r="P18539"/>
      <c r="Q18539"/>
      <c r="R18539"/>
      <c r="S18539"/>
    </row>
    <row r="18540" spans="13:19" ht="13.95" customHeight="1">
      <c r="M18540"/>
      <c r="N18540"/>
      <c r="O18540"/>
      <c r="P18540"/>
      <c r="Q18540"/>
      <c r="R18540"/>
      <c r="S18540"/>
    </row>
    <row r="18541" spans="13:19" ht="13.95" customHeight="1">
      <c r="M18541"/>
      <c r="N18541"/>
      <c r="O18541"/>
      <c r="P18541"/>
      <c r="Q18541"/>
      <c r="R18541"/>
      <c r="S18541"/>
    </row>
    <row r="18542" spans="13:19" ht="13.95" customHeight="1">
      <c r="M18542"/>
      <c r="N18542"/>
      <c r="O18542"/>
      <c r="P18542"/>
      <c r="Q18542"/>
      <c r="R18542"/>
      <c r="S18542"/>
    </row>
    <row r="18543" spans="13:19" ht="13.95" customHeight="1">
      <c r="M18543"/>
      <c r="N18543"/>
      <c r="O18543"/>
      <c r="P18543"/>
      <c r="Q18543"/>
      <c r="R18543"/>
      <c r="S18543"/>
    </row>
    <row r="18544" spans="13:19" ht="13.95" customHeight="1">
      <c r="M18544"/>
      <c r="N18544"/>
      <c r="O18544"/>
      <c r="P18544"/>
      <c r="Q18544"/>
      <c r="R18544"/>
      <c r="S18544"/>
    </row>
    <row r="18545" spans="13:19" ht="13.95" customHeight="1">
      <c r="M18545"/>
      <c r="N18545"/>
      <c r="O18545"/>
      <c r="P18545"/>
      <c r="Q18545"/>
      <c r="R18545"/>
      <c r="S18545"/>
    </row>
    <row r="18546" spans="13:19" ht="13.95" customHeight="1">
      <c r="M18546"/>
      <c r="N18546"/>
      <c r="O18546"/>
      <c r="P18546"/>
      <c r="Q18546"/>
      <c r="R18546"/>
      <c r="S18546"/>
    </row>
    <row r="18547" spans="13:19" ht="13.95" customHeight="1">
      <c r="M18547"/>
      <c r="N18547"/>
      <c r="O18547"/>
      <c r="P18547"/>
      <c r="Q18547"/>
      <c r="R18547"/>
      <c r="S18547"/>
    </row>
    <row r="18548" spans="13:19" ht="13.95" customHeight="1">
      <c r="M18548"/>
      <c r="N18548"/>
      <c r="O18548"/>
      <c r="P18548"/>
      <c r="Q18548"/>
      <c r="R18548"/>
      <c r="S18548"/>
    </row>
    <row r="18549" spans="13:19" ht="13.95" customHeight="1">
      <c r="M18549"/>
      <c r="N18549"/>
      <c r="O18549"/>
      <c r="P18549"/>
      <c r="Q18549"/>
      <c r="R18549"/>
      <c r="S18549"/>
    </row>
    <row r="18550" spans="13:19" ht="13.95" customHeight="1">
      <c r="M18550"/>
      <c r="N18550"/>
      <c r="O18550"/>
      <c r="P18550"/>
      <c r="Q18550"/>
      <c r="R18550"/>
      <c r="S18550"/>
    </row>
    <row r="18551" spans="13:19" ht="13.95" customHeight="1">
      <c r="M18551"/>
      <c r="N18551"/>
      <c r="O18551"/>
      <c r="P18551"/>
      <c r="Q18551"/>
      <c r="R18551"/>
      <c r="S18551"/>
    </row>
    <row r="18552" spans="13:19" ht="13.95" customHeight="1">
      <c r="M18552"/>
      <c r="N18552"/>
      <c r="O18552"/>
      <c r="P18552"/>
      <c r="Q18552"/>
      <c r="R18552"/>
      <c r="S18552"/>
    </row>
    <row r="18553" spans="13:19" ht="13.95" customHeight="1">
      <c r="M18553"/>
      <c r="N18553"/>
      <c r="O18553"/>
      <c r="P18553"/>
      <c r="Q18553"/>
      <c r="R18553"/>
      <c r="S18553"/>
    </row>
    <row r="18554" spans="13:19" ht="13.95" customHeight="1">
      <c r="M18554"/>
      <c r="N18554"/>
      <c r="O18554"/>
      <c r="P18554"/>
      <c r="Q18554"/>
      <c r="R18554"/>
      <c r="S18554"/>
    </row>
    <row r="18555" spans="13:19" ht="13.95" customHeight="1">
      <c r="M18555"/>
      <c r="N18555"/>
      <c r="O18555"/>
      <c r="P18555"/>
      <c r="Q18555"/>
      <c r="R18555"/>
      <c r="S18555"/>
    </row>
    <row r="18556" spans="13:19" ht="13.95" customHeight="1">
      <c r="M18556"/>
      <c r="N18556"/>
      <c r="O18556"/>
      <c r="P18556"/>
      <c r="Q18556"/>
      <c r="R18556"/>
      <c r="S18556"/>
    </row>
    <row r="18557" spans="13:19" ht="13.95" customHeight="1">
      <c r="M18557"/>
      <c r="N18557"/>
      <c r="O18557"/>
      <c r="P18557"/>
      <c r="Q18557"/>
      <c r="R18557"/>
      <c r="S18557"/>
    </row>
    <row r="18558" spans="13:19" ht="13.95" customHeight="1">
      <c r="M18558"/>
      <c r="N18558"/>
      <c r="O18558"/>
      <c r="P18558"/>
      <c r="Q18558"/>
      <c r="R18558"/>
      <c r="S18558"/>
    </row>
    <row r="18559" spans="13:19" ht="13.95" customHeight="1">
      <c r="M18559"/>
      <c r="N18559"/>
      <c r="O18559"/>
      <c r="P18559"/>
      <c r="Q18559"/>
      <c r="R18559"/>
      <c r="S18559"/>
    </row>
    <row r="18560" spans="13:19" ht="13.95" customHeight="1">
      <c r="M18560"/>
      <c r="N18560"/>
      <c r="O18560"/>
      <c r="P18560"/>
      <c r="Q18560"/>
      <c r="R18560"/>
      <c r="S18560"/>
    </row>
    <row r="18561" spans="13:19" ht="13.95" customHeight="1">
      <c r="M18561"/>
      <c r="N18561"/>
      <c r="O18561"/>
      <c r="P18561"/>
      <c r="Q18561"/>
      <c r="R18561"/>
      <c r="S18561"/>
    </row>
    <row r="18562" spans="13:19" ht="13.95" customHeight="1">
      <c r="M18562"/>
      <c r="N18562"/>
      <c r="O18562"/>
      <c r="P18562"/>
      <c r="Q18562"/>
      <c r="R18562"/>
      <c r="S18562"/>
    </row>
    <row r="18563" spans="13:19" ht="13.95" customHeight="1">
      <c r="M18563"/>
      <c r="N18563"/>
      <c r="O18563"/>
      <c r="P18563"/>
      <c r="Q18563"/>
      <c r="R18563"/>
      <c r="S18563"/>
    </row>
    <row r="18564" spans="13:19" ht="13.95" customHeight="1">
      <c r="M18564"/>
      <c r="N18564"/>
      <c r="O18564"/>
      <c r="P18564"/>
      <c r="Q18564"/>
      <c r="R18564"/>
      <c r="S18564"/>
    </row>
    <row r="18565" spans="13:19" ht="13.95" customHeight="1">
      <c r="M18565"/>
      <c r="N18565"/>
      <c r="O18565"/>
      <c r="P18565"/>
      <c r="Q18565"/>
      <c r="R18565"/>
      <c r="S18565"/>
    </row>
    <row r="18566" spans="13:19" ht="13.95" customHeight="1">
      <c r="M18566"/>
      <c r="N18566"/>
      <c r="O18566"/>
      <c r="P18566"/>
      <c r="Q18566"/>
      <c r="R18566"/>
      <c r="S18566"/>
    </row>
    <row r="18567" spans="13:19" ht="13.95" customHeight="1">
      <c r="M18567"/>
      <c r="N18567"/>
      <c r="O18567"/>
      <c r="P18567"/>
      <c r="Q18567"/>
      <c r="R18567"/>
      <c r="S18567"/>
    </row>
    <row r="18568" spans="13:19" ht="13.95" customHeight="1">
      <c r="M18568"/>
      <c r="N18568"/>
      <c r="O18568"/>
      <c r="P18568"/>
      <c r="Q18568"/>
      <c r="R18568"/>
      <c r="S18568"/>
    </row>
    <row r="18569" spans="13:19" ht="13.95" customHeight="1">
      <c r="M18569"/>
      <c r="N18569"/>
      <c r="O18569"/>
      <c r="P18569"/>
      <c r="Q18569"/>
      <c r="R18569"/>
      <c r="S18569"/>
    </row>
    <row r="18570" spans="13:19" ht="13.95" customHeight="1">
      <c r="M18570"/>
      <c r="N18570"/>
      <c r="O18570"/>
      <c r="P18570"/>
      <c r="Q18570"/>
      <c r="R18570"/>
      <c r="S18570"/>
    </row>
    <row r="18571" spans="13:19" ht="13.95" customHeight="1">
      <c r="M18571"/>
      <c r="N18571"/>
      <c r="O18571"/>
      <c r="P18571"/>
      <c r="Q18571"/>
      <c r="R18571"/>
      <c r="S18571"/>
    </row>
    <row r="18572" spans="13:19" ht="13.95" customHeight="1">
      <c r="M18572"/>
      <c r="N18572"/>
      <c r="O18572"/>
      <c r="P18572"/>
      <c r="Q18572"/>
      <c r="R18572"/>
      <c r="S18572"/>
    </row>
    <row r="18573" spans="13:19" ht="13.95" customHeight="1">
      <c r="M18573"/>
      <c r="N18573"/>
      <c r="O18573"/>
      <c r="P18573"/>
      <c r="Q18573"/>
      <c r="R18573"/>
      <c r="S18573"/>
    </row>
    <row r="18574" spans="13:19" ht="13.95" customHeight="1">
      <c r="M18574"/>
      <c r="N18574"/>
      <c r="O18574"/>
      <c r="P18574"/>
      <c r="Q18574"/>
      <c r="R18574"/>
      <c r="S18574"/>
    </row>
    <row r="18575" spans="13:19" ht="13.95" customHeight="1">
      <c r="M18575"/>
      <c r="N18575"/>
      <c r="O18575"/>
      <c r="P18575"/>
      <c r="Q18575"/>
      <c r="R18575"/>
      <c r="S18575"/>
    </row>
    <row r="18576" spans="13:19" ht="13.95" customHeight="1">
      <c r="M18576"/>
      <c r="N18576"/>
      <c r="O18576"/>
      <c r="P18576"/>
      <c r="Q18576"/>
      <c r="R18576"/>
      <c r="S18576"/>
    </row>
    <row r="18577" spans="13:19" ht="13.95" customHeight="1">
      <c r="M18577"/>
      <c r="N18577"/>
      <c r="O18577"/>
      <c r="P18577"/>
      <c r="Q18577"/>
      <c r="R18577"/>
      <c r="S18577"/>
    </row>
    <row r="18578" spans="13:19" ht="13.95" customHeight="1">
      <c r="M18578"/>
      <c r="N18578"/>
      <c r="O18578"/>
      <c r="P18578"/>
      <c r="Q18578"/>
      <c r="R18578"/>
      <c r="S18578"/>
    </row>
    <row r="18579" spans="13:19" ht="13.95" customHeight="1">
      <c r="M18579"/>
      <c r="N18579"/>
      <c r="O18579"/>
      <c r="P18579"/>
      <c r="Q18579"/>
      <c r="R18579"/>
      <c r="S18579"/>
    </row>
    <row r="18580" spans="13:19" ht="13.95" customHeight="1">
      <c r="M18580"/>
      <c r="N18580"/>
      <c r="O18580"/>
      <c r="P18580"/>
      <c r="Q18580"/>
      <c r="R18580"/>
      <c r="S18580"/>
    </row>
    <row r="18581" spans="13:19" ht="13.95" customHeight="1">
      <c r="M18581"/>
      <c r="N18581"/>
      <c r="O18581"/>
      <c r="P18581"/>
      <c r="Q18581"/>
      <c r="R18581"/>
      <c r="S18581"/>
    </row>
    <row r="18582" spans="13:19" ht="13.95" customHeight="1">
      <c r="M18582"/>
      <c r="N18582"/>
      <c r="O18582"/>
      <c r="P18582"/>
      <c r="Q18582"/>
      <c r="R18582"/>
      <c r="S18582"/>
    </row>
    <row r="18583" spans="13:19" ht="13.95" customHeight="1">
      <c r="M18583"/>
      <c r="N18583"/>
      <c r="O18583"/>
      <c r="P18583"/>
      <c r="Q18583"/>
      <c r="R18583"/>
      <c r="S18583"/>
    </row>
    <row r="18584" spans="13:19" ht="13.95" customHeight="1">
      <c r="M18584"/>
      <c r="N18584"/>
      <c r="O18584"/>
      <c r="P18584"/>
      <c r="Q18584"/>
      <c r="R18584"/>
      <c r="S18584"/>
    </row>
    <row r="18585" spans="13:19" ht="13.95" customHeight="1">
      <c r="M18585"/>
      <c r="N18585"/>
      <c r="O18585"/>
      <c r="P18585"/>
      <c r="Q18585"/>
      <c r="R18585"/>
      <c r="S18585"/>
    </row>
    <row r="18586" spans="13:19" ht="13.95" customHeight="1">
      <c r="M18586"/>
      <c r="N18586"/>
      <c r="O18586"/>
      <c r="P18586"/>
      <c r="Q18586"/>
      <c r="R18586"/>
      <c r="S18586"/>
    </row>
    <row r="18587" spans="13:19" ht="13.95" customHeight="1">
      <c r="M18587"/>
      <c r="N18587"/>
      <c r="O18587"/>
      <c r="P18587"/>
      <c r="Q18587"/>
      <c r="R18587"/>
      <c r="S18587"/>
    </row>
    <row r="18588" spans="13:19" ht="13.95" customHeight="1">
      <c r="M18588"/>
      <c r="N18588"/>
      <c r="O18588"/>
      <c r="P18588"/>
      <c r="Q18588"/>
      <c r="R18588"/>
      <c r="S18588"/>
    </row>
    <row r="18589" spans="13:19" ht="13.95" customHeight="1">
      <c r="M18589"/>
      <c r="N18589"/>
      <c r="O18589"/>
      <c r="P18589"/>
      <c r="Q18589"/>
      <c r="R18589"/>
      <c r="S18589"/>
    </row>
    <row r="18590" spans="13:19" ht="13.95" customHeight="1">
      <c r="M18590"/>
      <c r="N18590"/>
      <c r="O18590"/>
      <c r="P18590"/>
      <c r="Q18590"/>
      <c r="R18590"/>
      <c r="S18590"/>
    </row>
    <row r="18591" spans="13:19" ht="13.95" customHeight="1">
      <c r="M18591"/>
      <c r="N18591"/>
      <c r="O18591"/>
      <c r="P18591"/>
      <c r="Q18591"/>
      <c r="R18591"/>
      <c r="S18591"/>
    </row>
    <row r="18592" spans="13:19" ht="13.95" customHeight="1">
      <c r="M18592"/>
      <c r="N18592"/>
      <c r="O18592"/>
      <c r="P18592"/>
      <c r="Q18592"/>
      <c r="R18592"/>
      <c r="S18592"/>
    </row>
    <row r="18593" spans="13:19" ht="13.95" customHeight="1">
      <c r="M18593"/>
      <c r="N18593"/>
      <c r="O18593"/>
      <c r="P18593"/>
      <c r="Q18593"/>
      <c r="R18593"/>
      <c r="S18593"/>
    </row>
    <row r="18594" spans="13:19" ht="13.95" customHeight="1">
      <c r="M18594"/>
      <c r="N18594"/>
      <c r="O18594"/>
      <c r="P18594"/>
      <c r="Q18594"/>
      <c r="R18594"/>
      <c r="S18594"/>
    </row>
    <row r="18595" spans="13:19" ht="13.95" customHeight="1">
      <c r="M18595"/>
      <c r="N18595"/>
      <c r="O18595"/>
      <c r="P18595"/>
      <c r="Q18595"/>
      <c r="R18595"/>
      <c r="S18595"/>
    </row>
    <row r="18596" spans="13:19" ht="13.95" customHeight="1">
      <c r="M18596"/>
      <c r="N18596"/>
      <c r="O18596"/>
      <c r="P18596"/>
      <c r="Q18596"/>
      <c r="R18596"/>
      <c r="S18596"/>
    </row>
    <row r="18597" spans="13:19" ht="13.95" customHeight="1">
      <c r="M18597"/>
      <c r="N18597"/>
      <c r="O18597"/>
      <c r="P18597"/>
      <c r="Q18597"/>
      <c r="R18597"/>
      <c r="S18597"/>
    </row>
    <row r="18598" spans="13:19" ht="13.95" customHeight="1">
      <c r="M18598"/>
      <c r="N18598"/>
      <c r="O18598"/>
      <c r="P18598"/>
      <c r="Q18598"/>
      <c r="R18598"/>
      <c r="S18598"/>
    </row>
    <row r="18599" spans="13:19" ht="13.95" customHeight="1">
      <c r="M18599"/>
      <c r="N18599"/>
      <c r="O18599"/>
      <c r="P18599"/>
      <c r="Q18599"/>
      <c r="R18599"/>
      <c r="S18599"/>
    </row>
    <row r="18600" spans="13:19" ht="13.95" customHeight="1">
      <c r="M18600"/>
      <c r="N18600"/>
      <c r="O18600"/>
      <c r="P18600"/>
      <c r="Q18600"/>
      <c r="R18600"/>
      <c r="S18600"/>
    </row>
    <row r="18601" spans="13:19" ht="13.95" customHeight="1">
      <c r="M18601"/>
      <c r="N18601"/>
      <c r="O18601"/>
      <c r="P18601"/>
      <c r="Q18601"/>
      <c r="R18601"/>
      <c r="S18601"/>
    </row>
    <row r="18602" spans="13:19" ht="13.95" customHeight="1">
      <c r="M18602"/>
      <c r="N18602"/>
      <c r="O18602"/>
      <c r="P18602"/>
      <c r="Q18602"/>
      <c r="R18602"/>
      <c r="S18602"/>
    </row>
    <row r="18603" spans="13:19" ht="13.95" customHeight="1">
      <c r="M18603"/>
      <c r="N18603"/>
      <c r="O18603"/>
      <c r="P18603"/>
      <c r="Q18603"/>
      <c r="R18603"/>
      <c r="S18603"/>
    </row>
    <row r="18604" spans="13:19" ht="13.95" customHeight="1">
      <c r="M18604"/>
      <c r="N18604"/>
      <c r="O18604"/>
      <c r="P18604"/>
      <c r="Q18604"/>
      <c r="R18604"/>
      <c r="S18604"/>
    </row>
    <row r="18605" spans="13:19" ht="13.95" customHeight="1">
      <c r="M18605"/>
      <c r="N18605"/>
      <c r="O18605"/>
      <c r="P18605"/>
      <c r="Q18605"/>
      <c r="R18605"/>
      <c r="S18605"/>
    </row>
    <row r="18606" spans="13:19" ht="13.95" customHeight="1">
      <c r="M18606"/>
      <c r="N18606"/>
      <c r="O18606"/>
      <c r="P18606"/>
      <c r="Q18606"/>
      <c r="R18606"/>
      <c r="S18606"/>
    </row>
    <row r="18607" spans="13:19" ht="13.95" customHeight="1">
      <c r="M18607"/>
      <c r="N18607"/>
      <c r="O18607"/>
      <c r="P18607"/>
      <c r="Q18607"/>
      <c r="R18607"/>
      <c r="S18607"/>
    </row>
    <row r="18608" spans="13:19" ht="13.95" customHeight="1">
      <c r="M18608"/>
      <c r="N18608"/>
      <c r="O18608"/>
      <c r="P18608"/>
      <c r="Q18608"/>
      <c r="R18608"/>
      <c r="S18608"/>
    </row>
    <row r="18609" spans="13:19" ht="13.95" customHeight="1">
      <c r="M18609"/>
      <c r="N18609"/>
      <c r="O18609"/>
      <c r="P18609"/>
      <c r="Q18609"/>
      <c r="R18609"/>
      <c r="S18609"/>
    </row>
    <row r="18610" spans="13:19" ht="13.95" customHeight="1">
      <c r="M18610"/>
      <c r="N18610"/>
      <c r="O18610"/>
      <c r="P18610"/>
      <c r="Q18610"/>
      <c r="R18610"/>
      <c r="S18610"/>
    </row>
    <row r="18611" spans="13:19" ht="13.95" customHeight="1">
      <c r="M18611"/>
      <c r="N18611"/>
      <c r="O18611"/>
      <c r="P18611"/>
      <c r="Q18611"/>
      <c r="R18611"/>
      <c r="S18611"/>
    </row>
    <row r="18612" spans="13:19" ht="13.95" customHeight="1">
      <c r="M18612"/>
      <c r="N18612"/>
      <c r="O18612"/>
      <c r="P18612"/>
      <c r="Q18612"/>
      <c r="R18612"/>
      <c r="S18612"/>
    </row>
    <row r="18613" spans="13:19" ht="13.95" customHeight="1">
      <c r="M18613"/>
      <c r="N18613"/>
      <c r="O18613"/>
      <c r="P18613"/>
      <c r="Q18613"/>
      <c r="R18613"/>
      <c r="S18613"/>
    </row>
    <row r="18614" spans="13:19" ht="13.95" customHeight="1">
      <c r="M18614"/>
      <c r="N18614"/>
      <c r="O18614"/>
      <c r="P18614"/>
      <c r="Q18614"/>
      <c r="R18614"/>
      <c r="S18614"/>
    </row>
    <row r="18615" spans="13:19" ht="13.95" customHeight="1">
      <c r="M18615"/>
      <c r="N18615"/>
      <c r="O18615"/>
      <c r="P18615"/>
      <c r="Q18615"/>
      <c r="R18615"/>
      <c r="S18615"/>
    </row>
    <row r="18616" spans="13:19" ht="13.95" customHeight="1">
      <c r="M18616"/>
      <c r="N18616"/>
      <c r="O18616"/>
      <c r="P18616"/>
      <c r="Q18616"/>
      <c r="R18616"/>
      <c r="S18616"/>
    </row>
    <row r="18617" spans="13:19" ht="13.95" customHeight="1">
      <c r="M18617"/>
      <c r="N18617"/>
      <c r="O18617"/>
      <c r="P18617"/>
      <c r="Q18617"/>
      <c r="R18617"/>
      <c r="S18617"/>
    </row>
    <row r="18618" spans="13:19" ht="13.95" customHeight="1">
      <c r="M18618"/>
      <c r="N18618"/>
      <c r="O18618"/>
      <c r="P18618"/>
      <c r="Q18618"/>
      <c r="R18618"/>
      <c r="S18618"/>
    </row>
    <row r="18619" spans="13:19" ht="13.95" customHeight="1">
      <c r="M18619"/>
      <c r="N18619"/>
      <c r="O18619"/>
      <c r="P18619"/>
      <c r="Q18619"/>
      <c r="R18619"/>
      <c r="S18619"/>
    </row>
    <row r="18620" spans="13:19" ht="13.95" customHeight="1">
      <c r="M18620"/>
      <c r="N18620"/>
      <c r="O18620"/>
      <c r="P18620"/>
      <c r="Q18620"/>
      <c r="R18620"/>
      <c r="S18620"/>
    </row>
    <row r="18621" spans="13:19" ht="13.95" customHeight="1">
      <c r="M18621"/>
      <c r="N18621"/>
      <c r="O18621"/>
      <c r="P18621"/>
      <c r="Q18621"/>
      <c r="R18621"/>
      <c r="S18621"/>
    </row>
    <row r="18622" spans="13:19" ht="13.95" customHeight="1">
      <c r="M18622"/>
      <c r="N18622"/>
      <c r="O18622"/>
      <c r="P18622"/>
      <c r="Q18622"/>
      <c r="R18622"/>
      <c r="S18622"/>
    </row>
    <row r="18623" spans="13:19" ht="13.95" customHeight="1">
      <c r="M18623"/>
      <c r="N18623"/>
      <c r="O18623"/>
      <c r="P18623"/>
      <c r="Q18623"/>
      <c r="R18623"/>
      <c r="S18623"/>
    </row>
    <row r="18624" spans="13:19" ht="13.95" customHeight="1">
      <c r="M18624"/>
      <c r="N18624"/>
      <c r="O18624"/>
      <c r="P18624"/>
      <c r="Q18624"/>
      <c r="R18624"/>
      <c r="S18624"/>
    </row>
    <row r="18625" spans="13:19" ht="13.95" customHeight="1">
      <c r="M18625"/>
      <c r="N18625"/>
      <c r="O18625"/>
      <c r="P18625"/>
      <c r="Q18625"/>
      <c r="R18625"/>
      <c r="S18625"/>
    </row>
    <row r="18626" spans="13:19" ht="13.95" customHeight="1">
      <c r="M18626"/>
      <c r="N18626"/>
      <c r="O18626"/>
      <c r="P18626"/>
      <c r="Q18626"/>
      <c r="R18626"/>
      <c r="S18626"/>
    </row>
    <row r="18627" spans="13:19" ht="13.95" customHeight="1">
      <c r="M18627"/>
      <c r="N18627"/>
      <c r="O18627"/>
      <c r="P18627"/>
      <c r="Q18627"/>
      <c r="R18627"/>
      <c r="S18627"/>
    </row>
    <row r="18628" spans="13:19" ht="13.95" customHeight="1">
      <c r="M18628"/>
      <c r="N18628"/>
      <c r="O18628"/>
      <c r="P18628"/>
      <c r="Q18628"/>
      <c r="R18628"/>
      <c r="S18628"/>
    </row>
    <row r="18629" spans="13:19" ht="13.95" customHeight="1">
      <c r="M18629"/>
      <c r="N18629"/>
      <c r="O18629"/>
      <c r="P18629"/>
      <c r="Q18629"/>
      <c r="R18629"/>
      <c r="S18629"/>
    </row>
    <row r="18630" spans="13:19" ht="13.95" customHeight="1">
      <c r="M18630"/>
      <c r="N18630"/>
      <c r="O18630"/>
      <c r="P18630"/>
      <c r="Q18630"/>
      <c r="R18630"/>
      <c r="S18630"/>
    </row>
    <row r="18631" spans="13:19" ht="13.95" customHeight="1">
      <c r="M18631"/>
      <c r="N18631"/>
      <c r="O18631"/>
      <c r="P18631"/>
      <c r="Q18631"/>
      <c r="R18631"/>
      <c r="S18631"/>
    </row>
    <row r="18632" spans="13:19" ht="13.95" customHeight="1">
      <c r="M18632"/>
      <c r="N18632"/>
      <c r="O18632"/>
      <c r="P18632"/>
      <c r="Q18632"/>
      <c r="R18632"/>
      <c r="S18632"/>
    </row>
    <row r="18633" spans="13:19" ht="13.95" customHeight="1">
      <c r="M18633"/>
      <c r="N18633"/>
      <c r="O18633"/>
      <c r="P18633"/>
      <c r="Q18633"/>
      <c r="R18633"/>
      <c r="S18633"/>
    </row>
    <row r="18634" spans="13:19" ht="13.95" customHeight="1">
      <c r="M18634"/>
      <c r="N18634"/>
      <c r="O18634"/>
      <c r="P18634"/>
      <c r="Q18634"/>
      <c r="R18634"/>
      <c r="S18634"/>
    </row>
    <row r="18635" spans="13:19" ht="13.95" customHeight="1">
      <c r="M18635"/>
      <c r="N18635"/>
      <c r="O18635"/>
      <c r="P18635"/>
      <c r="Q18635"/>
      <c r="R18635"/>
      <c r="S18635"/>
    </row>
    <row r="18636" spans="13:19" ht="13.95" customHeight="1">
      <c r="M18636"/>
      <c r="N18636"/>
      <c r="O18636"/>
      <c r="P18636"/>
      <c r="Q18636"/>
      <c r="R18636"/>
      <c r="S18636"/>
    </row>
    <row r="18637" spans="13:19" ht="13.95" customHeight="1">
      <c r="M18637"/>
      <c r="N18637"/>
      <c r="O18637"/>
      <c r="P18637"/>
      <c r="Q18637"/>
      <c r="R18637"/>
      <c r="S18637"/>
    </row>
    <row r="18638" spans="13:19" ht="13.95" customHeight="1">
      <c r="M18638"/>
      <c r="N18638"/>
      <c r="O18638"/>
      <c r="P18638"/>
      <c r="Q18638"/>
      <c r="R18638"/>
      <c r="S18638"/>
    </row>
    <row r="18639" spans="13:19" ht="13.95" customHeight="1">
      <c r="M18639"/>
      <c r="N18639"/>
      <c r="O18639"/>
      <c r="P18639"/>
      <c r="Q18639"/>
      <c r="R18639"/>
      <c r="S18639"/>
    </row>
    <row r="18640" spans="13:19" ht="13.95" customHeight="1">
      <c r="M18640"/>
      <c r="N18640"/>
      <c r="O18640"/>
      <c r="P18640"/>
      <c r="Q18640"/>
      <c r="R18640"/>
      <c r="S18640"/>
    </row>
    <row r="18641" spans="13:19" ht="13.95" customHeight="1">
      <c r="M18641"/>
      <c r="N18641"/>
      <c r="O18641"/>
      <c r="P18641"/>
      <c r="Q18641"/>
      <c r="R18641"/>
      <c r="S18641"/>
    </row>
    <row r="18642" spans="13:19" ht="13.95" customHeight="1">
      <c r="M18642"/>
      <c r="N18642"/>
      <c r="O18642"/>
      <c r="P18642"/>
      <c r="Q18642"/>
      <c r="R18642"/>
      <c r="S18642"/>
    </row>
    <row r="18643" spans="13:19" ht="13.95" customHeight="1">
      <c r="M18643"/>
      <c r="N18643"/>
      <c r="O18643"/>
      <c r="P18643"/>
      <c r="Q18643"/>
      <c r="R18643"/>
      <c r="S18643"/>
    </row>
    <row r="18644" spans="13:19" ht="13.95" customHeight="1">
      <c r="M18644"/>
      <c r="N18644"/>
      <c r="O18644"/>
      <c r="P18644"/>
      <c r="Q18644"/>
      <c r="R18644"/>
      <c r="S18644"/>
    </row>
    <row r="18645" spans="13:19" ht="13.95" customHeight="1">
      <c r="M18645"/>
      <c r="N18645"/>
      <c r="O18645"/>
      <c r="P18645"/>
      <c r="Q18645"/>
      <c r="R18645"/>
      <c r="S18645"/>
    </row>
    <row r="18646" spans="13:19" ht="13.95" customHeight="1">
      <c r="M18646"/>
      <c r="N18646"/>
      <c r="O18646"/>
      <c r="P18646"/>
      <c r="Q18646"/>
      <c r="R18646"/>
      <c r="S18646"/>
    </row>
    <row r="18647" spans="13:19" ht="13.95" customHeight="1">
      <c r="M18647"/>
      <c r="N18647"/>
      <c r="O18647"/>
      <c r="P18647"/>
      <c r="Q18647"/>
      <c r="R18647"/>
      <c r="S18647"/>
    </row>
    <row r="18648" spans="13:19" ht="13.95" customHeight="1">
      <c r="M18648"/>
      <c r="N18648"/>
      <c r="O18648"/>
      <c r="P18648"/>
      <c r="Q18648"/>
      <c r="R18648"/>
      <c r="S18648"/>
    </row>
    <row r="18649" spans="13:19" ht="13.95" customHeight="1">
      <c r="M18649"/>
      <c r="N18649"/>
      <c r="O18649"/>
      <c r="P18649"/>
      <c r="Q18649"/>
      <c r="R18649"/>
      <c r="S18649"/>
    </row>
    <row r="18650" spans="13:19" ht="13.95" customHeight="1">
      <c r="M18650"/>
      <c r="N18650"/>
      <c r="O18650"/>
      <c r="P18650"/>
      <c r="Q18650"/>
      <c r="R18650"/>
      <c r="S18650"/>
    </row>
    <row r="18651" spans="13:19" ht="13.95" customHeight="1">
      <c r="M18651"/>
      <c r="N18651"/>
      <c r="O18651"/>
      <c r="P18651"/>
      <c r="Q18651"/>
      <c r="R18651"/>
      <c r="S18651"/>
    </row>
    <row r="18652" spans="13:19" ht="13.95" customHeight="1">
      <c r="M18652"/>
      <c r="N18652"/>
      <c r="O18652"/>
      <c r="P18652"/>
      <c r="Q18652"/>
      <c r="R18652"/>
      <c r="S18652"/>
    </row>
    <row r="18653" spans="13:19" ht="13.95" customHeight="1">
      <c r="M18653"/>
      <c r="N18653"/>
      <c r="O18653"/>
      <c r="P18653"/>
      <c r="Q18653"/>
      <c r="R18653"/>
      <c r="S18653"/>
    </row>
    <row r="18654" spans="13:19" ht="13.95" customHeight="1">
      <c r="M18654"/>
      <c r="N18654"/>
      <c r="O18654"/>
      <c r="P18654"/>
      <c r="Q18654"/>
      <c r="R18654"/>
      <c r="S18654"/>
    </row>
    <row r="18655" spans="13:19" ht="13.95" customHeight="1">
      <c r="M18655"/>
      <c r="N18655"/>
      <c r="O18655"/>
      <c r="P18655"/>
      <c r="Q18655"/>
      <c r="R18655"/>
      <c r="S18655"/>
    </row>
    <row r="18656" spans="13:19" ht="13.95" customHeight="1">
      <c r="M18656"/>
      <c r="N18656"/>
      <c r="O18656"/>
      <c r="P18656"/>
      <c r="Q18656"/>
      <c r="R18656"/>
      <c r="S18656"/>
    </row>
    <row r="18657" spans="13:19" ht="13.95" customHeight="1">
      <c r="M18657"/>
      <c r="N18657"/>
      <c r="O18657"/>
      <c r="P18657"/>
      <c r="Q18657"/>
      <c r="R18657"/>
      <c r="S18657"/>
    </row>
    <row r="18658" spans="13:19" ht="13.95" customHeight="1">
      <c r="M18658"/>
      <c r="N18658"/>
      <c r="O18658"/>
      <c r="P18658"/>
      <c r="Q18658"/>
      <c r="R18658"/>
      <c r="S18658"/>
    </row>
    <row r="18659" spans="13:19" ht="13.95" customHeight="1">
      <c r="M18659"/>
      <c r="N18659"/>
      <c r="O18659"/>
      <c r="P18659"/>
      <c r="Q18659"/>
      <c r="R18659"/>
      <c r="S18659"/>
    </row>
    <row r="18660" spans="13:19" ht="13.95" customHeight="1">
      <c r="M18660"/>
      <c r="N18660"/>
      <c r="O18660"/>
      <c r="P18660"/>
      <c r="Q18660"/>
      <c r="R18660"/>
      <c r="S18660"/>
    </row>
    <row r="18661" spans="13:19" ht="13.95" customHeight="1">
      <c r="M18661"/>
      <c r="N18661"/>
      <c r="O18661"/>
      <c r="P18661"/>
      <c r="Q18661"/>
      <c r="R18661"/>
      <c r="S18661"/>
    </row>
    <row r="18662" spans="13:19" ht="13.95" customHeight="1">
      <c r="M18662"/>
      <c r="N18662"/>
      <c r="O18662"/>
      <c r="P18662"/>
      <c r="Q18662"/>
      <c r="R18662"/>
      <c r="S18662"/>
    </row>
    <row r="18663" spans="13:19" ht="13.95" customHeight="1">
      <c r="M18663"/>
      <c r="N18663"/>
      <c r="O18663"/>
      <c r="P18663"/>
      <c r="Q18663"/>
      <c r="R18663"/>
      <c r="S18663"/>
    </row>
    <row r="18664" spans="13:19" ht="13.95" customHeight="1">
      <c r="M18664"/>
      <c r="N18664"/>
      <c r="O18664"/>
      <c r="P18664"/>
      <c r="Q18664"/>
      <c r="R18664"/>
      <c r="S18664"/>
    </row>
    <row r="18665" spans="13:19" ht="13.95" customHeight="1">
      <c r="M18665"/>
      <c r="N18665"/>
      <c r="O18665"/>
      <c r="P18665"/>
      <c r="Q18665"/>
      <c r="R18665"/>
      <c r="S18665"/>
    </row>
    <row r="18666" spans="13:19" ht="13.95" customHeight="1">
      <c r="M18666"/>
      <c r="N18666"/>
      <c r="O18666"/>
      <c r="P18666"/>
      <c r="Q18666"/>
      <c r="R18666"/>
      <c r="S18666"/>
    </row>
    <row r="18667" spans="13:19" ht="13.95" customHeight="1">
      <c r="M18667"/>
      <c r="N18667"/>
      <c r="O18667"/>
      <c r="P18667"/>
      <c r="Q18667"/>
      <c r="R18667"/>
      <c r="S18667"/>
    </row>
    <row r="18668" spans="13:19" ht="13.95" customHeight="1">
      <c r="M18668"/>
      <c r="N18668"/>
      <c r="O18668"/>
      <c r="P18668"/>
      <c r="Q18668"/>
      <c r="R18668"/>
      <c r="S18668"/>
    </row>
    <row r="18669" spans="13:19" ht="13.95" customHeight="1">
      <c r="M18669"/>
      <c r="N18669"/>
      <c r="O18669"/>
      <c r="P18669"/>
      <c r="Q18669"/>
      <c r="R18669"/>
      <c r="S18669"/>
    </row>
    <row r="18670" spans="13:19" ht="13.95" customHeight="1">
      <c r="M18670"/>
      <c r="N18670"/>
      <c r="O18670"/>
      <c r="P18670"/>
      <c r="Q18670"/>
      <c r="R18670"/>
      <c r="S18670"/>
    </row>
    <row r="18671" spans="13:19" ht="13.95" customHeight="1">
      <c r="M18671"/>
      <c r="N18671"/>
      <c r="O18671"/>
      <c r="P18671"/>
      <c r="Q18671"/>
      <c r="R18671"/>
      <c r="S18671"/>
    </row>
    <row r="18672" spans="13:19" ht="13.95" customHeight="1">
      <c r="M18672"/>
      <c r="N18672"/>
      <c r="O18672"/>
      <c r="P18672"/>
      <c r="Q18672"/>
      <c r="R18672"/>
      <c r="S18672"/>
    </row>
    <row r="18673" spans="13:19" ht="13.95" customHeight="1">
      <c r="M18673"/>
      <c r="N18673"/>
      <c r="O18673"/>
      <c r="P18673"/>
      <c r="Q18673"/>
      <c r="R18673"/>
      <c r="S18673"/>
    </row>
    <row r="18674" spans="13:19" ht="13.95" customHeight="1">
      <c r="M18674"/>
      <c r="N18674"/>
      <c r="O18674"/>
      <c r="P18674"/>
      <c r="Q18674"/>
      <c r="R18674"/>
      <c r="S18674"/>
    </row>
    <row r="18675" spans="13:19" ht="13.95" customHeight="1">
      <c r="M18675"/>
      <c r="N18675"/>
      <c r="O18675"/>
      <c r="P18675"/>
      <c r="Q18675"/>
      <c r="R18675"/>
      <c r="S18675"/>
    </row>
    <row r="18676" spans="13:19" ht="13.95" customHeight="1">
      <c r="M18676"/>
      <c r="N18676"/>
      <c r="O18676"/>
      <c r="P18676"/>
      <c r="Q18676"/>
      <c r="R18676"/>
      <c r="S18676"/>
    </row>
    <row r="18677" spans="13:19" ht="13.95" customHeight="1">
      <c r="M18677"/>
      <c r="N18677"/>
      <c r="O18677"/>
      <c r="P18677"/>
      <c r="Q18677"/>
      <c r="R18677"/>
      <c r="S18677"/>
    </row>
    <row r="18678" spans="13:19" ht="13.95" customHeight="1">
      <c r="M18678"/>
      <c r="N18678"/>
      <c r="O18678"/>
      <c r="P18678"/>
      <c r="Q18678"/>
      <c r="R18678"/>
      <c r="S18678"/>
    </row>
    <row r="18679" spans="13:19" ht="13.95" customHeight="1">
      <c r="M18679"/>
      <c r="N18679"/>
      <c r="O18679"/>
      <c r="P18679"/>
      <c r="Q18679"/>
      <c r="R18679"/>
      <c r="S18679"/>
    </row>
    <row r="18680" spans="13:19" ht="13.95" customHeight="1">
      <c r="M18680"/>
      <c r="N18680"/>
      <c r="O18680"/>
      <c r="P18680"/>
      <c r="Q18680"/>
      <c r="R18680"/>
      <c r="S18680"/>
    </row>
    <row r="18681" spans="13:19" ht="13.95" customHeight="1">
      <c r="M18681"/>
      <c r="N18681"/>
      <c r="O18681"/>
      <c r="P18681"/>
      <c r="Q18681"/>
      <c r="R18681"/>
      <c r="S18681"/>
    </row>
    <row r="18682" spans="13:19" ht="13.95" customHeight="1">
      <c r="M18682"/>
      <c r="N18682"/>
      <c r="O18682"/>
      <c r="P18682"/>
      <c r="Q18682"/>
      <c r="R18682"/>
      <c r="S18682"/>
    </row>
    <row r="18683" spans="13:19" ht="13.95" customHeight="1">
      <c r="M18683"/>
      <c r="N18683"/>
      <c r="O18683"/>
      <c r="P18683"/>
      <c r="Q18683"/>
      <c r="R18683"/>
      <c r="S18683"/>
    </row>
    <row r="18684" spans="13:19" ht="13.95" customHeight="1">
      <c r="M18684"/>
      <c r="N18684"/>
      <c r="O18684"/>
      <c r="P18684"/>
      <c r="Q18684"/>
      <c r="R18684"/>
      <c r="S18684"/>
    </row>
    <row r="18685" spans="13:19" ht="13.95" customHeight="1">
      <c r="M18685"/>
      <c r="N18685"/>
      <c r="O18685"/>
      <c r="P18685"/>
      <c r="Q18685"/>
      <c r="R18685"/>
      <c r="S18685"/>
    </row>
    <row r="18686" spans="13:19" ht="13.95" customHeight="1">
      <c r="M18686"/>
      <c r="N18686"/>
      <c r="O18686"/>
      <c r="P18686"/>
      <c r="Q18686"/>
      <c r="R18686"/>
      <c r="S18686"/>
    </row>
    <row r="18687" spans="13:19" ht="13.95" customHeight="1">
      <c r="M18687"/>
      <c r="N18687"/>
      <c r="O18687"/>
      <c r="P18687"/>
      <c r="Q18687"/>
      <c r="R18687"/>
      <c r="S18687"/>
    </row>
    <row r="18688" spans="13:19" ht="13.95" customHeight="1">
      <c r="M18688"/>
      <c r="N18688"/>
      <c r="O18688"/>
      <c r="P18688"/>
      <c r="Q18688"/>
      <c r="R18688"/>
      <c r="S18688"/>
    </row>
    <row r="18689" spans="13:19" ht="13.95" customHeight="1">
      <c r="M18689"/>
      <c r="N18689"/>
      <c r="O18689"/>
      <c r="P18689"/>
      <c r="Q18689"/>
      <c r="R18689"/>
      <c r="S18689"/>
    </row>
    <row r="18690" spans="13:19" ht="13.95" customHeight="1">
      <c r="M18690"/>
      <c r="N18690"/>
      <c r="O18690"/>
      <c r="P18690"/>
      <c r="Q18690"/>
      <c r="R18690"/>
      <c r="S18690"/>
    </row>
    <row r="18691" spans="13:19" ht="13.95" customHeight="1">
      <c r="M18691"/>
      <c r="N18691"/>
      <c r="O18691"/>
      <c r="P18691"/>
      <c r="Q18691"/>
      <c r="R18691"/>
      <c r="S18691"/>
    </row>
    <row r="18692" spans="13:19" ht="13.95" customHeight="1">
      <c r="M18692"/>
      <c r="N18692"/>
      <c r="O18692"/>
      <c r="P18692"/>
      <c r="Q18692"/>
      <c r="R18692"/>
      <c r="S18692"/>
    </row>
    <row r="18693" spans="13:19" ht="13.95" customHeight="1">
      <c r="M18693"/>
      <c r="N18693"/>
      <c r="O18693"/>
      <c r="P18693"/>
      <c r="Q18693"/>
      <c r="R18693"/>
      <c r="S18693"/>
    </row>
    <row r="18694" spans="13:19" ht="13.95" customHeight="1">
      <c r="M18694"/>
      <c r="N18694"/>
      <c r="O18694"/>
      <c r="P18694"/>
      <c r="Q18694"/>
      <c r="R18694"/>
      <c r="S18694"/>
    </row>
    <row r="18695" spans="13:19" ht="13.95" customHeight="1">
      <c r="M18695"/>
      <c r="N18695"/>
      <c r="O18695"/>
      <c r="P18695"/>
      <c r="Q18695"/>
      <c r="R18695"/>
      <c r="S18695"/>
    </row>
    <row r="18696" spans="13:19" ht="13.95" customHeight="1">
      <c r="M18696"/>
      <c r="N18696"/>
      <c r="O18696"/>
      <c r="P18696"/>
      <c r="Q18696"/>
      <c r="R18696"/>
      <c r="S18696"/>
    </row>
    <row r="18697" spans="13:19" ht="13.95" customHeight="1">
      <c r="M18697"/>
      <c r="N18697"/>
      <c r="O18697"/>
      <c r="P18697"/>
      <c r="Q18697"/>
      <c r="R18697"/>
      <c r="S18697"/>
    </row>
    <row r="18698" spans="13:19" ht="13.95" customHeight="1">
      <c r="M18698"/>
      <c r="N18698"/>
      <c r="O18698"/>
      <c r="P18698"/>
      <c r="Q18698"/>
      <c r="R18698"/>
      <c r="S18698"/>
    </row>
    <row r="18699" spans="13:19" ht="13.95" customHeight="1">
      <c r="M18699"/>
      <c r="N18699"/>
      <c r="O18699"/>
      <c r="P18699"/>
      <c r="Q18699"/>
      <c r="R18699"/>
      <c r="S18699"/>
    </row>
    <row r="18700" spans="13:19" ht="13.95" customHeight="1">
      <c r="M18700"/>
      <c r="N18700"/>
      <c r="O18700"/>
      <c r="P18700"/>
      <c r="Q18700"/>
      <c r="R18700"/>
      <c r="S18700"/>
    </row>
    <row r="18701" spans="13:19" ht="13.95" customHeight="1">
      <c r="M18701"/>
      <c r="N18701"/>
      <c r="O18701"/>
      <c r="P18701"/>
      <c r="Q18701"/>
      <c r="R18701"/>
      <c r="S18701"/>
    </row>
    <row r="18702" spans="13:19" ht="13.95" customHeight="1">
      <c r="M18702"/>
      <c r="N18702"/>
      <c r="O18702"/>
      <c r="P18702"/>
      <c r="Q18702"/>
      <c r="R18702"/>
      <c r="S18702"/>
    </row>
    <row r="18703" spans="13:19" ht="13.95" customHeight="1">
      <c r="M18703"/>
      <c r="N18703"/>
      <c r="O18703"/>
      <c r="P18703"/>
      <c r="Q18703"/>
      <c r="R18703"/>
      <c r="S18703"/>
    </row>
    <row r="18704" spans="13:19" ht="13.95" customHeight="1">
      <c r="M18704"/>
      <c r="N18704"/>
      <c r="O18704"/>
      <c r="P18704"/>
      <c r="Q18704"/>
      <c r="R18704"/>
      <c r="S18704"/>
    </row>
    <row r="18705" spans="13:19" ht="13.95" customHeight="1">
      <c r="M18705"/>
      <c r="N18705"/>
      <c r="O18705"/>
      <c r="P18705"/>
      <c r="Q18705"/>
      <c r="R18705"/>
      <c r="S18705"/>
    </row>
    <row r="18706" spans="13:19" ht="13.95" customHeight="1">
      <c r="M18706"/>
      <c r="N18706"/>
      <c r="O18706"/>
      <c r="P18706"/>
      <c r="Q18706"/>
      <c r="R18706"/>
      <c r="S18706"/>
    </row>
    <row r="18707" spans="13:19" ht="13.95" customHeight="1">
      <c r="M18707"/>
      <c r="N18707"/>
      <c r="O18707"/>
      <c r="P18707"/>
      <c r="Q18707"/>
      <c r="R18707"/>
      <c r="S18707"/>
    </row>
    <row r="18708" spans="13:19" ht="13.95" customHeight="1">
      <c r="M18708"/>
      <c r="N18708"/>
      <c r="O18708"/>
      <c r="P18708"/>
      <c r="Q18708"/>
      <c r="R18708"/>
      <c r="S18708"/>
    </row>
    <row r="18709" spans="13:19" ht="13.95" customHeight="1">
      <c r="M18709"/>
      <c r="N18709"/>
      <c r="O18709"/>
      <c r="P18709"/>
      <c r="Q18709"/>
      <c r="R18709"/>
      <c r="S18709"/>
    </row>
    <row r="18710" spans="13:19" ht="13.95" customHeight="1">
      <c r="M18710"/>
      <c r="N18710"/>
      <c r="O18710"/>
      <c r="P18710"/>
      <c r="Q18710"/>
      <c r="R18710"/>
      <c r="S18710"/>
    </row>
    <row r="18711" spans="13:19" ht="13.95" customHeight="1">
      <c r="M18711"/>
      <c r="N18711"/>
      <c r="O18711"/>
      <c r="P18711"/>
      <c r="Q18711"/>
      <c r="R18711"/>
      <c r="S18711"/>
    </row>
    <row r="18712" spans="13:19" ht="13.95" customHeight="1">
      <c r="M18712"/>
      <c r="N18712"/>
      <c r="O18712"/>
      <c r="P18712"/>
      <c r="Q18712"/>
      <c r="R18712"/>
      <c r="S18712"/>
    </row>
    <row r="18713" spans="13:19" ht="13.95" customHeight="1">
      <c r="M18713"/>
      <c r="N18713"/>
      <c r="O18713"/>
      <c r="P18713"/>
      <c r="Q18713"/>
      <c r="R18713"/>
      <c r="S18713"/>
    </row>
    <row r="18714" spans="13:19" ht="13.95" customHeight="1">
      <c r="M18714"/>
      <c r="N18714"/>
      <c r="O18714"/>
      <c r="P18714"/>
      <c r="Q18714"/>
      <c r="R18714"/>
      <c r="S18714"/>
    </row>
    <row r="18715" spans="13:19" ht="13.95" customHeight="1">
      <c r="M18715"/>
      <c r="N18715"/>
      <c r="O18715"/>
      <c r="P18715"/>
      <c r="Q18715"/>
      <c r="R18715"/>
      <c r="S18715"/>
    </row>
    <row r="18716" spans="13:19" ht="13.95" customHeight="1">
      <c r="M18716"/>
      <c r="N18716"/>
      <c r="O18716"/>
      <c r="P18716"/>
      <c r="Q18716"/>
      <c r="R18716"/>
      <c r="S18716"/>
    </row>
    <row r="18717" spans="13:19" ht="13.95" customHeight="1">
      <c r="M18717"/>
      <c r="N18717"/>
      <c r="O18717"/>
      <c r="P18717"/>
      <c r="Q18717"/>
      <c r="R18717"/>
      <c r="S18717"/>
    </row>
    <row r="18718" spans="13:19" ht="13.95" customHeight="1">
      <c r="M18718"/>
      <c r="N18718"/>
      <c r="O18718"/>
      <c r="P18718"/>
      <c r="Q18718"/>
      <c r="R18718"/>
      <c r="S18718"/>
    </row>
    <row r="18719" spans="13:19" ht="13.95" customHeight="1">
      <c r="M18719"/>
      <c r="N18719"/>
      <c r="O18719"/>
      <c r="P18719"/>
      <c r="Q18719"/>
      <c r="R18719"/>
      <c r="S18719"/>
    </row>
    <row r="18720" spans="13:19" ht="13.95" customHeight="1">
      <c r="M18720"/>
      <c r="N18720"/>
      <c r="O18720"/>
      <c r="P18720"/>
      <c r="Q18720"/>
      <c r="R18720"/>
      <c r="S18720"/>
    </row>
    <row r="18721" spans="13:19" ht="13.95" customHeight="1">
      <c r="M18721"/>
      <c r="N18721"/>
      <c r="O18721"/>
      <c r="P18721"/>
      <c r="Q18721"/>
      <c r="R18721"/>
      <c r="S18721"/>
    </row>
    <row r="18722" spans="13:19" ht="13.95" customHeight="1">
      <c r="M18722"/>
      <c r="N18722"/>
      <c r="O18722"/>
      <c r="P18722"/>
      <c r="Q18722"/>
      <c r="R18722"/>
      <c r="S18722"/>
    </row>
    <row r="18723" spans="13:19" ht="13.95" customHeight="1">
      <c r="M18723"/>
      <c r="N18723"/>
      <c r="O18723"/>
      <c r="P18723"/>
      <c r="Q18723"/>
      <c r="R18723"/>
      <c r="S18723"/>
    </row>
    <row r="18724" spans="13:19" ht="13.95" customHeight="1">
      <c r="M18724"/>
      <c r="N18724"/>
      <c r="O18724"/>
      <c r="P18724"/>
      <c r="Q18724"/>
      <c r="R18724"/>
      <c r="S18724"/>
    </row>
    <row r="18725" spans="13:19" ht="13.95" customHeight="1">
      <c r="M18725"/>
      <c r="N18725"/>
      <c r="O18725"/>
      <c r="P18725"/>
      <c r="Q18725"/>
      <c r="R18725"/>
      <c r="S18725"/>
    </row>
    <row r="18726" spans="13:19" ht="13.95" customHeight="1">
      <c r="M18726"/>
      <c r="N18726"/>
      <c r="O18726"/>
      <c r="P18726"/>
      <c r="Q18726"/>
      <c r="R18726"/>
      <c r="S18726"/>
    </row>
    <row r="18727" spans="13:19" ht="13.95" customHeight="1">
      <c r="M18727"/>
      <c r="N18727"/>
      <c r="O18727"/>
      <c r="P18727"/>
      <c r="Q18727"/>
      <c r="R18727"/>
      <c r="S18727"/>
    </row>
    <row r="18728" spans="13:19" ht="13.95" customHeight="1">
      <c r="M18728"/>
      <c r="N18728"/>
      <c r="O18728"/>
      <c r="P18728"/>
      <c r="Q18728"/>
      <c r="R18728"/>
      <c r="S18728"/>
    </row>
    <row r="18729" spans="13:19" ht="13.95" customHeight="1">
      <c r="M18729"/>
      <c r="N18729"/>
      <c r="O18729"/>
      <c r="P18729"/>
      <c r="Q18729"/>
      <c r="R18729"/>
      <c r="S18729"/>
    </row>
    <row r="18730" spans="13:19" ht="13.95" customHeight="1">
      <c r="M18730"/>
      <c r="N18730"/>
      <c r="O18730"/>
      <c r="P18730"/>
      <c r="Q18730"/>
      <c r="R18730"/>
      <c r="S18730"/>
    </row>
    <row r="18731" spans="13:19" ht="13.95" customHeight="1">
      <c r="M18731"/>
      <c r="N18731"/>
      <c r="O18731"/>
      <c r="P18731"/>
      <c r="Q18731"/>
      <c r="R18731"/>
      <c r="S18731"/>
    </row>
    <row r="18732" spans="13:19" ht="13.95" customHeight="1">
      <c r="M18732"/>
      <c r="N18732"/>
      <c r="O18732"/>
      <c r="P18732"/>
      <c r="Q18732"/>
      <c r="R18732"/>
      <c r="S18732"/>
    </row>
    <row r="18733" spans="13:19" ht="13.95" customHeight="1">
      <c r="M18733"/>
      <c r="N18733"/>
      <c r="O18733"/>
      <c r="P18733"/>
      <c r="Q18733"/>
      <c r="R18733"/>
      <c r="S18733"/>
    </row>
    <row r="18734" spans="13:19" ht="13.95" customHeight="1">
      <c r="M18734"/>
      <c r="N18734"/>
      <c r="O18734"/>
      <c r="P18734"/>
      <c r="Q18734"/>
      <c r="R18734"/>
      <c r="S18734"/>
    </row>
    <row r="18735" spans="13:19" ht="13.95" customHeight="1">
      <c r="M18735"/>
      <c r="N18735"/>
      <c r="O18735"/>
      <c r="P18735"/>
      <c r="Q18735"/>
      <c r="R18735"/>
      <c r="S18735"/>
    </row>
    <row r="18736" spans="13:19" ht="13.95" customHeight="1">
      <c r="M18736"/>
      <c r="N18736"/>
      <c r="O18736"/>
      <c r="P18736"/>
      <c r="Q18736"/>
      <c r="R18736"/>
      <c r="S18736"/>
    </row>
    <row r="18737" spans="13:19" ht="13.95" customHeight="1">
      <c r="M18737"/>
      <c r="N18737"/>
      <c r="O18737"/>
      <c r="P18737"/>
      <c r="Q18737"/>
      <c r="R18737"/>
      <c r="S18737"/>
    </row>
    <row r="18738" spans="13:19" ht="13.95" customHeight="1">
      <c r="M18738"/>
      <c r="N18738"/>
      <c r="O18738"/>
      <c r="P18738"/>
      <c r="Q18738"/>
      <c r="R18738"/>
      <c r="S18738"/>
    </row>
    <row r="18739" spans="13:19" ht="13.95" customHeight="1">
      <c r="M18739"/>
      <c r="N18739"/>
      <c r="O18739"/>
      <c r="P18739"/>
      <c r="Q18739"/>
      <c r="R18739"/>
      <c r="S18739"/>
    </row>
    <row r="18740" spans="13:19" ht="13.95" customHeight="1">
      <c r="M18740"/>
      <c r="N18740"/>
      <c r="O18740"/>
      <c r="P18740"/>
      <c r="Q18740"/>
      <c r="R18740"/>
      <c r="S18740"/>
    </row>
    <row r="18741" spans="13:19" ht="13.95" customHeight="1">
      <c r="M18741"/>
      <c r="N18741"/>
      <c r="O18741"/>
      <c r="P18741"/>
      <c r="Q18741"/>
      <c r="R18741"/>
      <c r="S18741"/>
    </row>
    <row r="18742" spans="13:19" ht="13.95" customHeight="1">
      <c r="M18742"/>
      <c r="N18742"/>
      <c r="O18742"/>
      <c r="P18742"/>
      <c r="Q18742"/>
      <c r="R18742"/>
      <c r="S18742"/>
    </row>
    <row r="18743" spans="13:19" ht="13.95" customHeight="1">
      <c r="M18743"/>
      <c r="N18743"/>
      <c r="O18743"/>
      <c r="P18743"/>
      <c r="Q18743"/>
      <c r="R18743"/>
      <c r="S18743"/>
    </row>
    <row r="18744" spans="13:19" ht="13.95" customHeight="1">
      <c r="M18744"/>
      <c r="N18744"/>
      <c r="O18744"/>
      <c r="P18744"/>
      <c r="Q18744"/>
      <c r="R18744"/>
      <c r="S18744"/>
    </row>
    <row r="18745" spans="13:19" ht="13.95" customHeight="1">
      <c r="M18745"/>
      <c r="N18745"/>
      <c r="O18745"/>
      <c r="P18745"/>
      <c r="Q18745"/>
      <c r="R18745"/>
      <c r="S18745"/>
    </row>
    <row r="18746" spans="13:19" ht="13.95" customHeight="1">
      <c r="M18746"/>
      <c r="N18746"/>
      <c r="O18746"/>
      <c r="P18746"/>
      <c r="Q18746"/>
      <c r="R18746"/>
      <c r="S18746"/>
    </row>
    <row r="18747" spans="13:19" ht="13.95" customHeight="1">
      <c r="M18747"/>
      <c r="N18747"/>
      <c r="O18747"/>
      <c r="P18747"/>
      <c r="Q18747"/>
      <c r="R18747"/>
      <c r="S18747"/>
    </row>
    <row r="18748" spans="13:19" ht="13.95" customHeight="1">
      <c r="M18748"/>
      <c r="N18748"/>
      <c r="O18748"/>
      <c r="P18748"/>
      <c r="Q18748"/>
      <c r="R18748"/>
      <c r="S18748"/>
    </row>
    <row r="18749" spans="13:19" ht="13.95" customHeight="1">
      <c r="M18749"/>
      <c r="N18749"/>
      <c r="O18749"/>
      <c r="P18749"/>
      <c r="Q18749"/>
      <c r="R18749"/>
      <c r="S18749"/>
    </row>
    <row r="18750" spans="13:19" ht="13.95" customHeight="1">
      <c r="M18750"/>
      <c r="N18750"/>
      <c r="O18750"/>
      <c r="P18750"/>
      <c r="Q18750"/>
      <c r="R18750"/>
      <c r="S18750"/>
    </row>
    <row r="18751" spans="13:19" ht="13.95" customHeight="1">
      <c r="M18751"/>
      <c r="N18751"/>
      <c r="O18751"/>
      <c r="P18751"/>
      <c r="Q18751"/>
      <c r="R18751"/>
      <c r="S18751"/>
    </row>
    <row r="18752" spans="13:19" ht="13.95" customHeight="1">
      <c r="M18752"/>
      <c r="N18752"/>
      <c r="O18752"/>
      <c r="P18752"/>
      <c r="Q18752"/>
      <c r="R18752"/>
      <c r="S18752"/>
    </row>
    <row r="18753" spans="13:19" ht="13.95" customHeight="1">
      <c r="M18753"/>
      <c r="N18753"/>
      <c r="O18753"/>
      <c r="P18753"/>
      <c r="Q18753"/>
      <c r="R18753"/>
      <c r="S18753"/>
    </row>
    <row r="18754" spans="13:19" ht="13.95" customHeight="1">
      <c r="M18754"/>
      <c r="N18754"/>
      <c r="O18754"/>
      <c r="P18754"/>
      <c r="Q18754"/>
      <c r="R18754"/>
      <c r="S18754"/>
    </row>
    <row r="18755" spans="13:19" ht="13.95" customHeight="1">
      <c r="M18755"/>
      <c r="N18755"/>
      <c r="O18755"/>
      <c r="P18755"/>
      <c r="Q18755"/>
      <c r="R18755"/>
      <c r="S18755"/>
    </row>
    <row r="18756" spans="13:19" ht="13.95" customHeight="1">
      <c r="M18756"/>
      <c r="N18756"/>
      <c r="O18756"/>
      <c r="P18756"/>
      <c r="Q18756"/>
      <c r="R18756"/>
      <c r="S18756"/>
    </row>
    <row r="18757" spans="13:19" ht="13.95" customHeight="1">
      <c r="M18757"/>
      <c r="N18757"/>
      <c r="O18757"/>
      <c r="P18757"/>
      <c r="Q18757"/>
      <c r="R18757"/>
      <c r="S18757"/>
    </row>
    <row r="18758" spans="13:19" ht="13.95" customHeight="1">
      <c r="M18758"/>
      <c r="N18758"/>
      <c r="O18758"/>
      <c r="P18758"/>
      <c r="Q18758"/>
      <c r="R18758"/>
      <c r="S18758"/>
    </row>
    <row r="18759" spans="13:19" ht="13.95" customHeight="1">
      <c r="M18759"/>
      <c r="N18759"/>
      <c r="O18759"/>
      <c r="P18759"/>
      <c r="Q18759"/>
      <c r="R18759"/>
      <c r="S18759"/>
    </row>
    <row r="18760" spans="13:19" ht="13.95" customHeight="1">
      <c r="M18760"/>
      <c r="N18760"/>
      <c r="O18760"/>
      <c r="P18760"/>
      <c r="Q18760"/>
      <c r="R18760"/>
      <c r="S18760"/>
    </row>
    <row r="18761" spans="13:19" ht="13.95" customHeight="1">
      <c r="M18761"/>
      <c r="N18761"/>
      <c r="O18761"/>
      <c r="P18761"/>
      <c r="Q18761"/>
      <c r="R18761"/>
      <c r="S18761"/>
    </row>
    <row r="18762" spans="13:19" ht="13.95" customHeight="1">
      <c r="M18762"/>
      <c r="N18762"/>
      <c r="O18762"/>
      <c r="P18762"/>
      <c r="Q18762"/>
      <c r="R18762"/>
      <c r="S18762"/>
    </row>
    <row r="18763" spans="13:19" ht="13.95" customHeight="1">
      <c r="M18763"/>
      <c r="N18763"/>
      <c r="O18763"/>
      <c r="P18763"/>
      <c r="Q18763"/>
      <c r="R18763"/>
      <c r="S18763"/>
    </row>
    <row r="18764" spans="13:19" ht="13.95" customHeight="1">
      <c r="M18764"/>
      <c r="N18764"/>
      <c r="O18764"/>
      <c r="P18764"/>
      <c r="Q18764"/>
      <c r="R18764"/>
      <c r="S18764"/>
    </row>
    <row r="18765" spans="13:19" ht="13.95" customHeight="1">
      <c r="M18765"/>
      <c r="N18765"/>
      <c r="O18765"/>
      <c r="P18765"/>
      <c r="Q18765"/>
      <c r="R18765"/>
      <c r="S18765"/>
    </row>
    <row r="18766" spans="13:19" ht="13.95" customHeight="1">
      <c r="M18766"/>
      <c r="N18766"/>
      <c r="O18766"/>
      <c r="P18766"/>
      <c r="Q18766"/>
      <c r="R18766"/>
      <c r="S18766"/>
    </row>
    <row r="18767" spans="13:19" ht="13.95" customHeight="1">
      <c r="M18767"/>
      <c r="N18767"/>
      <c r="O18767"/>
      <c r="P18767"/>
      <c r="Q18767"/>
      <c r="R18767"/>
      <c r="S18767"/>
    </row>
    <row r="18768" spans="13:19" ht="13.95" customHeight="1">
      <c r="M18768"/>
      <c r="N18768"/>
      <c r="O18768"/>
      <c r="P18768"/>
      <c r="Q18768"/>
      <c r="R18768"/>
      <c r="S18768"/>
    </row>
    <row r="18769" spans="13:19" ht="13.95" customHeight="1">
      <c r="M18769"/>
      <c r="N18769"/>
      <c r="O18769"/>
      <c r="P18769"/>
      <c r="Q18769"/>
      <c r="R18769"/>
      <c r="S18769"/>
    </row>
    <row r="18770" spans="13:19" ht="13.95" customHeight="1">
      <c r="M18770"/>
      <c r="N18770"/>
      <c r="O18770"/>
      <c r="P18770"/>
      <c r="Q18770"/>
      <c r="R18770"/>
      <c r="S18770"/>
    </row>
    <row r="18771" spans="13:19" ht="13.95" customHeight="1">
      <c r="M18771"/>
      <c r="N18771"/>
      <c r="O18771"/>
      <c r="P18771"/>
      <c r="Q18771"/>
      <c r="R18771"/>
      <c r="S18771"/>
    </row>
    <row r="18772" spans="13:19" ht="13.95" customHeight="1">
      <c r="M18772"/>
      <c r="N18772"/>
      <c r="O18772"/>
      <c r="P18772"/>
      <c r="Q18772"/>
      <c r="R18772"/>
      <c r="S18772"/>
    </row>
    <row r="18773" spans="13:19" ht="13.95" customHeight="1">
      <c r="M18773"/>
      <c r="N18773"/>
      <c r="O18773"/>
      <c r="P18773"/>
      <c r="Q18773"/>
      <c r="R18773"/>
      <c r="S18773"/>
    </row>
    <row r="18774" spans="13:19" ht="13.95" customHeight="1">
      <c r="M18774"/>
      <c r="N18774"/>
      <c r="O18774"/>
      <c r="P18774"/>
      <c r="Q18774"/>
      <c r="R18774"/>
      <c r="S18774"/>
    </row>
    <row r="18775" spans="13:19" ht="13.95" customHeight="1">
      <c r="M18775"/>
      <c r="N18775"/>
      <c r="O18775"/>
      <c r="P18775"/>
      <c r="Q18775"/>
      <c r="R18775"/>
      <c r="S18775"/>
    </row>
    <row r="18776" spans="13:19" ht="13.95" customHeight="1">
      <c r="M18776"/>
      <c r="N18776"/>
      <c r="O18776"/>
      <c r="P18776"/>
      <c r="Q18776"/>
      <c r="R18776"/>
      <c r="S18776"/>
    </row>
    <row r="18777" spans="13:19" ht="13.95" customHeight="1">
      <c r="M18777"/>
      <c r="N18777"/>
      <c r="O18777"/>
      <c r="P18777"/>
      <c r="Q18777"/>
      <c r="R18777"/>
      <c r="S18777"/>
    </row>
    <row r="18778" spans="13:19" ht="13.95" customHeight="1">
      <c r="M18778"/>
      <c r="N18778"/>
      <c r="O18778"/>
      <c r="P18778"/>
      <c r="Q18778"/>
      <c r="R18778"/>
      <c r="S18778"/>
    </row>
    <row r="18779" spans="13:19" ht="13.95" customHeight="1">
      <c r="M18779"/>
      <c r="N18779"/>
      <c r="O18779"/>
      <c r="P18779"/>
      <c r="Q18779"/>
      <c r="R18779"/>
      <c r="S18779"/>
    </row>
    <row r="18780" spans="13:19" ht="13.95" customHeight="1">
      <c r="M18780"/>
      <c r="N18780"/>
      <c r="O18780"/>
      <c r="P18780"/>
      <c r="Q18780"/>
      <c r="R18780"/>
      <c r="S18780"/>
    </row>
    <row r="18781" spans="13:19" ht="13.95" customHeight="1">
      <c r="M18781"/>
      <c r="N18781"/>
      <c r="O18781"/>
      <c r="P18781"/>
      <c r="Q18781"/>
      <c r="R18781"/>
      <c r="S18781"/>
    </row>
    <row r="18782" spans="13:19" ht="13.95" customHeight="1">
      <c r="M18782"/>
      <c r="N18782"/>
      <c r="O18782"/>
      <c r="P18782"/>
      <c r="Q18782"/>
      <c r="R18782"/>
      <c r="S18782"/>
    </row>
    <row r="18783" spans="13:19" ht="13.95" customHeight="1">
      <c r="M18783"/>
      <c r="N18783"/>
      <c r="O18783"/>
      <c r="P18783"/>
      <c r="Q18783"/>
      <c r="R18783"/>
      <c r="S18783"/>
    </row>
    <row r="18784" spans="13:19" ht="13.95" customHeight="1">
      <c r="M18784"/>
      <c r="N18784"/>
      <c r="O18784"/>
      <c r="P18784"/>
      <c r="Q18784"/>
      <c r="R18784"/>
      <c r="S18784"/>
    </row>
    <row r="18785" spans="13:19" ht="13.95" customHeight="1">
      <c r="M18785"/>
      <c r="N18785"/>
      <c r="O18785"/>
      <c r="P18785"/>
      <c r="Q18785"/>
      <c r="R18785"/>
      <c r="S18785"/>
    </row>
    <row r="18786" spans="13:19" ht="13.95" customHeight="1">
      <c r="M18786"/>
      <c r="N18786"/>
      <c r="O18786"/>
      <c r="P18786"/>
      <c r="Q18786"/>
      <c r="R18786"/>
      <c r="S18786"/>
    </row>
    <row r="18787" spans="13:19" ht="13.95" customHeight="1">
      <c r="M18787"/>
      <c r="N18787"/>
      <c r="O18787"/>
      <c r="P18787"/>
      <c r="Q18787"/>
      <c r="R18787"/>
      <c r="S18787"/>
    </row>
    <row r="18788" spans="13:19" ht="13.95" customHeight="1">
      <c r="M18788"/>
      <c r="N18788"/>
      <c r="O18788"/>
      <c r="P18788"/>
      <c r="Q18788"/>
      <c r="R18788"/>
      <c r="S18788"/>
    </row>
    <row r="18789" spans="13:19" ht="13.95" customHeight="1">
      <c r="M18789"/>
      <c r="N18789"/>
      <c r="O18789"/>
      <c r="P18789"/>
      <c r="Q18789"/>
      <c r="R18789"/>
      <c r="S18789"/>
    </row>
    <row r="18790" spans="13:19" ht="13.95" customHeight="1">
      <c r="M18790"/>
      <c r="N18790"/>
      <c r="O18790"/>
      <c r="P18790"/>
      <c r="Q18790"/>
      <c r="R18790"/>
      <c r="S18790"/>
    </row>
    <row r="18791" spans="13:19" ht="13.95" customHeight="1">
      <c r="M18791"/>
      <c r="N18791"/>
      <c r="O18791"/>
      <c r="P18791"/>
      <c r="Q18791"/>
      <c r="R18791"/>
      <c r="S18791"/>
    </row>
    <row r="18792" spans="13:19" ht="13.95" customHeight="1">
      <c r="M18792"/>
      <c r="N18792"/>
      <c r="O18792"/>
      <c r="P18792"/>
      <c r="Q18792"/>
      <c r="R18792"/>
      <c r="S18792"/>
    </row>
    <row r="18793" spans="13:19" ht="13.95" customHeight="1">
      <c r="M18793"/>
      <c r="N18793"/>
      <c r="O18793"/>
      <c r="P18793"/>
      <c r="Q18793"/>
      <c r="R18793"/>
      <c r="S18793"/>
    </row>
    <row r="18794" spans="13:19" ht="13.95" customHeight="1">
      <c r="M18794"/>
      <c r="N18794"/>
      <c r="O18794"/>
      <c r="P18794"/>
      <c r="Q18794"/>
      <c r="R18794"/>
      <c r="S18794"/>
    </row>
    <row r="18795" spans="13:19" ht="13.95" customHeight="1">
      <c r="M18795"/>
      <c r="N18795"/>
      <c r="O18795"/>
      <c r="P18795"/>
      <c r="Q18795"/>
      <c r="R18795"/>
      <c r="S18795"/>
    </row>
    <row r="18796" spans="13:19" ht="13.95" customHeight="1">
      <c r="M18796"/>
      <c r="N18796"/>
      <c r="O18796"/>
      <c r="P18796"/>
      <c r="Q18796"/>
      <c r="R18796"/>
      <c r="S18796"/>
    </row>
    <row r="18797" spans="13:19" ht="13.95" customHeight="1">
      <c r="M18797"/>
      <c r="N18797"/>
      <c r="O18797"/>
      <c r="P18797"/>
      <c r="Q18797"/>
      <c r="R18797"/>
      <c r="S18797"/>
    </row>
    <row r="18798" spans="13:19" ht="13.95" customHeight="1">
      <c r="M18798"/>
      <c r="N18798"/>
      <c r="O18798"/>
      <c r="P18798"/>
      <c r="Q18798"/>
      <c r="R18798"/>
      <c r="S18798"/>
    </row>
    <row r="18799" spans="13:19" ht="13.95" customHeight="1">
      <c r="M18799"/>
      <c r="N18799"/>
      <c r="O18799"/>
      <c r="P18799"/>
      <c r="Q18799"/>
      <c r="R18799"/>
      <c r="S18799"/>
    </row>
    <row r="18800" spans="13:19" ht="13.95" customHeight="1">
      <c r="M18800"/>
      <c r="N18800"/>
      <c r="O18800"/>
      <c r="P18800"/>
      <c r="Q18800"/>
      <c r="R18800"/>
      <c r="S18800"/>
    </row>
    <row r="18801" spans="13:19" ht="13.95" customHeight="1">
      <c r="M18801"/>
      <c r="N18801"/>
      <c r="O18801"/>
      <c r="P18801"/>
      <c r="Q18801"/>
      <c r="R18801"/>
      <c r="S18801"/>
    </row>
    <row r="18802" spans="13:19" ht="13.95" customHeight="1">
      <c r="M18802"/>
      <c r="N18802"/>
      <c r="O18802"/>
      <c r="P18802"/>
      <c r="Q18802"/>
      <c r="R18802"/>
      <c r="S18802"/>
    </row>
    <row r="18803" spans="13:19" ht="13.95" customHeight="1">
      <c r="M18803"/>
      <c r="N18803"/>
      <c r="O18803"/>
      <c r="P18803"/>
      <c r="Q18803"/>
      <c r="R18803"/>
      <c r="S18803"/>
    </row>
    <row r="18804" spans="13:19" ht="13.95" customHeight="1">
      <c r="M18804"/>
      <c r="N18804"/>
      <c r="O18804"/>
      <c r="P18804"/>
      <c r="Q18804"/>
      <c r="R18804"/>
      <c r="S18804"/>
    </row>
    <row r="18805" spans="13:19" ht="13.95" customHeight="1">
      <c r="M18805"/>
      <c r="N18805"/>
      <c r="O18805"/>
      <c r="P18805"/>
      <c r="Q18805"/>
      <c r="R18805"/>
      <c r="S18805"/>
    </row>
    <row r="18806" spans="13:19" ht="13.95" customHeight="1">
      <c r="M18806"/>
      <c r="N18806"/>
      <c r="O18806"/>
      <c r="P18806"/>
      <c r="Q18806"/>
      <c r="R18806"/>
      <c r="S18806"/>
    </row>
    <row r="18807" spans="13:19" ht="13.95" customHeight="1">
      <c r="M18807"/>
      <c r="N18807"/>
      <c r="O18807"/>
      <c r="P18807"/>
      <c r="Q18807"/>
      <c r="R18807"/>
      <c r="S18807"/>
    </row>
    <row r="18808" spans="13:19" ht="13.95" customHeight="1">
      <c r="M18808"/>
      <c r="N18808"/>
      <c r="O18808"/>
      <c r="P18808"/>
      <c r="Q18808"/>
      <c r="R18808"/>
      <c r="S18808"/>
    </row>
    <row r="18809" spans="13:19" ht="13.95" customHeight="1">
      <c r="M18809"/>
      <c r="N18809"/>
      <c r="O18809"/>
      <c r="P18809"/>
      <c r="Q18809"/>
      <c r="R18809"/>
      <c r="S18809"/>
    </row>
    <row r="18810" spans="13:19" ht="13.95" customHeight="1">
      <c r="M18810"/>
      <c r="N18810"/>
      <c r="O18810"/>
      <c r="P18810"/>
      <c r="Q18810"/>
      <c r="R18810"/>
      <c r="S18810"/>
    </row>
    <row r="18811" spans="13:19" ht="13.95" customHeight="1">
      <c r="M18811"/>
      <c r="N18811"/>
      <c r="O18811"/>
      <c r="P18811"/>
      <c r="Q18811"/>
      <c r="R18811"/>
      <c r="S18811"/>
    </row>
    <row r="18812" spans="13:19" ht="13.95" customHeight="1">
      <c r="M18812"/>
      <c r="N18812"/>
      <c r="O18812"/>
      <c r="P18812"/>
      <c r="Q18812"/>
      <c r="R18812"/>
      <c r="S18812"/>
    </row>
    <row r="18813" spans="13:19" ht="13.95" customHeight="1">
      <c r="M18813"/>
      <c r="N18813"/>
      <c r="O18813"/>
      <c r="P18813"/>
      <c r="Q18813"/>
      <c r="R18813"/>
      <c r="S18813"/>
    </row>
    <row r="18814" spans="13:19" ht="13.95" customHeight="1">
      <c r="M18814"/>
      <c r="N18814"/>
      <c r="O18814"/>
      <c r="P18814"/>
      <c r="Q18814"/>
      <c r="R18814"/>
      <c r="S18814"/>
    </row>
    <row r="18815" spans="13:19" ht="13.95" customHeight="1">
      <c r="M18815"/>
      <c r="N18815"/>
      <c r="O18815"/>
      <c r="P18815"/>
      <c r="Q18815"/>
      <c r="R18815"/>
      <c r="S18815"/>
    </row>
    <row r="18816" spans="13:19" ht="13.95" customHeight="1">
      <c r="M18816"/>
      <c r="N18816"/>
      <c r="O18816"/>
      <c r="P18816"/>
      <c r="Q18816"/>
      <c r="R18816"/>
      <c r="S18816"/>
    </row>
    <row r="18817" spans="13:19" ht="13.95" customHeight="1">
      <c r="M18817"/>
      <c r="N18817"/>
      <c r="O18817"/>
      <c r="P18817"/>
      <c r="Q18817"/>
      <c r="R18817"/>
      <c r="S18817"/>
    </row>
    <row r="18818" spans="13:19" ht="13.95" customHeight="1">
      <c r="M18818"/>
      <c r="N18818"/>
      <c r="O18818"/>
      <c r="P18818"/>
      <c r="Q18818"/>
      <c r="R18818"/>
      <c r="S18818"/>
    </row>
    <row r="18819" spans="13:19" ht="13.95" customHeight="1">
      <c r="M18819"/>
      <c r="N18819"/>
      <c r="O18819"/>
      <c r="P18819"/>
      <c r="Q18819"/>
      <c r="R18819"/>
      <c r="S18819"/>
    </row>
    <row r="18820" spans="13:19" ht="13.95" customHeight="1">
      <c r="M18820"/>
      <c r="N18820"/>
      <c r="O18820"/>
      <c r="P18820"/>
      <c r="Q18820"/>
      <c r="R18820"/>
      <c r="S18820"/>
    </row>
    <row r="18821" spans="13:19" ht="13.95" customHeight="1">
      <c r="M18821"/>
      <c r="N18821"/>
      <c r="O18821"/>
      <c r="P18821"/>
      <c r="Q18821"/>
      <c r="R18821"/>
      <c r="S18821"/>
    </row>
    <row r="18822" spans="13:19" ht="13.95" customHeight="1">
      <c r="M18822"/>
      <c r="N18822"/>
      <c r="O18822"/>
      <c r="P18822"/>
      <c r="Q18822"/>
      <c r="R18822"/>
      <c r="S18822"/>
    </row>
    <row r="18823" spans="13:19" ht="13.95" customHeight="1">
      <c r="M18823"/>
      <c r="N18823"/>
      <c r="O18823"/>
      <c r="P18823"/>
      <c r="Q18823"/>
      <c r="R18823"/>
      <c r="S18823"/>
    </row>
    <row r="18824" spans="13:19" ht="13.95" customHeight="1">
      <c r="M18824"/>
      <c r="N18824"/>
      <c r="O18824"/>
      <c r="P18824"/>
      <c r="Q18824"/>
      <c r="R18824"/>
      <c r="S18824"/>
    </row>
    <row r="18825" spans="13:19" ht="13.95" customHeight="1">
      <c r="M18825"/>
      <c r="N18825"/>
      <c r="O18825"/>
      <c r="P18825"/>
      <c r="Q18825"/>
      <c r="R18825"/>
      <c r="S18825"/>
    </row>
    <row r="18826" spans="13:19" ht="13.95" customHeight="1">
      <c r="M18826"/>
      <c r="N18826"/>
      <c r="O18826"/>
      <c r="P18826"/>
      <c r="Q18826"/>
      <c r="R18826"/>
      <c r="S18826"/>
    </row>
    <row r="18827" spans="13:19" ht="13.95" customHeight="1">
      <c r="M18827"/>
      <c r="N18827"/>
      <c r="O18827"/>
      <c r="P18827"/>
      <c r="Q18827"/>
      <c r="R18827"/>
      <c r="S18827"/>
    </row>
    <row r="18828" spans="13:19" ht="13.95" customHeight="1">
      <c r="M18828"/>
      <c r="N18828"/>
      <c r="O18828"/>
      <c r="P18828"/>
      <c r="Q18828"/>
      <c r="R18828"/>
      <c r="S18828"/>
    </row>
    <row r="18829" spans="13:19" ht="13.95" customHeight="1">
      <c r="M18829"/>
      <c r="N18829"/>
      <c r="O18829"/>
      <c r="P18829"/>
      <c r="Q18829"/>
      <c r="R18829"/>
      <c r="S18829"/>
    </row>
    <row r="18830" spans="13:19" ht="13.95" customHeight="1">
      <c r="M18830"/>
      <c r="N18830"/>
      <c r="O18830"/>
      <c r="P18830"/>
      <c r="Q18830"/>
      <c r="R18830"/>
      <c r="S18830"/>
    </row>
    <row r="18831" spans="13:19" ht="13.95" customHeight="1">
      <c r="M18831"/>
      <c r="N18831"/>
      <c r="O18831"/>
      <c r="P18831"/>
      <c r="Q18831"/>
      <c r="R18831"/>
      <c r="S18831"/>
    </row>
    <row r="18832" spans="13:19" ht="13.95" customHeight="1">
      <c r="M18832"/>
      <c r="N18832"/>
      <c r="O18832"/>
      <c r="P18832"/>
      <c r="Q18832"/>
      <c r="R18832"/>
      <c r="S18832"/>
    </row>
    <row r="18833" spans="13:19" ht="13.95" customHeight="1">
      <c r="M18833"/>
      <c r="N18833"/>
      <c r="O18833"/>
      <c r="P18833"/>
      <c r="Q18833"/>
      <c r="R18833"/>
      <c r="S18833"/>
    </row>
    <row r="18834" spans="13:19" ht="13.95" customHeight="1">
      <c r="M18834"/>
      <c r="N18834"/>
      <c r="O18834"/>
      <c r="P18834"/>
      <c r="Q18834"/>
      <c r="R18834"/>
      <c r="S18834"/>
    </row>
    <row r="18835" spans="13:19" ht="13.95" customHeight="1">
      <c r="M18835"/>
      <c r="N18835"/>
      <c r="O18835"/>
      <c r="P18835"/>
      <c r="Q18835"/>
      <c r="R18835"/>
      <c r="S18835"/>
    </row>
    <row r="18836" spans="13:19" ht="13.95" customHeight="1">
      <c r="M18836"/>
      <c r="N18836"/>
      <c r="O18836"/>
      <c r="P18836"/>
      <c r="Q18836"/>
      <c r="R18836"/>
      <c r="S18836"/>
    </row>
    <row r="18837" spans="13:19" ht="13.95" customHeight="1">
      <c r="M18837"/>
      <c r="N18837"/>
      <c r="O18837"/>
      <c r="P18837"/>
      <c r="Q18837"/>
      <c r="R18837"/>
      <c r="S18837"/>
    </row>
    <row r="18838" spans="13:19" ht="13.95" customHeight="1">
      <c r="M18838"/>
      <c r="N18838"/>
      <c r="O18838"/>
      <c r="P18838"/>
      <c r="Q18838"/>
      <c r="R18838"/>
      <c r="S18838"/>
    </row>
    <row r="18839" spans="13:19" ht="13.95" customHeight="1">
      <c r="M18839"/>
      <c r="N18839"/>
      <c r="O18839"/>
      <c r="P18839"/>
      <c r="Q18839"/>
      <c r="R18839"/>
      <c r="S18839"/>
    </row>
    <row r="18840" spans="13:19" ht="13.95" customHeight="1">
      <c r="M18840"/>
      <c r="N18840"/>
      <c r="O18840"/>
      <c r="P18840"/>
      <c r="Q18840"/>
      <c r="R18840"/>
      <c r="S18840"/>
    </row>
    <row r="18841" spans="13:19" ht="13.95" customHeight="1">
      <c r="M18841"/>
      <c r="N18841"/>
      <c r="O18841"/>
      <c r="P18841"/>
      <c r="Q18841"/>
      <c r="R18841"/>
      <c r="S18841"/>
    </row>
    <row r="18842" spans="13:19" ht="13.95" customHeight="1">
      <c r="M18842"/>
      <c r="N18842"/>
      <c r="O18842"/>
      <c r="P18842"/>
      <c r="Q18842"/>
      <c r="R18842"/>
      <c r="S18842"/>
    </row>
    <row r="18843" spans="13:19" ht="13.95" customHeight="1">
      <c r="M18843"/>
      <c r="N18843"/>
      <c r="O18843"/>
      <c r="P18843"/>
      <c r="Q18843"/>
      <c r="R18843"/>
      <c r="S18843"/>
    </row>
    <row r="18844" spans="13:19" ht="13.95" customHeight="1">
      <c r="M18844"/>
      <c r="N18844"/>
      <c r="O18844"/>
      <c r="P18844"/>
      <c r="Q18844"/>
      <c r="R18844"/>
      <c r="S18844"/>
    </row>
    <row r="18845" spans="13:19" ht="13.95" customHeight="1">
      <c r="M18845"/>
      <c r="N18845"/>
      <c r="O18845"/>
      <c r="P18845"/>
      <c r="Q18845"/>
      <c r="R18845"/>
      <c r="S18845"/>
    </row>
    <row r="18846" spans="13:19" ht="13.95" customHeight="1">
      <c r="M18846"/>
      <c r="N18846"/>
      <c r="O18846"/>
      <c r="P18846"/>
      <c r="Q18846"/>
      <c r="R18846"/>
      <c r="S18846"/>
    </row>
    <row r="18847" spans="13:19" ht="13.95" customHeight="1">
      <c r="M18847"/>
      <c r="N18847"/>
      <c r="O18847"/>
      <c r="P18847"/>
      <c r="Q18847"/>
      <c r="R18847"/>
      <c r="S18847"/>
    </row>
    <row r="18848" spans="13:19" ht="13.95" customHeight="1">
      <c r="M18848"/>
      <c r="N18848"/>
      <c r="O18848"/>
      <c r="P18848"/>
      <c r="Q18848"/>
      <c r="R18848"/>
      <c r="S18848"/>
    </row>
    <row r="18849" spans="13:19" ht="13.95" customHeight="1">
      <c r="M18849"/>
      <c r="N18849"/>
      <c r="O18849"/>
      <c r="P18849"/>
      <c r="Q18849"/>
      <c r="R18849"/>
      <c r="S18849"/>
    </row>
    <row r="18850" spans="13:19" ht="13.95" customHeight="1">
      <c r="M18850"/>
      <c r="N18850"/>
      <c r="O18850"/>
      <c r="P18850"/>
      <c r="Q18850"/>
      <c r="R18850"/>
      <c r="S18850"/>
    </row>
    <row r="18851" spans="13:19" ht="13.95" customHeight="1">
      <c r="M18851"/>
      <c r="N18851"/>
      <c r="O18851"/>
      <c r="P18851"/>
      <c r="Q18851"/>
      <c r="R18851"/>
      <c r="S18851"/>
    </row>
    <row r="18852" spans="13:19" ht="13.95" customHeight="1">
      <c r="M18852"/>
      <c r="N18852"/>
      <c r="O18852"/>
      <c r="P18852"/>
      <c r="Q18852"/>
      <c r="R18852"/>
      <c r="S18852"/>
    </row>
    <row r="18853" spans="13:19" ht="13.95" customHeight="1">
      <c r="M18853"/>
      <c r="N18853"/>
      <c r="O18853"/>
      <c r="P18853"/>
      <c r="Q18853"/>
      <c r="R18853"/>
      <c r="S18853"/>
    </row>
    <row r="18854" spans="13:19" ht="13.95" customHeight="1">
      <c r="M18854"/>
      <c r="N18854"/>
      <c r="O18854"/>
      <c r="P18854"/>
      <c r="Q18854"/>
      <c r="R18854"/>
      <c r="S18854"/>
    </row>
    <row r="18855" spans="13:19" ht="13.95" customHeight="1">
      <c r="M18855"/>
      <c r="N18855"/>
      <c r="O18855"/>
      <c r="P18855"/>
      <c r="Q18855"/>
      <c r="R18855"/>
      <c r="S18855"/>
    </row>
    <row r="18856" spans="13:19" ht="13.95" customHeight="1">
      <c r="M18856"/>
      <c r="N18856"/>
      <c r="O18856"/>
      <c r="P18856"/>
      <c r="Q18856"/>
      <c r="R18856"/>
      <c r="S18856"/>
    </row>
    <row r="18857" spans="13:19" ht="13.95" customHeight="1">
      <c r="M18857"/>
      <c r="N18857"/>
      <c r="O18857"/>
      <c r="P18857"/>
      <c r="Q18857"/>
      <c r="R18857"/>
      <c r="S18857"/>
    </row>
    <row r="18858" spans="13:19" ht="13.95" customHeight="1">
      <c r="M18858"/>
      <c r="N18858"/>
      <c r="O18858"/>
      <c r="P18858"/>
      <c r="Q18858"/>
      <c r="R18858"/>
      <c r="S18858"/>
    </row>
    <row r="18859" spans="13:19" ht="13.95" customHeight="1">
      <c r="M18859"/>
      <c r="N18859"/>
      <c r="O18859"/>
      <c r="P18859"/>
      <c r="Q18859"/>
      <c r="R18859"/>
      <c r="S18859"/>
    </row>
    <row r="18860" spans="13:19" ht="13.95" customHeight="1">
      <c r="M18860"/>
      <c r="N18860"/>
      <c r="O18860"/>
      <c r="P18860"/>
      <c r="Q18860"/>
      <c r="R18860"/>
      <c r="S18860"/>
    </row>
    <row r="18861" spans="13:19" ht="13.95" customHeight="1">
      <c r="M18861"/>
      <c r="N18861"/>
      <c r="O18861"/>
      <c r="P18861"/>
      <c r="Q18861"/>
      <c r="R18861"/>
      <c r="S18861"/>
    </row>
    <row r="18862" spans="13:19" ht="13.95" customHeight="1">
      <c r="M18862"/>
      <c r="N18862"/>
      <c r="O18862"/>
      <c r="P18862"/>
      <c r="Q18862"/>
      <c r="R18862"/>
      <c r="S18862"/>
    </row>
    <row r="18863" spans="13:19" ht="13.95" customHeight="1">
      <c r="M18863"/>
      <c r="N18863"/>
      <c r="O18863"/>
      <c r="P18863"/>
      <c r="Q18863"/>
      <c r="R18863"/>
      <c r="S18863"/>
    </row>
    <row r="18864" spans="13:19" ht="13.95" customHeight="1">
      <c r="M18864"/>
      <c r="N18864"/>
      <c r="O18864"/>
      <c r="P18864"/>
      <c r="Q18864"/>
      <c r="R18864"/>
      <c r="S18864"/>
    </row>
    <row r="18865" spans="13:19" ht="13.95" customHeight="1">
      <c r="M18865"/>
      <c r="N18865"/>
      <c r="O18865"/>
      <c r="P18865"/>
      <c r="Q18865"/>
      <c r="R18865"/>
      <c r="S18865"/>
    </row>
    <row r="18866" spans="13:19" ht="13.95" customHeight="1">
      <c r="M18866"/>
      <c r="N18866"/>
      <c r="O18866"/>
      <c r="P18866"/>
      <c r="Q18866"/>
      <c r="R18866"/>
      <c r="S18866"/>
    </row>
    <row r="18867" spans="13:19" ht="13.95" customHeight="1">
      <c r="M18867"/>
      <c r="N18867"/>
      <c r="O18867"/>
      <c r="P18867"/>
      <c r="Q18867"/>
      <c r="R18867"/>
      <c r="S18867"/>
    </row>
    <row r="18868" spans="13:19" ht="13.95" customHeight="1">
      <c r="M18868"/>
      <c r="N18868"/>
      <c r="O18868"/>
      <c r="P18868"/>
      <c r="Q18868"/>
      <c r="R18868"/>
      <c r="S18868"/>
    </row>
    <row r="18869" spans="13:19" ht="13.95" customHeight="1">
      <c r="M18869"/>
      <c r="N18869"/>
      <c r="O18869"/>
      <c r="P18869"/>
      <c r="Q18869"/>
      <c r="R18869"/>
      <c r="S18869"/>
    </row>
    <row r="18870" spans="13:19" ht="13.95" customHeight="1">
      <c r="M18870"/>
      <c r="N18870"/>
      <c r="O18870"/>
      <c r="P18870"/>
      <c r="Q18870"/>
      <c r="R18870"/>
      <c r="S18870"/>
    </row>
    <row r="18871" spans="13:19" ht="13.95" customHeight="1">
      <c r="M18871"/>
      <c r="N18871"/>
      <c r="O18871"/>
      <c r="P18871"/>
      <c r="Q18871"/>
      <c r="R18871"/>
      <c r="S18871"/>
    </row>
    <row r="18872" spans="13:19" ht="13.95" customHeight="1">
      <c r="M18872"/>
      <c r="N18872"/>
      <c r="O18872"/>
      <c r="P18872"/>
      <c r="Q18872"/>
      <c r="R18872"/>
      <c r="S18872"/>
    </row>
    <row r="18873" spans="13:19" ht="13.95" customHeight="1">
      <c r="M18873"/>
      <c r="N18873"/>
      <c r="O18873"/>
      <c r="P18873"/>
      <c r="Q18873"/>
      <c r="R18873"/>
      <c r="S18873"/>
    </row>
    <row r="18874" spans="13:19" ht="13.95" customHeight="1">
      <c r="M18874"/>
      <c r="N18874"/>
      <c r="O18874"/>
      <c r="P18874"/>
      <c r="Q18874"/>
      <c r="R18874"/>
      <c r="S18874"/>
    </row>
    <row r="18875" spans="13:19" ht="13.95" customHeight="1">
      <c r="M18875"/>
      <c r="N18875"/>
      <c r="O18875"/>
      <c r="P18875"/>
      <c r="Q18875"/>
      <c r="R18875"/>
      <c r="S18875"/>
    </row>
    <row r="18876" spans="13:19" ht="13.95" customHeight="1">
      <c r="M18876"/>
      <c r="N18876"/>
      <c r="O18876"/>
      <c r="P18876"/>
      <c r="Q18876"/>
      <c r="R18876"/>
      <c r="S18876"/>
    </row>
    <row r="18877" spans="13:19" ht="13.95" customHeight="1">
      <c r="M18877"/>
      <c r="N18877"/>
      <c r="O18877"/>
      <c r="P18877"/>
      <c r="Q18877"/>
      <c r="R18877"/>
      <c r="S18877"/>
    </row>
    <row r="18878" spans="13:19" ht="13.95" customHeight="1">
      <c r="M18878"/>
      <c r="N18878"/>
      <c r="O18878"/>
      <c r="P18878"/>
      <c r="Q18878"/>
      <c r="R18878"/>
      <c r="S18878"/>
    </row>
    <row r="18879" spans="13:19" ht="13.95" customHeight="1">
      <c r="M18879"/>
      <c r="N18879"/>
      <c r="O18879"/>
      <c r="P18879"/>
      <c r="Q18879"/>
      <c r="R18879"/>
      <c r="S18879"/>
    </row>
    <row r="18880" spans="13:19" ht="13.95" customHeight="1">
      <c r="M18880"/>
      <c r="N18880"/>
      <c r="O18880"/>
      <c r="P18880"/>
      <c r="Q18880"/>
      <c r="R18880"/>
      <c r="S18880"/>
    </row>
    <row r="18881" spans="13:19" ht="13.95" customHeight="1">
      <c r="M18881"/>
      <c r="N18881"/>
      <c r="O18881"/>
      <c r="P18881"/>
      <c r="Q18881"/>
      <c r="R18881"/>
      <c r="S18881"/>
    </row>
    <row r="18882" spans="13:19" ht="13.95" customHeight="1">
      <c r="M18882"/>
      <c r="N18882"/>
      <c r="O18882"/>
      <c r="P18882"/>
      <c r="Q18882"/>
      <c r="R18882"/>
      <c r="S18882"/>
    </row>
    <row r="18883" spans="13:19" ht="13.95" customHeight="1">
      <c r="M18883"/>
      <c r="N18883"/>
      <c r="O18883"/>
      <c r="P18883"/>
      <c r="Q18883"/>
      <c r="R18883"/>
      <c r="S18883"/>
    </row>
    <row r="18884" spans="13:19" ht="13.95" customHeight="1">
      <c r="M18884"/>
      <c r="N18884"/>
      <c r="O18884"/>
      <c r="P18884"/>
      <c r="Q18884"/>
      <c r="R18884"/>
      <c r="S18884"/>
    </row>
    <row r="18885" spans="13:19" ht="13.95" customHeight="1">
      <c r="M18885"/>
      <c r="N18885"/>
      <c r="O18885"/>
      <c r="P18885"/>
      <c r="Q18885"/>
      <c r="R18885"/>
      <c r="S18885"/>
    </row>
    <row r="18886" spans="13:19" ht="13.95" customHeight="1">
      <c r="M18886"/>
      <c r="N18886"/>
      <c r="O18886"/>
      <c r="P18886"/>
      <c r="Q18886"/>
      <c r="R18886"/>
      <c r="S18886"/>
    </row>
    <row r="18887" spans="13:19" ht="13.95" customHeight="1">
      <c r="M18887"/>
      <c r="N18887"/>
      <c r="O18887"/>
      <c r="P18887"/>
      <c r="Q18887"/>
      <c r="R18887"/>
      <c r="S18887"/>
    </row>
    <row r="18888" spans="13:19" ht="13.95" customHeight="1">
      <c r="M18888"/>
      <c r="N18888"/>
      <c r="O18888"/>
      <c r="P18888"/>
      <c r="Q18888"/>
      <c r="R18888"/>
      <c r="S18888"/>
    </row>
    <row r="18889" spans="13:19" ht="13.95" customHeight="1">
      <c r="M18889"/>
      <c r="N18889"/>
      <c r="O18889"/>
      <c r="P18889"/>
      <c r="Q18889"/>
      <c r="R18889"/>
      <c r="S18889"/>
    </row>
    <row r="18890" spans="13:19" ht="13.95" customHeight="1">
      <c r="M18890"/>
      <c r="N18890"/>
      <c r="O18890"/>
      <c r="P18890"/>
      <c r="Q18890"/>
      <c r="R18890"/>
      <c r="S18890"/>
    </row>
    <row r="18891" spans="13:19" ht="13.95" customHeight="1">
      <c r="M18891"/>
      <c r="N18891"/>
      <c r="O18891"/>
      <c r="P18891"/>
      <c r="Q18891"/>
      <c r="R18891"/>
      <c r="S18891"/>
    </row>
    <row r="18892" spans="13:19" ht="13.95" customHeight="1">
      <c r="M18892"/>
      <c r="N18892"/>
      <c r="O18892"/>
      <c r="P18892"/>
      <c r="Q18892"/>
      <c r="R18892"/>
      <c r="S18892"/>
    </row>
    <row r="18893" spans="13:19" ht="13.95" customHeight="1">
      <c r="M18893"/>
      <c r="N18893"/>
      <c r="O18893"/>
      <c r="P18893"/>
      <c r="Q18893"/>
      <c r="R18893"/>
      <c r="S18893"/>
    </row>
    <row r="18894" spans="13:19" ht="13.95" customHeight="1">
      <c r="M18894"/>
      <c r="N18894"/>
      <c r="O18894"/>
      <c r="P18894"/>
      <c r="Q18894"/>
      <c r="R18894"/>
      <c r="S18894"/>
    </row>
    <row r="18895" spans="13:19" ht="13.95" customHeight="1">
      <c r="M18895"/>
      <c r="N18895"/>
      <c r="O18895"/>
      <c r="P18895"/>
      <c r="Q18895"/>
      <c r="R18895"/>
      <c r="S18895"/>
    </row>
    <row r="18896" spans="13:19" ht="13.95" customHeight="1">
      <c r="M18896"/>
      <c r="N18896"/>
      <c r="O18896"/>
      <c r="P18896"/>
      <c r="Q18896"/>
      <c r="R18896"/>
      <c r="S18896"/>
    </row>
    <row r="18897" spans="13:19" ht="13.95" customHeight="1">
      <c r="M18897"/>
      <c r="N18897"/>
      <c r="O18897"/>
      <c r="P18897"/>
      <c r="Q18897"/>
      <c r="R18897"/>
      <c r="S18897"/>
    </row>
    <row r="18898" spans="13:19" ht="13.95" customHeight="1">
      <c r="M18898"/>
      <c r="N18898"/>
      <c r="O18898"/>
      <c r="P18898"/>
      <c r="Q18898"/>
      <c r="R18898"/>
      <c r="S18898"/>
    </row>
    <row r="18899" spans="13:19" ht="13.95" customHeight="1">
      <c r="M18899"/>
      <c r="N18899"/>
      <c r="O18899"/>
      <c r="P18899"/>
      <c r="Q18899"/>
      <c r="R18899"/>
      <c r="S18899"/>
    </row>
    <row r="18900" spans="13:19" ht="13.95" customHeight="1">
      <c r="M18900"/>
      <c r="N18900"/>
      <c r="O18900"/>
      <c r="P18900"/>
      <c r="Q18900"/>
      <c r="R18900"/>
      <c r="S18900"/>
    </row>
    <row r="18901" spans="13:19" ht="13.95" customHeight="1">
      <c r="M18901"/>
      <c r="N18901"/>
      <c r="O18901"/>
      <c r="P18901"/>
      <c r="Q18901"/>
      <c r="R18901"/>
      <c r="S18901"/>
    </row>
    <row r="18902" spans="13:19" ht="13.95" customHeight="1">
      <c r="M18902"/>
      <c r="N18902"/>
      <c r="O18902"/>
      <c r="P18902"/>
      <c r="Q18902"/>
      <c r="R18902"/>
      <c r="S18902"/>
    </row>
    <row r="18903" spans="13:19" ht="13.95" customHeight="1">
      <c r="M18903"/>
      <c r="N18903"/>
      <c r="O18903"/>
      <c r="P18903"/>
      <c r="Q18903"/>
      <c r="R18903"/>
      <c r="S18903"/>
    </row>
    <row r="18904" spans="13:19" ht="13.95" customHeight="1">
      <c r="M18904"/>
      <c r="N18904"/>
      <c r="O18904"/>
      <c r="P18904"/>
      <c r="Q18904"/>
      <c r="R18904"/>
      <c r="S18904"/>
    </row>
    <row r="18905" spans="13:19" ht="13.95" customHeight="1">
      <c r="M18905"/>
      <c r="N18905"/>
      <c r="O18905"/>
      <c r="P18905"/>
      <c r="Q18905"/>
      <c r="R18905"/>
      <c r="S18905"/>
    </row>
    <row r="18906" spans="13:19" ht="13.95" customHeight="1">
      <c r="M18906"/>
      <c r="N18906"/>
      <c r="O18906"/>
      <c r="P18906"/>
      <c r="Q18906"/>
      <c r="R18906"/>
      <c r="S18906"/>
    </row>
    <row r="18907" spans="13:19" ht="13.95" customHeight="1">
      <c r="M18907"/>
      <c r="N18907"/>
      <c r="O18907"/>
      <c r="P18907"/>
      <c r="Q18907"/>
      <c r="R18907"/>
      <c r="S18907"/>
    </row>
    <row r="18908" spans="13:19" ht="13.95" customHeight="1">
      <c r="M18908"/>
      <c r="N18908"/>
      <c r="O18908"/>
      <c r="P18908"/>
      <c r="Q18908"/>
      <c r="R18908"/>
      <c r="S18908"/>
    </row>
    <row r="18909" spans="13:19" ht="13.95" customHeight="1">
      <c r="M18909"/>
      <c r="N18909"/>
      <c r="O18909"/>
      <c r="P18909"/>
      <c r="Q18909"/>
      <c r="R18909"/>
      <c r="S18909"/>
    </row>
    <row r="18910" spans="13:19" ht="13.95" customHeight="1">
      <c r="M18910"/>
      <c r="N18910"/>
      <c r="O18910"/>
      <c r="P18910"/>
      <c r="Q18910"/>
      <c r="R18910"/>
      <c r="S18910"/>
    </row>
    <row r="18911" spans="13:19" ht="13.95" customHeight="1">
      <c r="M18911"/>
      <c r="N18911"/>
      <c r="O18911"/>
      <c r="P18911"/>
      <c r="Q18911"/>
      <c r="R18911"/>
      <c r="S18911"/>
    </row>
    <row r="18912" spans="13:19" ht="13.95" customHeight="1">
      <c r="M18912"/>
      <c r="N18912"/>
      <c r="O18912"/>
      <c r="P18912"/>
      <c r="Q18912"/>
      <c r="R18912"/>
      <c r="S18912"/>
    </row>
    <row r="18913" spans="13:19" ht="13.95" customHeight="1">
      <c r="M18913"/>
      <c r="N18913"/>
      <c r="O18913"/>
      <c r="P18913"/>
      <c r="Q18913"/>
      <c r="R18913"/>
      <c r="S18913"/>
    </row>
    <row r="18914" spans="13:19" ht="13.95" customHeight="1">
      <c r="M18914"/>
      <c r="N18914"/>
      <c r="O18914"/>
      <c r="P18914"/>
      <c r="Q18914"/>
      <c r="R18914"/>
      <c r="S18914"/>
    </row>
    <row r="18915" spans="13:19" ht="13.95" customHeight="1">
      <c r="M18915"/>
      <c r="N18915"/>
      <c r="O18915"/>
      <c r="P18915"/>
      <c r="Q18915"/>
      <c r="R18915"/>
      <c r="S18915"/>
    </row>
    <row r="18916" spans="13:19" ht="13.95" customHeight="1">
      <c r="M18916"/>
      <c r="N18916"/>
      <c r="O18916"/>
      <c r="P18916"/>
      <c r="Q18916"/>
      <c r="R18916"/>
      <c r="S18916"/>
    </row>
    <row r="18917" spans="13:19" ht="13.95" customHeight="1">
      <c r="M18917"/>
      <c r="N18917"/>
      <c r="O18917"/>
      <c r="P18917"/>
      <c r="Q18917"/>
      <c r="R18917"/>
      <c r="S18917"/>
    </row>
    <row r="18918" spans="13:19" ht="13.95" customHeight="1">
      <c r="M18918"/>
      <c r="N18918"/>
      <c r="O18918"/>
      <c r="P18918"/>
      <c r="Q18918"/>
      <c r="R18918"/>
      <c r="S18918"/>
    </row>
    <row r="18919" spans="13:19" ht="13.95" customHeight="1">
      <c r="M18919"/>
      <c r="N18919"/>
      <c r="O18919"/>
      <c r="P18919"/>
      <c r="Q18919"/>
      <c r="R18919"/>
      <c r="S18919"/>
    </row>
    <row r="18920" spans="13:19" ht="13.95" customHeight="1">
      <c r="M18920"/>
      <c r="N18920"/>
      <c r="O18920"/>
      <c r="P18920"/>
      <c r="Q18920"/>
      <c r="R18920"/>
      <c r="S18920"/>
    </row>
    <row r="18921" spans="13:19" ht="13.95" customHeight="1">
      <c r="M18921"/>
      <c r="N18921"/>
      <c r="O18921"/>
      <c r="P18921"/>
      <c r="Q18921"/>
      <c r="R18921"/>
      <c r="S18921"/>
    </row>
    <row r="18922" spans="13:19" ht="13.95" customHeight="1">
      <c r="M18922"/>
      <c r="N18922"/>
      <c r="O18922"/>
      <c r="P18922"/>
      <c r="Q18922"/>
      <c r="R18922"/>
      <c r="S18922"/>
    </row>
    <row r="18923" spans="13:19" ht="13.95" customHeight="1">
      <c r="M18923"/>
      <c r="N18923"/>
      <c r="O18923"/>
      <c r="P18923"/>
      <c r="Q18923"/>
      <c r="R18923"/>
      <c r="S18923"/>
    </row>
    <row r="18924" spans="13:19" ht="13.95" customHeight="1">
      <c r="M18924"/>
      <c r="N18924"/>
      <c r="O18924"/>
      <c r="P18924"/>
      <c r="Q18924"/>
      <c r="R18924"/>
      <c r="S18924"/>
    </row>
    <row r="18925" spans="13:19" ht="13.95" customHeight="1">
      <c r="M18925"/>
      <c r="N18925"/>
      <c r="O18925"/>
      <c r="P18925"/>
      <c r="Q18925"/>
      <c r="R18925"/>
      <c r="S18925"/>
    </row>
    <row r="18926" spans="13:19" ht="13.95" customHeight="1">
      <c r="M18926"/>
      <c r="N18926"/>
      <c r="O18926"/>
      <c r="P18926"/>
      <c r="Q18926"/>
      <c r="R18926"/>
      <c r="S18926"/>
    </row>
    <row r="18927" spans="13:19" ht="13.95" customHeight="1">
      <c r="M18927"/>
      <c r="N18927"/>
      <c r="O18927"/>
      <c r="P18927"/>
      <c r="Q18927"/>
      <c r="R18927"/>
      <c r="S18927"/>
    </row>
    <row r="18928" spans="13:19" ht="13.95" customHeight="1">
      <c r="M18928"/>
      <c r="N18928"/>
      <c r="O18928"/>
      <c r="P18928"/>
      <c r="Q18928"/>
      <c r="R18928"/>
      <c r="S18928"/>
    </row>
    <row r="18929" spans="13:19" ht="13.95" customHeight="1">
      <c r="M18929"/>
      <c r="N18929"/>
      <c r="O18929"/>
      <c r="P18929"/>
      <c r="Q18929"/>
      <c r="R18929"/>
      <c r="S18929"/>
    </row>
    <row r="18930" spans="13:19" ht="13.95" customHeight="1">
      <c r="M18930"/>
      <c r="N18930"/>
      <c r="O18930"/>
      <c r="P18930"/>
      <c r="Q18930"/>
      <c r="R18930"/>
      <c r="S18930"/>
    </row>
    <row r="18931" spans="13:19" ht="13.95" customHeight="1">
      <c r="M18931"/>
      <c r="N18931"/>
      <c r="O18931"/>
      <c r="P18931"/>
      <c r="Q18931"/>
      <c r="R18931"/>
      <c r="S18931"/>
    </row>
    <row r="18932" spans="13:19" ht="13.95" customHeight="1">
      <c r="M18932"/>
      <c r="N18932"/>
      <c r="O18932"/>
      <c r="P18932"/>
      <c r="Q18932"/>
      <c r="R18932"/>
      <c r="S18932"/>
    </row>
    <row r="18933" spans="13:19" ht="13.95" customHeight="1">
      <c r="M18933"/>
      <c r="N18933"/>
      <c r="O18933"/>
      <c r="P18933"/>
      <c r="Q18933"/>
      <c r="R18933"/>
      <c r="S18933"/>
    </row>
    <row r="18934" spans="13:19" ht="13.95" customHeight="1">
      <c r="M18934"/>
      <c r="N18934"/>
      <c r="O18934"/>
      <c r="P18934"/>
      <c r="Q18934"/>
      <c r="R18934"/>
      <c r="S18934"/>
    </row>
    <row r="18935" spans="13:19" ht="13.95" customHeight="1">
      <c r="M18935"/>
      <c r="N18935"/>
      <c r="O18935"/>
      <c r="P18935"/>
      <c r="Q18935"/>
      <c r="R18935"/>
      <c r="S18935"/>
    </row>
    <row r="18936" spans="13:19" ht="13.95" customHeight="1">
      <c r="M18936"/>
      <c r="N18936"/>
      <c r="O18936"/>
      <c r="P18936"/>
      <c r="Q18936"/>
      <c r="R18936"/>
      <c r="S18936"/>
    </row>
    <row r="18937" spans="13:19" ht="13.95" customHeight="1">
      <c r="M18937"/>
      <c r="N18937"/>
      <c r="O18937"/>
      <c r="P18937"/>
      <c r="Q18937"/>
      <c r="R18937"/>
      <c r="S18937"/>
    </row>
    <row r="18938" spans="13:19" ht="13.95" customHeight="1">
      <c r="M18938"/>
      <c r="N18938"/>
      <c r="O18938"/>
      <c r="P18938"/>
      <c r="Q18938"/>
      <c r="R18938"/>
      <c r="S18938"/>
    </row>
    <row r="18939" spans="13:19" ht="13.95" customHeight="1">
      <c r="M18939"/>
      <c r="N18939"/>
      <c r="O18939"/>
      <c r="P18939"/>
      <c r="Q18939"/>
      <c r="R18939"/>
      <c r="S18939"/>
    </row>
    <row r="18940" spans="13:19" ht="13.95" customHeight="1">
      <c r="M18940"/>
      <c r="N18940"/>
      <c r="O18940"/>
      <c r="P18940"/>
      <c r="Q18940"/>
      <c r="R18940"/>
      <c r="S18940"/>
    </row>
    <row r="18941" spans="13:19" ht="13.95" customHeight="1">
      <c r="M18941"/>
      <c r="N18941"/>
      <c r="O18941"/>
      <c r="P18941"/>
      <c r="Q18941"/>
      <c r="R18941"/>
      <c r="S18941"/>
    </row>
    <row r="18942" spans="13:19" ht="13.95" customHeight="1">
      <c r="M18942"/>
      <c r="N18942"/>
      <c r="O18942"/>
      <c r="P18942"/>
      <c r="Q18942"/>
      <c r="R18942"/>
      <c r="S18942"/>
    </row>
    <row r="18943" spans="13:19" ht="13.95" customHeight="1">
      <c r="M18943"/>
      <c r="N18943"/>
      <c r="O18943"/>
      <c r="P18943"/>
      <c r="Q18943"/>
      <c r="R18943"/>
      <c r="S18943"/>
    </row>
    <row r="18944" spans="13:19" ht="13.95" customHeight="1">
      <c r="M18944"/>
      <c r="N18944"/>
      <c r="O18944"/>
      <c r="P18944"/>
      <c r="Q18944"/>
      <c r="R18944"/>
      <c r="S18944"/>
    </row>
    <row r="18945" spans="13:19" ht="13.95" customHeight="1">
      <c r="M18945"/>
      <c r="N18945"/>
      <c r="O18945"/>
      <c r="P18945"/>
      <c r="Q18945"/>
      <c r="R18945"/>
      <c r="S18945"/>
    </row>
    <row r="18946" spans="13:19" ht="13.95" customHeight="1">
      <c r="M18946"/>
      <c r="N18946"/>
      <c r="O18946"/>
      <c r="P18946"/>
      <c r="Q18946"/>
      <c r="R18946"/>
      <c r="S18946"/>
    </row>
    <row r="18947" spans="13:19" ht="13.95" customHeight="1">
      <c r="M18947"/>
      <c r="N18947"/>
      <c r="O18947"/>
      <c r="P18947"/>
      <c r="Q18947"/>
      <c r="R18947"/>
      <c r="S18947"/>
    </row>
    <row r="18948" spans="13:19" ht="13.95" customHeight="1">
      <c r="M18948"/>
      <c r="N18948"/>
      <c r="O18948"/>
      <c r="P18948"/>
      <c r="Q18948"/>
      <c r="R18948"/>
      <c r="S18948"/>
    </row>
    <row r="18949" spans="13:19" ht="13.95" customHeight="1">
      <c r="M18949"/>
      <c r="N18949"/>
      <c r="O18949"/>
      <c r="P18949"/>
      <c r="Q18949"/>
      <c r="R18949"/>
      <c r="S18949"/>
    </row>
    <row r="18950" spans="13:19" ht="13.95" customHeight="1">
      <c r="M18950"/>
      <c r="N18950"/>
      <c r="O18950"/>
      <c r="P18950"/>
      <c r="Q18950"/>
      <c r="R18950"/>
      <c r="S18950"/>
    </row>
    <row r="18951" spans="13:19" ht="13.95" customHeight="1">
      <c r="M18951"/>
      <c r="N18951"/>
      <c r="O18951"/>
      <c r="P18951"/>
      <c r="Q18951"/>
      <c r="R18951"/>
      <c r="S18951"/>
    </row>
    <row r="18952" spans="13:19" ht="13.95" customHeight="1">
      <c r="M18952"/>
      <c r="N18952"/>
      <c r="O18952"/>
      <c r="P18952"/>
      <c r="Q18952"/>
      <c r="R18952"/>
      <c r="S18952"/>
    </row>
    <row r="18953" spans="13:19" ht="13.95" customHeight="1">
      <c r="M18953"/>
      <c r="N18953"/>
      <c r="O18953"/>
      <c r="P18953"/>
      <c r="Q18953"/>
      <c r="R18953"/>
      <c r="S18953"/>
    </row>
    <row r="18954" spans="13:19" ht="13.95" customHeight="1">
      <c r="M18954"/>
      <c r="N18954"/>
      <c r="O18954"/>
      <c r="P18954"/>
      <c r="Q18954"/>
      <c r="R18954"/>
      <c r="S18954"/>
    </row>
    <row r="18955" spans="13:19" ht="13.95" customHeight="1">
      <c r="M18955"/>
      <c r="N18955"/>
      <c r="O18955"/>
      <c r="P18955"/>
      <c r="Q18955"/>
      <c r="R18955"/>
      <c r="S18955"/>
    </row>
    <row r="18956" spans="13:19" ht="13.95" customHeight="1">
      <c r="M18956"/>
      <c r="N18956"/>
      <c r="O18956"/>
      <c r="P18956"/>
      <c r="Q18956"/>
      <c r="R18956"/>
      <c r="S18956"/>
    </row>
    <row r="18957" spans="13:19" ht="13.95" customHeight="1">
      <c r="M18957"/>
      <c r="N18957"/>
      <c r="O18957"/>
      <c r="P18957"/>
      <c r="Q18957"/>
      <c r="R18957"/>
      <c r="S18957"/>
    </row>
    <row r="18958" spans="13:19" ht="13.95" customHeight="1">
      <c r="M18958"/>
      <c r="N18958"/>
      <c r="O18958"/>
      <c r="P18958"/>
      <c r="Q18958"/>
      <c r="R18958"/>
      <c r="S18958"/>
    </row>
    <row r="18959" spans="13:19" ht="13.95" customHeight="1">
      <c r="M18959"/>
      <c r="N18959"/>
      <c r="O18959"/>
      <c r="P18959"/>
      <c r="Q18959"/>
      <c r="R18959"/>
      <c r="S18959"/>
    </row>
    <row r="18960" spans="13:19" ht="13.95" customHeight="1">
      <c r="M18960"/>
      <c r="N18960"/>
      <c r="O18960"/>
      <c r="P18960"/>
      <c r="Q18960"/>
      <c r="R18960"/>
      <c r="S18960"/>
    </row>
    <row r="18961" spans="13:19" ht="13.95" customHeight="1">
      <c r="M18961"/>
      <c r="N18961"/>
      <c r="O18961"/>
      <c r="P18961"/>
      <c r="Q18961"/>
      <c r="R18961"/>
      <c r="S18961"/>
    </row>
    <row r="18962" spans="13:19" ht="13.95" customHeight="1">
      <c r="M18962"/>
      <c r="N18962"/>
      <c r="O18962"/>
      <c r="P18962"/>
      <c r="Q18962"/>
      <c r="R18962"/>
      <c r="S18962"/>
    </row>
    <row r="18963" spans="13:19" ht="13.95" customHeight="1">
      <c r="M18963"/>
      <c r="N18963"/>
      <c r="O18963"/>
      <c r="P18963"/>
      <c r="Q18963"/>
      <c r="R18963"/>
      <c r="S18963"/>
    </row>
    <row r="18964" spans="13:19" ht="13.95" customHeight="1">
      <c r="M18964"/>
      <c r="N18964"/>
      <c r="O18964"/>
      <c r="P18964"/>
      <c r="Q18964"/>
      <c r="R18964"/>
      <c r="S18964"/>
    </row>
    <row r="18965" spans="13:19" ht="13.95" customHeight="1">
      <c r="M18965"/>
      <c r="N18965"/>
      <c r="O18965"/>
      <c r="P18965"/>
      <c r="Q18965"/>
      <c r="R18965"/>
      <c r="S18965"/>
    </row>
    <row r="18966" spans="13:19" ht="13.95" customHeight="1">
      <c r="M18966"/>
      <c r="N18966"/>
      <c r="O18966"/>
      <c r="P18966"/>
      <c r="Q18966"/>
      <c r="R18966"/>
      <c r="S18966"/>
    </row>
    <row r="18967" spans="13:19" ht="13.95" customHeight="1">
      <c r="M18967"/>
      <c r="N18967"/>
      <c r="O18967"/>
      <c r="P18967"/>
      <c r="Q18967"/>
      <c r="R18967"/>
      <c r="S18967"/>
    </row>
    <row r="18968" spans="13:19" ht="13.95" customHeight="1">
      <c r="M18968"/>
      <c r="N18968"/>
      <c r="O18968"/>
      <c r="P18968"/>
      <c r="Q18968"/>
      <c r="R18968"/>
      <c r="S18968"/>
    </row>
    <row r="18969" spans="13:19" ht="13.95" customHeight="1">
      <c r="M18969"/>
      <c r="N18969"/>
      <c r="O18969"/>
      <c r="P18969"/>
      <c r="Q18969"/>
      <c r="R18969"/>
      <c r="S18969"/>
    </row>
    <row r="18970" spans="13:19" ht="13.95" customHeight="1">
      <c r="M18970"/>
      <c r="N18970"/>
      <c r="O18970"/>
      <c r="P18970"/>
      <c r="Q18970"/>
      <c r="R18970"/>
      <c r="S18970"/>
    </row>
    <row r="18971" spans="13:19" ht="13.95" customHeight="1">
      <c r="M18971"/>
      <c r="N18971"/>
      <c r="O18971"/>
      <c r="P18971"/>
      <c r="Q18971"/>
      <c r="R18971"/>
      <c r="S18971"/>
    </row>
    <row r="18972" spans="13:19" ht="13.95" customHeight="1">
      <c r="M18972"/>
      <c r="N18972"/>
      <c r="O18972"/>
      <c r="P18972"/>
      <c r="Q18972"/>
      <c r="R18972"/>
      <c r="S18972"/>
    </row>
    <row r="18973" spans="13:19" ht="13.95" customHeight="1">
      <c r="M18973"/>
      <c r="N18973"/>
      <c r="O18973"/>
      <c r="P18973"/>
      <c r="Q18973"/>
      <c r="R18973"/>
      <c r="S18973"/>
    </row>
    <row r="18974" spans="13:19" ht="13.95" customHeight="1">
      <c r="M18974"/>
      <c r="N18974"/>
      <c r="O18974"/>
      <c r="P18974"/>
      <c r="Q18974"/>
      <c r="R18974"/>
      <c r="S18974"/>
    </row>
    <row r="18975" spans="13:19" ht="13.95" customHeight="1">
      <c r="M18975"/>
      <c r="N18975"/>
      <c r="O18975"/>
      <c r="P18975"/>
      <c r="Q18975"/>
      <c r="R18975"/>
      <c r="S18975"/>
    </row>
    <row r="18976" spans="13:19" ht="13.95" customHeight="1">
      <c r="M18976"/>
      <c r="N18976"/>
      <c r="O18976"/>
      <c r="P18976"/>
      <c r="Q18976"/>
      <c r="R18976"/>
      <c r="S18976"/>
    </row>
    <row r="18977" spans="13:19" ht="13.95" customHeight="1">
      <c r="M18977"/>
      <c r="N18977"/>
      <c r="O18977"/>
      <c r="P18977"/>
      <c r="Q18977"/>
      <c r="R18977"/>
      <c r="S18977"/>
    </row>
    <row r="18978" spans="13:19" ht="13.95" customHeight="1">
      <c r="M18978"/>
      <c r="N18978"/>
      <c r="O18978"/>
      <c r="P18978"/>
      <c r="Q18978"/>
      <c r="R18978"/>
      <c r="S18978"/>
    </row>
    <row r="18979" spans="13:19" ht="13.95" customHeight="1">
      <c r="M18979"/>
      <c r="N18979"/>
      <c r="O18979"/>
      <c r="P18979"/>
      <c r="Q18979"/>
      <c r="R18979"/>
      <c r="S18979"/>
    </row>
    <row r="18980" spans="13:19" ht="13.95" customHeight="1">
      <c r="M18980"/>
      <c r="N18980"/>
      <c r="O18980"/>
      <c r="P18980"/>
      <c r="Q18980"/>
      <c r="R18980"/>
      <c r="S18980"/>
    </row>
    <row r="18981" spans="13:19" ht="13.95" customHeight="1">
      <c r="M18981"/>
      <c r="N18981"/>
      <c r="O18981"/>
      <c r="P18981"/>
      <c r="Q18981"/>
      <c r="R18981"/>
      <c r="S18981"/>
    </row>
    <row r="18982" spans="13:19" ht="13.95" customHeight="1">
      <c r="M18982"/>
      <c r="N18982"/>
      <c r="O18982"/>
      <c r="P18982"/>
      <c r="Q18982"/>
      <c r="R18982"/>
      <c r="S18982"/>
    </row>
    <row r="18983" spans="13:19" ht="13.95" customHeight="1">
      <c r="M18983"/>
      <c r="N18983"/>
      <c r="O18983"/>
      <c r="P18983"/>
      <c r="Q18983"/>
      <c r="R18983"/>
      <c r="S18983"/>
    </row>
    <row r="18984" spans="13:19" ht="13.95" customHeight="1">
      <c r="M18984"/>
      <c r="N18984"/>
      <c r="O18984"/>
      <c r="P18984"/>
      <c r="Q18984"/>
      <c r="R18984"/>
      <c r="S18984"/>
    </row>
    <row r="18985" spans="13:19" ht="13.95" customHeight="1">
      <c r="M18985"/>
      <c r="N18985"/>
      <c r="O18985"/>
      <c r="P18985"/>
      <c r="Q18985"/>
      <c r="R18985"/>
      <c r="S18985"/>
    </row>
    <row r="18986" spans="13:19" ht="13.95" customHeight="1">
      <c r="M18986"/>
      <c r="N18986"/>
      <c r="O18986"/>
      <c r="P18986"/>
      <c r="Q18986"/>
      <c r="R18986"/>
      <c r="S18986"/>
    </row>
    <row r="18987" spans="13:19" ht="13.95" customHeight="1">
      <c r="M18987"/>
      <c r="N18987"/>
      <c r="O18987"/>
      <c r="P18987"/>
      <c r="Q18987"/>
      <c r="R18987"/>
      <c r="S18987"/>
    </row>
    <row r="18988" spans="13:19" ht="13.95" customHeight="1">
      <c r="M18988"/>
      <c r="N18988"/>
      <c r="O18988"/>
      <c r="P18988"/>
      <c r="Q18988"/>
      <c r="R18988"/>
      <c r="S18988"/>
    </row>
    <row r="18989" spans="13:19" ht="13.95" customHeight="1">
      <c r="M18989"/>
      <c r="N18989"/>
      <c r="O18989"/>
      <c r="P18989"/>
      <c r="Q18989"/>
      <c r="R18989"/>
      <c r="S18989"/>
    </row>
    <row r="18990" spans="13:19" ht="13.95" customHeight="1">
      <c r="M18990"/>
      <c r="N18990"/>
      <c r="O18990"/>
      <c r="P18990"/>
      <c r="Q18990"/>
      <c r="R18990"/>
      <c r="S18990"/>
    </row>
    <row r="18991" spans="13:19" ht="13.95" customHeight="1">
      <c r="M18991"/>
      <c r="N18991"/>
      <c r="O18991"/>
      <c r="P18991"/>
      <c r="Q18991"/>
      <c r="R18991"/>
      <c r="S18991"/>
    </row>
    <row r="18992" spans="13:19" ht="13.95" customHeight="1">
      <c r="M18992"/>
      <c r="N18992"/>
      <c r="O18992"/>
      <c r="P18992"/>
      <c r="Q18992"/>
      <c r="R18992"/>
      <c r="S18992"/>
    </row>
    <row r="18993" spans="13:19" ht="13.95" customHeight="1">
      <c r="M18993"/>
      <c r="N18993"/>
      <c r="O18993"/>
      <c r="P18993"/>
      <c r="Q18993"/>
      <c r="R18993"/>
      <c r="S18993"/>
    </row>
    <row r="18994" spans="13:19" ht="13.95" customHeight="1">
      <c r="M18994"/>
      <c r="N18994"/>
      <c r="O18994"/>
      <c r="P18994"/>
      <c r="Q18994"/>
      <c r="R18994"/>
      <c r="S18994"/>
    </row>
    <row r="18995" spans="13:19" ht="13.95" customHeight="1">
      <c r="M18995"/>
      <c r="N18995"/>
      <c r="O18995"/>
      <c r="P18995"/>
      <c r="Q18995"/>
      <c r="R18995"/>
      <c r="S18995"/>
    </row>
    <row r="18996" spans="13:19" ht="13.95" customHeight="1">
      <c r="M18996"/>
      <c r="N18996"/>
      <c r="O18996"/>
      <c r="P18996"/>
      <c r="Q18996"/>
      <c r="R18996"/>
      <c r="S18996"/>
    </row>
    <row r="18997" spans="13:19" ht="13.95" customHeight="1">
      <c r="M18997"/>
      <c r="N18997"/>
      <c r="O18997"/>
      <c r="P18997"/>
      <c r="Q18997"/>
      <c r="R18997"/>
      <c r="S18997"/>
    </row>
    <row r="18998" spans="13:19" ht="13.95" customHeight="1">
      <c r="M18998"/>
      <c r="N18998"/>
      <c r="O18998"/>
      <c r="P18998"/>
      <c r="Q18998"/>
      <c r="R18998"/>
      <c r="S18998"/>
    </row>
    <row r="18999" spans="13:19" ht="13.95" customHeight="1">
      <c r="M18999"/>
      <c r="N18999"/>
      <c r="O18999"/>
      <c r="P18999"/>
      <c r="Q18999"/>
      <c r="R18999"/>
      <c r="S18999"/>
    </row>
    <row r="19000" spans="13:19" ht="13.95" customHeight="1">
      <c r="M19000"/>
      <c r="N19000"/>
      <c r="O19000"/>
      <c r="P19000"/>
      <c r="Q19000"/>
      <c r="R19000"/>
      <c r="S19000"/>
    </row>
    <row r="19001" spans="13:19" ht="13.95" customHeight="1">
      <c r="M19001"/>
      <c r="N19001"/>
      <c r="O19001"/>
      <c r="P19001"/>
      <c r="Q19001"/>
      <c r="R19001"/>
      <c r="S19001"/>
    </row>
    <row r="19002" spans="13:19" ht="13.95" customHeight="1">
      <c r="M19002"/>
      <c r="N19002"/>
      <c r="O19002"/>
      <c r="P19002"/>
      <c r="Q19002"/>
      <c r="R19002"/>
      <c r="S19002"/>
    </row>
    <row r="19003" spans="13:19" ht="13.95" customHeight="1">
      <c r="M19003"/>
      <c r="N19003"/>
      <c r="O19003"/>
      <c r="P19003"/>
      <c r="Q19003"/>
      <c r="R19003"/>
      <c r="S19003"/>
    </row>
    <row r="19004" spans="13:19" ht="13.95" customHeight="1">
      <c r="M19004"/>
      <c r="N19004"/>
      <c r="O19004"/>
      <c r="P19004"/>
      <c r="Q19004"/>
      <c r="R19004"/>
      <c r="S19004"/>
    </row>
    <row r="19005" spans="13:19" ht="13.95" customHeight="1">
      <c r="M19005"/>
      <c r="N19005"/>
      <c r="O19005"/>
      <c r="P19005"/>
      <c r="Q19005"/>
      <c r="R19005"/>
      <c r="S19005"/>
    </row>
    <row r="19006" spans="13:19" ht="13.95" customHeight="1">
      <c r="M19006"/>
      <c r="N19006"/>
      <c r="O19006"/>
      <c r="P19006"/>
      <c r="Q19006"/>
      <c r="R19006"/>
      <c r="S19006"/>
    </row>
    <row r="19007" spans="13:19" ht="13.95" customHeight="1">
      <c r="M19007"/>
      <c r="N19007"/>
      <c r="O19007"/>
      <c r="P19007"/>
      <c r="Q19007"/>
      <c r="R19007"/>
      <c r="S19007"/>
    </row>
    <row r="19008" spans="13:19" ht="13.95" customHeight="1">
      <c r="M19008"/>
      <c r="N19008"/>
      <c r="O19008"/>
      <c r="P19008"/>
      <c r="Q19008"/>
      <c r="R19008"/>
      <c r="S19008"/>
    </row>
    <row r="19009" spans="13:19" ht="13.95" customHeight="1">
      <c r="M19009"/>
      <c r="N19009"/>
      <c r="O19009"/>
      <c r="P19009"/>
      <c r="Q19009"/>
      <c r="R19009"/>
      <c r="S19009"/>
    </row>
    <row r="19010" spans="13:19" ht="13.95" customHeight="1">
      <c r="M19010"/>
      <c r="N19010"/>
      <c r="O19010"/>
      <c r="P19010"/>
      <c r="Q19010"/>
      <c r="R19010"/>
      <c r="S19010"/>
    </row>
    <row r="19011" spans="13:19" ht="13.95" customHeight="1">
      <c r="M19011"/>
      <c r="N19011"/>
      <c r="O19011"/>
      <c r="P19011"/>
      <c r="Q19011"/>
      <c r="R19011"/>
      <c r="S19011"/>
    </row>
    <row r="19012" spans="13:19" ht="13.95" customHeight="1">
      <c r="M19012"/>
      <c r="N19012"/>
      <c r="O19012"/>
      <c r="P19012"/>
      <c r="Q19012"/>
      <c r="R19012"/>
      <c r="S19012"/>
    </row>
    <row r="19013" spans="13:19" ht="13.95" customHeight="1">
      <c r="M19013"/>
      <c r="N19013"/>
      <c r="O19013"/>
      <c r="P19013"/>
      <c r="Q19013"/>
      <c r="R19013"/>
      <c r="S19013"/>
    </row>
    <row r="19014" spans="13:19" ht="13.95" customHeight="1">
      <c r="M19014"/>
      <c r="N19014"/>
      <c r="O19014"/>
      <c r="P19014"/>
      <c r="Q19014"/>
      <c r="R19014"/>
      <c r="S19014"/>
    </row>
    <row r="19015" spans="13:19" ht="13.95" customHeight="1">
      <c r="M19015"/>
      <c r="N19015"/>
      <c r="O19015"/>
      <c r="P19015"/>
      <c r="Q19015"/>
      <c r="R19015"/>
      <c r="S19015"/>
    </row>
    <row r="19016" spans="13:19" ht="13.95" customHeight="1">
      <c r="M19016"/>
      <c r="N19016"/>
      <c r="O19016"/>
      <c r="P19016"/>
      <c r="Q19016"/>
      <c r="R19016"/>
      <c r="S19016"/>
    </row>
    <row r="19017" spans="13:19" ht="13.95" customHeight="1">
      <c r="M19017"/>
      <c r="N19017"/>
      <c r="O19017"/>
      <c r="P19017"/>
      <c r="Q19017"/>
      <c r="R19017"/>
      <c r="S19017"/>
    </row>
    <row r="19018" spans="13:19" ht="13.95" customHeight="1">
      <c r="M19018"/>
      <c r="N19018"/>
      <c r="O19018"/>
      <c r="P19018"/>
      <c r="Q19018"/>
      <c r="R19018"/>
      <c r="S19018"/>
    </row>
    <row r="19019" spans="13:19" ht="13.95" customHeight="1">
      <c r="M19019"/>
      <c r="N19019"/>
      <c r="O19019"/>
      <c r="P19019"/>
      <c r="Q19019"/>
      <c r="R19019"/>
      <c r="S19019"/>
    </row>
    <row r="19020" spans="13:19" ht="13.95" customHeight="1">
      <c r="M19020"/>
      <c r="N19020"/>
      <c r="O19020"/>
      <c r="P19020"/>
      <c r="Q19020"/>
      <c r="R19020"/>
      <c r="S19020"/>
    </row>
    <row r="19021" spans="13:19" ht="13.95" customHeight="1">
      <c r="M19021"/>
      <c r="N19021"/>
      <c r="O19021"/>
      <c r="P19021"/>
      <c r="Q19021"/>
      <c r="R19021"/>
      <c r="S19021"/>
    </row>
    <row r="19022" spans="13:19" ht="13.95" customHeight="1">
      <c r="M19022"/>
      <c r="N19022"/>
      <c r="O19022"/>
      <c r="P19022"/>
      <c r="Q19022"/>
      <c r="R19022"/>
      <c r="S19022"/>
    </row>
    <row r="19023" spans="13:19" ht="13.95" customHeight="1">
      <c r="M19023"/>
      <c r="N19023"/>
      <c r="O19023"/>
      <c r="P19023"/>
      <c r="Q19023"/>
      <c r="R19023"/>
      <c r="S19023"/>
    </row>
    <row r="19024" spans="13:19" ht="13.95" customHeight="1">
      <c r="M19024"/>
      <c r="N19024"/>
      <c r="O19024"/>
      <c r="P19024"/>
      <c r="Q19024"/>
      <c r="R19024"/>
      <c r="S19024"/>
    </row>
    <row r="19025" spans="13:19" ht="13.95" customHeight="1">
      <c r="M19025"/>
      <c r="N19025"/>
      <c r="O19025"/>
      <c r="P19025"/>
      <c r="Q19025"/>
      <c r="R19025"/>
      <c r="S19025"/>
    </row>
    <row r="19026" spans="13:19" ht="13.95" customHeight="1">
      <c r="M19026"/>
      <c r="N19026"/>
      <c r="O19026"/>
      <c r="P19026"/>
      <c r="Q19026"/>
      <c r="R19026"/>
      <c r="S19026"/>
    </row>
    <row r="19027" spans="13:19" ht="13.95" customHeight="1">
      <c r="M19027"/>
      <c r="N19027"/>
      <c r="O19027"/>
      <c r="P19027"/>
      <c r="Q19027"/>
      <c r="R19027"/>
      <c r="S19027"/>
    </row>
    <row r="19028" spans="13:19" ht="13.95" customHeight="1">
      <c r="M19028"/>
      <c r="N19028"/>
      <c r="O19028"/>
      <c r="P19028"/>
      <c r="Q19028"/>
      <c r="R19028"/>
      <c r="S19028"/>
    </row>
    <row r="19029" spans="13:19" ht="13.95" customHeight="1">
      <c r="M19029"/>
      <c r="N19029"/>
      <c r="O19029"/>
      <c r="P19029"/>
      <c r="Q19029"/>
      <c r="R19029"/>
      <c r="S19029"/>
    </row>
    <row r="19030" spans="13:19" ht="13.95" customHeight="1">
      <c r="M19030"/>
      <c r="N19030"/>
      <c r="O19030"/>
      <c r="P19030"/>
      <c r="Q19030"/>
      <c r="R19030"/>
      <c r="S19030"/>
    </row>
    <row r="19031" spans="13:19" ht="13.95" customHeight="1">
      <c r="M19031"/>
      <c r="N19031"/>
      <c r="O19031"/>
      <c r="P19031"/>
      <c r="Q19031"/>
      <c r="R19031"/>
      <c r="S19031"/>
    </row>
    <row r="19032" spans="13:19" ht="13.95" customHeight="1">
      <c r="M19032"/>
      <c r="N19032"/>
      <c r="O19032"/>
      <c r="P19032"/>
      <c r="Q19032"/>
      <c r="R19032"/>
      <c r="S19032"/>
    </row>
    <row r="19033" spans="13:19" ht="13.95" customHeight="1">
      <c r="M19033"/>
      <c r="N19033"/>
      <c r="O19033"/>
      <c r="P19033"/>
      <c r="Q19033"/>
      <c r="R19033"/>
      <c r="S19033"/>
    </row>
    <row r="19034" spans="13:19" ht="13.95" customHeight="1">
      <c r="M19034"/>
      <c r="N19034"/>
      <c r="O19034"/>
      <c r="P19034"/>
      <c r="Q19034"/>
      <c r="R19034"/>
      <c r="S19034"/>
    </row>
    <row r="19035" spans="13:19" ht="13.95" customHeight="1">
      <c r="M19035"/>
      <c r="N19035"/>
      <c r="O19035"/>
      <c r="P19035"/>
      <c r="Q19035"/>
      <c r="R19035"/>
      <c r="S19035"/>
    </row>
    <row r="19036" spans="13:19" ht="13.95" customHeight="1">
      <c r="M19036"/>
      <c r="N19036"/>
      <c r="O19036"/>
      <c r="P19036"/>
      <c r="Q19036"/>
      <c r="R19036"/>
      <c r="S19036"/>
    </row>
    <row r="19037" spans="13:19" ht="13.95" customHeight="1">
      <c r="M19037"/>
      <c r="N19037"/>
      <c r="O19037"/>
      <c r="P19037"/>
      <c r="Q19037"/>
      <c r="R19037"/>
      <c r="S19037"/>
    </row>
    <row r="19038" spans="13:19" ht="13.95" customHeight="1">
      <c r="M19038"/>
      <c r="N19038"/>
      <c r="O19038"/>
      <c r="P19038"/>
      <c r="Q19038"/>
      <c r="R19038"/>
      <c r="S19038"/>
    </row>
    <row r="19039" spans="13:19" ht="13.95" customHeight="1">
      <c r="M19039"/>
      <c r="N19039"/>
      <c r="O19039"/>
      <c r="P19039"/>
      <c r="Q19039"/>
      <c r="R19039"/>
      <c r="S19039"/>
    </row>
    <row r="19040" spans="13:19" ht="13.95" customHeight="1">
      <c r="M19040"/>
      <c r="N19040"/>
      <c r="O19040"/>
      <c r="P19040"/>
      <c r="Q19040"/>
      <c r="R19040"/>
      <c r="S19040"/>
    </row>
    <row r="19041" spans="13:19" ht="13.95" customHeight="1">
      <c r="M19041"/>
      <c r="N19041"/>
      <c r="O19041"/>
      <c r="P19041"/>
      <c r="Q19041"/>
      <c r="R19041"/>
      <c r="S19041"/>
    </row>
    <row r="19042" spans="13:19" ht="13.95" customHeight="1">
      <c r="M19042"/>
      <c r="N19042"/>
      <c r="O19042"/>
      <c r="P19042"/>
      <c r="Q19042"/>
      <c r="R19042"/>
      <c r="S19042"/>
    </row>
    <row r="19043" spans="13:19" ht="13.95" customHeight="1">
      <c r="M19043"/>
      <c r="N19043"/>
      <c r="O19043"/>
      <c r="P19043"/>
      <c r="Q19043"/>
      <c r="R19043"/>
      <c r="S19043"/>
    </row>
    <row r="19044" spans="13:19" ht="13.95" customHeight="1">
      <c r="M19044"/>
      <c r="N19044"/>
      <c r="O19044"/>
      <c r="P19044"/>
      <c r="Q19044"/>
      <c r="R19044"/>
      <c r="S19044"/>
    </row>
    <row r="19045" spans="13:19" ht="13.95" customHeight="1">
      <c r="M19045"/>
      <c r="N19045"/>
      <c r="O19045"/>
      <c r="P19045"/>
      <c r="Q19045"/>
      <c r="R19045"/>
      <c r="S19045"/>
    </row>
    <row r="19046" spans="13:19" ht="13.95" customHeight="1">
      <c r="M19046"/>
      <c r="N19046"/>
      <c r="O19046"/>
      <c r="P19046"/>
      <c r="Q19046"/>
      <c r="R19046"/>
      <c r="S19046"/>
    </row>
    <row r="19047" spans="13:19" ht="13.95" customHeight="1">
      <c r="M19047"/>
      <c r="N19047"/>
      <c r="O19047"/>
      <c r="P19047"/>
      <c r="Q19047"/>
      <c r="R19047"/>
      <c r="S19047"/>
    </row>
    <row r="19048" spans="13:19" ht="13.95" customHeight="1">
      <c r="M19048"/>
      <c r="N19048"/>
      <c r="O19048"/>
      <c r="P19048"/>
      <c r="Q19048"/>
      <c r="R19048"/>
      <c r="S19048"/>
    </row>
    <row r="19049" spans="13:19" ht="13.95" customHeight="1">
      <c r="M19049"/>
      <c r="N19049"/>
      <c r="O19049"/>
      <c r="P19049"/>
      <c r="Q19049"/>
      <c r="R19049"/>
      <c r="S19049"/>
    </row>
    <row r="19050" spans="13:19" ht="13.95" customHeight="1">
      <c r="M19050"/>
      <c r="N19050"/>
      <c r="O19050"/>
      <c r="P19050"/>
      <c r="Q19050"/>
      <c r="R19050"/>
      <c r="S19050"/>
    </row>
    <row r="19051" spans="13:19" ht="13.95" customHeight="1">
      <c r="M19051"/>
      <c r="N19051"/>
      <c r="O19051"/>
      <c r="P19051"/>
      <c r="Q19051"/>
      <c r="R19051"/>
      <c r="S19051"/>
    </row>
    <row r="19052" spans="13:19" ht="13.95" customHeight="1">
      <c r="M19052"/>
      <c r="N19052"/>
      <c r="O19052"/>
      <c r="P19052"/>
      <c r="Q19052"/>
      <c r="R19052"/>
      <c r="S19052"/>
    </row>
    <row r="19053" spans="13:19" ht="13.95" customHeight="1">
      <c r="M19053"/>
      <c r="N19053"/>
      <c r="O19053"/>
      <c r="P19053"/>
      <c r="Q19053"/>
      <c r="R19053"/>
      <c r="S19053"/>
    </row>
    <row r="19054" spans="13:19" ht="13.95" customHeight="1">
      <c r="M19054"/>
      <c r="N19054"/>
      <c r="O19054"/>
      <c r="P19054"/>
      <c r="Q19054"/>
      <c r="R19054"/>
      <c r="S19054"/>
    </row>
    <row r="19055" spans="13:19" ht="13.95" customHeight="1">
      <c r="M19055"/>
      <c r="N19055"/>
      <c r="O19055"/>
      <c r="P19055"/>
      <c r="Q19055"/>
      <c r="R19055"/>
      <c r="S19055"/>
    </row>
    <row r="19056" spans="13:19" ht="13.95" customHeight="1">
      <c r="M19056"/>
      <c r="N19056"/>
      <c r="O19056"/>
      <c r="P19056"/>
      <c r="Q19056"/>
      <c r="R19056"/>
      <c r="S19056"/>
    </row>
    <row r="19057" spans="13:19" ht="13.95" customHeight="1">
      <c r="M19057"/>
      <c r="N19057"/>
      <c r="O19057"/>
      <c r="P19057"/>
      <c r="Q19057"/>
      <c r="R19057"/>
      <c r="S19057"/>
    </row>
    <row r="19058" spans="13:19" ht="13.95" customHeight="1">
      <c r="M19058"/>
      <c r="N19058"/>
      <c r="O19058"/>
      <c r="P19058"/>
      <c r="Q19058"/>
      <c r="R19058"/>
      <c r="S19058"/>
    </row>
    <row r="19059" spans="13:19" ht="13.95" customHeight="1">
      <c r="M19059"/>
      <c r="N19059"/>
      <c r="O19059"/>
      <c r="P19059"/>
      <c r="Q19059"/>
      <c r="R19059"/>
      <c r="S19059"/>
    </row>
    <row r="19060" spans="13:19" ht="13.95" customHeight="1">
      <c r="M19060"/>
      <c r="N19060"/>
      <c r="O19060"/>
      <c r="P19060"/>
      <c r="Q19060"/>
      <c r="R19060"/>
      <c r="S19060"/>
    </row>
    <row r="19061" spans="13:19" ht="13.95" customHeight="1">
      <c r="M19061"/>
      <c r="N19061"/>
      <c r="O19061"/>
      <c r="P19061"/>
      <c r="Q19061"/>
      <c r="R19061"/>
      <c r="S19061"/>
    </row>
    <row r="19062" spans="13:19" ht="13.95" customHeight="1">
      <c r="M19062"/>
      <c r="N19062"/>
      <c r="O19062"/>
      <c r="P19062"/>
      <c r="Q19062"/>
      <c r="R19062"/>
      <c r="S19062"/>
    </row>
    <row r="19063" spans="13:19" ht="13.95" customHeight="1">
      <c r="M19063"/>
      <c r="N19063"/>
      <c r="O19063"/>
      <c r="P19063"/>
      <c r="Q19063"/>
      <c r="R19063"/>
      <c r="S19063"/>
    </row>
    <row r="19064" spans="13:19" ht="13.95" customHeight="1">
      <c r="M19064"/>
      <c r="N19064"/>
      <c r="O19064"/>
      <c r="P19064"/>
      <c r="Q19064"/>
      <c r="R19064"/>
      <c r="S19064"/>
    </row>
    <row r="19065" spans="13:19" ht="13.95" customHeight="1">
      <c r="M19065"/>
      <c r="N19065"/>
      <c r="O19065"/>
      <c r="P19065"/>
      <c r="Q19065"/>
      <c r="R19065"/>
      <c r="S19065"/>
    </row>
    <row r="19066" spans="13:19" ht="13.95" customHeight="1">
      <c r="M19066"/>
      <c r="N19066"/>
      <c r="O19066"/>
      <c r="P19066"/>
      <c r="Q19066"/>
      <c r="R19066"/>
      <c r="S19066"/>
    </row>
    <row r="19067" spans="13:19" ht="13.95" customHeight="1">
      <c r="M19067"/>
      <c r="N19067"/>
      <c r="O19067"/>
      <c r="P19067"/>
      <c r="Q19067"/>
      <c r="R19067"/>
      <c r="S19067"/>
    </row>
    <row r="19068" spans="13:19" ht="13.95" customHeight="1">
      <c r="M19068"/>
      <c r="N19068"/>
      <c r="O19068"/>
      <c r="P19068"/>
      <c r="Q19068"/>
      <c r="R19068"/>
      <c r="S19068"/>
    </row>
    <row r="19069" spans="13:19" ht="13.95" customHeight="1">
      <c r="M19069"/>
      <c r="N19069"/>
      <c r="O19069"/>
      <c r="P19069"/>
      <c r="Q19069"/>
      <c r="R19069"/>
      <c r="S19069"/>
    </row>
    <row r="19070" spans="13:19" ht="13.95" customHeight="1">
      <c r="M19070"/>
      <c r="N19070"/>
      <c r="O19070"/>
      <c r="P19070"/>
      <c r="Q19070"/>
      <c r="R19070"/>
      <c r="S19070"/>
    </row>
    <row r="19071" spans="13:19" ht="13.95" customHeight="1">
      <c r="M19071"/>
      <c r="N19071"/>
      <c r="O19071"/>
      <c r="P19071"/>
      <c r="Q19071"/>
      <c r="R19071"/>
      <c r="S19071"/>
    </row>
    <row r="19072" spans="13:19" ht="13.95" customHeight="1">
      <c r="M19072"/>
      <c r="N19072"/>
      <c r="O19072"/>
      <c r="P19072"/>
      <c r="Q19072"/>
      <c r="R19072"/>
      <c r="S19072"/>
    </row>
    <row r="19073" spans="13:19" ht="13.95" customHeight="1">
      <c r="M19073"/>
      <c r="N19073"/>
      <c r="O19073"/>
      <c r="P19073"/>
      <c r="Q19073"/>
      <c r="R19073"/>
      <c r="S19073"/>
    </row>
    <row r="19074" spans="13:19" ht="13.95" customHeight="1">
      <c r="M19074"/>
      <c r="N19074"/>
      <c r="O19074"/>
      <c r="P19074"/>
      <c r="Q19074"/>
      <c r="R19074"/>
      <c r="S19074"/>
    </row>
    <row r="19075" spans="13:19" ht="13.95" customHeight="1">
      <c r="M19075"/>
      <c r="N19075"/>
      <c r="O19075"/>
      <c r="P19075"/>
      <c r="Q19075"/>
      <c r="R19075"/>
      <c r="S19075"/>
    </row>
    <row r="19076" spans="13:19" ht="13.95" customHeight="1">
      <c r="M19076"/>
      <c r="N19076"/>
      <c r="O19076"/>
      <c r="P19076"/>
      <c r="Q19076"/>
      <c r="R19076"/>
      <c r="S19076"/>
    </row>
    <row r="19077" spans="13:19" ht="13.95" customHeight="1">
      <c r="M19077"/>
      <c r="N19077"/>
      <c r="O19077"/>
      <c r="P19077"/>
      <c r="Q19077"/>
      <c r="R19077"/>
      <c r="S19077"/>
    </row>
    <row r="19078" spans="13:19" ht="13.95" customHeight="1">
      <c r="M19078"/>
      <c r="N19078"/>
      <c r="O19078"/>
      <c r="P19078"/>
      <c r="Q19078"/>
      <c r="R19078"/>
      <c r="S19078"/>
    </row>
    <row r="19079" spans="13:19" ht="13.95" customHeight="1">
      <c r="M19079"/>
      <c r="N19079"/>
      <c r="O19079"/>
      <c r="P19079"/>
      <c r="Q19079"/>
      <c r="R19079"/>
      <c r="S19079"/>
    </row>
    <row r="19080" spans="13:19" ht="13.95" customHeight="1">
      <c r="M19080"/>
      <c r="N19080"/>
      <c r="O19080"/>
      <c r="P19080"/>
      <c r="Q19080"/>
      <c r="R19080"/>
      <c r="S19080"/>
    </row>
    <row r="19081" spans="13:19" ht="13.95" customHeight="1">
      <c r="M19081"/>
      <c r="N19081"/>
      <c r="O19081"/>
      <c r="P19081"/>
      <c r="Q19081"/>
      <c r="R19081"/>
      <c r="S19081"/>
    </row>
    <row r="19082" spans="13:19" ht="13.95" customHeight="1">
      <c r="M19082"/>
      <c r="N19082"/>
      <c r="O19082"/>
      <c r="P19082"/>
      <c r="Q19082"/>
      <c r="R19082"/>
      <c r="S19082"/>
    </row>
    <row r="19083" spans="13:19" ht="13.95" customHeight="1">
      <c r="M19083"/>
      <c r="N19083"/>
      <c r="O19083"/>
      <c r="P19083"/>
      <c r="Q19083"/>
      <c r="R19083"/>
      <c r="S19083"/>
    </row>
    <row r="19084" spans="13:19" ht="13.95" customHeight="1">
      <c r="M19084"/>
      <c r="N19084"/>
      <c r="O19084"/>
      <c r="P19084"/>
      <c r="Q19084"/>
      <c r="R19084"/>
      <c r="S19084"/>
    </row>
    <row r="19085" spans="13:19" ht="13.95" customHeight="1">
      <c r="M19085"/>
      <c r="N19085"/>
      <c r="O19085"/>
      <c r="P19085"/>
      <c r="Q19085"/>
      <c r="R19085"/>
      <c r="S19085"/>
    </row>
    <row r="19086" spans="13:19" ht="13.95" customHeight="1">
      <c r="M19086"/>
      <c r="N19086"/>
      <c r="O19086"/>
      <c r="P19086"/>
      <c r="Q19086"/>
      <c r="R19086"/>
      <c r="S19086"/>
    </row>
    <row r="19087" spans="13:19" ht="13.95" customHeight="1">
      <c r="M19087"/>
      <c r="N19087"/>
      <c r="O19087"/>
      <c r="P19087"/>
      <c r="Q19087"/>
      <c r="R19087"/>
      <c r="S19087"/>
    </row>
    <row r="19088" spans="13:19" ht="13.95" customHeight="1">
      <c r="M19088"/>
      <c r="N19088"/>
      <c r="O19088"/>
      <c r="P19088"/>
      <c r="Q19088"/>
      <c r="R19088"/>
      <c r="S19088"/>
    </row>
    <row r="19089" spans="13:19" ht="13.95" customHeight="1">
      <c r="M19089"/>
      <c r="N19089"/>
      <c r="O19089"/>
      <c r="P19089"/>
      <c r="Q19089"/>
      <c r="R19089"/>
      <c r="S19089"/>
    </row>
    <row r="19090" spans="13:19" ht="13.95" customHeight="1">
      <c r="M19090"/>
      <c r="N19090"/>
      <c r="O19090"/>
      <c r="P19090"/>
      <c r="Q19090"/>
      <c r="R19090"/>
      <c r="S19090"/>
    </row>
    <row r="19091" spans="13:19" ht="13.95" customHeight="1">
      <c r="M19091"/>
      <c r="N19091"/>
      <c r="O19091"/>
      <c r="P19091"/>
      <c r="Q19091"/>
      <c r="R19091"/>
      <c r="S19091"/>
    </row>
    <row r="19092" spans="13:19" ht="13.95" customHeight="1">
      <c r="M19092"/>
      <c r="N19092"/>
      <c r="O19092"/>
      <c r="P19092"/>
      <c r="Q19092"/>
      <c r="R19092"/>
      <c r="S19092"/>
    </row>
    <row r="19093" spans="13:19" ht="13.95" customHeight="1">
      <c r="M19093"/>
      <c r="N19093"/>
      <c r="O19093"/>
      <c r="P19093"/>
      <c r="Q19093"/>
      <c r="R19093"/>
      <c r="S19093"/>
    </row>
    <row r="19094" spans="13:19" ht="13.95" customHeight="1">
      <c r="M19094"/>
      <c r="N19094"/>
      <c r="O19094"/>
      <c r="P19094"/>
      <c r="Q19094"/>
      <c r="R19094"/>
      <c r="S19094"/>
    </row>
    <row r="19095" spans="13:19" ht="13.95" customHeight="1">
      <c r="M19095"/>
      <c r="N19095"/>
      <c r="O19095"/>
      <c r="P19095"/>
      <c r="Q19095"/>
      <c r="R19095"/>
      <c r="S19095"/>
    </row>
    <row r="19096" spans="13:19" ht="13.95" customHeight="1">
      <c r="M19096"/>
      <c r="N19096"/>
      <c r="O19096"/>
      <c r="P19096"/>
      <c r="Q19096"/>
      <c r="R19096"/>
      <c r="S19096"/>
    </row>
    <row r="19097" spans="13:19" ht="13.95" customHeight="1">
      <c r="M19097"/>
      <c r="N19097"/>
      <c r="O19097"/>
      <c r="P19097"/>
      <c r="Q19097"/>
      <c r="R19097"/>
      <c r="S19097"/>
    </row>
    <row r="19098" spans="13:19" ht="13.95" customHeight="1">
      <c r="M19098"/>
      <c r="N19098"/>
      <c r="O19098"/>
      <c r="P19098"/>
      <c r="Q19098"/>
      <c r="R19098"/>
      <c r="S19098"/>
    </row>
    <row r="19099" spans="13:19" ht="13.95" customHeight="1">
      <c r="M19099"/>
      <c r="N19099"/>
      <c r="O19099"/>
      <c r="P19099"/>
      <c r="Q19099"/>
      <c r="R19099"/>
      <c r="S19099"/>
    </row>
    <row r="19100" spans="13:19" ht="13.95" customHeight="1">
      <c r="M19100"/>
      <c r="N19100"/>
      <c r="O19100"/>
      <c r="P19100"/>
      <c r="Q19100"/>
      <c r="R19100"/>
      <c r="S19100"/>
    </row>
    <row r="19101" spans="13:19" ht="13.95" customHeight="1">
      <c r="M19101"/>
      <c r="N19101"/>
      <c r="O19101"/>
      <c r="P19101"/>
      <c r="Q19101"/>
      <c r="R19101"/>
      <c r="S19101"/>
    </row>
    <row r="19102" spans="13:19" ht="13.95" customHeight="1">
      <c r="M19102"/>
      <c r="N19102"/>
      <c r="O19102"/>
      <c r="P19102"/>
      <c r="Q19102"/>
      <c r="R19102"/>
      <c r="S19102"/>
    </row>
    <row r="19103" spans="13:19" ht="13.95" customHeight="1">
      <c r="M19103"/>
      <c r="N19103"/>
      <c r="O19103"/>
      <c r="P19103"/>
      <c r="Q19103"/>
      <c r="R19103"/>
      <c r="S19103"/>
    </row>
    <row r="19104" spans="13:19" ht="13.95" customHeight="1">
      <c r="M19104"/>
      <c r="N19104"/>
      <c r="O19104"/>
      <c r="P19104"/>
      <c r="Q19104"/>
      <c r="R19104"/>
      <c r="S19104"/>
    </row>
    <row r="19105" spans="13:19" ht="13.95" customHeight="1">
      <c r="M19105"/>
      <c r="N19105"/>
      <c r="O19105"/>
      <c r="P19105"/>
      <c r="Q19105"/>
      <c r="R19105"/>
      <c r="S19105"/>
    </row>
    <row r="19106" spans="13:19" ht="13.95" customHeight="1">
      <c r="M19106"/>
      <c r="N19106"/>
      <c r="O19106"/>
      <c r="P19106"/>
      <c r="Q19106"/>
      <c r="R19106"/>
      <c r="S19106"/>
    </row>
    <row r="19107" spans="13:19" ht="13.95" customHeight="1">
      <c r="M19107"/>
      <c r="N19107"/>
      <c r="O19107"/>
      <c r="P19107"/>
      <c r="Q19107"/>
      <c r="R19107"/>
      <c r="S19107"/>
    </row>
    <row r="19108" spans="13:19" ht="13.95" customHeight="1">
      <c r="M19108"/>
      <c r="N19108"/>
      <c r="O19108"/>
      <c r="P19108"/>
      <c r="Q19108"/>
      <c r="R19108"/>
      <c r="S19108"/>
    </row>
    <row r="19109" spans="13:19" ht="13.95" customHeight="1">
      <c r="M19109"/>
      <c r="N19109"/>
      <c r="O19109"/>
      <c r="P19109"/>
      <c r="Q19109"/>
      <c r="R19109"/>
      <c r="S19109"/>
    </row>
    <row r="19110" spans="13:19" ht="13.95" customHeight="1">
      <c r="M19110"/>
      <c r="N19110"/>
      <c r="O19110"/>
      <c r="P19110"/>
      <c r="Q19110"/>
      <c r="R19110"/>
      <c r="S19110"/>
    </row>
    <row r="19111" spans="13:19" ht="13.95" customHeight="1">
      <c r="M19111"/>
      <c r="N19111"/>
      <c r="O19111"/>
      <c r="P19111"/>
      <c r="Q19111"/>
      <c r="R19111"/>
      <c r="S19111"/>
    </row>
    <row r="19112" spans="13:19" ht="13.95" customHeight="1">
      <c r="M19112"/>
      <c r="N19112"/>
      <c r="O19112"/>
      <c r="P19112"/>
      <c r="Q19112"/>
      <c r="R19112"/>
      <c r="S19112"/>
    </row>
    <row r="19113" spans="13:19" ht="13.95" customHeight="1">
      <c r="M19113"/>
      <c r="N19113"/>
      <c r="O19113"/>
      <c r="P19113"/>
      <c r="Q19113"/>
      <c r="R19113"/>
      <c r="S19113"/>
    </row>
    <row r="19114" spans="13:19" ht="13.95" customHeight="1">
      <c r="M19114"/>
      <c r="N19114"/>
      <c r="O19114"/>
      <c r="P19114"/>
      <c r="Q19114"/>
      <c r="R19114"/>
      <c r="S19114"/>
    </row>
    <row r="19115" spans="13:19" ht="13.95" customHeight="1">
      <c r="M19115"/>
      <c r="N19115"/>
      <c r="O19115"/>
      <c r="P19115"/>
      <c r="Q19115"/>
      <c r="R19115"/>
      <c r="S19115"/>
    </row>
    <row r="19116" spans="13:19" ht="13.95" customHeight="1">
      <c r="M19116"/>
      <c r="N19116"/>
      <c r="O19116"/>
      <c r="P19116"/>
      <c r="Q19116"/>
      <c r="R19116"/>
      <c r="S19116"/>
    </row>
    <row r="19117" spans="13:19" ht="13.95" customHeight="1">
      <c r="M19117"/>
      <c r="N19117"/>
      <c r="O19117"/>
      <c r="P19117"/>
      <c r="Q19117"/>
      <c r="R19117"/>
      <c r="S19117"/>
    </row>
    <row r="19118" spans="13:19" ht="13.95" customHeight="1">
      <c r="M19118"/>
      <c r="N19118"/>
      <c r="O19118"/>
      <c r="P19118"/>
      <c r="Q19118"/>
      <c r="R19118"/>
      <c r="S19118"/>
    </row>
    <row r="19119" spans="13:19" ht="13.95" customHeight="1">
      <c r="M19119"/>
      <c r="N19119"/>
      <c r="O19119"/>
      <c r="P19119"/>
      <c r="Q19119"/>
      <c r="R19119"/>
      <c r="S19119"/>
    </row>
    <row r="19120" spans="13:19" ht="13.95" customHeight="1">
      <c r="M19120"/>
      <c r="N19120"/>
      <c r="O19120"/>
      <c r="P19120"/>
      <c r="Q19120"/>
      <c r="R19120"/>
      <c r="S19120"/>
    </row>
    <row r="19121" spans="13:19" ht="13.95" customHeight="1">
      <c r="M19121"/>
      <c r="N19121"/>
      <c r="O19121"/>
      <c r="P19121"/>
      <c r="Q19121"/>
      <c r="R19121"/>
      <c r="S19121"/>
    </row>
    <row r="19122" spans="13:19" ht="13.95" customHeight="1">
      <c r="M19122"/>
      <c r="N19122"/>
      <c r="O19122"/>
      <c r="P19122"/>
      <c r="Q19122"/>
      <c r="R19122"/>
      <c r="S19122"/>
    </row>
    <row r="19123" spans="13:19" ht="13.95" customHeight="1">
      <c r="M19123"/>
      <c r="N19123"/>
      <c r="O19123"/>
      <c r="P19123"/>
      <c r="Q19123"/>
      <c r="R19123"/>
      <c r="S19123"/>
    </row>
    <row r="19124" spans="13:19" ht="13.95" customHeight="1">
      <c r="M19124"/>
      <c r="N19124"/>
      <c r="O19124"/>
      <c r="P19124"/>
      <c r="Q19124"/>
      <c r="R19124"/>
      <c r="S19124"/>
    </row>
    <row r="19125" spans="13:19" ht="13.95" customHeight="1">
      <c r="M19125"/>
      <c r="N19125"/>
      <c r="O19125"/>
      <c r="P19125"/>
      <c r="Q19125"/>
      <c r="R19125"/>
      <c r="S19125"/>
    </row>
    <row r="19126" spans="13:19" ht="13.95" customHeight="1">
      <c r="M19126"/>
      <c r="N19126"/>
      <c r="O19126"/>
      <c r="P19126"/>
      <c r="Q19126"/>
      <c r="R19126"/>
      <c r="S19126"/>
    </row>
    <row r="19127" spans="13:19" ht="13.95" customHeight="1">
      <c r="M19127"/>
      <c r="N19127"/>
      <c r="O19127"/>
      <c r="P19127"/>
      <c r="Q19127"/>
      <c r="R19127"/>
      <c r="S19127"/>
    </row>
    <row r="19128" spans="13:19" ht="13.95" customHeight="1">
      <c r="M19128"/>
      <c r="N19128"/>
      <c r="O19128"/>
      <c r="P19128"/>
      <c r="Q19128"/>
      <c r="R19128"/>
      <c r="S19128"/>
    </row>
    <row r="19129" spans="13:19" ht="13.95" customHeight="1">
      <c r="M19129"/>
      <c r="N19129"/>
      <c r="O19129"/>
      <c r="P19129"/>
      <c r="Q19129"/>
      <c r="R19129"/>
      <c r="S19129"/>
    </row>
    <row r="19130" spans="13:19" ht="13.95" customHeight="1">
      <c r="M19130"/>
      <c r="N19130"/>
      <c r="O19130"/>
      <c r="P19130"/>
      <c r="Q19130"/>
      <c r="R19130"/>
      <c r="S19130"/>
    </row>
    <row r="19131" spans="13:19" ht="13.95" customHeight="1">
      <c r="M19131"/>
      <c r="N19131"/>
      <c r="O19131"/>
      <c r="P19131"/>
      <c r="Q19131"/>
      <c r="R19131"/>
      <c r="S19131"/>
    </row>
    <row r="19132" spans="13:19" ht="13.95" customHeight="1">
      <c r="M19132"/>
      <c r="N19132"/>
      <c r="O19132"/>
      <c r="P19132"/>
      <c r="Q19132"/>
      <c r="R19132"/>
      <c r="S19132"/>
    </row>
    <row r="19133" spans="13:19" ht="13.95" customHeight="1">
      <c r="M19133"/>
      <c r="N19133"/>
      <c r="O19133"/>
      <c r="P19133"/>
      <c r="Q19133"/>
      <c r="R19133"/>
      <c r="S19133"/>
    </row>
    <row r="19134" spans="13:19" ht="13.95" customHeight="1">
      <c r="M19134"/>
      <c r="N19134"/>
      <c r="O19134"/>
      <c r="P19134"/>
      <c r="Q19134"/>
      <c r="R19134"/>
      <c r="S19134"/>
    </row>
    <row r="19135" spans="13:19" ht="13.95" customHeight="1">
      <c r="M19135"/>
      <c r="N19135"/>
      <c r="O19135"/>
      <c r="P19135"/>
      <c r="Q19135"/>
      <c r="R19135"/>
      <c r="S19135"/>
    </row>
    <row r="19136" spans="13:19" ht="13.95" customHeight="1">
      <c r="M19136"/>
      <c r="N19136"/>
      <c r="O19136"/>
      <c r="P19136"/>
      <c r="Q19136"/>
      <c r="R19136"/>
      <c r="S19136"/>
    </row>
    <row r="19137" spans="13:19" ht="13.95" customHeight="1">
      <c r="M19137"/>
      <c r="N19137"/>
      <c r="O19137"/>
      <c r="P19137"/>
      <c r="Q19137"/>
      <c r="R19137"/>
      <c r="S19137"/>
    </row>
    <row r="19138" spans="13:19" ht="13.95" customHeight="1">
      <c r="M19138"/>
      <c r="N19138"/>
      <c r="O19138"/>
      <c r="P19138"/>
      <c r="Q19138"/>
      <c r="R19138"/>
      <c r="S19138"/>
    </row>
    <row r="19139" spans="13:19" ht="13.95" customHeight="1">
      <c r="M19139"/>
      <c r="N19139"/>
      <c r="O19139"/>
      <c r="P19139"/>
      <c r="Q19139"/>
      <c r="R19139"/>
      <c r="S19139"/>
    </row>
    <row r="19140" spans="13:19" ht="13.95" customHeight="1">
      <c r="M19140"/>
      <c r="N19140"/>
      <c r="O19140"/>
      <c r="P19140"/>
      <c r="Q19140"/>
      <c r="R19140"/>
      <c r="S19140"/>
    </row>
    <row r="19141" spans="13:19" ht="13.95" customHeight="1">
      <c r="M19141"/>
      <c r="N19141"/>
      <c r="O19141"/>
      <c r="P19141"/>
      <c r="Q19141"/>
      <c r="R19141"/>
      <c r="S19141"/>
    </row>
    <row r="19142" spans="13:19" ht="13.95" customHeight="1">
      <c r="M19142"/>
      <c r="N19142"/>
      <c r="O19142"/>
      <c r="P19142"/>
      <c r="Q19142"/>
      <c r="R19142"/>
      <c r="S19142"/>
    </row>
    <row r="19143" spans="13:19" ht="13.95" customHeight="1">
      <c r="M19143"/>
      <c r="N19143"/>
      <c r="O19143"/>
      <c r="P19143"/>
      <c r="Q19143"/>
      <c r="R19143"/>
      <c r="S19143"/>
    </row>
    <row r="19144" spans="13:19" ht="13.95" customHeight="1">
      <c r="M19144"/>
      <c r="N19144"/>
      <c r="O19144"/>
      <c r="P19144"/>
      <c r="Q19144"/>
      <c r="R19144"/>
      <c r="S19144"/>
    </row>
    <row r="19145" spans="13:19" ht="13.95" customHeight="1">
      <c r="M19145"/>
      <c r="N19145"/>
      <c r="O19145"/>
      <c r="P19145"/>
      <c r="Q19145"/>
      <c r="R19145"/>
      <c r="S19145"/>
    </row>
    <row r="19146" spans="13:19" ht="13.95" customHeight="1">
      <c r="M19146"/>
      <c r="N19146"/>
      <c r="O19146"/>
      <c r="P19146"/>
      <c r="Q19146"/>
      <c r="R19146"/>
      <c r="S19146"/>
    </row>
    <row r="19147" spans="13:19" ht="13.95" customHeight="1">
      <c r="M19147"/>
      <c r="N19147"/>
      <c r="O19147"/>
      <c r="P19147"/>
      <c r="Q19147"/>
      <c r="R19147"/>
      <c r="S19147"/>
    </row>
    <row r="19148" spans="13:19" ht="13.95" customHeight="1">
      <c r="M19148"/>
      <c r="N19148"/>
      <c r="O19148"/>
      <c r="P19148"/>
      <c r="Q19148"/>
      <c r="R19148"/>
      <c r="S19148"/>
    </row>
    <row r="19149" spans="13:19" ht="13.95" customHeight="1">
      <c r="M19149"/>
      <c r="N19149"/>
      <c r="O19149"/>
      <c r="P19149"/>
      <c r="Q19149"/>
      <c r="R19149"/>
      <c r="S19149"/>
    </row>
    <row r="19150" spans="13:19" ht="13.95" customHeight="1">
      <c r="M19150"/>
      <c r="N19150"/>
      <c r="O19150"/>
      <c r="P19150"/>
      <c r="Q19150"/>
      <c r="R19150"/>
      <c r="S19150"/>
    </row>
    <row r="19151" spans="13:19" ht="13.95" customHeight="1">
      <c r="M19151"/>
      <c r="N19151"/>
      <c r="O19151"/>
      <c r="P19151"/>
      <c r="Q19151"/>
      <c r="R19151"/>
      <c r="S19151"/>
    </row>
    <row r="19152" spans="13:19" ht="13.95" customHeight="1">
      <c r="M19152"/>
      <c r="N19152"/>
      <c r="O19152"/>
      <c r="P19152"/>
      <c r="Q19152"/>
      <c r="R19152"/>
      <c r="S19152"/>
    </row>
    <row r="19153" spans="13:19" ht="13.95" customHeight="1">
      <c r="M19153"/>
      <c r="N19153"/>
      <c r="O19153"/>
      <c r="P19153"/>
      <c r="Q19153"/>
      <c r="R19153"/>
      <c r="S19153"/>
    </row>
    <row r="19154" spans="13:19" ht="13.95" customHeight="1">
      <c r="M19154"/>
      <c r="N19154"/>
      <c r="O19154"/>
      <c r="P19154"/>
      <c r="Q19154"/>
      <c r="R19154"/>
      <c r="S19154"/>
    </row>
    <row r="19155" spans="13:19" ht="13.95" customHeight="1">
      <c r="M19155"/>
      <c r="N19155"/>
      <c r="O19155"/>
      <c r="P19155"/>
      <c r="Q19155"/>
      <c r="R19155"/>
      <c r="S19155"/>
    </row>
    <row r="19156" spans="13:19" ht="13.95" customHeight="1">
      <c r="M19156"/>
      <c r="N19156"/>
      <c r="O19156"/>
      <c r="P19156"/>
      <c r="Q19156"/>
      <c r="R19156"/>
      <c r="S19156"/>
    </row>
    <row r="19157" spans="13:19" ht="13.95" customHeight="1">
      <c r="M19157"/>
      <c r="N19157"/>
      <c r="O19157"/>
      <c r="P19157"/>
      <c r="Q19157"/>
      <c r="R19157"/>
      <c r="S19157"/>
    </row>
    <row r="19158" spans="13:19" ht="13.95" customHeight="1">
      <c r="M19158"/>
      <c r="N19158"/>
      <c r="O19158"/>
      <c r="P19158"/>
      <c r="Q19158"/>
      <c r="R19158"/>
      <c r="S19158"/>
    </row>
    <row r="19159" spans="13:19" ht="13.95" customHeight="1">
      <c r="M19159"/>
      <c r="N19159"/>
      <c r="O19159"/>
      <c r="P19159"/>
      <c r="Q19159"/>
      <c r="R19159"/>
      <c r="S19159"/>
    </row>
    <row r="19160" spans="13:19" ht="13.95" customHeight="1">
      <c r="M19160"/>
      <c r="N19160"/>
      <c r="O19160"/>
      <c r="P19160"/>
      <c r="Q19160"/>
      <c r="R19160"/>
      <c r="S19160"/>
    </row>
    <row r="19161" spans="13:19" ht="13.95" customHeight="1">
      <c r="M19161"/>
      <c r="N19161"/>
      <c r="O19161"/>
      <c r="P19161"/>
      <c r="Q19161"/>
      <c r="R19161"/>
      <c r="S19161"/>
    </row>
    <row r="19162" spans="13:19" ht="13.95" customHeight="1">
      <c r="M19162"/>
      <c r="N19162"/>
      <c r="O19162"/>
      <c r="P19162"/>
      <c r="Q19162"/>
      <c r="R19162"/>
      <c r="S19162"/>
    </row>
    <row r="19163" spans="13:19" ht="13.95" customHeight="1">
      <c r="M19163"/>
      <c r="N19163"/>
      <c r="O19163"/>
      <c r="P19163"/>
      <c r="Q19163"/>
      <c r="R19163"/>
      <c r="S19163"/>
    </row>
    <row r="19164" spans="13:19" ht="13.95" customHeight="1">
      <c r="M19164"/>
      <c r="N19164"/>
      <c r="O19164"/>
      <c r="P19164"/>
      <c r="Q19164"/>
      <c r="R19164"/>
      <c r="S19164"/>
    </row>
    <row r="19165" spans="13:19" ht="13.95" customHeight="1">
      <c r="M19165"/>
      <c r="N19165"/>
      <c r="O19165"/>
      <c r="P19165"/>
      <c r="Q19165"/>
      <c r="R19165"/>
      <c r="S19165"/>
    </row>
    <row r="19166" spans="13:19" ht="13.95" customHeight="1">
      <c r="M19166"/>
      <c r="N19166"/>
      <c r="O19166"/>
      <c r="P19166"/>
      <c r="Q19166"/>
      <c r="R19166"/>
      <c r="S19166"/>
    </row>
    <row r="19167" spans="13:19" ht="13.95" customHeight="1">
      <c r="M19167"/>
      <c r="N19167"/>
      <c r="O19167"/>
      <c r="P19167"/>
      <c r="Q19167"/>
      <c r="R19167"/>
      <c r="S19167"/>
    </row>
    <row r="19168" spans="13:19" ht="13.95" customHeight="1">
      <c r="M19168"/>
      <c r="N19168"/>
      <c r="O19168"/>
      <c r="P19168"/>
      <c r="Q19168"/>
      <c r="R19168"/>
      <c r="S19168"/>
    </row>
    <row r="19169" spans="13:19" ht="13.95" customHeight="1">
      <c r="M19169"/>
      <c r="N19169"/>
      <c r="O19169"/>
      <c r="P19169"/>
      <c r="Q19169"/>
      <c r="R19169"/>
      <c r="S19169"/>
    </row>
    <row r="19170" spans="13:19" ht="13.95" customHeight="1">
      <c r="M19170"/>
      <c r="N19170"/>
      <c r="O19170"/>
      <c r="P19170"/>
      <c r="Q19170"/>
      <c r="R19170"/>
      <c r="S19170"/>
    </row>
    <row r="19171" spans="13:19" ht="13.95" customHeight="1">
      <c r="M19171"/>
      <c r="N19171"/>
      <c r="O19171"/>
      <c r="P19171"/>
      <c r="Q19171"/>
      <c r="R19171"/>
      <c r="S19171"/>
    </row>
    <row r="19172" spans="13:19" ht="13.95" customHeight="1">
      <c r="M19172"/>
      <c r="N19172"/>
      <c r="O19172"/>
      <c r="P19172"/>
      <c r="Q19172"/>
      <c r="R19172"/>
      <c r="S19172"/>
    </row>
    <row r="19173" spans="13:19" ht="13.95" customHeight="1">
      <c r="M19173"/>
      <c r="N19173"/>
      <c r="O19173"/>
      <c r="P19173"/>
      <c r="Q19173"/>
      <c r="R19173"/>
      <c r="S19173"/>
    </row>
    <row r="19174" spans="13:19" ht="13.95" customHeight="1">
      <c r="M19174"/>
      <c r="N19174"/>
      <c r="O19174"/>
      <c r="P19174"/>
      <c r="Q19174"/>
      <c r="R19174"/>
      <c r="S19174"/>
    </row>
    <row r="19175" spans="13:19" ht="13.95" customHeight="1">
      <c r="M19175"/>
      <c r="N19175"/>
      <c r="O19175"/>
      <c r="P19175"/>
      <c r="Q19175"/>
      <c r="R19175"/>
      <c r="S19175"/>
    </row>
    <row r="19176" spans="13:19" ht="13.95" customHeight="1">
      <c r="M19176"/>
      <c r="N19176"/>
      <c r="O19176"/>
      <c r="P19176"/>
      <c r="Q19176"/>
      <c r="R19176"/>
      <c r="S19176"/>
    </row>
    <row r="19177" spans="13:19" ht="13.95" customHeight="1">
      <c r="M19177"/>
      <c r="N19177"/>
      <c r="O19177"/>
      <c r="P19177"/>
      <c r="Q19177"/>
      <c r="R19177"/>
      <c r="S19177"/>
    </row>
    <row r="19178" spans="13:19" ht="13.95" customHeight="1">
      <c r="M19178"/>
      <c r="N19178"/>
      <c r="O19178"/>
      <c r="P19178"/>
      <c r="Q19178"/>
      <c r="R19178"/>
      <c r="S19178"/>
    </row>
    <row r="19179" spans="13:19" ht="13.95" customHeight="1">
      <c r="M19179"/>
      <c r="N19179"/>
      <c r="O19179"/>
      <c r="P19179"/>
      <c r="Q19179"/>
      <c r="R19179"/>
      <c r="S19179"/>
    </row>
    <row r="19180" spans="13:19" ht="13.95" customHeight="1">
      <c r="M19180"/>
      <c r="N19180"/>
      <c r="O19180"/>
      <c r="P19180"/>
      <c r="Q19180"/>
      <c r="R19180"/>
      <c r="S19180"/>
    </row>
    <row r="19181" spans="13:19" ht="13.95" customHeight="1">
      <c r="M19181"/>
      <c r="N19181"/>
      <c r="O19181"/>
      <c r="P19181"/>
      <c r="Q19181"/>
      <c r="R19181"/>
      <c r="S19181"/>
    </row>
    <row r="19182" spans="13:19" ht="13.95" customHeight="1">
      <c r="M19182"/>
      <c r="N19182"/>
      <c r="O19182"/>
      <c r="P19182"/>
      <c r="Q19182"/>
      <c r="R19182"/>
      <c r="S19182"/>
    </row>
    <row r="19183" spans="13:19" ht="13.95" customHeight="1">
      <c r="M19183"/>
      <c r="N19183"/>
      <c r="O19183"/>
      <c r="P19183"/>
      <c r="Q19183"/>
      <c r="R19183"/>
      <c r="S19183"/>
    </row>
    <row r="19184" spans="13:19" ht="13.95" customHeight="1">
      <c r="M19184"/>
      <c r="N19184"/>
      <c r="O19184"/>
      <c r="P19184"/>
      <c r="Q19184"/>
      <c r="R19184"/>
      <c r="S19184"/>
    </row>
    <row r="19185" spans="13:19" ht="13.95" customHeight="1">
      <c r="M19185"/>
      <c r="N19185"/>
      <c r="O19185"/>
      <c r="P19185"/>
      <c r="Q19185"/>
      <c r="R19185"/>
      <c r="S19185"/>
    </row>
    <row r="19186" spans="13:19" ht="13.95" customHeight="1">
      <c r="M19186"/>
      <c r="N19186"/>
      <c r="O19186"/>
      <c r="P19186"/>
      <c r="Q19186"/>
      <c r="R19186"/>
      <c r="S19186"/>
    </row>
    <row r="19187" spans="13:19" ht="13.95" customHeight="1">
      <c r="M19187"/>
      <c r="N19187"/>
      <c r="O19187"/>
      <c r="P19187"/>
      <c r="Q19187"/>
      <c r="R19187"/>
      <c r="S19187"/>
    </row>
    <row r="19188" spans="13:19" ht="13.95" customHeight="1">
      <c r="M19188"/>
      <c r="N19188"/>
      <c r="O19188"/>
      <c r="P19188"/>
      <c r="Q19188"/>
      <c r="R19188"/>
      <c r="S19188"/>
    </row>
    <row r="19189" spans="13:19" ht="13.95" customHeight="1">
      <c r="M19189"/>
      <c r="N19189"/>
      <c r="O19189"/>
      <c r="P19189"/>
      <c r="Q19189"/>
      <c r="R19189"/>
      <c r="S19189"/>
    </row>
    <row r="19190" spans="13:19" ht="13.95" customHeight="1">
      <c r="M19190"/>
      <c r="N19190"/>
      <c r="O19190"/>
      <c r="P19190"/>
      <c r="Q19190"/>
      <c r="R19190"/>
      <c r="S19190"/>
    </row>
    <row r="19191" spans="13:19" ht="13.95" customHeight="1">
      <c r="M19191"/>
      <c r="N19191"/>
      <c r="O19191"/>
      <c r="P19191"/>
      <c r="Q19191"/>
      <c r="R19191"/>
      <c r="S19191"/>
    </row>
    <row r="19192" spans="13:19" ht="13.95" customHeight="1">
      <c r="M19192"/>
      <c r="N19192"/>
      <c r="O19192"/>
      <c r="P19192"/>
      <c r="Q19192"/>
      <c r="R19192"/>
      <c r="S19192"/>
    </row>
    <row r="19193" spans="13:19" ht="13.95" customHeight="1">
      <c r="M19193"/>
      <c r="N19193"/>
      <c r="O19193"/>
      <c r="P19193"/>
      <c r="Q19193"/>
      <c r="R19193"/>
      <c r="S19193"/>
    </row>
    <row r="19194" spans="13:19" ht="13.95" customHeight="1">
      <c r="M19194"/>
      <c r="N19194"/>
      <c r="O19194"/>
      <c r="P19194"/>
      <c r="Q19194"/>
      <c r="R19194"/>
      <c r="S19194"/>
    </row>
    <row r="19195" spans="13:19" ht="13.95" customHeight="1">
      <c r="M19195"/>
      <c r="N19195"/>
      <c r="O19195"/>
      <c r="P19195"/>
      <c r="Q19195"/>
      <c r="R19195"/>
      <c r="S19195"/>
    </row>
    <row r="19196" spans="13:19" ht="13.95" customHeight="1">
      <c r="M19196"/>
      <c r="N19196"/>
      <c r="O19196"/>
      <c r="P19196"/>
      <c r="Q19196"/>
      <c r="R19196"/>
      <c r="S19196"/>
    </row>
    <row r="19197" spans="13:19" ht="13.95" customHeight="1">
      <c r="M19197"/>
      <c r="N19197"/>
      <c r="O19197"/>
      <c r="P19197"/>
      <c r="Q19197"/>
      <c r="R19197"/>
      <c r="S19197"/>
    </row>
    <row r="19198" spans="13:19" ht="13.95" customHeight="1">
      <c r="M19198"/>
      <c r="N19198"/>
      <c r="O19198"/>
      <c r="P19198"/>
      <c r="Q19198"/>
      <c r="R19198"/>
      <c r="S19198"/>
    </row>
    <row r="19199" spans="13:19" ht="13.95" customHeight="1">
      <c r="M19199"/>
      <c r="N19199"/>
      <c r="O19199"/>
      <c r="P19199"/>
      <c r="Q19199"/>
      <c r="R19199"/>
      <c r="S19199"/>
    </row>
    <row r="19200" spans="13:19" ht="13.95" customHeight="1">
      <c r="M19200"/>
      <c r="N19200"/>
      <c r="O19200"/>
      <c r="P19200"/>
      <c r="Q19200"/>
      <c r="R19200"/>
      <c r="S19200"/>
    </row>
    <row r="19201" spans="13:19" ht="13.95" customHeight="1">
      <c r="M19201"/>
      <c r="N19201"/>
      <c r="O19201"/>
      <c r="P19201"/>
      <c r="Q19201"/>
      <c r="R19201"/>
      <c r="S19201"/>
    </row>
    <row r="19202" spans="13:19" ht="13.95" customHeight="1">
      <c r="M19202"/>
      <c r="N19202"/>
      <c r="O19202"/>
      <c r="P19202"/>
      <c r="Q19202"/>
      <c r="R19202"/>
      <c r="S19202"/>
    </row>
    <row r="19203" spans="13:19" ht="13.95" customHeight="1">
      <c r="M19203"/>
      <c r="N19203"/>
      <c r="O19203"/>
      <c r="P19203"/>
      <c r="Q19203"/>
      <c r="R19203"/>
      <c r="S19203"/>
    </row>
    <row r="19204" spans="13:19" ht="13.95" customHeight="1">
      <c r="M19204"/>
      <c r="N19204"/>
      <c r="O19204"/>
      <c r="P19204"/>
      <c r="Q19204"/>
      <c r="R19204"/>
      <c r="S19204"/>
    </row>
    <row r="19205" spans="13:19" ht="13.95" customHeight="1">
      <c r="M19205"/>
      <c r="N19205"/>
      <c r="O19205"/>
      <c r="P19205"/>
      <c r="Q19205"/>
      <c r="R19205"/>
      <c r="S19205"/>
    </row>
    <row r="19206" spans="13:19" ht="13.95" customHeight="1">
      <c r="M19206"/>
      <c r="N19206"/>
      <c r="O19206"/>
      <c r="P19206"/>
      <c r="Q19206"/>
      <c r="R19206"/>
      <c r="S19206"/>
    </row>
    <row r="19207" spans="13:19" ht="13.95" customHeight="1">
      <c r="M19207"/>
      <c r="N19207"/>
      <c r="O19207"/>
      <c r="P19207"/>
      <c r="Q19207"/>
      <c r="R19207"/>
      <c r="S19207"/>
    </row>
    <row r="19208" spans="13:19" ht="13.95" customHeight="1">
      <c r="M19208"/>
      <c r="N19208"/>
      <c r="O19208"/>
      <c r="P19208"/>
      <c r="Q19208"/>
      <c r="R19208"/>
      <c r="S19208"/>
    </row>
    <row r="19209" spans="13:19" ht="13.95" customHeight="1">
      <c r="M19209"/>
      <c r="N19209"/>
      <c r="O19209"/>
      <c r="P19209"/>
      <c r="Q19209"/>
      <c r="R19209"/>
      <c r="S19209"/>
    </row>
    <row r="19210" spans="13:19" ht="13.95" customHeight="1">
      <c r="M19210"/>
      <c r="N19210"/>
      <c r="O19210"/>
      <c r="P19210"/>
      <c r="Q19210"/>
      <c r="R19210"/>
      <c r="S19210"/>
    </row>
    <row r="19211" spans="13:19" ht="13.95" customHeight="1">
      <c r="M19211"/>
      <c r="N19211"/>
      <c r="O19211"/>
      <c r="P19211"/>
      <c r="Q19211"/>
      <c r="R19211"/>
      <c r="S19211"/>
    </row>
    <row r="19212" spans="13:19" ht="13.95" customHeight="1">
      <c r="M19212"/>
      <c r="N19212"/>
      <c r="O19212"/>
      <c r="P19212"/>
      <c r="Q19212"/>
      <c r="R19212"/>
      <c r="S19212"/>
    </row>
    <row r="19213" spans="13:19" ht="13.95" customHeight="1">
      <c r="M19213"/>
      <c r="N19213"/>
      <c r="O19213"/>
      <c r="P19213"/>
      <c r="Q19213"/>
      <c r="R19213"/>
      <c r="S19213"/>
    </row>
    <row r="19214" spans="13:19" ht="13.95" customHeight="1">
      <c r="M19214"/>
      <c r="N19214"/>
      <c r="O19214"/>
      <c r="P19214"/>
      <c r="Q19214"/>
      <c r="R19214"/>
      <c r="S19214"/>
    </row>
    <row r="19215" spans="13:19" ht="13.95" customHeight="1">
      <c r="M19215"/>
      <c r="N19215"/>
      <c r="O19215"/>
      <c r="P19215"/>
      <c r="Q19215"/>
      <c r="R19215"/>
      <c r="S19215"/>
    </row>
    <row r="19216" spans="13:19" ht="13.95" customHeight="1">
      <c r="M19216"/>
      <c r="N19216"/>
      <c r="O19216"/>
      <c r="P19216"/>
      <c r="Q19216"/>
      <c r="R19216"/>
      <c r="S19216"/>
    </row>
    <row r="19217" spans="13:19" ht="13.95" customHeight="1">
      <c r="M19217"/>
      <c r="N19217"/>
      <c r="O19217"/>
      <c r="P19217"/>
      <c r="Q19217"/>
      <c r="R19217"/>
      <c r="S19217"/>
    </row>
    <row r="19218" spans="13:19" ht="13.95" customHeight="1">
      <c r="M19218"/>
      <c r="N19218"/>
      <c r="O19218"/>
      <c r="P19218"/>
      <c r="Q19218"/>
      <c r="R19218"/>
      <c r="S19218"/>
    </row>
    <row r="19219" spans="13:19" ht="13.95" customHeight="1">
      <c r="M19219"/>
      <c r="N19219"/>
      <c r="O19219"/>
      <c r="P19219"/>
      <c r="Q19219"/>
      <c r="R19219"/>
      <c r="S19219"/>
    </row>
    <row r="19220" spans="13:19" ht="13.95" customHeight="1">
      <c r="M19220"/>
      <c r="N19220"/>
      <c r="O19220"/>
      <c r="P19220"/>
      <c r="Q19220"/>
      <c r="R19220"/>
      <c r="S19220"/>
    </row>
    <row r="19221" spans="13:19" ht="13.95" customHeight="1">
      <c r="M19221"/>
      <c r="N19221"/>
      <c r="O19221"/>
      <c r="P19221"/>
      <c r="Q19221"/>
      <c r="R19221"/>
      <c r="S19221"/>
    </row>
    <row r="19222" spans="13:19" ht="13.95" customHeight="1">
      <c r="M19222"/>
      <c r="N19222"/>
      <c r="O19222"/>
      <c r="P19222"/>
      <c r="Q19222"/>
      <c r="R19222"/>
      <c r="S19222"/>
    </row>
    <row r="19223" spans="13:19" ht="13.95" customHeight="1">
      <c r="M19223"/>
      <c r="N19223"/>
      <c r="O19223"/>
      <c r="P19223"/>
      <c r="Q19223"/>
      <c r="R19223"/>
      <c r="S19223"/>
    </row>
    <row r="19224" spans="13:19" ht="13.95" customHeight="1">
      <c r="M19224"/>
      <c r="N19224"/>
      <c r="O19224"/>
      <c r="P19224"/>
      <c r="Q19224"/>
      <c r="R19224"/>
      <c r="S19224"/>
    </row>
    <row r="19225" spans="13:19" ht="13.95" customHeight="1">
      <c r="M19225"/>
      <c r="N19225"/>
      <c r="O19225"/>
      <c r="P19225"/>
      <c r="Q19225"/>
      <c r="R19225"/>
      <c r="S19225"/>
    </row>
    <row r="19226" spans="13:19" ht="13.95" customHeight="1">
      <c r="M19226"/>
      <c r="N19226"/>
      <c r="O19226"/>
      <c r="P19226"/>
      <c r="Q19226"/>
      <c r="R19226"/>
      <c r="S19226"/>
    </row>
    <row r="19227" spans="13:19" ht="13.95" customHeight="1">
      <c r="M19227"/>
      <c r="N19227"/>
      <c r="O19227"/>
      <c r="P19227"/>
      <c r="Q19227"/>
      <c r="R19227"/>
      <c r="S19227"/>
    </row>
    <row r="19228" spans="13:19" ht="13.95" customHeight="1">
      <c r="M19228"/>
      <c r="N19228"/>
      <c r="O19228"/>
      <c r="P19228"/>
      <c r="Q19228"/>
      <c r="R19228"/>
      <c r="S19228"/>
    </row>
    <row r="19229" spans="13:19" ht="13.95" customHeight="1">
      <c r="M19229"/>
      <c r="N19229"/>
      <c r="O19229"/>
      <c r="P19229"/>
      <c r="Q19229"/>
      <c r="R19229"/>
      <c r="S19229"/>
    </row>
    <row r="19230" spans="13:19" ht="13.95" customHeight="1">
      <c r="M19230"/>
      <c r="N19230"/>
      <c r="O19230"/>
      <c r="P19230"/>
      <c r="Q19230"/>
      <c r="R19230"/>
      <c r="S19230"/>
    </row>
    <row r="19231" spans="13:19" ht="13.95" customHeight="1">
      <c r="M19231"/>
      <c r="N19231"/>
      <c r="O19231"/>
      <c r="P19231"/>
      <c r="Q19231"/>
      <c r="R19231"/>
      <c r="S19231"/>
    </row>
    <row r="19232" spans="13:19" ht="13.95" customHeight="1">
      <c r="M19232"/>
      <c r="N19232"/>
      <c r="O19232"/>
      <c r="P19232"/>
      <c r="Q19232"/>
      <c r="R19232"/>
      <c r="S19232"/>
    </row>
    <row r="19233" spans="13:19" ht="13.95" customHeight="1">
      <c r="M19233"/>
      <c r="N19233"/>
      <c r="O19233"/>
      <c r="P19233"/>
      <c r="Q19233"/>
      <c r="R19233"/>
      <c r="S19233"/>
    </row>
    <row r="19234" spans="13:19" ht="13.95" customHeight="1">
      <c r="M19234"/>
      <c r="N19234"/>
      <c r="O19234"/>
      <c r="P19234"/>
      <c r="Q19234"/>
      <c r="R19234"/>
      <c r="S19234"/>
    </row>
    <row r="19235" spans="13:19" ht="13.95" customHeight="1">
      <c r="M19235"/>
      <c r="N19235"/>
      <c r="O19235"/>
      <c r="P19235"/>
      <c r="Q19235"/>
      <c r="R19235"/>
      <c r="S19235"/>
    </row>
    <row r="19236" spans="13:19" ht="13.95" customHeight="1">
      <c r="M19236"/>
      <c r="N19236"/>
      <c r="O19236"/>
      <c r="P19236"/>
      <c r="Q19236"/>
      <c r="R19236"/>
      <c r="S19236"/>
    </row>
    <row r="19237" spans="13:19" ht="13.95" customHeight="1">
      <c r="M19237"/>
      <c r="N19237"/>
      <c r="O19237"/>
      <c r="P19237"/>
      <c r="Q19237"/>
      <c r="R19237"/>
      <c r="S19237"/>
    </row>
    <row r="19238" spans="13:19" ht="13.95" customHeight="1">
      <c r="M19238"/>
      <c r="N19238"/>
      <c r="O19238"/>
      <c r="P19238"/>
      <c r="Q19238"/>
      <c r="R19238"/>
      <c r="S19238"/>
    </row>
    <row r="19239" spans="13:19" ht="13.95" customHeight="1">
      <c r="M19239"/>
      <c r="N19239"/>
      <c r="O19239"/>
      <c r="P19239"/>
      <c r="Q19239"/>
      <c r="R19239"/>
      <c r="S19239"/>
    </row>
    <row r="19240" spans="13:19" ht="13.95" customHeight="1">
      <c r="M19240"/>
      <c r="N19240"/>
      <c r="O19240"/>
      <c r="P19240"/>
      <c r="Q19240"/>
      <c r="R19240"/>
      <c r="S19240"/>
    </row>
    <row r="19241" spans="13:19" ht="13.95" customHeight="1">
      <c r="M19241"/>
      <c r="N19241"/>
      <c r="O19241"/>
      <c r="P19241"/>
      <c r="Q19241"/>
      <c r="R19241"/>
      <c r="S19241"/>
    </row>
    <row r="19242" spans="13:19" ht="13.95" customHeight="1">
      <c r="M19242"/>
      <c r="N19242"/>
      <c r="O19242"/>
      <c r="P19242"/>
      <c r="Q19242"/>
      <c r="R19242"/>
      <c r="S19242"/>
    </row>
    <row r="19243" spans="13:19" ht="13.95" customHeight="1">
      <c r="M19243"/>
      <c r="N19243"/>
      <c r="O19243"/>
      <c r="P19243"/>
      <c r="Q19243"/>
      <c r="R19243"/>
      <c r="S19243"/>
    </row>
    <row r="19244" spans="13:19" ht="13.95" customHeight="1">
      <c r="M19244"/>
      <c r="N19244"/>
      <c r="O19244"/>
      <c r="P19244"/>
      <c r="Q19244"/>
      <c r="R19244"/>
      <c r="S19244"/>
    </row>
    <row r="19245" spans="13:19" ht="13.95" customHeight="1">
      <c r="M19245"/>
      <c r="N19245"/>
      <c r="O19245"/>
      <c r="P19245"/>
      <c r="Q19245"/>
      <c r="R19245"/>
      <c r="S19245"/>
    </row>
    <row r="19246" spans="13:19" ht="13.95" customHeight="1">
      <c r="M19246"/>
      <c r="N19246"/>
      <c r="O19246"/>
      <c r="P19246"/>
      <c r="Q19246"/>
      <c r="R19246"/>
      <c r="S19246"/>
    </row>
    <row r="19247" spans="13:19" ht="13.95" customHeight="1">
      <c r="M19247"/>
      <c r="N19247"/>
      <c r="O19247"/>
      <c r="P19247"/>
      <c r="Q19247"/>
      <c r="R19247"/>
      <c r="S19247"/>
    </row>
    <row r="19248" spans="13:19" ht="13.95" customHeight="1">
      <c r="M19248"/>
      <c r="N19248"/>
      <c r="O19248"/>
      <c r="P19248"/>
      <c r="Q19248"/>
      <c r="R19248"/>
      <c r="S19248"/>
    </row>
    <row r="19249" spans="13:19" ht="13.95" customHeight="1">
      <c r="M19249"/>
      <c r="N19249"/>
      <c r="O19249"/>
      <c r="P19249"/>
      <c r="Q19249"/>
      <c r="R19249"/>
      <c r="S19249"/>
    </row>
    <row r="19250" spans="13:19" ht="13.95" customHeight="1">
      <c r="M19250"/>
      <c r="N19250"/>
      <c r="O19250"/>
      <c r="P19250"/>
      <c r="Q19250"/>
      <c r="R19250"/>
      <c r="S19250"/>
    </row>
    <row r="19251" spans="13:19" ht="13.95" customHeight="1">
      <c r="M19251"/>
      <c r="N19251"/>
      <c r="O19251"/>
      <c r="P19251"/>
      <c r="Q19251"/>
      <c r="R19251"/>
      <c r="S19251"/>
    </row>
    <row r="19252" spans="13:19" ht="13.95" customHeight="1">
      <c r="M19252"/>
      <c r="N19252"/>
      <c r="O19252"/>
      <c r="P19252"/>
      <c r="Q19252"/>
      <c r="R19252"/>
      <c r="S19252"/>
    </row>
    <row r="19253" spans="13:19" ht="13.95" customHeight="1">
      <c r="M19253"/>
      <c r="N19253"/>
      <c r="O19253"/>
      <c r="P19253"/>
      <c r="Q19253"/>
      <c r="R19253"/>
      <c r="S19253"/>
    </row>
    <row r="19254" spans="13:19" ht="13.95" customHeight="1">
      <c r="M19254"/>
      <c r="N19254"/>
      <c r="O19254"/>
      <c r="P19254"/>
      <c r="Q19254"/>
      <c r="R19254"/>
      <c r="S19254"/>
    </row>
    <row r="19255" spans="13:19" ht="13.95" customHeight="1">
      <c r="M19255"/>
      <c r="N19255"/>
      <c r="O19255"/>
      <c r="P19255"/>
      <c r="Q19255"/>
      <c r="R19255"/>
      <c r="S19255"/>
    </row>
    <row r="19256" spans="13:19" ht="13.95" customHeight="1">
      <c r="M19256"/>
      <c r="N19256"/>
      <c r="O19256"/>
      <c r="P19256"/>
      <c r="Q19256"/>
      <c r="R19256"/>
      <c r="S19256"/>
    </row>
    <row r="19257" spans="13:19" ht="13.95" customHeight="1">
      <c r="M19257"/>
      <c r="N19257"/>
      <c r="O19257"/>
      <c r="P19257"/>
      <c r="Q19257"/>
      <c r="R19257"/>
      <c r="S19257"/>
    </row>
    <row r="19258" spans="13:19" ht="13.95" customHeight="1">
      <c r="M19258"/>
      <c r="N19258"/>
      <c r="O19258"/>
      <c r="P19258"/>
      <c r="Q19258"/>
      <c r="R19258"/>
      <c r="S19258"/>
    </row>
    <row r="19259" spans="13:19" ht="13.95" customHeight="1">
      <c r="M19259"/>
      <c r="N19259"/>
      <c r="O19259"/>
      <c r="P19259"/>
      <c r="Q19259"/>
      <c r="R19259"/>
      <c r="S19259"/>
    </row>
    <row r="19260" spans="13:19" ht="13.95" customHeight="1">
      <c r="M19260"/>
      <c r="N19260"/>
      <c r="O19260"/>
      <c r="P19260"/>
      <c r="Q19260"/>
      <c r="R19260"/>
      <c r="S19260"/>
    </row>
    <row r="19261" spans="13:19" ht="13.95" customHeight="1">
      <c r="M19261"/>
      <c r="N19261"/>
      <c r="O19261"/>
      <c r="P19261"/>
      <c r="Q19261"/>
      <c r="R19261"/>
      <c r="S19261"/>
    </row>
    <row r="19262" spans="13:19" ht="13.95" customHeight="1">
      <c r="M19262"/>
      <c r="N19262"/>
      <c r="O19262"/>
      <c r="P19262"/>
      <c r="Q19262"/>
      <c r="R19262"/>
      <c r="S19262"/>
    </row>
    <row r="19263" spans="13:19" ht="13.95" customHeight="1">
      <c r="M19263"/>
      <c r="N19263"/>
      <c r="O19263"/>
      <c r="P19263"/>
      <c r="Q19263"/>
      <c r="R19263"/>
      <c r="S19263"/>
    </row>
    <row r="19264" spans="13:19" ht="13.95" customHeight="1">
      <c r="M19264"/>
      <c r="N19264"/>
      <c r="O19264"/>
      <c r="P19264"/>
      <c r="Q19264"/>
      <c r="R19264"/>
      <c r="S19264"/>
    </row>
    <row r="19265" spans="13:19" ht="13.95" customHeight="1">
      <c r="M19265"/>
      <c r="N19265"/>
      <c r="O19265"/>
      <c r="P19265"/>
      <c r="Q19265"/>
      <c r="R19265"/>
      <c r="S19265"/>
    </row>
    <row r="19266" spans="13:19" ht="13.95" customHeight="1">
      <c r="M19266"/>
      <c r="N19266"/>
      <c r="O19266"/>
      <c r="P19266"/>
      <c r="Q19266"/>
      <c r="R19266"/>
      <c r="S19266"/>
    </row>
    <row r="19267" spans="13:19" ht="13.95" customHeight="1">
      <c r="M19267"/>
      <c r="N19267"/>
      <c r="O19267"/>
      <c r="P19267"/>
      <c r="Q19267"/>
      <c r="R19267"/>
      <c r="S19267"/>
    </row>
    <row r="19268" spans="13:19" ht="13.95" customHeight="1">
      <c r="M19268"/>
      <c r="N19268"/>
      <c r="O19268"/>
      <c r="P19268"/>
      <c r="Q19268"/>
      <c r="R19268"/>
      <c r="S19268"/>
    </row>
    <row r="19269" spans="13:19" ht="13.95" customHeight="1">
      <c r="M19269"/>
      <c r="N19269"/>
      <c r="O19269"/>
      <c r="P19269"/>
      <c r="Q19269"/>
      <c r="R19269"/>
      <c r="S19269"/>
    </row>
    <row r="19270" spans="13:19" ht="13.95" customHeight="1">
      <c r="M19270"/>
      <c r="N19270"/>
      <c r="O19270"/>
      <c r="P19270"/>
      <c r="Q19270"/>
      <c r="R19270"/>
      <c r="S19270"/>
    </row>
    <row r="19271" spans="13:19" ht="13.95" customHeight="1">
      <c r="M19271"/>
      <c r="N19271"/>
      <c r="O19271"/>
      <c r="P19271"/>
      <c r="Q19271"/>
      <c r="R19271"/>
      <c r="S19271"/>
    </row>
    <row r="19272" spans="13:19" ht="13.95" customHeight="1">
      <c r="M19272"/>
      <c r="N19272"/>
      <c r="O19272"/>
      <c r="P19272"/>
      <c r="Q19272"/>
      <c r="R19272"/>
      <c r="S19272"/>
    </row>
    <row r="19273" spans="13:19" ht="13.95" customHeight="1">
      <c r="M19273"/>
      <c r="N19273"/>
      <c r="O19273"/>
      <c r="P19273"/>
      <c r="Q19273"/>
      <c r="R19273"/>
      <c r="S19273"/>
    </row>
    <row r="19274" spans="13:19" ht="13.95" customHeight="1">
      <c r="M19274"/>
      <c r="N19274"/>
      <c r="O19274"/>
      <c r="P19274"/>
      <c r="Q19274"/>
      <c r="R19274"/>
      <c r="S19274"/>
    </row>
    <row r="19275" spans="13:19" ht="13.95" customHeight="1">
      <c r="M19275"/>
      <c r="N19275"/>
      <c r="O19275"/>
      <c r="P19275"/>
      <c r="Q19275"/>
      <c r="R19275"/>
      <c r="S19275"/>
    </row>
    <row r="19276" spans="13:19" ht="13.95" customHeight="1">
      <c r="M19276"/>
      <c r="N19276"/>
      <c r="O19276"/>
      <c r="P19276"/>
      <c r="Q19276"/>
      <c r="R19276"/>
      <c r="S19276"/>
    </row>
    <row r="19277" spans="13:19" ht="13.95" customHeight="1">
      <c r="M19277"/>
      <c r="N19277"/>
      <c r="O19277"/>
      <c r="P19277"/>
      <c r="Q19277"/>
      <c r="R19277"/>
      <c r="S19277"/>
    </row>
    <row r="19278" spans="13:19" ht="13.95" customHeight="1">
      <c r="M19278"/>
      <c r="N19278"/>
      <c r="O19278"/>
      <c r="P19278"/>
      <c r="Q19278"/>
      <c r="R19278"/>
      <c r="S19278"/>
    </row>
    <row r="19279" spans="13:19" ht="13.95" customHeight="1">
      <c r="M19279"/>
      <c r="N19279"/>
      <c r="O19279"/>
      <c r="P19279"/>
      <c r="Q19279"/>
      <c r="R19279"/>
      <c r="S19279"/>
    </row>
    <row r="19280" spans="13:19" ht="13.95" customHeight="1">
      <c r="M19280"/>
      <c r="N19280"/>
      <c r="O19280"/>
      <c r="P19280"/>
      <c r="Q19280"/>
      <c r="R19280"/>
      <c r="S19280"/>
    </row>
    <row r="19281" spans="13:19" ht="13.95" customHeight="1">
      <c r="M19281"/>
      <c r="N19281"/>
      <c r="O19281"/>
      <c r="P19281"/>
      <c r="Q19281"/>
      <c r="R19281"/>
      <c r="S19281"/>
    </row>
    <row r="19282" spans="13:19" ht="13.95" customHeight="1">
      <c r="M19282"/>
      <c r="N19282"/>
      <c r="O19282"/>
      <c r="P19282"/>
      <c r="Q19282"/>
      <c r="R19282"/>
      <c r="S19282"/>
    </row>
    <row r="19283" spans="13:19" ht="13.95" customHeight="1">
      <c r="M19283"/>
      <c r="N19283"/>
      <c r="O19283"/>
      <c r="P19283"/>
      <c r="Q19283"/>
      <c r="R19283"/>
      <c r="S19283"/>
    </row>
    <row r="19284" spans="13:19" ht="13.95" customHeight="1">
      <c r="M19284"/>
      <c r="N19284"/>
      <c r="O19284"/>
      <c r="P19284"/>
      <c r="Q19284"/>
      <c r="R19284"/>
      <c r="S19284"/>
    </row>
    <row r="19285" spans="13:19" ht="13.95" customHeight="1">
      <c r="M19285"/>
      <c r="N19285"/>
      <c r="O19285"/>
      <c r="P19285"/>
      <c r="Q19285"/>
      <c r="R19285"/>
      <c r="S19285"/>
    </row>
    <row r="19286" spans="13:19" ht="13.95" customHeight="1">
      <c r="M19286"/>
      <c r="N19286"/>
      <c r="O19286"/>
      <c r="P19286"/>
      <c r="Q19286"/>
      <c r="R19286"/>
      <c r="S19286"/>
    </row>
    <row r="19287" spans="13:19" ht="13.95" customHeight="1">
      <c r="M19287"/>
      <c r="N19287"/>
      <c r="O19287"/>
      <c r="P19287"/>
      <c r="Q19287"/>
      <c r="R19287"/>
      <c r="S19287"/>
    </row>
    <row r="19288" spans="13:19" ht="13.95" customHeight="1">
      <c r="M19288"/>
      <c r="N19288"/>
      <c r="O19288"/>
      <c r="P19288"/>
      <c r="Q19288"/>
      <c r="R19288"/>
      <c r="S19288"/>
    </row>
    <row r="19289" spans="13:19" ht="13.95" customHeight="1">
      <c r="M19289"/>
      <c r="N19289"/>
      <c r="O19289"/>
      <c r="P19289"/>
      <c r="Q19289"/>
      <c r="R19289"/>
      <c r="S19289"/>
    </row>
    <row r="19290" spans="13:19" ht="13.95" customHeight="1">
      <c r="M19290"/>
      <c r="N19290"/>
      <c r="O19290"/>
      <c r="P19290"/>
      <c r="Q19290"/>
      <c r="R19290"/>
      <c r="S19290"/>
    </row>
    <row r="19291" spans="13:19" ht="13.95" customHeight="1">
      <c r="M19291"/>
      <c r="N19291"/>
      <c r="O19291"/>
      <c r="P19291"/>
      <c r="Q19291"/>
      <c r="R19291"/>
      <c r="S19291"/>
    </row>
    <row r="19292" spans="13:19" ht="13.95" customHeight="1">
      <c r="M19292"/>
      <c r="N19292"/>
      <c r="O19292"/>
      <c r="P19292"/>
      <c r="Q19292"/>
      <c r="R19292"/>
      <c r="S19292"/>
    </row>
    <row r="19293" spans="13:19" ht="13.95" customHeight="1">
      <c r="M19293"/>
      <c r="N19293"/>
      <c r="O19293"/>
      <c r="P19293"/>
      <c r="Q19293"/>
      <c r="R19293"/>
      <c r="S19293"/>
    </row>
    <row r="19294" spans="13:19" ht="13.95" customHeight="1">
      <c r="M19294"/>
      <c r="N19294"/>
      <c r="O19294"/>
      <c r="P19294"/>
      <c r="Q19294"/>
      <c r="R19294"/>
      <c r="S19294"/>
    </row>
    <row r="19295" spans="13:19" ht="13.95" customHeight="1">
      <c r="M19295"/>
      <c r="N19295"/>
      <c r="O19295"/>
      <c r="P19295"/>
      <c r="Q19295"/>
      <c r="R19295"/>
      <c r="S19295"/>
    </row>
    <row r="19296" spans="13:19" ht="13.95" customHeight="1">
      <c r="M19296"/>
      <c r="N19296"/>
      <c r="O19296"/>
      <c r="P19296"/>
      <c r="Q19296"/>
      <c r="R19296"/>
      <c r="S19296"/>
    </row>
    <row r="19297" spans="13:19" ht="13.95" customHeight="1">
      <c r="M19297"/>
      <c r="N19297"/>
      <c r="O19297"/>
      <c r="P19297"/>
      <c r="Q19297"/>
      <c r="R19297"/>
      <c r="S19297"/>
    </row>
    <row r="19298" spans="13:19" ht="13.95" customHeight="1">
      <c r="M19298"/>
      <c r="N19298"/>
      <c r="O19298"/>
      <c r="P19298"/>
      <c r="Q19298"/>
      <c r="R19298"/>
      <c r="S19298"/>
    </row>
    <row r="19299" spans="13:19" ht="13.95" customHeight="1">
      <c r="M19299"/>
      <c r="N19299"/>
      <c r="O19299"/>
      <c r="P19299"/>
      <c r="Q19299"/>
      <c r="R19299"/>
      <c r="S19299"/>
    </row>
    <row r="19300" spans="13:19" ht="13.95" customHeight="1">
      <c r="M19300"/>
      <c r="N19300"/>
      <c r="O19300"/>
      <c r="P19300"/>
      <c r="Q19300"/>
      <c r="R19300"/>
      <c r="S19300"/>
    </row>
    <row r="19301" spans="13:19" ht="13.95" customHeight="1">
      <c r="M19301"/>
      <c r="N19301"/>
      <c r="O19301"/>
      <c r="P19301"/>
      <c r="Q19301"/>
      <c r="R19301"/>
      <c r="S19301"/>
    </row>
    <row r="19302" spans="13:19" ht="13.95" customHeight="1">
      <c r="M19302"/>
      <c r="N19302"/>
      <c r="O19302"/>
      <c r="P19302"/>
      <c r="Q19302"/>
      <c r="R19302"/>
      <c r="S19302"/>
    </row>
    <row r="19303" spans="13:19" ht="13.95" customHeight="1">
      <c r="M19303"/>
      <c r="N19303"/>
      <c r="O19303"/>
      <c r="P19303"/>
      <c r="Q19303"/>
      <c r="R19303"/>
      <c r="S19303"/>
    </row>
    <row r="19304" spans="13:19" ht="13.95" customHeight="1">
      <c r="M19304"/>
      <c r="N19304"/>
      <c r="O19304"/>
      <c r="P19304"/>
      <c r="Q19304"/>
      <c r="R19304"/>
      <c r="S19304"/>
    </row>
    <row r="19305" spans="13:19" ht="13.95" customHeight="1">
      <c r="M19305"/>
      <c r="N19305"/>
      <c r="O19305"/>
      <c r="P19305"/>
      <c r="Q19305"/>
      <c r="R19305"/>
      <c r="S19305"/>
    </row>
    <row r="19306" spans="13:19" ht="13.95" customHeight="1">
      <c r="M19306"/>
      <c r="N19306"/>
      <c r="O19306"/>
      <c r="P19306"/>
      <c r="Q19306"/>
      <c r="R19306"/>
      <c r="S19306"/>
    </row>
    <row r="19307" spans="13:19" ht="13.95" customHeight="1">
      <c r="M19307"/>
      <c r="N19307"/>
      <c r="O19307"/>
      <c r="P19307"/>
      <c r="Q19307"/>
      <c r="R19307"/>
      <c r="S19307"/>
    </row>
    <row r="19308" spans="13:19" ht="13.95" customHeight="1">
      <c r="M19308"/>
      <c r="N19308"/>
      <c r="O19308"/>
      <c r="P19308"/>
      <c r="Q19308"/>
      <c r="R19308"/>
      <c r="S19308"/>
    </row>
    <row r="19309" spans="13:19" ht="13.95" customHeight="1">
      <c r="M19309"/>
      <c r="N19309"/>
      <c r="O19309"/>
      <c r="P19309"/>
      <c r="Q19309"/>
      <c r="R19309"/>
      <c r="S19309"/>
    </row>
    <row r="19310" spans="13:19" ht="13.95" customHeight="1">
      <c r="M19310"/>
      <c r="N19310"/>
      <c r="O19310"/>
      <c r="P19310"/>
      <c r="Q19310"/>
      <c r="R19310"/>
      <c r="S19310"/>
    </row>
    <row r="19311" spans="13:19" ht="13.95" customHeight="1">
      <c r="M19311"/>
      <c r="N19311"/>
      <c r="O19311"/>
      <c r="P19311"/>
      <c r="Q19311"/>
      <c r="R19311"/>
      <c r="S19311"/>
    </row>
    <row r="19312" spans="13:19" ht="13.95" customHeight="1">
      <c r="M19312"/>
      <c r="N19312"/>
      <c r="O19312"/>
      <c r="P19312"/>
      <c r="Q19312"/>
      <c r="R19312"/>
      <c r="S19312"/>
    </row>
    <row r="19313" spans="13:19" ht="13.95" customHeight="1">
      <c r="M19313"/>
      <c r="N19313"/>
      <c r="O19313"/>
      <c r="P19313"/>
      <c r="Q19313"/>
      <c r="R19313"/>
      <c r="S19313"/>
    </row>
    <row r="19314" spans="13:19" ht="13.95" customHeight="1">
      <c r="M19314"/>
      <c r="N19314"/>
      <c r="O19314"/>
      <c r="P19314"/>
      <c r="Q19314"/>
      <c r="R19314"/>
      <c r="S19314"/>
    </row>
    <row r="19315" spans="13:19" ht="13.95" customHeight="1">
      <c r="M19315"/>
      <c r="N19315"/>
      <c r="O19315"/>
      <c r="P19315"/>
      <c r="Q19315"/>
      <c r="R19315"/>
      <c r="S19315"/>
    </row>
    <row r="19316" spans="13:19" ht="13.95" customHeight="1">
      <c r="M19316"/>
      <c r="N19316"/>
      <c r="O19316"/>
      <c r="P19316"/>
      <c r="Q19316"/>
      <c r="R19316"/>
      <c r="S19316"/>
    </row>
    <row r="19317" spans="13:19" ht="13.95" customHeight="1">
      <c r="M19317"/>
      <c r="N19317"/>
      <c r="O19317"/>
      <c r="P19317"/>
      <c r="Q19317"/>
      <c r="R19317"/>
      <c r="S19317"/>
    </row>
    <row r="19318" spans="13:19" ht="13.95" customHeight="1">
      <c r="M19318"/>
      <c r="N19318"/>
      <c r="O19318"/>
      <c r="P19318"/>
      <c r="Q19318"/>
      <c r="R19318"/>
      <c r="S19318"/>
    </row>
    <row r="19319" spans="13:19" ht="13.95" customHeight="1">
      <c r="M19319"/>
      <c r="N19319"/>
      <c r="O19319"/>
      <c r="P19319"/>
      <c r="Q19319"/>
      <c r="R19319"/>
      <c r="S19319"/>
    </row>
    <row r="19320" spans="13:19" ht="13.95" customHeight="1">
      <c r="M19320"/>
      <c r="N19320"/>
      <c r="O19320"/>
      <c r="P19320"/>
      <c r="Q19320"/>
      <c r="R19320"/>
      <c r="S19320"/>
    </row>
    <row r="19321" spans="13:19" ht="13.95" customHeight="1">
      <c r="M19321"/>
      <c r="N19321"/>
      <c r="O19321"/>
      <c r="P19321"/>
      <c r="Q19321"/>
      <c r="R19321"/>
      <c r="S19321"/>
    </row>
    <row r="19322" spans="13:19" ht="13.95" customHeight="1">
      <c r="M19322"/>
      <c r="N19322"/>
      <c r="O19322"/>
      <c r="P19322"/>
      <c r="Q19322"/>
      <c r="R19322"/>
      <c r="S19322"/>
    </row>
    <row r="19323" spans="13:19" ht="13.95" customHeight="1">
      <c r="M19323"/>
      <c r="N19323"/>
      <c r="O19323"/>
      <c r="P19323"/>
      <c r="Q19323"/>
      <c r="R19323"/>
      <c r="S19323"/>
    </row>
    <row r="19324" spans="13:19" ht="13.95" customHeight="1">
      <c r="M19324"/>
      <c r="N19324"/>
      <c r="O19324"/>
      <c r="P19324"/>
      <c r="Q19324"/>
      <c r="R19324"/>
      <c r="S19324"/>
    </row>
    <row r="19325" spans="13:19" ht="13.95" customHeight="1">
      <c r="M19325"/>
      <c r="N19325"/>
      <c r="O19325"/>
      <c r="P19325"/>
      <c r="Q19325"/>
      <c r="R19325"/>
      <c r="S19325"/>
    </row>
    <row r="19326" spans="13:19" ht="13.95" customHeight="1">
      <c r="M19326"/>
      <c r="N19326"/>
      <c r="O19326"/>
      <c r="P19326"/>
      <c r="Q19326"/>
      <c r="R19326"/>
      <c r="S19326"/>
    </row>
    <row r="19327" spans="13:19" ht="13.95" customHeight="1">
      <c r="M19327"/>
      <c r="N19327"/>
      <c r="O19327"/>
      <c r="P19327"/>
      <c r="Q19327"/>
      <c r="R19327"/>
      <c r="S19327"/>
    </row>
    <row r="19328" spans="13:19" ht="13.95" customHeight="1">
      <c r="M19328"/>
      <c r="N19328"/>
      <c r="O19328"/>
      <c r="P19328"/>
      <c r="Q19328"/>
      <c r="R19328"/>
      <c r="S19328"/>
    </row>
    <row r="19329" spans="13:19" ht="13.95" customHeight="1">
      <c r="M19329"/>
      <c r="N19329"/>
      <c r="O19329"/>
      <c r="P19329"/>
      <c r="Q19329"/>
      <c r="R19329"/>
      <c r="S19329"/>
    </row>
    <row r="19330" spans="13:19" ht="13.95" customHeight="1">
      <c r="M19330"/>
      <c r="N19330"/>
      <c r="O19330"/>
      <c r="P19330"/>
      <c r="Q19330"/>
      <c r="R19330"/>
      <c r="S19330"/>
    </row>
    <row r="19331" spans="13:19" ht="13.95" customHeight="1">
      <c r="M19331"/>
      <c r="N19331"/>
      <c r="O19331"/>
      <c r="P19331"/>
      <c r="Q19331"/>
      <c r="R19331"/>
      <c r="S19331"/>
    </row>
    <row r="19332" spans="13:19" ht="13.95" customHeight="1">
      <c r="M19332"/>
      <c r="N19332"/>
      <c r="O19332"/>
      <c r="P19332"/>
      <c r="Q19332"/>
      <c r="R19332"/>
      <c r="S19332"/>
    </row>
    <row r="19333" spans="13:19" ht="13.95" customHeight="1">
      <c r="M19333"/>
      <c r="N19333"/>
      <c r="O19333"/>
      <c r="P19333"/>
      <c r="Q19333"/>
      <c r="R19333"/>
      <c r="S19333"/>
    </row>
    <row r="19334" spans="13:19" ht="13.95" customHeight="1">
      <c r="M19334"/>
      <c r="N19334"/>
      <c r="O19334"/>
      <c r="P19334"/>
      <c r="Q19334"/>
      <c r="R19334"/>
      <c r="S19334"/>
    </row>
    <row r="19335" spans="13:19" ht="13.95" customHeight="1">
      <c r="M19335"/>
      <c r="N19335"/>
      <c r="O19335"/>
      <c r="P19335"/>
      <c r="Q19335"/>
      <c r="R19335"/>
      <c r="S19335"/>
    </row>
    <row r="19336" spans="13:19" ht="13.95" customHeight="1">
      <c r="M19336"/>
      <c r="N19336"/>
      <c r="O19336"/>
      <c r="P19336"/>
      <c r="Q19336"/>
      <c r="R19336"/>
      <c r="S19336"/>
    </row>
    <row r="19337" spans="13:19" ht="13.95" customHeight="1">
      <c r="M19337"/>
      <c r="N19337"/>
      <c r="O19337"/>
      <c r="P19337"/>
      <c r="Q19337"/>
      <c r="R19337"/>
      <c r="S19337"/>
    </row>
    <row r="19338" spans="13:19" ht="13.95" customHeight="1">
      <c r="M19338"/>
      <c r="N19338"/>
      <c r="O19338"/>
      <c r="P19338"/>
      <c r="Q19338"/>
      <c r="R19338"/>
      <c r="S19338"/>
    </row>
    <row r="19339" spans="13:19" ht="13.95" customHeight="1">
      <c r="M19339"/>
      <c r="N19339"/>
      <c r="O19339"/>
      <c r="P19339"/>
      <c r="Q19339"/>
      <c r="R19339"/>
      <c r="S19339"/>
    </row>
    <row r="19340" spans="13:19" ht="13.95" customHeight="1">
      <c r="M19340"/>
      <c r="N19340"/>
      <c r="O19340"/>
      <c r="P19340"/>
      <c r="Q19340"/>
      <c r="R19340"/>
      <c r="S19340"/>
    </row>
    <row r="19341" spans="13:19" ht="13.95" customHeight="1">
      <c r="M19341"/>
      <c r="N19341"/>
      <c r="O19341"/>
      <c r="P19341"/>
      <c r="Q19341"/>
      <c r="R19341"/>
      <c r="S19341"/>
    </row>
    <row r="19342" spans="13:19" ht="13.95" customHeight="1">
      <c r="M19342"/>
      <c r="N19342"/>
      <c r="O19342"/>
      <c r="P19342"/>
      <c r="Q19342"/>
      <c r="R19342"/>
      <c r="S19342"/>
    </row>
    <row r="19343" spans="13:19" ht="13.95" customHeight="1">
      <c r="M19343"/>
      <c r="N19343"/>
      <c r="O19343"/>
      <c r="P19343"/>
      <c r="Q19343"/>
      <c r="R19343"/>
      <c r="S19343"/>
    </row>
    <row r="19344" spans="13:19" ht="13.95" customHeight="1">
      <c r="M19344"/>
      <c r="N19344"/>
      <c r="O19344"/>
      <c r="P19344"/>
      <c r="Q19344"/>
      <c r="R19344"/>
      <c r="S19344"/>
    </row>
    <row r="19345" spans="13:19" ht="13.95" customHeight="1">
      <c r="M19345"/>
      <c r="N19345"/>
      <c r="O19345"/>
      <c r="P19345"/>
      <c r="Q19345"/>
      <c r="R19345"/>
      <c r="S19345"/>
    </row>
    <row r="19346" spans="13:19" ht="13.95" customHeight="1">
      <c r="M19346"/>
      <c r="N19346"/>
      <c r="O19346"/>
      <c r="P19346"/>
      <c r="Q19346"/>
      <c r="R19346"/>
      <c r="S19346"/>
    </row>
    <row r="19347" spans="13:19" ht="13.95" customHeight="1">
      <c r="M19347"/>
      <c r="N19347"/>
      <c r="O19347"/>
      <c r="P19347"/>
      <c r="Q19347"/>
      <c r="R19347"/>
      <c r="S19347"/>
    </row>
    <row r="19348" spans="13:19" ht="13.95" customHeight="1">
      <c r="M19348"/>
      <c r="N19348"/>
      <c r="O19348"/>
      <c r="P19348"/>
      <c r="Q19348"/>
      <c r="R19348"/>
      <c r="S19348"/>
    </row>
    <row r="19349" spans="13:19" ht="13.95" customHeight="1">
      <c r="M19349"/>
      <c r="N19349"/>
      <c r="O19349"/>
      <c r="P19349"/>
      <c r="Q19349"/>
      <c r="R19349"/>
      <c r="S19349"/>
    </row>
    <row r="19350" spans="13:19" ht="13.95" customHeight="1">
      <c r="M19350"/>
      <c r="N19350"/>
      <c r="O19350"/>
      <c r="P19350"/>
      <c r="Q19350"/>
      <c r="R19350"/>
      <c r="S19350"/>
    </row>
    <row r="19351" spans="13:19" ht="13.95" customHeight="1">
      <c r="M19351"/>
      <c r="N19351"/>
      <c r="O19351"/>
      <c r="P19351"/>
      <c r="Q19351"/>
      <c r="R19351"/>
      <c r="S19351"/>
    </row>
    <row r="19352" spans="13:19" ht="13.95" customHeight="1">
      <c r="M19352"/>
      <c r="N19352"/>
      <c r="O19352"/>
      <c r="P19352"/>
      <c r="Q19352"/>
      <c r="R19352"/>
      <c r="S19352"/>
    </row>
    <row r="19353" spans="13:19" ht="13.95" customHeight="1">
      <c r="M19353"/>
      <c r="N19353"/>
      <c r="O19353"/>
      <c r="P19353"/>
      <c r="Q19353"/>
      <c r="R19353"/>
      <c r="S19353"/>
    </row>
    <row r="19354" spans="13:19" ht="13.95" customHeight="1">
      <c r="M19354"/>
      <c r="N19354"/>
      <c r="O19354"/>
      <c r="P19354"/>
      <c r="Q19354"/>
      <c r="R19354"/>
      <c r="S19354"/>
    </row>
    <row r="19355" spans="13:19" ht="13.95" customHeight="1">
      <c r="M19355"/>
      <c r="N19355"/>
      <c r="O19355"/>
      <c r="P19355"/>
      <c r="Q19355"/>
      <c r="R19355"/>
      <c r="S19355"/>
    </row>
    <row r="19356" spans="13:19" ht="13.95" customHeight="1">
      <c r="M19356"/>
      <c r="N19356"/>
      <c r="O19356"/>
      <c r="P19356"/>
      <c r="Q19356"/>
      <c r="R19356"/>
      <c r="S19356"/>
    </row>
    <row r="19357" spans="13:19" ht="13.95" customHeight="1">
      <c r="M19357"/>
      <c r="N19357"/>
      <c r="O19357"/>
      <c r="P19357"/>
      <c r="Q19357"/>
      <c r="R19357"/>
      <c r="S19357"/>
    </row>
    <row r="19358" spans="13:19" ht="13.95" customHeight="1">
      <c r="M19358"/>
      <c r="N19358"/>
      <c r="O19358"/>
      <c r="P19358"/>
      <c r="Q19358"/>
      <c r="R19358"/>
      <c r="S19358"/>
    </row>
    <row r="19359" spans="13:19" ht="13.95" customHeight="1">
      <c r="M19359"/>
      <c r="N19359"/>
      <c r="O19359"/>
      <c r="P19359"/>
      <c r="Q19359"/>
      <c r="R19359"/>
      <c r="S19359"/>
    </row>
    <row r="19360" spans="13:19" ht="13.95" customHeight="1">
      <c r="M19360"/>
      <c r="N19360"/>
      <c r="O19360"/>
      <c r="P19360"/>
      <c r="Q19360"/>
      <c r="R19360"/>
      <c r="S19360"/>
    </row>
    <row r="19361" spans="13:19" ht="13.95" customHeight="1">
      <c r="M19361"/>
      <c r="N19361"/>
      <c r="O19361"/>
      <c r="P19361"/>
      <c r="Q19361"/>
      <c r="R19361"/>
      <c r="S19361"/>
    </row>
    <row r="19362" spans="13:19" ht="13.95" customHeight="1">
      <c r="M19362"/>
      <c r="N19362"/>
      <c r="O19362"/>
      <c r="P19362"/>
      <c r="Q19362"/>
      <c r="R19362"/>
      <c r="S19362"/>
    </row>
    <row r="19363" spans="13:19" ht="13.95" customHeight="1">
      <c r="M19363"/>
      <c r="N19363"/>
      <c r="O19363"/>
      <c r="P19363"/>
      <c r="Q19363"/>
      <c r="R19363"/>
      <c r="S19363"/>
    </row>
    <row r="19364" spans="13:19" ht="13.95" customHeight="1">
      <c r="M19364"/>
      <c r="N19364"/>
      <c r="O19364"/>
      <c r="P19364"/>
      <c r="Q19364"/>
      <c r="R19364"/>
      <c r="S19364"/>
    </row>
    <row r="19365" spans="13:19" ht="13.95" customHeight="1">
      <c r="M19365"/>
      <c r="N19365"/>
      <c r="O19365"/>
      <c r="P19365"/>
      <c r="Q19365"/>
      <c r="R19365"/>
      <c r="S19365"/>
    </row>
    <row r="19366" spans="13:19" ht="13.95" customHeight="1">
      <c r="M19366"/>
      <c r="N19366"/>
      <c r="O19366"/>
      <c r="P19366"/>
      <c r="Q19366"/>
      <c r="R19366"/>
      <c r="S19366"/>
    </row>
    <row r="19367" spans="13:19" ht="13.95" customHeight="1">
      <c r="M19367"/>
      <c r="N19367"/>
      <c r="O19367"/>
      <c r="P19367"/>
      <c r="Q19367"/>
      <c r="R19367"/>
      <c r="S19367"/>
    </row>
    <row r="19368" spans="13:19" ht="13.95" customHeight="1">
      <c r="M19368"/>
      <c r="N19368"/>
      <c r="O19368"/>
      <c r="P19368"/>
      <c r="Q19368"/>
      <c r="R19368"/>
      <c r="S19368"/>
    </row>
    <row r="19369" spans="13:19" ht="13.95" customHeight="1">
      <c r="M19369"/>
      <c r="N19369"/>
      <c r="O19369"/>
      <c r="P19369"/>
      <c r="Q19369"/>
      <c r="R19369"/>
      <c r="S19369"/>
    </row>
    <row r="19370" spans="13:19" ht="13.95" customHeight="1">
      <c r="M19370"/>
      <c r="N19370"/>
      <c r="O19370"/>
      <c r="P19370"/>
      <c r="Q19370"/>
      <c r="R19370"/>
      <c r="S19370"/>
    </row>
    <row r="19371" spans="13:19" ht="13.95" customHeight="1">
      <c r="M19371"/>
      <c r="N19371"/>
      <c r="O19371"/>
      <c r="P19371"/>
      <c r="Q19371"/>
      <c r="R19371"/>
      <c r="S19371"/>
    </row>
    <row r="19372" spans="13:19" ht="13.95" customHeight="1">
      <c r="M19372"/>
      <c r="N19372"/>
      <c r="O19372"/>
      <c r="P19372"/>
      <c r="Q19372"/>
      <c r="R19372"/>
      <c r="S19372"/>
    </row>
    <row r="19373" spans="13:19" ht="13.95" customHeight="1">
      <c r="M19373"/>
      <c r="N19373"/>
      <c r="O19373"/>
      <c r="P19373"/>
      <c r="Q19373"/>
      <c r="R19373"/>
      <c r="S19373"/>
    </row>
    <row r="19374" spans="13:19" ht="13.95" customHeight="1">
      <c r="M19374"/>
      <c r="N19374"/>
      <c r="O19374"/>
      <c r="P19374"/>
      <c r="Q19374"/>
      <c r="R19374"/>
      <c r="S19374"/>
    </row>
    <row r="19375" spans="13:19" ht="13.95" customHeight="1">
      <c r="M19375"/>
      <c r="N19375"/>
      <c r="O19375"/>
      <c r="P19375"/>
      <c r="Q19375"/>
      <c r="R19375"/>
      <c r="S19375"/>
    </row>
    <row r="19376" spans="13:19" ht="13.95" customHeight="1">
      <c r="M19376"/>
      <c r="N19376"/>
      <c r="O19376"/>
      <c r="P19376"/>
      <c r="Q19376"/>
      <c r="R19376"/>
      <c r="S19376"/>
    </row>
    <row r="19377" spans="13:19" ht="13.95" customHeight="1">
      <c r="M19377"/>
      <c r="N19377"/>
      <c r="O19377"/>
      <c r="P19377"/>
      <c r="Q19377"/>
      <c r="R19377"/>
      <c r="S19377"/>
    </row>
    <row r="19378" spans="13:19" ht="13.95" customHeight="1">
      <c r="M19378"/>
      <c r="N19378"/>
      <c r="O19378"/>
      <c r="P19378"/>
      <c r="Q19378"/>
      <c r="R19378"/>
      <c r="S19378"/>
    </row>
    <row r="19379" spans="13:19" ht="13.95" customHeight="1">
      <c r="M19379"/>
      <c r="N19379"/>
      <c r="O19379"/>
      <c r="P19379"/>
      <c r="Q19379"/>
      <c r="R19379"/>
      <c r="S19379"/>
    </row>
    <row r="19380" spans="13:19" ht="13.95" customHeight="1">
      <c r="M19380"/>
      <c r="N19380"/>
      <c r="O19380"/>
      <c r="P19380"/>
      <c r="Q19380"/>
      <c r="R19380"/>
      <c r="S19380"/>
    </row>
    <row r="19381" spans="13:19" ht="13.95" customHeight="1">
      <c r="M19381"/>
      <c r="N19381"/>
      <c r="O19381"/>
      <c r="P19381"/>
      <c r="Q19381"/>
      <c r="R19381"/>
      <c r="S19381"/>
    </row>
    <row r="19382" spans="13:19" ht="13.95" customHeight="1">
      <c r="M19382"/>
      <c r="N19382"/>
      <c r="O19382"/>
      <c r="P19382"/>
      <c r="Q19382"/>
      <c r="R19382"/>
      <c r="S19382"/>
    </row>
    <row r="19383" spans="13:19" ht="13.95" customHeight="1">
      <c r="M19383"/>
      <c r="N19383"/>
      <c r="O19383"/>
      <c r="P19383"/>
      <c r="Q19383"/>
      <c r="R19383"/>
      <c r="S19383"/>
    </row>
    <row r="19384" spans="13:19" ht="13.95" customHeight="1">
      <c r="M19384"/>
      <c r="N19384"/>
      <c r="O19384"/>
      <c r="P19384"/>
      <c r="Q19384"/>
      <c r="R19384"/>
      <c r="S19384"/>
    </row>
    <row r="19385" spans="13:19" ht="13.95" customHeight="1">
      <c r="M19385"/>
      <c r="N19385"/>
      <c r="O19385"/>
      <c r="P19385"/>
      <c r="Q19385"/>
      <c r="R19385"/>
      <c r="S19385"/>
    </row>
    <row r="19386" spans="13:19" ht="13.95" customHeight="1">
      <c r="M19386"/>
      <c r="N19386"/>
      <c r="O19386"/>
      <c r="P19386"/>
      <c r="Q19386"/>
      <c r="R19386"/>
      <c r="S19386"/>
    </row>
    <row r="19387" spans="13:19" ht="13.95" customHeight="1">
      <c r="M19387"/>
      <c r="N19387"/>
      <c r="O19387"/>
      <c r="P19387"/>
      <c r="Q19387"/>
      <c r="R19387"/>
      <c r="S19387"/>
    </row>
    <row r="19388" spans="13:19" ht="13.95" customHeight="1">
      <c r="M19388"/>
      <c r="N19388"/>
      <c r="O19388"/>
      <c r="P19388"/>
      <c r="Q19388"/>
      <c r="R19388"/>
      <c r="S19388"/>
    </row>
    <row r="19389" spans="13:19" ht="13.95" customHeight="1">
      <c r="M19389"/>
      <c r="N19389"/>
      <c r="O19389"/>
      <c r="P19389"/>
      <c r="Q19389"/>
      <c r="R19389"/>
      <c r="S19389"/>
    </row>
    <row r="19390" spans="13:19" ht="13.95" customHeight="1">
      <c r="M19390"/>
      <c r="N19390"/>
      <c r="O19390"/>
      <c r="P19390"/>
      <c r="Q19390"/>
      <c r="R19390"/>
      <c r="S19390"/>
    </row>
    <row r="19391" spans="13:19" ht="13.95" customHeight="1">
      <c r="M19391"/>
      <c r="N19391"/>
      <c r="O19391"/>
      <c r="P19391"/>
      <c r="Q19391"/>
      <c r="R19391"/>
      <c r="S19391"/>
    </row>
    <row r="19392" spans="13:19" ht="13.95" customHeight="1">
      <c r="M19392"/>
      <c r="N19392"/>
      <c r="O19392"/>
      <c r="P19392"/>
      <c r="Q19392"/>
      <c r="R19392"/>
      <c r="S19392"/>
    </row>
    <row r="19393" spans="13:19" ht="13.95" customHeight="1">
      <c r="M19393"/>
      <c r="N19393"/>
      <c r="O19393"/>
      <c r="P19393"/>
      <c r="Q19393"/>
      <c r="R19393"/>
      <c r="S19393"/>
    </row>
    <row r="19394" spans="13:19" ht="13.95" customHeight="1">
      <c r="M19394"/>
      <c r="N19394"/>
      <c r="O19394"/>
      <c r="P19394"/>
      <c r="Q19394"/>
      <c r="R19394"/>
      <c r="S19394"/>
    </row>
    <row r="19395" spans="13:19" ht="13.95" customHeight="1">
      <c r="M19395"/>
      <c r="N19395"/>
      <c r="O19395"/>
      <c r="P19395"/>
      <c r="Q19395"/>
      <c r="R19395"/>
      <c r="S19395"/>
    </row>
    <row r="19396" spans="13:19" ht="13.95" customHeight="1">
      <c r="M19396"/>
      <c r="N19396"/>
      <c r="O19396"/>
      <c r="P19396"/>
      <c r="Q19396"/>
      <c r="R19396"/>
      <c r="S19396"/>
    </row>
    <row r="19397" spans="13:19" ht="13.95" customHeight="1">
      <c r="M19397"/>
      <c r="N19397"/>
      <c r="O19397"/>
      <c r="P19397"/>
      <c r="Q19397"/>
      <c r="R19397"/>
      <c r="S19397"/>
    </row>
    <row r="19398" spans="13:19" ht="13.95" customHeight="1">
      <c r="M19398"/>
      <c r="N19398"/>
      <c r="O19398"/>
      <c r="P19398"/>
      <c r="Q19398"/>
      <c r="R19398"/>
      <c r="S19398"/>
    </row>
    <row r="19399" spans="13:19" ht="13.95" customHeight="1">
      <c r="M19399"/>
      <c r="N19399"/>
      <c r="O19399"/>
      <c r="P19399"/>
      <c r="Q19399"/>
      <c r="R19399"/>
      <c r="S19399"/>
    </row>
    <row r="19400" spans="13:19" ht="13.95" customHeight="1">
      <c r="M19400"/>
      <c r="N19400"/>
      <c r="O19400"/>
      <c r="P19400"/>
      <c r="Q19400"/>
      <c r="R19400"/>
      <c r="S19400"/>
    </row>
    <row r="19401" spans="13:19" ht="13.95" customHeight="1">
      <c r="M19401"/>
      <c r="N19401"/>
      <c r="O19401"/>
      <c r="P19401"/>
      <c r="Q19401"/>
      <c r="R19401"/>
      <c r="S19401"/>
    </row>
    <row r="19402" spans="13:19" ht="13.95" customHeight="1">
      <c r="M19402"/>
      <c r="N19402"/>
      <c r="O19402"/>
      <c r="P19402"/>
      <c r="Q19402"/>
      <c r="R19402"/>
      <c r="S19402"/>
    </row>
    <row r="19403" spans="13:19" ht="13.95" customHeight="1">
      <c r="M19403"/>
      <c r="N19403"/>
      <c r="O19403"/>
      <c r="P19403"/>
      <c r="Q19403"/>
      <c r="R19403"/>
      <c r="S19403"/>
    </row>
    <row r="19404" spans="13:19" ht="13.95" customHeight="1">
      <c r="M19404"/>
      <c r="N19404"/>
      <c r="O19404"/>
      <c r="P19404"/>
      <c r="Q19404"/>
      <c r="R19404"/>
      <c r="S19404"/>
    </row>
    <row r="19405" spans="13:19" ht="13.95" customHeight="1">
      <c r="M19405"/>
      <c r="N19405"/>
      <c r="O19405"/>
      <c r="P19405"/>
      <c r="Q19405"/>
      <c r="R19405"/>
      <c r="S19405"/>
    </row>
    <row r="19406" spans="13:19" ht="13.95" customHeight="1">
      <c r="M19406"/>
      <c r="N19406"/>
      <c r="O19406"/>
      <c r="P19406"/>
      <c r="Q19406"/>
      <c r="R19406"/>
      <c r="S19406"/>
    </row>
    <row r="19407" spans="13:19" ht="13.95" customHeight="1">
      <c r="M19407"/>
      <c r="N19407"/>
      <c r="O19407"/>
      <c r="P19407"/>
      <c r="Q19407"/>
      <c r="R19407"/>
      <c r="S19407"/>
    </row>
    <row r="19408" spans="13:19" ht="13.95" customHeight="1">
      <c r="M19408"/>
      <c r="N19408"/>
      <c r="O19408"/>
      <c r="P19408"/>
      <c r="Q19408"/>
      <c r="R19408"/>
      <c r="S19408"/>
    </row>
    <row r="19409" spans="13:19" ht="13.95" customHeight="1">
      <c r="M19409"/>
      <c r="N19409"/>
      <c r="O19409"/>
      <c r="P19409"/>
      <c r="Q19409"/>
      <c r="R19409"/>
      <c r="S19409"/>
    </row>
    <row r="19410" spans="13:19" ht="13.95" customHeight="1">
      <c r="M19410"/>
      <c r="N19410"/>
      <c r="O19410"/>
      <c r="P19410"/>
      <c r="Q19410"/>
      <c r="R19410"/>
      <c r="S19410"/>
    </row>
    <row r="19411" spans="13:19" ht="13.95" customHeight="1">
      <c r="M19411"/>
      <c r="N19411"/>
      <c r="O19411"/>
      <c r="P19411"/>
      <c r="Q19411"/>
      <c r="R19411"/>
      <c r="S19411"/>
    </row>
    <row r="19412" spans="13:19" ht="13.95" customHeight="1">
      <c r="M19412"/>
      <c r="N19412"/>
      <c r="O19412"/>
      <c r="P19412"/>
      <c r="Q19412"/>
      <c r="R19412"/>
      <c r="S19412"/>
    </row>
    <row r="19413" spans="13:19" ht="13.95" customHeight="1">
      <c r="M19413"/>
      <c r="N19413"/>
      <c r="O19413"/>
      <c r="P19413"/>
      <c r="Q19413"/>
      <c r="R19413"/>
      <c r="S19413"/>
    </row>
    <row r="19414" spans="13:19" ht="13.95" customHeight="1">
      <c r="M19414"/>
      <c r="N19414"/>
      <c r="O19414"/>
      <c r="P19414"/>
      <c r="Q19414"/>
      <c r="R19414"/>
      <c r="S19414"/>
    </row>
    <row r="19415" spans="13:19" ht="13.95" customHeight="1">
      <c r="M19415"/>
      <c r="N19415"/>
      <c r="O19415"/>
      <c r="P19415"/>
      <c r="Q19415"/>
      <c r="R19415"/>
      <c r="S19415"/>
    </row>
    <row r="19416" spans="13:19" ht="13.95" customHeight="1">
      <c r="M19416"/>
      <c r="N19416"/>
      <c r="O19416"/>
      <c r="P19416"/>
      <c r="Q19416"/>
      <c r="R19416"/>
      <c r="S19416"/>
    </row>
    <row r="19417" spans="13:19" ht="13.95" customHeight="1">
      <c r="M19417"/>
      <c r="N19417"/>
      <c r="O19417"/>
      <c r="P19417"/>
      <c r="Q19417"/>
      <c r="R19417"/>
      <c r="S19417"/>
    </row>
    <row r="19418" spans="13:19" ht="13.95" customHeight="1">
      <c r="M19418"/>
      <c r="N19418"/>
      <c r="O19418"/>
      <c r="P19418"/>
      <c r="Q19418"/>
      <c r="R19418"/>
      <c r="S19418"/>
    </row>
    <row r="19419" spans="13:19" ht="13.95" customHeight="1">
      <c r="M19419"/>
      <c r="N19419"/>
      <c r="O19419"/>
      <c r="P19419"/>
      <c r="Q19419"/>
      <c r="R19419"/>
      <c r="S19419"/>
    </row>
    <row r="19420" spans="13:19" ht="13.95" customHeight="1">
      <c r="M19420"/>
      <c r="N19420"/>
      <c r="O19420"/>
      <c r="P19420"/>
      <c r="Q19420"/>
      <c r="R19420"/>
      <c r="S19420"/>
    </row>
    <row r="19421" spans="13:19" ht="13.95" customHeight="1">
      <c r="M19421"/>
      <c r="N19421"/>
      <c r="O19421"/>
      <c r="P19421"/>
      <c r="Q19421"/>
      <c r="R19421"/>
      <c r="S19421"/>
    </row>
    <row r="19422" spans="13:19" ht="13.95" customHeight="1">
      <c r="M19422"/>
      <c r="N19422"/>
      <c r="O19422"/>
      <c r="P19422"/>
      <c r="Q19422"/>
      <c r="R19422"/>
      <c r="S19422"/>
    </row>
    <row r="19423" spans="13:19" ht="13.95" customHeight="1">
      <c r="M19423"/>
      <c r="N19423"/>
      <c r="O19423"/>
      <c r="P19423"/>
      <c r="Q19423"/>
      <c r="R19423"/>
      <c r="S19423"/>
    </row>
    <row r="19424" spans="13:19" ht="13.95" customHeight="1">
      <c r="M19424"/>
      <c r="N19424"/>
      <c r="O19424"/>
      <c r="P19424"/>
      <c r="Q19424"/>
      <c r="R19424"/>
      <c r="S19424"/>
    </row>
    <row r="19425" spans="13:19" ht="13.95" customHeight="1">
      <c r="M19425"/>
      <c r="N19425"/>
      <c r="O19425"/>
      <c r="P19425"/>
      <c r="Q19425"/>
      <c r="R19425"/>
      <c r="S19425"/>
    </row>
    <row r="19426" spans="13:19" ht="13.95" customHeight="1">
      <c r="M19426"/>
      <c r="N19426"/>
      <c r="O19426"/>
      <c r="P19426"/>
      <c r="Q19426"/>
      <c r="R19426"/>
      <c r="S19426"/>
    </row>
    <row r="19427" spans="13:19" ht="13.95" customHeight="1">
      <c r="M19427"/>
      <c r="N19427"/>
      <c r="O19427"/>
      <c r="P19427"/>
      <c r="Q19427"/>
      <c r="R19427"/>
      <c r="S19427"/>
    </row>
    <row r="19428" spans="13:19" ht="13.95" customHeight="1">
      <c r="M19428"/>
      <c r="N19428"/>
      <c r="O19428"/>
      <c r="P19428"/>
      <c r="Q19428"/>
      <c r="R19428"/>
      <c r="S19428"/>
    </row>
    <row r="19429" spans="13:19" ht="13.95" customHeight="1">
      <c r="M19429"/>
      <c r="N19429"/>
      <c r="O19429"/>
      <c r="P19429"/>
      <c r="Q19429"/>
      <c r="R19429"/>
      <c r="S19429"/>
    </row>
    <row r="19430" spans="13:19" ht="13.95" customHeight="1">
      <c r="M19430"/>
      <c r="N19430"/>
      <c r="O19430"/>
      <c r="P19430"/>
      <c r="Q19430"/>
      <c r="R19430"/>
      <c r="S19430"/>
    </row>
    <row r="19431" spans="13:19" ht="13.95" customHeight="1">
      <c r="M19431"/>
      <c r="N19431"/>
      <c r="O19431"/>
      <c r="P19431"/>
      <c r="Q19431"/>
      <c r="R19431"/>
      <c r="S19431"/>
    </row>
    <row r="19432" spans="13:19" ht="13.95" customHeight="1">
      <c r="M19432"/>
      <c r="N19432"/>
      <c r="O19432"/>
      <c r="P19432"/>
      <c r="Q19432"/>
      <c r="R19432"/>
      <c r="S19432"/>
    </row>
    <row r="19433" spans="13:19" ht="13.95" customHeight="1">
      <c r="M19433"/>
      <c r="N19433"/>
      <c r="O19433"/>
      <c r="P19433"/>
      <c r="Q19433"/>
      <c r="R19433"/>
      <c r="S19433"/>
    </row>
    <row r="19434" spans="13:19" ht="13.95" customHeight="1">
      <c r="M19434"/>
      <c r="N19434"/>
      <c r="O19434"/>
      <c r="P19434"/>
      <c r="Q19434"/>
      <c r="R19434"/>
      <c r="S19434"/>
    </row>
    <row r="19435" spans="13:19" ht="13.95" customHeight="1">
      <c r="M19435"/>
      <c r="N19435"/>
      <c r="O19435"/>
      <c r="P19435"/>
      <c r="Q19435"/>
      <c r="R19435"/>
      <c r="S19435"/>
    </row>
    <row r="19436" spans="13:19" ht="13.95" customHeight="1">
      <c r="M19436"/>
      <c r="N19436"/>
      <c r="O19436"/>
      <c r="P19436"/>
      <c r="Q19436"/>
      <c r="R19436"/>
      <c r="S19436"/>
    </row>
    <row r="19437" spans="13:19" ht="13.95" customHeight="1">
      <c r="M19437"/>
      <c r="N19437"/>
      <c r="O19437"/>
      <c r="P19437"/>
      <c r="Q19437"/>
      <c r="R19437"/>
      <c r="S19437"/>
    </row>
    <row r="19438" spans="13:19" ht="13.95" customHeight="1">
      <c r="M19438"/>
      <c r="N19438"/>
      <c r="O19438"/>
      <c r="P19438"/>
      <c r="Q19438"/>
      <c r="R19438"/>
      <c r="S19438"/>
    </row>
    <row r="19439" spans="13:19" ht="13.95" customHeight="1">
      <c r="M19439"/>
      <c r="N19439"/>
      <c r="O19439"/>
      <c r="P19439"/>
      <c r="Q19439"/>
      <c r="R19439"/>
      <c r="S19439"/>
    </row>
    <row r="19440" spans="13:19" ht="13.95" customHeight="1">
      <c r="M19440"/>
      <c r="N19440"/>
      <c r="O19440"/>
      <c r="P19440"/>
      <c r="Q19440"/>
      <c r="R19440"/>
      <c r="S19440"/>
    </row>
    <row r="19441" spans="13:19" ht="13.95" customHeight="1">
      <c r="M19441"/>
      <c r="N19441"/>
      <c r="O19441"/>
      <c r="P19441"/>
      <c r="Q19441"/>
      <c r="R19441"/>
      <c r="S19441"/>
    </row>
    <row r="19442" spans="13:19" ht="13.95" customHeight="1">
      <c r="M19442"/>
      <c r="N19442"/>
      <c r="O19442"/>
      <c r="P19442"/>
      <c r="Q19442"/>
      <c r="R19442"/>
      <c r="S19442"/>
    </row>
    <row r="19443" spans="13:19" ht="13.95" customHeight="1">
      <c r="M19443"/>
      <c r="N19443"/>
      <c r="O19443"/>
      <c r="P19443"/>
      <c r="Q19443"/>
      <c r="R19443"/>
      <c r="S19443"/>
    </row>
    <row r="19444" spans="13:19" ht="13.95" customHeight="1">
      <c r="M19444"/>
      <c r="N19444"/>
      <c r="O19444"/>
      <c r="P19444"/>
      <c r="Q19444"/>
      <c r="R19444"/>
      <c r="S19444"/>
    </row>
    <row r="19445" spans="13:19" ht="13.95" customHeight="1">
      <c r="M19445"/>
      <c r="N19445"/>
      <c r="O19445"/>
      <c r="P19445"/>
      <c r="Q19445"/>
      <c r="R19445"/>
      <c r="S19445"/>
    </row>
    <row r="19446" spans="13:19" ht="13.95" customHeight="1">
      <c r="M19446"/>
      <c r="N19446"/>
      <c r="O19446"/>
      <c r="P19446"/>
      <c r="Q19446"/>
      <c r="R19446"/>
      <c r="S19446"/>
    </row>
    <row r="19447" spans="13:19" ht="13.95" customHeight="1">
      <c r="M19447"/>
      <c r="N19447"/>
      <c r="O19447"/>
      <c r="P19447"/>
      <c r="Q19447"/>
      <c r="R19447"/>
      <c r="S19447"/>
    </row>
    <row r="19448" spans="13:19" ht="13.95" customHeight="1">
      <c r="M19448"/>
      <c r="N19448"/>
      <c r="O19448"/>
      <c r="P19448"/>
      <c r="Q19448"/>
      <c r="R19448"/>
      <c r="S19448"/>
    </row>
    <row r="19449" spans="13:19" ht="13.95" customHeight="1">
      <c r="M19449"/>
      <c r="N19449"/>
      <c r="O19449"/>
      <c r="P19449"/>
      <c r="Q19449"/>
      <c r="R19449"/>
      <c r="S19449"/>
    </row>
    <row r="19450" spans="13:19" ht="13.95" customHeight="1">
      <c r="M19450"/>
      <c r="N19450"/>
      <c r="O19450"/>
      <c r="P19450"/>
      <c r="Q19450"/>
      <c r="R19450"/>
      <c r="S19450"/>
    </row>
    <row r="19451" spans="13:19" ht="13.95" customHeight="1">
      <c r="M19451"/>
      <c r="N19451"/>
      <c r="O19451"/>
      <c r="P19451"/>
      <c r="Q19451"/>
      <c r="R19451"/>
      <c r="S19451"/>
    </row>
    <row r="19452" spans="13:19" ht="13.95" customHeight="1">
      <c r="M19452"/>
      <c r="N19452"/>
      <c r="O19452"/>
      <c r="P19452"/>
      <c r="Q19452"/>
      <c r="R19452"/>
      <c r="S19452"/>
    </row>
    <row r="19453" spans="13:19" ht="13.95" customHeight="1">
      <c r="M19453"/>
      <c r="N19453"/>
      <c r="O19453"/>
      <c r="P19453"/>
      <c r="Q19453"/>
      <c r="R19453"/>
      <c r="S19453"/>
    </row>
    <row r="19454" spans="13:19" ht="13.95" customHeight="1">
      <c r="M19454"/>
      <c r="N19454"/>
      <c r="O19454"/>
      <c r="P19454"/>
      <c r="Q19454"/>
      <c r="R19454"/>
      <c r="S19454"/>
    </row>
    <row r="19455" spans="13:19" ht="13.95" customHeight="1">
      <c r="M19455"/>
      <c r="N19455"/>
      <c r="O19455"/>
      <c r="P19455"/>
      <c r="Q19455"/>
      <c r="R19455"/>
      <c r="S19455"/>
    </row>
    <row r="19456" spans="13:19" ht="13.95" customHeight="1">
      <c r="M19456"/>
      <c r="N19456"/>
      <c r="O19456"/>
      <c r="P19456"/>
      <c r="Q19456"/>
      <c r="R19456"/>
      <c r="S19456"/>
    </row>
    <row r="19457" spans="13:19" ht="13.95" customHeight="1">
      <c r="M19457"/>
      <c r="N19457"/>
      <c r="O19457"/>
      <c r="P19457"/>
      <c r="Q19457"/>
      <c r="R19457"/>
      <c r="S19457"/>
    </row>
    <row r="19458" spans="13:19" ht="13.95" customHeight="1">
      <c r="M19458"/>
      <c r="N19458"/>
      <c r="O19458"/>
      <c r="P19458"/>
      <c r="Q19458"/>
      <c r="R19458"/>
      <c r="S19458"/>
    </row>
    <row r="19459" spans="13:19" ht="13.95" customHeight="1">
      <c r="M19459"/>
      <c r="N19459"/>
      <c r="O19459"/>
      <c r="P19459"/>
      <c r="Q19459"/>
      <c r="R19459"/>
      <c r="S19459"/>
    </row>
    <row r="19460" spans="13:19" ht="13.95" customHeight="1">
      <c r="M19460"/>
      <c r="N19460"/>
      <c r="O19460"/>
      <c r="P19460"/>
      <c r="Q19460"/>
      <c r="R19460"/>
      <c r="S19460"/>
    </row>
    <row r="19461" spans="13:19" ht="13.95" customHeight="1">
      <c r="M19461"/>
      <c r="N19461"/>
      <c r="O19461"/>
      <c r="P19461"/>
      <c r="Q19461"/>
      <c r="R19461"/>
      <c r="S19461"/>
    </row>
    <row r="19462" spans="13:19" ht="13.95" customHeight="1">
      <c r="M19462"/>
      <c r="N19462"/>
      <c r="O19462"/>
      <c r="P19462"/>
      <c r="Q19462"/>
      <c r="R19462"/>
      <c r="S19462"/>
    </row>
    <row r="19463" spans="13:19" ht="13.95" customHeight="1">
      <c r="M19463"/>
      <c r="N19463"/>
      <c r="O19463"/>
      <c r="P19463"/>
      <c r="Q19463"/>
      <c r="R19463"/>
      <c r="S19463"/>
    </row>
    <row r="19464" spans="13:19" ht="13.95" customHeight="1">
      <c r="M19464"/>
      <c r="N19464"/>
      <c r="O19464"/>
      <c r="P19464"/>
      <c r="Q19464"/>
      <c r="R19464"/>
      <c r="S19464"/>
    </row>
    <row r="19465" spans="13:19" ht="13.95" customHeight="1">
      <c r="M19465"/>
      <c r="N19465"/>
      <c r="O19465"/>
      <c r="P19465"/>
      <c r="Q19465"/>
      <c r="R19465"/>
      <c r="S19465"/>
    </row>
    <row r="19466" spans="13:19" ht="13.95" customHeight="1">
      <c r="M19466"/>
      <c r="N19466"/>
      <c r="O19466"/>
      <c r="P19466"/>
      <c r="Q19466"/>
      <c r="R19466"/>
      <c r="S19466"/>
    </row>
    <row r="19467" spans="13:19" ht="13.95" customHeight="1">
      <c r="M19467"/>
      <c r="N19467"/>
      <c r="O19467"/>
      <c r="P19467"/>
      <c r="Q19467"/>
      <c r="R19467"/>
      <c r="S19467"/>
    </row>
    <row r="19468" spans="13:19" ht="13.95" customHeight="1">
      <c r="M19468"/>
      <c r="N19468"/>
      <c r="O19468"/>
      <c r="P19468"/>
      <c r="Q19468"/>
      <c r="R19468"/>
      <c r="S19468"/>
    </row>
    <row r="19469" spans="13:19" ht="13.95" customHeight="1">
      <c r="M19469"/>
      <c r="N19469"/>
      <c r="O19469"/>
      <c r="P19469"/>
      <c r="Q19469"/>
      <c r="R19469"/>
      <c r="S19469"/>
    </row>
    <row r="19470" spans="13:19" ht="13.95" customHeight="1">
      <c r="M19470"/>
      <c r="N19470"/>
      <c r="O19470"/>
      <c r="P19470"/>
      <c r="Q19470"/>
      <c r="R19470"/>
      <c r="S19470"/>
    </row>
    <row r="19471" spans="13:19" ht="13.95" customHeight="1">
      <c r="M19471"/>
      <c r="N19471"/>
      <c r="O19471"/>
      <c r="P19471"/>
      <c r="Q19471"/>
      <c r="R19471"/>
      <c r="S19471"/>
    </row>
    <row r="19472" spans="13:19" ht="13.95" customHeight="1">
      <c r="M19472"/>
      <c r="N19472"/>
      <c r="O19472"/>
      <c r="P19472"/>
      <c r="Q19472"/>
      <c r="R19472"/>
      <c r="S19472"/>
    </row>
    <row r="19473" spans="13:19" ht="13.95" customHeight="1">
      <c r="M19473"/>
      <c r="N19473"/>
      <c r="O19473"/>
      <c r="P19473"/>
      <c r="Q19473"/>
      <c r="R19473"/>
      <c r="S19473"/>
    </row>
    <row r="19474" spans="13:19" ht="13.95" customHeight="1">
      <c r="M19474"/>
      <c r="N19474"/>
      <c r="O19474"/>
      <c r="P19474"/>
      <c r="Q19474"/>
      <c r="R19474"/>
      <c r="S19474"/>
    </row>
    <row r="19475" spans="13:19" ht="13.95" customHeight="1">
      <c r="M19475"/>
      <c r="N19475"/>
      <c r="O19475"/>
      <c r="P19475"/>
      <c r="Q19475"/>
      <c r="R19475"/>
      <c r="S19475"/>
    </row>
    <row r="19476" spans="13:19" ht="13.95" customHeight="1">
      <c r="M19476"/>
      <c r="N19476"/>
      <c r="O19476"/>
      <c r="P19476"/>
      <c r="Q19476"/>
      <c r="R19476"/>
      <c r="S19476"/>
    </row>
    <row r="19477" spans="13:19" ht="13.95" customHeight="1">
      <c r="M19477"/>
      <c r="N19477"/>
      <c r="O19477"/>
      <c r="P19477"/>
      <c r="Q19477"/>
      <c r="R19477"/>
      <c r="S19477"/>
    </row>
    <row r="19478" spans="13:19" ht="13.95" customHeight="1">
      <c r="M19478"/>
      <c r="N19478"/>
      <c r="O19478"/>
      <c r="P19478"/>
      <c r="Q19478"/>
      <c r="R19478"/>
      <c r="S19478"/>
    </row>
    <row r="19479" spans="13:19" ht="13.95" customHeight="1">
      <c r="M19479"/>
      <c r="N19479"/>
      <c r="O19479"/>
      <c r="P19479"/>
      <c r="Q19479"/>
      <c r="R19479"/>
      <c r="S19479"/>
    </row>
    <row r="19480" spans="13:19" ht="13.95" customHeight="1">
      <c r="M19480"/>
      <c r="N19480"/>
      <c r="O19480"/>
      <c r="P19480"/>
      <c r="Q19480"/>
      <c r="R19480"/>
      <c r="S19480"/>
    </row>
    <row r="19481" spans="13:19" ht="13.95" customHeight="1">
      <c r="M19481"/>
      <c r="N19481"/>
      <c r="O19481"/>
      <c r="P19481"/>
      <c r="Q19481"/>
      <c r="R19481"/>
      <c r="S19481"/>
    </row>
    <row r="19482" spans="13:19" ht="13.95" customHeight="1">
      <c r="M19482"/>
      <c r="N19482"/>
      <c r="O19482"/>
      <c r="P19482"/>
      <c r="Q19482"/>
      <c r="R19482"/>
      <c r="S19482"/>
    </row>
    <row r="19483" spans="13:19" ht="13.95" customHeight="1">
      <c r="M19483"/>
      <c r="N19483"/>
      <c r="O19483"/>
      <c r="P19483"/>
      <c r="Q19483"/>
      <c r="R19483"/>
      <c r="S19483"/>
    </row>
    <row r="19484" spans="13:19" ht="13.95" customHeight="1">
      <c r="M19484"/>
      <c r="N19484"/>
      <c r="O19484"/>
      <c r="P19484"/>
      <c r="Q19484"/>
      <c r="R19484"/>
      <c r="S19484"/>
    </row>
    <row r="19485" spans="13:19" ht="13.95" customHeight="1">
      <c r="M19485"/>
      <c r="N19485"/>
      <c r="O19485"/>
      <c r="P19485"/>
      <c r="Q19485"/>
      <c r="R19485"/>
      <c r="S19485"/>
    </row>
    <row r="19486" spans="13:19" ht="13.95" customHeight="1">
      <c r="M19486"/>
      <c r="N19486"/>
      <c r="O19486"/>
      <c r="P19486"/>
      <c r="Q19486"/>
      <c r="R19486"/>
      <c r="S19486"/>
    </row>
    <row r="19487" spans="13:19" ht="13.95" customHeight="1">
      <c r="M19487"/>
      <c r="N19487"/>
      <c r="O19487"/>
      <c r="P19487"/>
      <c r="Q19487"/>
      <c r="R19487"/>
      <c r="S19487"/>
    </row>
    <row r="19488" spans="13:19" ht="13.95" customHeight="1">
      <c r="M19488"/>
      <c r="N19488"/>
      <c r="O19488"/>
      <c r="P19488"/>
      <c r="Q19488"/>
      <c r="R19488"/>
      <c r="S19488"/>
    </row>
    <row r="19489" spans="13:19" ht="13.95" customHeight="1">
      <c r="M19489"/>
      <c r="N19489"/>
      <c r="O19489"/>
      <c r="P19489"/>
      <c r="Q19489"/>
      <c r="R19489"/>
      <c r="S19489"/>
    </row>
    <row r="19490" spans="13:19" ht="13.95" customHeight="1">
      <c r="M19490"/>
      <c r="N19490"/>
      <c r="O19490"/>
      <c r="P19490"/>
      <c r="Q19490"/>
      <c r="R19490"/>
      <c r="S19490"/>
    </row>
    <row r="19491" spans="13:19" ht="13.95" customHeight="1">
      <c r="M19491"/>
      <c r="N19491"/>
      <c r="O19491"/>
      <c r="P19491"/>
      <c r="Q19491"/>
      <c r="R19491"/>
      <c r="S19491"/>
    </row>
    <row r="19492" spans="13:19" ht="13.95" customHeight="1">
      <c r="M19492"/>
      <c r="N19492"/>
      <c r="O19492"/>
      <c r="P19492"/>
      <c r="Q19492"/>
      <c r="R19492"/>
      <c r="S19492"/>
    </row>
    <row r="19493" spans="13:19" ht="13.95" customHeight="1">
      <c r="M19493"/>
      <c r="N19493"/>
      <c r="O19493"/>
      <c r="P19493"/>
      <c r="Q19493"/>
      <c r="R19493"/>
      <c r="S19493"/>
    </row>
    <row r="19494" spans="13:19" ht="13.95" customHeight="1">
      <c r="M19494"/>
      <c r="N19494"/>
      <c r="O19494"/>
      <c r="P19494"/>
      <c r="Q19494"/>
      <c r="R19494"/>
      <c r="S19494"/>
    </row>
    <row r="19495" spans="13:19" ht="13.95" customHeight="1">
      <c r="M19495"/>
      <c r="N19495"/>
      <c r="O19495"/>
      <c r="P19495"/>
      <c r="Q19495"/>
      <c r="R19495"/>
      <c r="S19495"/>
    </row>
    <row r="19496" spans="13:19" ht="13.95" customHeight="1">
      <c r="M19496"/>
      <c r="N19496"/>
      <c r="O19496"/>
      <c r="P19496"/>
      <c r="Q19496"/>
      <c r="R19496"/>
      <c r="S19496"/>
    </row>
    <row r="19497" spans="13:19" ht="13.95" customHeight="1">
      <c r="M19497"/>
      <c r="N19497"/>
      <c r="O19497"/>
      <c r="P19497"/>
      <c r="Q19497"/>
      <c r="R19497"/>
      <c r="S19497"/>
    </row>
    <row r="19498" spans="13:19" ht="13.95" customHeight="1">
      <c r="M19498"/>
      <c r="N19498"/>
      <c r="O19498"/>
      <c r="P19498"/>
      <c r="Q19498"/>
      <c r="R19498"/>
      <c r="S19498"/>
    </row>
    <row r="19499" spans="13:19" ht="13.95" customHeight="1">
      <c r="M19499"/>
      <c r="N19499"/>
      <c r="O19499"/>
      <c r="P19499"/>
      <c r="Q19499"/>
      <c r="R19499"/>
      <c r="S19499"/>
    </row>
    <row r="19500" spans="13:19" ht="13.95" customHeight="1">
      <c r="M19500"/>
      <c r="N19500"/>
      <c r="O19500"/>
      <c r="P19500"/>
      <c r="Q19500"/>
      <c r="R19500"/>
      <c r="S19500"/>
    </row>
    <row r="19501" spans="13:19" ht="13.95" customHeight="1">
      <c r="M19501"/>
      <c r="N19501"/>
      <c r="O19501"/>
      <c r="P19501"/>
      <c r="Q19501"/>
      <c r="R19501"/>
      <c r="S19501"/>
    </row>
    <row r="19502" spans="13:19" ht="13.95" customHeight="1">
      <c r="M19502"/>
      <c r="N19502"/>
      <c r="O19502"/>
      <c r="P19502"/>
      <c r="Q19502"/>
      <c r="R19502"/>
      <c r="S19502"/>
    </row>
    <row r="19503" spans="13:19" ht="13.95" customHeight="1">
      <c r="M19503"/>
      <c r="N19503"/>
      <c r="O19503"/>
      <c r="P19503"/>
      <c r="Q19503"/>
      <c r="R19503"/>
      <c r="S19503"/>
    </row>
    <row r="19504" spans="13:19" ht="13.95" customHeight="1">
      <c r="M19504"/>
      <c r="N19504"/>
      <c r="O19504"/>
      <c r="P19504"/>
      <c r="Q19504"/>
      <c r="R19504"/>
      <c r="S19504"/>
    </row>
    <row r="19505" spans="13:19" ht="13.95" customHeight="1">
      <c r="M19505"/>
      <c r="N19505"/>
      <c r="O19505"/>
      <c r="P19505"/>
      <c r="Q19505"/>
      <c r="R19505"/>
      <c r="S19505"/>
    </row>
    <row r="19506" spans="13:19" ht="13.95" customHeight="1">
      <c r="M19506"/>
      <c r="N19506"/>
      <c r="O19506"/>
      <c r="P19506"/>
      <c r="Q19506"/>
      <c r="R19506"/>
      <c r="S19506"/>
    </row>
    <row r="19507" spans="13:19" ht="13.95" customHeight="1">
      <c r="M19507"/>
      <c r="N19507"/>
      <c r="O19507"/>
      <c r="P19507"/>
      <c r="Q19507"/>
      <c r="R19507"/>
      <c r="S19507"/>
    </row>
    <row r="19508" spans="13:19" ht="13.95" customHeight="1">
      <c r="M19508"/>
      <c r="N19508"/>
      <c r="O19508"/>
      <c r="P19508"/>
      <c r="Q19508"/>
      <c r="R19508"/>
      <c r="S19508"/>
    </row>
    <row r="19509" spans="13:19" ht="13.95" customHeight="1">
      <c r="M19509"/>
      <c r="N19509"/>
      <c r="O19509"/>
      <c r="P19509"/>
      <c r="Q19509"/>
      <c r="R19509"/>
      <c r="S19509"/>
    </row>
    <row r="19510" spans="13:19" ht="13.95" customHeight="1">
      <c r="M19510"/>
      <c r="N19510"/>
      <c r="O19510"/>
      <c r="P19510"/>
      <c r="Q19510"/>
      <c r="R19510"/>
      <c r="S19510"/>
    </row>
    <row r="19511" spans="13:19" ht="13.95" customHeight="1">
      <c r="M19511"/>
      <c r="N19511"/>
      <c r="O19511"/>
      <c r="P19511"/>
      <c r="Q19511"/>
      <c r="R19511"/>
      <c r="S19511"/>
    </row>
    <row r="19512" spans="13:19" ht="13.95" customHeight="1">
      <c r="M19512"/>
      <c r="N19512"/>
      <c r="O19512"/>
      <c r="P19512"/>
      <c r="Q19512"/>
      <c r="R19512"/>
      <c r="S19512"/>
    </row>
    <row r="19513" spans="13:19" ht="13.95" customHeight="1">
      <c r="M19513"/>
      <c r="N19513"/>
      <c r="O19513"/>
      <c r="P19513"/>
      <c r="Q19513"/>
      <c r="R19513"/>
      <c r="S19513"/>
    </row>
    <row r="19514" spans="13:19" ht="13.95" customHeight="1">
      <c r="M19514"/>
      <c r="N19514"/>
      <c r="O19514"/>
      <c r="P19514"/>
      <c r="Q19514"/>
      <c r="R19514"/>
      <c r="S19514"/>
    </row>
    <row r="19515" spans="13:19" ht="13.95" customHeight="1">
      <c r="M19515"/>
      <c r="N19515"/>
      <c r="O19515"/>
      <c r="P19515"/>
      <c r="Q19515"/>
      <c r="R19515"/>
      <c r="S19515"/>
    </row>
    <row r="19516" spans="13:19" ht="13.95" customHeight="1">
      <c r="M19516"/>
      <c r="N19516"/>
      <c r="O19516"/>
      <c r="P19516"/>
      <c r="Q19516"/>
      <c r="R19516"/>
      <c r="S19516"/>
    </row>
    <row r="19517" spans="13:19" ht="13.95" customHeight="1">
      <c r="M19517"/>
      <c r="N19517"/>
      <c r="O19517"/>
      <c r="P19517"/>
      <c r="Q19517"/>
      <c r="R19517"/>
      <c r="S19517"/>
    </row>
    <row r="19518" spans="13:19" ht="13.95" customHeight="1">
      <c r="M19518"/>
      <c r="N19518"/>
      <c r="O19518"/>
      <c r="P19518"/>
      <c r="Q19518"/>
      <c r="R19518"/>
      <c r="S19518"/>
    </row>
    <row r="19519" spans="13:19" ht="13.95" customHeight="1">
      <c r="M19519"/>
      <c r="N19519"/>
      <c r="O19519"/>
      <c r="P19519"/>
      <c r="Q19519"/>
      <c r="R19519"/>
      <c r="S19519"/>
    </row>
    <row r="19520" spans="13:19" ht="13.95" customHeight="1">
      <c r="M19520"/>
      <c r="N19520"/>
      <c r="O19520"/>
      <c r="P19520"/>
      <c r="Q19520"/>
      <c r="R19520"/>
      <c r="S19520"/>
    </row>
    <row r="19521" spans="13:19" ht="13.95" customHeight="1">
      <c r="M19521"/>
      <c r="N19521"/>
      <c r="O19521"/>
      <c r="P19521"/>
      <c r="Q19521"/>
      <c r="R19521"/>
      <c r="S19521"/>
    </row>
    <row r="19522" spans="13:19" ht="13.95" customHeight="1">
      <c r="M19522"/>
      <c r="N19522"/>
      <c r="O19522"/>
      <c r="P19522"/>
      <c r="Q19522"/>
      <c r="R19522"/>
      <c r="S19522"/>
    </row>
    <row r="19523" spans="13:19" ht="13.95" customHeight="1">
      <c r="M19523"/>
      <c r="N19523"/>
      <c r="O19523"/>
      <c r="P19523"/>
      <c r="Q19523"/>
      <c r="R19523"/>
      <c r="S19523"/>
    </row>
    <row r="19524" spans="13:19" ht="13.95" customHeight="1">
      <c r="M19524"/>
      <c r="N19524"/>
      <c r="O19524"/>
      <c r="P19524"/>
      <c r="Q19524"/>
      <c r="R19524"/>
      <c r="S19524"/>
    </row>
    <row r="19525" spans="13:19" ht="13.95" customHeight="1">
      <c r="M19525"/>
      <c r="N19525"/>
      <c r="O19525"/>
      <c r="P19525"/>
      <c r="Q19525"/>
      <c r="R19525"/>
      <c r="S19525"/>
    </row>
    <row r="19526" spans="13:19" ht="13.95" customHeight="1">
      <c r="M19526"/>
      <c r="N19526"/>
      <c r="O19526"/>
      <c r="P19526"/>
      <c r="Q19526"/>
      <c r="R19526"/>
      <c r="S19526"/>
    </row>
    <row r="19527" spans="13:19" ht="13.95" customHeight="1">
      <c r="M19527"/>
      <c r="N19527"/>
      <c r="O19527"/>
      <c r="P19527"/>
      <c r="Q19527"/>
      <c r="R19527"/>
      <c r="S19527"/>
    </row>
    <row r="19528" spans="13:19" ht="13.95" customHeight="1">
      <c r="M19528"/>
      <c r="N19528"/>
      <c r="O19528"/>
      <c r="P19528"/>
      <c r="Q19528"/>
      <c r="R19528"/>
      <c r="S19528"/>
    </row>
    <row r="19529" spans="13:19" ht="13.95" customHeight="1">
      <c r="M19529"/>
      <c r="N19529"/>
      <c r="O19529"/>
      <c r="P19529"/>
      <c r="Q19529"/>
      <c r="R19529"/>
      <c r="S19529"/>
    </row>
    <row r="19530" spans="13:19" ht="13.95" customHeight="1">
      <c r="M19530"/>
      <c r="N19530"/>
      <c r="O19530"/>
      <c r="P19530"/>
      <c r="Q19530"/>
      <c r="R19530"/>
      <c r="S19530"/>
    </row>
    <row r="19531" spans="13:19" ht="13.95" customHeight="1">
      <c r="M19531"/>
      <c r="N19531"/>
      <c r="O19531"/>
      <c r="P19531"/>
      <c r="Q19531"/>
      <c r="R19531"/>
      <c r="S19531"/>
    </row>
    <row r="19532" spans="13:19" ht="13.95" customHeight="1">
      <c r="M19532"/>
      <c r="N19532"/>
      <c r="O19532"/>
      <c r="P19532"/>
      <c r="Q19532"/>
      <c r="R19532"/>
      <c r="S19532"/>
    </row>
    <row r="19533" spans="13:19" ht="13.95" customHeight="1">
      <c r="M19533"/>
      <c r="N19533"/>
      <c r="O19533"/>
      <c r="P19533"/>
      <c r="Q19533"/>
      <c r="R19533"/>
      <c r="S19533"/>
    </row>
    <row r="19534" spans="13:19" ht="13.95" customHeight="1">
      <c r="M19534"/>
      <c r="N19534"/>
      <c r="O19534"/>
      <c r="P19534"/>
      <c r="Q19534"/>
      <c r="R19534"/>
      <c r="S19534"/>
    </row>
    <row r="19535" spans="13:19" ht="13.95" customHeight="1">
      <c r="M19535"/>
      <c r="N19535"/>
      <c r="O19535"/>
      <c r="P19535"/>
      <c r="Q19535"/>
      <c r="R19535"/>
      <c r="S19535"/>
    </row>
    <row r="19536" spans="13:19" ht="13.95" customHeight="1">
      <c r="M19536"/>
      <c r="N19536"/>
      <c r="O19536"/>
      <c r="P19536"/>
      <c r="Q19536"/>
      <c r="R19536"/>
      <c r="S19536"/>
    </row>
    <row r="19537" spans="13:19" ht="13.95" customHeight="1">
      <c r="M19537"/>
      <c r="N19537"/>
      <c r="O19537"/>
      <c r="P19537"/>
      <c r="Q19537"/>
      <c r="R19537"/>
      <c r="S19537"/>
    </row>
    <row r="19538" spans="13:19" ht="13.95" customHeight="1">
      <c r="M19538"/>
      <c r="N19538"/>
      <c r="O19538"/>
      <c r="P19538"/>
      <c r="Q19538"/>
      <c r="R19538"/>
      <c r="S19538"/>
    </row>
    <row r="19539" spans="13:19" ht="13.95" customHeight="1">
      <c r="M19539"/>
      <c r="N19539"/>
      <c r="O19539"/>
      <c r="P19539"/>
      <c r="Q19539"/>
      <c r="R19539"/>
      <c r="S19539"/>
    </row>
    <row r="19540" spans="13:19" ht="13.95" customHeight="1">
      <c r="M19540"/>
      <c r="N19540"/>
      <c r="O19540"/>
      <c r="P19540"/>
      <c r="Q19540"/>
      <c r="R19540"/>
      <c r="S19540"/>
    </row>
    <row r="19541" spans="13:19" ht="13.95" customHeight="1">
      <c r="M19541"/>
      <c r="N19541"/>
      <c r="O19541"/>
      <c r="P19541"/>
      <c r="Q19541"/>
      <c r="R19541"/>
      <c r="S19541"/>
    </row>
    <row r="19542" spans="13:19" ht="13.95" customHeight="1">
      <c r="M19542"/>
      <c r="N19542"/>
      <c r="O19542"/>
      <c r="P19542"/>
      <c r="Q19542"/>
      <c r="R19542"/>
      <c r="S19542"/>
    </row>
    <row r="19543" spans="13:19" ht="13.95" customHeight="1">
      <c r="M19543"/>
      <c r="N19543"/>
      <c r="O19543"/>
      <c r="P19543"/>
      <c r="Q19543"/>
      <c r="R19543"/>
      <c r="S19543"/>
    </row>
    <row r="19544" spans="13:19" ht="13.95" customHeight="1">
      <c r="M19544"/>
      <c r="N19544"/>
      <c r="O19544"/>
      <c r="P19544"/>
      <c r="Q19544"/>
      <c r="R19544"/>
      <c r="S19544"/>
    </row>
    <row r="19545" spans="13:19" ht="13.95" customHeight="1">
      <c r="M19545"/>
      <c r="N19545"/>
      <c r="O19545"/>
      <c r="P19545"/>
      <c r="Q19545"/>
      <c r="R19545"/>
      <c r="S19545"/>
    </row>
    <row r="19546" spans="13:19" ht="13.95" customHeight="1">
      <c r="M19546"/>
      <c r="N19546"/>
      <c r="O19546"/>
      <c r="P19546"/>
      <c r="Q19546"/>
      <c r="R19546"/>
      <c r="S19546"/>
    </row>
    <row r="19547" spans="13:19" ht="13.95" customHeight="1">
      <c r="M19547"/>
      <c r="N19547"/>
      <c r="O19547"/>
      <c r="P19547"/>
      <c r="Q19547"/>
      <c r="R19547"/>
      <c r="S19547"/>
    </row>
    <row r="19548" spans="13:19" ht="13.95" customHeight="1">
      <c r="M19548"/>
      <c r="N19548"/>
      <c r="O19548"/>
      <c r="P19548"/>
      <c r="Q19548"/>
      <c r="R19548"/>
      <c r="S19548"/>
    </row>
    <row r="19549" spans="13:19" ht="13.95" customHeight="1">
      <c r="M19549"/>
      <c r="N19549"/>
      <c r="O19549"/>
      <c r="P19549"/>
      <c r="Q19549"/>
      <c r="R19549"/>
      <c r="S19549"/>
    </row>
    <row r="19550" spans="13:19" ht="13.95" customHeight="1">
      <c r="M19550"/>
      <c r="N19550"/>
      <c r="O19550"/>
      <c r="P19550"/>
      <c r="Q19550"/>
      <c r="R19550"/>
      <c r="S19550"/>
    </row>
    <row r="19551" spans="13:19" ht="13.95" customHeight="1">
      <c r="M19551"/>
      <c r="N19551"/>
      <c r="O19551"/>
      <c r="P19551"/>
      <c r="Q19551"/>
      <c r="R19551"/>
      <c r="S19551"/>
    </row>
    <row r="19552" spans="13:19" ht="13.95" customHeight="1">
      <c r="M19552"/>
      <c r="N19552"/>
      <c r="O19552"/>
      <c r="P19552"/>
      <c r="Q19552"/>
      <c r="R19552"/>
      <c r="S19552"/>
    </row>
    <row r="19553" spans="13:19" ht="13.95" customHeight="1">
      <c r="M19553"/>
      <c r="N19553"/>
      <c r="O19553"/>
      <c r="P19553"/>
      <c r="Q19553"/>
      <c r="R19553"/>
      <c r="S19553"/>
    </row>
    <row r="19554" spans="13:19" ht="13.95" customHeight="1">
      <c r="M19554"/>
      <c r="N19554"/>
      <c r="O19554"/>
      <c r="P19554"/>
      <c r="Q19554"/>
      <c r="R19554"/>
      <c r="S19554"/>
    </row>
    <row r="19555" spans="13:19" ht="13.95" customHeight="1">
      <c r="M19555"/>
      <c r="N19555"/>
      <c r="O19555"/>
      <c r="P19555"/>
      <c r="Q19555"/>
      <c r="R19555"/>
      <c r="S19555"/>
    </row>
    <row r="19556" spans="13:19" ht="13.95" customHeight="1">
      <c r="M19556"/>
      <c r="N19556"/>
      <c r="O19556"/>
      <c r="P19556"/>
      <c r="Q19556"/>
      <c r="R19556"/>
      <c r="S19556"/>
    </row>
    <row r="19557" spans="13:19" ht="13.95" customHeight="1">
      <c r="M19557"/>
      <c r="N19557"/>
      <c r="O19557"/>
      <c r="P19557"/>
      <c r="Q19557"/>
      <c r="R19557"/>
      <c r="S19557"/>
    </row>
    <row r="19558" spans="13:19" ht="13.95" customHeight="1">
      <c r="M19558"/>
      <c r="N19558"/>
      <c r="O19558"/>
      <c r="P19558"/>
      <c r="Q19558"/>
      <c r="R19558"/>
      <c r="S19558"/>
    </row>
    <row r="19559" spans="13:19" ht="13.95" customHeight="1">
      <c r="M19559"/>
      <c r="N19559"/>
      <c r="O19559"/>
      <c r="P19559"/>
      <c r="Q19559"/>
      <c r="R19559"/>
      <c r="S19559"/>
    </row>
    <row r="19560" spans="13:19" ht="13.95" customHeight="1">
      <c r="M19560"/>
      <c r="N19560"/>
      <c r="O19560"/>
      <c r="P19560"/>
      <c r="Q19560"/>
      <c r="R19560"/>
      <c r="S19560"/>
    </row>
    <row r="19561" spans="13:19" ht="13.95" customHeight="1">
      <c r="M19561"/>
      <c r="N19561"/>
      <c r="O19561"/>
      <c r="P19561"/>
      <c r="Q19561"/>
      <c r="R19561"/>
      <c r="S19561"/>
    </row>
    <row r="19562" spans="13:19" ht="13.95" customHeight="1">
      <c r="M19562"/>
      <c r="N19562"/>
      <c r="O19562"/>
      <c r="P19562"/>
      <c r="Q19562"/>
      <c r="R19562"/>
      <c r="S19562"/>
    </row>
    <row r="19563" spans="13:19" ht="13.95" customHeight="1">
      <c r="M19563"/>
      <c r="N19563"/>
      <c r="O19563"/>
      <c r="P19563"/>
      <c r="Q19563"/>
      <c r="R19563"/>
      <c r="S19563"/>
    </row>
    <row r="19564" spans="13:19" ht="13.95" customHeight="1">
      <c r="M19564"/>
      <c r="N19564"/>
      <c r="O19564"/>
      <c r="P19564"/>
      <c r="Q19564"/>
      <c r="R19564"/>
      <c r="S19564"/>
    </row>
    <row r="19565" spans="13:19" ht="13.95" customHeight="1">
      <c r="M19565"/>
      <c r="N19565"/>
      <c r="O19565"/>
      <c r="P19565"/>
      <c r="Q19565"/>
      <c r="R19565"/>
      <c r="S19565"/>
    </row>
    <row r="19566" spans="13:19" ht="13.95" customHeight="1">
      <c r="M19566"/>
      <c r="N19566"/>
      <c r="O19566"/>
      <c r="P19566"/>
      <c r="Q19566"/>
      <c r="R19566"/>
      <c r="S19566"/>
    </row>
    <row r="19567" spans="13:19" ht="13.95" customHeight="1">
      <c r="M19567"/>
      <c r="N19567"/>
      <c r="O19567"/>
      <c r="P19567"/>
      <c r="Q19567"/>
      <c r="R19567"/>
      <c r="S19567"/>
    </row>
    <row r="19568" spans="13:19" ht="13.95" customHeight="1">
      <c r="M19568"/>
      <c r="N19568"/>
      <c r="O19568"/>
      <c r="P19568"/>
      <c r="Q19568"/>
      <c r="R19568"/>
      <c r="S19568"/>
    </row>
    <row r="19569" spans="13:19" ht="13.95" customHeight="1">
      <c r="M19569"/>
      <c r="N19569"/>
      <c r="O19569"/>
      <c r="P19569"/>
      <c r="Q19569"/>
      <c r="R19569"/>
      <c r="S19569"/>
    </row>
    <row r="19570" spans="13:19" ht="13.95" customHeight="1">
      <c r="M19570"/>
      <c r="N19570"/>
      <c r="O19570"/>
      <c r="P19570"/>
      <c r="Q19570"/>
      <c r="R19570"/>
      <c r="S19570"/>
    </row>
    <row r="19571" spans="13:19" ht="13.95" customHeight="1">
      <c r="M19571"/>
      <c r="N19571"/>
      <c r="O19571"/>
      <c r="P19571"/>
      <c r="Q19571"/>
      <c r="R19571"/>
      <c r="S19571"/>
    </row>
    <row r="19572" spans="13:19" ht="13.95" customHeight="1">
      <c r="M19572"/>
      <c r="N19572"/>
      <c r="O19572"/>
      <c r="P19572"/>
      <c r="Q19572"/>
      <c r="R19572"/>
      <c r="S19572"/>
    </row>
    <row r="19573" spans="13:19" ht="13.95" customHeight="1">
      <c r="M19573"/>
      <c r="N19573"/>
      <c r="O19573"/>
      <c r="P19573"/>
      <c r="Q19573"/>
      <c r="R19573"/>
      <c r="S19573"/>
    </row>
    <row r="19574" spans="13:19" ht="13.95" customHeight="1">
      <c r="M19574"/>
      <c r="N19574"/>
      <c r="O19574"/>
      <c r="P19574"/>
      <c r="Q19574"/>
      <c r="R19574"/>
      <c r="S19574"/>
    </row>
    <row r="19575" spans="13:19" ht="13.95" customHeight="1">
      <c r="M19575"/>
      <c r="N19575"/>
      <c r="O19575"/>
      <c r="P19575"/>
      <c r="Q19575"/>
      <c r="R19575"/>
      <c r="S19575"/>
    </row>
    <row r="19576" spans="13:19" ht="13.95" customHeight="1">
      <c r="M19576"/>
      <c r="N19576"/>
      <c r="O19576"/>
      <c r="P19576"/>
      <c r="Q19576"/>
      <c r="R19576"/>
      <c r="S19576"/>
    </row>
    <row r="19577" spans="13:19" ht="13.95" customHeight="1">
      <c r="M19577"/>
      <c r="N19577"/>
      <c r="O19577"/>
      <c r="P19577"/>
      <c r="Q19577"/>
      <c r="R19577"/>
      <c r="S19577"/>
    </row>
    <row r="19578" spans="13:19" ht="13.95" customHeight="1">
      <c r="M19578"/>
      <c r="N19578"/>
      <c r="O19578"/>
      <c r="P19578"/>
      <c r="Q19578"/>
      <c r="R19578"/>
      <c r="S19578"/>
    </row>
    <row r="19579" spans="13:19" ht="13.95" customHeight="1">
      <c r="M19579"/>
      <c r="N19579"/>
      <c r="O19579"/>
      <c r="P19579"/>
      <c r="Q19579"/>
      <c r="R19579"/>
      <c r="S19579"/>
    </row>
    <row r="19580" spans="13:19" ht="13.95" customHeight="1">
      <c r="M19580"/>
      <c r="N19580"/>
      <c r="O19580"/>
      <c r="P19580"/>
      <c r="Q19580"/>
      <c r="R19580"/>
      <c r="S19580"/>
    </row>
    <row r="19581" spans="13:19" ht="13.95" customHeight="1">
      <c r="M19581"/>
      <c r="N19581"/>
      <c r="O19581"/>
      <c r="P19581"/>
      <c r="Q19581"/>
      <c r="R19581"/>
      <c r="S19581"/>
    </row>
    <row r="19582" spans="13:19" ht="13.95" customHeight="1">
      <c r="M19582"/>
      <c r="N19582"/>
      <c r="O19582"/>
      <c r="P19582"/>
      <c r="Q19582"/>
      <c r="R19582"/>
      <c r="S19582"/>
    </row>
    <row r="19583" spans="13:19" ht="13.95" customHeight="1">
      <c r="M19583"/>
      <c r="N19583"/>
      <c r="O19583"/>
      <c r="P19583"/>
      <c r="Q19583"/>
      <c r="R19583"/>
      <c r="S19583"/>
    </row>
    <row r="19584" spans="13:19" ht="13.95" customHeight="1">
      <c r="M19584"/>
      <c r="N19584"/>
      <c r="O19584"/>
      <c r="P19584"/>
      <c r="Q19584"/>
      <c r="R19584"/>
      <c r="S19584"/>
    </row>
    <row r="19585" spans="13:19" ht="13.95" customHeight="1">
      <c r="M19585"/>
      <c r="N19585"/>
      <c r="O19585"/>
      <c r="P19585"/>
      <c r="Q19585"/>
      <c r="R19585"/>
      <c r="S19585"/>
    </row>
    <row r="19586" spans="13:19" ht="13.95" customHeight="1">
      <c r="M19586"/>
      <c r="N19586"/>
      <c r="O19586"/>
      <c r="P19586"/>
      <c r="Q19586"/>
      <c r="R19586"/>
      <c r="S19586"/>
    </row>
    <row r="19587" spans="13:19" ht="13.95" customHeight="1">
      <c r="M19587"/>
      <c r="N19587"/>
      <c r="O19587"/>
      <c r="P19587"/>
      <c r="Q19587"/>
      <c r="R19587"/>
      <c r="S19587"/>
    </row>
    <row r="19588" spans="13:19" ht="13.95" customHeight="1">
      <c r="M19588"/>
      <c r="N19588"/>
      <c r="O19588"/>
      <c r="P19588"/>
      <c r="Q19588"/>
      <c r="R19588"/>
      <c r="S19588"/>
    </row>
    <row r="19589" spans="13:19" ht="13.95" customHeight="1">
      <c r="M19589"/>
      <c r="N19589"/>
      <c r="O19589"/>
      <c r="P19589"/>
      <c r="Q19589"/>
      <c r="R19589"/>
      <c r="S19589"/>
    </row>
    <row r="19590" spans="13:19" ht="13.95" customHeight="1">
      <c r="M19590"/>
      <c r="N19590"/>
      <c r="O19590"/>
      <c r="P19590"/>
      <c r="Q19590"/>
      <c r="R19590"/>
      <c r="S19590"/>
    </row>
    <row r="19591" spans="13:19" ht="13.95" customHeight="1">
      <c r="M19591"/>
      <c r="N19591"/>
      <c r="O19591"/>
      <c r="P19591"/>
      <c r="Q19591"/>
      <c r="R19591"/>
      <c r="S19591"/>
    </row>
    <row r="19592" spans="13:19" ht="13.95" customHeight="1">
      <c r="M19592"/>
      <c r="N19592"/>
      <c r="O19592"/>
      <c r="P19592"/>
      <c r="Q19592"/>
      <c r="R19592"/>
      <c r="S19592"/>
    </row>
    <row r="19593" spans="13:19" ht="13.95" customHeight="1">
      <c r="M19593"/>
      <c r="N19593"/>
      <c r="O19593"/>
      <c r="P19593"/>
      <c r="Q19593"/>
      <c r="R19593"/>
      <c r="S19593"/>
    </row>
    <row r="19594" spans="13:19" ht="13.95" customHeight="1">
      <c r="M19594"/>
      <c r="N19594"/>
      <c r="O19594"/>
      <c r="P19594"/>
      <c r="Q19594"/>
      <c r="R19594"/>
      <c r="S19594"/>
    </row>
    <row r="19595" spans="13:19" ht="13.95" customHeight="1">
      <c r="M19595"/>
      <c r="N19595"/>
      <c r="O19595"/>
      <c r="P19595"/>
      <c r="Q19595"/>
      <c r="R19595"/>
      <c r="S19595"/>
    </row>
    <row r="19596" spans="13:19" ht="13.95" customHeight="1">
      <c r="M19596"/>
      <c r="N19596"/>
      <c r="O19596"/>
      <c r="P19596"/>
      <c r="Q19596"/>
      <c r="R19596"/>
      <c r="S19596"/>
    </row>
    <row r="19597" spans="13:19" ht="13.95" customHeight="1">
      <c r="M19597"/>
      <c r="N19597"/>
      <c r="O19597"/>
      <c r="P19597"/>
      <c r="Q19597"/>
      <c r="R19597"/>
      <c r="S19597"/>
    </row>
    <row r="19598" spans="13:19" ht="13.95" customHeight="1">
      <c r="M19598"/>
      <c r="N19598"/>
      <c r="O19598"/>
      <c r="P19598"/>
      <c r="Q19598"/>
      <c r="R19598"/>
      <c r="S19598"/>
    </row>
    <row r="19599" spans="13:19" ht="13.95" customHeight="1">
      <c r="M19599"/>
      <c r="N19599"/>
      <c r="O19599"/>
      <c r="P19599"/>
      <c r="Q19599"/>
      <c r="R19599"/>
      <c r="S19599"/>
    </row>
    <row r="19600" spans="13:19" ht="13.95" customHeight="1">
      <c r="M19600"/>
      <c r="N19600"/>
      <c r="O19600"/>
      <c r="P19600"/>
      <c r="Q19600"/>
      <c r="R19600"/>
      <c r="S19600"/>
    </row>
    <row r="19601" spans="13:19" ht="13.95" customHeight="1">
      <c r="M19601"/>
      <c r="N19601"/>
      <c r="O19601"/>
      <c r="P19601"/>
      <c r="Q19601"/>
      <c r="R19601"/>
      <c r="S19601"/>
    </row>
    <row r="19602" spans="13:19" ht="13.95" customHeight="1">
      <c r="M19602"/>
      <c r="N19602"/>
      <c r="O19602"/>
      <c r="P19602"/>
      <c r="Q19602"/>
      <c r="R19602"/>
      <c r="S19602"/>
    </row>
    <row r="19603" spans="13:19" ht="13.95" customHeight="1">
      <c r="M19603"/>
      <c r="N19603"/>
      <c r="O19603"/>
      <c r="P19603"/>
      <c r="Q19603"/>
      <c r="R19603"/>
      <c r="S19603"/>
    </row>
    <row r="19604" spans="13:19" ht="13.95" customHeight="1">
      <c r="M19604"/>
      <c r="N19604"/>
      <c r="O19604"/>
      <c r="P19604"/>
      <c r="Q19604"/>
      <c r="R19604"/>
      <c r="S19604"/>
    </row>
    <row r="19605" spans="13:19" ht="13.95" customHeight="1">
      <c r="M19605"/>
      <c r="N19605"/>
      <c r="O19605"/>
      <c r="P19605"/>
      <c r="Q19605"/>
      <c r="R19605"/>
      <c r="S19605"/>
    </row>
    <row r="19606" spans="13:19" ht="13.95" customHeight="1">
      <c r="M19606"/>
      <c r="N19606"/>
      <c r="O19606"/>
      <c r="P19606"/>
      <c r="Q19606"/>
      <c r="R19606"/>
      <c r="S19606"/>
    </row>
    <row r="19607" spans="13:19" ht="13.95" customHeight="1">
      <c r="M19607"/>
      <c r="N19607"/>
      <c r="O19607"/>
      <c r="P19607"/>
      <c r="Q19607"/>
      <c r="R19607"/>
      <c r="S19607"/>
    </row>
    <row r="19608" spans="13:19" ht="13.95" customHeight="1">
      <c r="M19608"/>
      <c r="N19608"/>
      <c r="O19608"/>
      <c r="P19608"/>
      <c r="Q19608"/>
      <c r="R19608"/>
      <c r="S19608"/>
    </row>
    <row r="19609" spans="13:19" ht="13.95" customHeight="1">
      <c r="M19609"/>
      <c r="N19609"/>
      <c r="O19609"/>
      <c r="P19609"/>
      <c r="Q19609"/>
      <c r="R19609"/>
      <c r="S19609"/>
    </row>
    <row r="19610" spans="13:19" ht="13.95" customHeight="1">
      <c r="M19610"/>
      <c r="N19610"/>
      <c r="O19610"/>
      <c r="P19610"/>
      <c r="Q19610"/>
      <c r="R19610"/>
      <c r="S19610"/>
    </row>
    <row r="19611" spans="13:19" ht="13.95" customHeight="1">
      <c r="M19611"/>
      <c r="N19611"/>
      <c r="O19611"/>
      <c r="P19611"/>
      <c r="Q19611"/>
      <c r="R19611"/>
      <c r="S19611"/>
    </row>
    <row r="19612" spans="13:19" ht="13.95" customHeight="1">
      <c r="M19612"/>
      <c r="N19612"/>
      <c r="O19612"/>
      <c r="P19612"/>
      <c r="Q19612"/>
      <c r="R19612"/>
      <c r="S19612"/>
    </row>
    <row r="19613" spans="13:19" ht="13.95" customHeight="1">
      <c r="M19613"/>
      <c r="N19613"/>
      <c r="O19613"/>
      <c r="P19613"/>
      <c r="Q19613"/>
      <c r="R19613"/>
      <c r="S19613"/>
    </row>
    <row r="19614" spans="13:19" ht="13.95" customHeight="1">
      <c r="M19614"/>
      <c r="N19614"/>
      <c r="O19614"/>
      <c r="P19614"/>
      <c r="Q19614"/>
      <c r="R19614"/>
      <c r="S19614"/>
    </row>
    <row r="19615" spans="13:19" ht="13.95" customHeight="1">
      <c r="M19615"/>
      <c r="N19615"/>
      <c r="O19615"/>
      <c r="P19615"/>
      <c r="Q19615"/>
      <c r="R19615"/>
      <c r="S19615"/>
    </row>
    <row r="19616" spans="13:19" ht="13.95" customHeight="1">
      <c r="M19616"/>
      <c r="N19616"/>
      <c r="O19616"/>
      <c r="P19616"/>
      <c r="Q19616"/>
      <c r="R19616"/>
      <c r="S19616"/>
    </row>
    <row r="19617" spans="13:19" ht="13.95" customHeight="1">
      <c r="M19617"/>
      <c r="N19617"/>
      <c r="O19617"/>
      <c r="P19617"/>
      <c r="Q19617"/>
      <c r="R19617"/>
      <c r="S19617"/>
    </row>
    <row r="19618" spans="13:19" ht="13.95" customHeight="1">
      <c r="M19618"/>
      <c r="N19618"/>
      <c r="O19618"/>
      <c r="P19618"/>
      <c r="Q19618"/>
      <c r="R19618"/>
      <c r="S19618"/>
    </row>
    <row r="19619" spans="13:19" ht="13.95" customHeight="1">
      <c r="M19619"/>
      <c r="N19619"/>
      <c r="O19619"/>
      <c r="P19619"/>
      <c r="Q19619"/>
      <c r="R19619"/>
      <c r="S19619"/>
    </row>
    <row r="19620" spans="13:19" ht="13.95" customHeight="1">
      <c r="M19620"/>
      <c r="N19620"/>
      <c r="O19620"/>
      <c r="P19620"/>
      <c r="Q19620"/>
      <c r="R19620"/>
      <c r="S19620"/>
    </row>
    <row r="19621" spans="13:19" ht="13.95" customHeight="1">
      <c r="M19621"/>
      <c r="N19621"/>
      <c r="O19621"/>
      <c r="P19621"/>
      <c r="Q19621"/>
      <c r="R19621"/>
      <c r="S19621"/>
    </row>
    <row r="19622" spans="13:19" ht="13.95" customHeight="1">
      <c r="M19622"/>
      <c r="N19622"/>
      <c r="O19622"/>
      <c r="P19622"/>
      <c r="Q19622"/>
      <c r="R19622"/>
      <c r="S19622"/>
    </row>
    <row r="19623" spans="13:19" ht="13.95" customHeight="1">
      <c r="M19623"/>
      <c r="N19623"/>
      <c r="O19623"/>
      <c r="P19623"/>
      <c r="Q19623"/>
      <c r="R19623"/>
      <c r="S19623"/>
    </row>
    <row r="19624" spans="13:19" ht="13.95" customHeight="1">
      <c r="M19624"/>
      <c r="N19624"/>
      <c r="O19624"/>
      <c r="P19624"/>
      <c r="Q19624"/>
      <c r="R19624"/>
      <c r="S19624"/>
    </row>
    <row r="19625" spans="13:19" ht="13.95" customHeight="1">
      <c r="M19625"/>
      <c r="N19625"/>
      <c r="O19625"/>
      <c r="P19625"/>
      <c r="Q19625"/>
      <c r="R19625"/>
      <c r="S19625"/>
    </row>
    <row r="19626" spans="13:19" ht="13.95" customHeight="1">
      <c r="M19626"/>
      <c r="N19626"/>
      <c r="O19626"/>
      <c r="P19626"/>
      <c r="Q19626"/>
      <c r="R19626"/>
      <c r="S19626"/>
    </row>
    <row r="19627" spans="13:19" ht="13.95" customHeight="1">
      <c r="M19627"/>
      <c r="N19627"/>
      <c r="O19627"/>
      <c r="P19627"/>
      <c r="Q19627"/>
      <c r="R19627"/>
      <c r="S19627"/>
    </row>
    <row r="19628" spans="13:19" ht="13.95" customHeight="1">
      <c r="M19628"/>
      <c r="N19628"/>
      <c r="O19628"/>
      <c r="P19628"/>
      <c r="Q19628"/>
      <c r="R19628"/>
      <c r="S19628"/>
    </row>
    <row r="19629" spans="13:19" ht="13.95" customHeight="1">
      <c r="M19629"/>
      <c r="N19629"/>
      <c r="O19629"/>
      <c r="P19629"/>
      <c r="Q19629"/>
      <c r="R19629"/>
      <c r="S19629"/>
    </row>
    <row r="19630" spans="13:19" ht="13.95" customHeight="1">
      <c r="M19630"/>
      <c r="N19630"/>
      <c r="O19630"/>
      <c r="P19630"/>
      <c r="Q19630"/>
      <c r="R19630"/>
      <c r="S19630"/>
    </row>
    <row r="19631" spans="13:19" ht="13.95" customHeight="1">
      <c r="M19631"/>
      <c r="N19631"/>
      <c r="O19631"/>
      <c r="P19631"/>
      <c r="Q19631"/>
      <c r="R19631"/>
      <c r="S19631"/>
    </row>
    <row r="19632" spans="13:19" ht="13.95" customHeight="1">
      <c r="M19632"/>
      <c r="N19632"/>
      <c r="O19632"/>
      <c r="P19632"/>
      <c r="Q19632"/>
      <c r="R19632"/>
      <c r="S19632"/>
    </row>
    <row r="19633" spans="13:19" ht="13.95" customHeight="1">
      <c r="M19633"/>
      <c r="N19633"/>
      <c r="O19633"/>
      <c r="P19633"/>
      <c r="Q19633"/>
      <c r="R19633"/>
      <c r="S19633"/>
    </row>
    <row r="19634" spans="13:19" ht="13.95" customHeight="1">
      <c r="M19634"/>
      <c r="N19634"/>
      <c r="O19634"/>
      <c r="P19634"/>
      <c r="Q19634"/>
      <c r="R19634"/>
      <c r="S19634"/>
    </row>
    <row r="19635" spans="13:19" ht="13.95" customHeight="1">
      <c r="M19635"/>
      <c r="N19635"/>
      <c r="O19635"/>
      <c r="P19635"/>
      <c r="Q19635"/>
      <c r="R19635"/>
      <c r="S19635"/>
    </row>
    <row r="19636" spans="13:19" ht="13.95" customHeight="1">
      <c r="M19636"/>
      <c r="N19636"/>
      <c r="O19636"/>
      <c r="P19636"/>
      <c r="Q19636"/>
      <c r="R19636"/>
      <c r="S19636"/>
    </row>
    <row r="19637" spans="13:19" ht="13.95" customHeight="1">
      <c r="M19637"/>
      <c r="N19637"/>
      <c r="O19637"/>
      <c r="P19637"/>
      <c r="Q19637"/>
      <c r="R19637"/>
      <c r="S19637"/>
    </row>
    <row r="19638" spans="13:19" ht="13.95" customHeight="1">
      <c r="M19638"/>
      <c r="N19638"/>
      <c r="O19638"/>
      <c r="P19638"/>
      <c r="Q19638"/>
      <c r="R19638"/>
      <c r="S19638"/>
    </row>
    <row r="19639" spans="13:19" ht="13.95" customHeight="1">
      <c r="M19639"/>
      <c r="N19639"/>
      <c r="O19639"/>
      <c r="P19639"/>
      <c r="Q19639"/>
      <c r="R19639"/>
      <c r="S19639"/>
    </row>
    <row r="19640" spans="13:19" ht="13.95" customHeight="1">
      <c r="M19640"/>
      <c r="N19640"/>
      <c r="O19640"/>
      <c r="P19640"/>
      <c r="Q19640"/>
      <c r="R19640"/>
      <c r="S19640"/>
    </row>
    <row r="19641" spans="13:19" ht="13.95" customHeight="1">
      <c r="M19641"/>
      <c r="N19641"/>
      <c r="O19641"/>
      <c r="P19641"/>
      <c r="Q19641"/>
      <c r="R19641"/>
      <c r="S19641"/>
    </row>
    <row r="19642" spans="13:19" ht="13.95" customHeight="1">
      <c r="M19642"/>
      <c r="N19642"/>
      <c r="O19642"/>
      <c r="P19642"/>
      <c r="Q19642"/>
      <c r="R19642"/>
      <c r="S19642"/>
    </row>
    <row r="19643" spans="13:19" ht="13.95" customHeight="1">
      <c r="M19643"/>
      <c r="N19643"/>
      <c r="O19643"/>
      <c r="P19643"/>
      <c r="Q19643"/>
      <c r="R19643"/>
      <c r="S19643"/>
    </row>
    <row r="19644" spans="13:19" ht="13.95" customHeight="1">
      <c r="M19644"/>
      <c r="N19644"/>
      <c r="O19644"/>
      <c r="P19644"/>
      <c r="Q19644"/>
      <c r="R19644"/>
      <c r="S19644"/>
    </row>
    <row r="19645" spans="13:19" ht="13.95" customHeight="1">
      <c r="M19645"/>
      <c r="N19645"/>
      <c r="O19645"/>
      <c r="P19645"/>
      <c r="Q19645"/>
      <c r="R19645"/>
      <c r="S19645"/>
    </row>
    <row r="19646" spans="13:19" ht="13.95" customHeight="1">
      <c r="M19646"/>
      <c r="N19646"/>
      <c r="O19646"/>
      <c r="P19646"/>
      <c r="Q19646"/>
      <c r="R19646"/>
      <c r="S19646"/>
    </row>
    <row r="19647" spans="13:19" ht="13.95" customHeight="1">
      <c r="M19647"/>
      <c r="N19647"/>
      <c r="O19647"/>
      <c r="P19647"/>
      <c r="Q19647"/>
      <c r="R19647"/>
      <c r="S19647"/>
    </row>
    <row r="19648" spans="13:19" ht="13.95" customHeight="1">
      <c r="M19648"/>
      <c r="N19648"/>
      <c r="O19648"/>
      <c r="P19648"/>
      <c r="Q19648"/>
      <c r="R19648"/>
      <c r="S19648"/>
    </row>
    <row r="19649" spans="13:19" ht="13.95" customHeight="1">
      <c r="M19649"/>
      <c r="N19649"/>
      <c r="O19649"/>
      <c r="P19649"/>
      <c r="Q19649"/>
      <c r="R19649"/>
      <c r="S19649"/>
    </row>
    <row r="19650" spans="13:19" ht="13.95" customHeight="1">
      <c r="M19650"/>
      <c r="N19650"/>
      <c r="O19650"/>
      <c r="P19650"/>
      <c r="Q19650"/>
      <c r="R19650"/>
      <c r="S19650"/>
    </row>
    <row r="19651" spans="13:19" ht="13.95" customHeight="1">
      <c r="M19651"/>
      <c r="N19651"/>
      <c r="O19651"/>
      <c r="P19651"/>
      <c r="Q19651"/>
      <c r="R19651"/>
      <c r="S19651"/>
    </row>
    <row r="19652" spans="13:19" ht="13.95" customHeight="1">
      <c r="M19652"/>
      <c r="N19652"/>
      <c r="O19652"/>
      <c r="P19652"/>
      <c r="Q19652"/>
      <c r="R19652"/>
      <c r="S19652"/>
    </row>
    <row r="19653" spans="13:19" ht="13.95" customHeight="1">
      <c r="M19653"/>
      <c r="N19653"/>
      <c r="O19653"/>
      <c r="P19653"/>
      <c r="Q19653"/>
      <c r="R19653"/>
      <c r="S19653"/>
    </row>
    <row r="19654" spans="13:19" ht="13.95" customHeight="1">
      <c r="M19654"/>
      <c r="N19654"/>
      <c r="O19654"/>
      <c r="P19654"/>
      <c r="Q19654"/>
      <c r="R19654"/>
      <c r="S19654"/>
    </row>
    <row r="19655" spans="13:19" ht="13.95" customHeight="1">
      <c r="M19655"/>
      <c r="N19655"/>
      <c r="O19655"/>
      <c r="P19655"/>
      <c r="Q19655"/>
      <c r="R19655"/>
      <c r="S19655"/>
    </row>
    <row r="19656" spans="13:19" ht="13.95" customHeight="1">
      <c r="M19656"/>
      <c r="N19656"/>
      <c r="O19656"/>
      <c r="P19656"/>
      <c r="Q19656"/>
      <c r="R19656"/>
      <c r="S19656"/>
    </row>
    <row r="19657" spans="13:19" ht="13.95" customHeight="1">
      <c r="M19657"/>
      <c r="N19657"/>
      <c r="O19657"/>
      <c r="P19657"/>
      <c r="Q19657"/>
      <c r="R19657"/>
      <c r="S19657"/>
    </row>
    <row r="19658" spans="13:19" ht="13.95" customHeight="1">
      <c r="M19658"/>
      <c r="N19658"/>
      <c r="O19658"/>
      <c r="P19658"/>
      <c r="Q19658"/>
      <c r="R19658"/>
      <c r="S19658"/>
    </row>
    <row r="19659" spans="13:19" ht="13.95" customHeight="1">
      <c r="M19659"/>
      <c r="N19659"/>
      <c r="O19659"/>
      <c r="P19659"/>
      <c r="Q19659"/>
      <c r="R19659"/>
      <c r="S19659"/>
    </row>
    <row r="19660" spans="13:19" ht="13.95" customHeight="1">
      <c r="M19660"/>
      <c r="N19660"/>
      <c r="O19660"/>
      <c r="P19660"/>
      <c r="Q19660"/>
      <c r="R19660"/>
      <c r="S19660"/>
    </row>
    <row r="19661" spans="13:19" ht="13.95" customHeight="1">
      <c r="M19661"/>
      <c r="N19661"/>
      <c r="O19661"/>
      <c r="P19661"/>
      <c r="Q19661"/>
      <c r="R19661"/>
      <c r="S19661"/>
    </row>
    <row r="19662" spans="13:19" ht="13.95" customHeight="1">
      <c r="M19662"/>
      <c r="N19662"/>
      <c r="O19662"/>
      <c r="P19662"/>
      <c r="Q19662"/>
      <c r="R19662"/>
      <c r="S19662"/>
    </row>
    <row r="19663" spans="13:19" ht="13.95" customHeight="1">
      <c r="M19663"/>
      <c r="N19663"/>
      <c r="O19663"/>
      <c r="P19663"/>
      <c r="Q19663"/>
      <c r="R19663"/>
      <c r="S19663"/>
    </row>
    <row r="19664" spans="13:19" ht="13.95" customHeight="1">
      <c r="M19664"/>
      <c r="N19664"/>
      <c r="O19664"/>
      <c r="P19664"/>
      <c r="Q19664"/>
      <c r="R19664"/>
      <c r="S19664"/>
    </row>
    <row r="19665" spans="13:19" ht="13.95" customHeight="1">
      <c r="M19665"/>
      <c r="N19665"/>
      <c r="O19665"/>
      <c r="P19665"/>
      <c r="Q19665"/>
      <c r="R19665"/>
      <c r="S19665"/>
    </row>
    <row r="19666" spans="13:19" ht="13.95" customHeight="1">
      <c r="M19666"/>
      <c r="N19666"/>
      <c r="O19666"/>
      <c r="P19666"/>
      <c r="Q19666"/>
      <c r="R19666"/>
      <c r="S19666"/>
    </row>
    <row r="19667" spans="13:19" ht="13.95" customHeight="1">
      <c r="M19667"/>
      <c r="N19667"/>
      <c r="O19667"/>
      <c r="P19667"/>
      <c r="Q19667"/>
      <c r="R19667"/>
      <c r="S19667"/>
    </row>
    <row r="19668" spans="13:19" ht="13.95" customHeight="1">
      <c r="M19668"/>
      <c r="N19668"/>
      <c r="O19668"/>
      <c r="P19668"/>
      <c r="Q19668"/>
      <c r="R19668"/>
      <c r="S19668"/>
    </row>
    <row r="19669" spans="13:19" ht="13.95" customHeight="1">
      <c r="M19669"/>
      <c r="N19669"/>
      <c r="O19669"/>
      <c r="P19669"/>
      <c r="Q19669"/>
      <c r="R19669"/>
      <c r="S19669"/>
    </row>
    <row r="19670" spans="13:19" ht="13.95" customHeight="1">
      <c r="M19670"/>
      <c r="N19670"/>
      <c r="O19670"/>
      <c r="P19670"/>
      <c r="Q19670"/>
      <c r="R19670"/>
      <c r="S19670"/>
    </row>
    <row r="19671" spans="13:19" ht="13.95" customHeight="1">
      <c r="M19671"/>
      <c r="N19671"/>
      <c r="O19671"/>
      <c r="P19671"/>
      <c r="Q19671"/>
      <c r="R19671"/>
      <c r="S19671"/>
    </row>
    <row r="19672" spans="13:19" ht="13.95" customHeight="1">
      <c r="M19672"/>
      <c r="N19672"/>
      <c r="O19672"/>
      <c r="P19672"/>
      <c r="Q19672"/>
      <c r="R19672"/>
      <c r="S19672"/>
    </row>
    <row r="19673" spans="13:19" ht="13.95" customHeight="1">
      <c r="M19673"/>
      <c r="N19673"/>
      <c r="O19673"/>
      <c r="P19673"/>
      <c r="Q19673"/>
      <c r="R19673"/>
      <c r="S19673"/>
    </row>
    <row r="19674" spans="13:19" ht="13.95" customHeight="1">
      <c r="M19674"/>
      <c r="N19674"/>
      <c r="O19674"/>
      <c r="P19674"/>
      <c r="Q19674"/>
      <c r="R19674"/>
      <c r="S19674"/>
    </row>
    <row r="19675" spans="13:19" ht="13.95" customHeight="1">
      <c r="M19675"/>
      <c r="N19675"/>
      <c r="O19675"/>
      <c r="P19675"/>
      <c r="Q19675"/>
      <c r="R19675"/>
      <c r="S19675"/>
    </row>
    <row r="19676" spans="13:19" ht="13.95" customHeight="1">
      <c r="M19676"/>
      <c r="N19676"/>
      <c r="O19676"/>
      <c r="P19676"/>
      <c r="Q19676"/>
      <c r="R19676"/>
      <c r="S19676"/>
    </row>
    <row r="19677" spans="13:19" ht="13.95" customHeight="1">
      <c r="M19677"/>
      <c r="N19677"/>
      <c r="O19677"/>
      <c r="P19677"/>
      <c r="Q19677"/>
      <c r="R19677"/>
      <c r="S19677"/>
    </row>
    <row r="19678" spans="13:19" ht="13.95" customHeight="1">
      <c r="M19678"/>
      <c r="N19678"/>
      <c r="O19678"/>
      <c r="P19678"/>
      <c r="Q19678"/>
      <c r="R19678"/>
      <c r="S19678"/>
    </row>
    <row r="19679" spans="13:19" ht="13.95" customHeight="1">
      <c r="M19679"/>
      <c r="N19679"/>
      <c r="O19679"/>
      <c r="P19679"/>
      <c r="Q19679"/>
      <c r="R19679"/>
      <c r="S19679"/>
    </row>
    <row r="19680" spans="13:19" ht="13.95" customHeight="1">
      <c r="M19680"/>
      <c r="N19680"/>
      <c r="O19680"/>
      <c r="P19680"/>
      <c r="Q19680"/>
      <c r="R19680"/>
      <c r="S19680"/>
    </row>
    <row r="19681" spans="13:19" ht="13.95" customHeight="1">
      <c r="M19681"/>
      <c r="N19681"/>
      <c r="O19681"/>
      <c r="P19681"/>
      <c r="Q19681"/>
      <c r="R19681"/>
      <c r="S19681"/>
    </row>
    <row r="19682" spans="13:19" ht="13.95" customHeight="1">
      <c r="M19682"/>
      <c r="N19682"/>
      <c r="O19682"/>
      <c r="P19682"/>
      <c r="Q19682"/>
      <c r="R19682"/>
      <c r="S19682"/>
    </row>
    <row r="19683" spans="13:19" ht="13.95" customHeight="1">
      <c r="M19683"/>
      <c r="N19683"/>
      <c r="O19683"/>
      <c r="P19683"/>
      <c r="Q19683"/>
      <c r="R19683"/>
      <c r="S19683"/>
    </row>
    <row r="19684" spans="13:19" ht="13.95" customHeight="1">
      <c r="M19684"/>
      <c r="N19684"/>
      <c r="O19684"/>
      <c r="P19684"/>
      <c r="Q19684"/>
      <c r="R19684"/>
      <c r="S19684"/>
    </row>
    <row r="19685" spans="13:19" ht="13.95" customHeight="1">
      <c r="M19685"/>
      <c r="N19685"/>
      <c r="O19685"/>
      <c r="P19685"/>
      <c r="Q19685"/>
      <c r="R19685"/>
      <c r="S19685"/>
    </row>
    <row r="19686" spans="13:19" ht="13.95" customHeight="1">
      <c r="M19686"/>
      <c r="N19686"/>
      <c r="O19686"/>
      <c r="P19686"/>
      <c r="Q19686"/>
      <c r="R19686"/>
      <c r="S19686"/>
    </row>
    <row r="19687" spans="13:19" ht="13.95" customHeight="1">
      <c r="M19687"/>
      <c r="N19687"/>
      <c r="O19687"/>
      <c r="P19687"/>
      <c r="Q19687"/>
      <c r="R19687"/>
      <c r="S19687"/>
    </row>
    <row r="19688" spans="13:19" ht="13.95" customHeight="1">
      <c r="M19688"/>
      <c r="N19688"/>
      <c r="O19688"/>
      <c r="P19688"/>
      <c r="Q19688"/>
      <c r="R19688"/>
      <c r="S19688"/>
    </row>
    <row r="19689" spans="13:19" ht="13.95" customHeight="1">
      <c r="M19689"/>
      <c r="N19689"/>
      <c r="O19689"/>
      <c r="P19689"/>
      <c r="Q19689"/>
      <c r="R19689"/>
      <c r="S19689"/>
    </row>
    <row r="19690" spans="13:19" ht="13.95" customHeight="1">
      <c r="M19690"/>
      <c r="N19690"/>
      <c r="O19690"/>
      <c r="P19690"/>
      <c r="Q19690"/>
      <c r="R19690"/>
      <c r="S19690"/>
    </row>
    <row r="19691" spans="13:19" ht="13.95" customHeight="1">
      <c r="M19691"/>
      <c r="N19691"/>
      <c r="O19691"/>
      <c r="P19691"/>
      <c r="Q19691"/>
      <c r="R19691"/>
      <c r="S19691"/>
    </row>
    <row r="19692" spans="13:19" ht="13.95" customHeight="1">
      <c r="M19692"/>
      <c r="N19692"/>
      <c r="O19692"/>
      <c r="P19692"/>
      <c r="Q19692"/>
      <c r="R19692"/>
      <c r="S19692"/>
    </row>
    <row r="19693" spans="13:19" ht="13.95" customHeight="1">
      <c r="M19693"/>
      <c r="N19693"/>
      <c r="O19693"/>
      <c r="P19693"/>
      <c r="Q19693"/>
      <c r="R19693"/>
      <c r="S19693"/>
    </row>
    <row r="19694" spans="13:19" ht="13.95" customHeight="1">
      <c r="M19694"/>
      <c r="N19694"/>
      <c r="O19694"/>
      <c r="P19694"/>
      <c r="Q19694"/>
      <c r="R19694"/>
      <c r="S19694"/>
    </row>
    <row r="19695" spans="13:19" ht="13.95" customHeight="1">
      <c r="M19695"/>
      <c r="N19695"/>
      <c r="O19695"/>
      <c r="P19695"/>
      <c r="Q19695"/>
      <c r="R19695"/>
      <c r="S19695"/>
    </row>
    <row r="19696" spans="13:19" ht="13.95" customHeight="1">
      <c r="M19696"/>
      <c r="N19696"/>
      <c r="O19696"/>
      <c r="P19696"/>
      <c r="Q19696"/>
      <c r="R19696"/>
      <c r="S19696"/>
    </row>
    <row r="19697" spans="13:19" ht="13.95" customHeight="1">
      <c r="M19697"/>
      <c r="N19697"/>
      <c r="O19697"/>
      <c r="P19697"/>
      <c r="Q19697"/>
      <c r="R19697"/>
      <c r="S19697"/>
    </row>
    <row r="19698" spans="13:19" ht="13.95" customHeight="1">
      <c r="M19698"/>
      <c r="N19698"/>
      <c r="O19698"/>
      <c r="P19698"/>
      <c r="Q19698"/>
      <c r="R19698"/>
      <c r="S19698"/>
    </row>
    <row r="19699" spans="13:19" ht="13.95" customHeight="1">
      <c r="M19699"/>
      <c r="N19699"/>
      <c r="O19699"/>
      <c r="P19699"/>
      <c r="Q19699"/>
      <c r="R19699"/>
      <c r="S19699"/>
    </row>
    <row r="19700" spans="13:19" ht="13.95" customHeight="1">
      <c r="M19700"/>
      <c r="N19700"/>
      <c r="O19700"/>
      <c r="P19700"/>
      <c r="Q19700"/>
      <c r="R19700"/>
      <c r="S19700"/>
    </row>
    <row r="19701" spans="13:19" ht="13.95" customHeight="1">
      <c r="M19701"/>
      <c r="N19701"/>
      <c r="O19701"/>
      <c r="P19701"/>
      <c r="Q19701"/>
      <c r="R19701"/>
      <c r="S19701"/>
    </row>
    <row r="19702" spans="13:19" ht="13.95" customHeight="1">
      <c r="M19702"/>
      <c r="N19702"/>
      <c r="O19702"/>
      <c r="P19702"/>
      <c r="Q19702"/>
      <c r="R19702"/>
      <c r="S19702"/>
    </row>
    <row r="19703" spans="13:19" ht="13.95" customHeight="1">
      <c r="M19703"/>
      <c r="N19703"/>
      <c r="O19703"/>
      <c r="P19703"/>
      <c r="Q19703"/>
      <c r="R19703"/>
      <c r="S19703"/>
    </row>
    <row r="19704" spans="13:19" ht="13.95" customHeight="1">
      <c r="M19704"/>
      <c r="N19704"/>
      <c r="O19704"/>
      <c r="P19704"/>
      <c r="Q19704"/>
      <c r="R19704"/>
      <c r="S19704"/>
    </row>
    <row r="19705" spans="13:19" ht="13.95" customHeight="1">
      <c r="M19705"/>
      <c r="N19705"/>
      <c r="O19705"/>
      <c r="P19705"/>
      <c r="Q19705"/>
      <c r="R19705"/>
      <c r="S19705"/>
    </row>
    <row r="19706" spans="13:19" ht="13.95" customHeight="1">
      <c r="M19706"/>
      <c r="N19706"/>
      <c r="O19706"/>
      <c r="P19706"/>
      <c r="Q19706"/>
      <c r="R19706"/>
      <c r="S19706"/>
    </row>
    <row r="19707" spans="13:19" ht="13.95" customHeight="1">
      <c r="M19707"/>
      <c r="N19707"/>
      <c r="O19707"/>
      <c r="P19707"/>
      <c r="Q19707"/>
      <c r="R19707"/>
      <c r="S19707"/>
    </row>
    <row r="19708" spans="13:19" ht="13.95" customHeight="1">
      <c r="M19708"/>
      <c r="N19708"/>
      <c r="O19708"/>
      <c r="P19708"/>
      <c r="Q19708"/>
      <c r="R19708"/>
      <c r="S19708"/>
    </row>
    <row r="19709" spans="13:19" ht="13.95" customHeight="1">
      <c r="M19709"/>
      <c r="N19709"/>
      <c r="O19709"/>
      <c r="P19709"/>
      <c r="Q19709"/>
      <c r="R19709"/>
      <c r="S19709"/>
    </row>
    <row r="19710" spans="13:19" ht="13.95" customHeight="1">
      <c r="M19710"/>
      <c r="N19710"/>
      <c r="O19710"/>
      <c r="P19710"/>
      <c r="Q19710"/>
      <c r="R19710"/>
      <c r="S19710"/>
    </row>
    <row r="19711" spans="13:19" ht="13.95" customHeight="1">
      <c r="M19711"/>
      <c r="N19711"/>
      <c r="O19711"/>
      <c r="P19711"/>
      <c r="Q19711"/>
      <c r="R19711"/>
      <c r="S19711"/>
    </row>
    <row r="19712" spans="13:19" ht="13.95" customHeight="1">
      <c r="M19712"/>
      <c r="N19712"/>
      <c r="O19712"/>
      <c r="P19712"/>
      <c r="Q19712"/>
      <c r="R19712"/>
      <c r="S19712"/>
    </row>
    <row r="19713" spans="13:19" ht="13.95" customHeight="1">
      <c r="M19713"/>
      <c r="N19713"/>
      <c r="O19713"/>
      <c r="P19713"/>
      <c r="Q19713"/>
      <c r="R19713"/>
      <c r="S19713"/>
    </row>
    <row r="19714" spans="13:19" ht="13.95" customHeight="1">
      <c r="M19714"/>
      <c r="N19714"/>
      <c r="O19714"/>
      <c r="P19714"/>
      <c r="Q19714"/>
      <c r="R19714"/>
      <c r="S19714"/>
    </row>
    <row r="19715" spans="13:19" ht="13.95" customHeight="1">
      <c r="M19715"/>
      <c r="N19715"/>
      <c r="O19715"/>
      <c r="P19715"/>
      <c r="Q19715"/>
      <c r="R19715"/>
      <c r="S19715"/>
    </row>
    <row r="19716" spans="13:19" ht="13.95" customHeight="1">
      <c r="M19716"/>
      <c r="N19716"/>
      <c r="O19716"/>
      <c r="P19716"/>
      <c r="Q19716"/>
      <c r="R19716"/>
      <c r="S19716"/>
    </row>
    <row r="19717" spans="13:19" ht="13.95" customHeight="1">
      <c r="M19717"/>
      <c r="N19717"/>
      <c r="O19717"/>
      <c r="P19717"/>
      <c r="Q19717"/>
      <c r="R19717"/>
      <c r="S19717"/>
    </row>
    <row r="19718" spans="13:19" ht="13.95" customHeight="1">
      <c r="M19718"/>
      <c r="N19718"/>
      <c r="O19718"/>
      <c r="P19718"/>
      <c r="Q19718"/>
      <c r="R19718"/>
      <c r="S19718"/>
    </row>
    <row r="19719" spans="13:19" ht="13.95" customHeight="1">
      <c r="M19719"/>
      <c r="N19719"/>
      <c r="O19719"/>
      <c r="P19719"/>
      <c r="Q19719"/>
      <c r="R19719"/>
      <c r="S19719"/>
    </row>
    <row r="19720" spans="13:19" ht="13.95" customHeight="1">
      <c r="M19720"/>
      <c r="N19720"/>
      <c r="O19720"/>
      <c r="P19720"/>
      <c r="Q19720"/>
      <c r="R19720"/>
      <c r="S19720"/>
    </row>
    <row r="19721" spans="13:19" ht="13.95" customHeight="1">
      <c r="M19721"/>
      <c r="N19721"/>
      <c r="O19721"/>
      <c r="P19721"/>
      <c r="Q19721"/>
      <c r="R19721"/>
      <c r="S19721"/>
    </row>
    <row r="19722" spans="13:19" ht="13.95" customHeight="1">
      <c r="M19722"/>
      <c r="N19722"/>
      <c r="O19722"/>
      <c r="P19722"/>
      <c r="Q19722"/>
      <c r="R19722"/>
      <c r="S19722"/>
    </row>
    <row r="19723" spans="13:19" ht="13.95" customHeight="1">
      <c r="M19723"/>
      <c r="N19723"/>
      <c r="O19723"/>
      <c r="P19723"/>
      <c r="Q19723"/>
      <c r="R19723"/>
      <c r="S19723"/>
    </row>
    <row r="19724" spans="13:19" ht="13.95" customHeight="1">
      <c r="M19724"/>
      <c r="N19724"/>
      <c r="O19724"/>
      <c r="P19724"/>
      <c r="Q19724"/>
      <c r="R19724"/>
      <c r="S19724"/>
    </row>
    <row r="19725" spans="13:19" ht="13.95" customHeight="1">
      <c r="M19725"/>
      <c r="N19725"/>
      <c r="O19725"/>
      <c r="P19725"/>
      <c r="Q19725"/>
      <c r="R19725"/>
      <c r="S19725"/>
    </row>
    <row r="19726" spans="13:19" ht="13.95" customHeight="1">
      <c r="M19726"/>
      <c r="N19726"/>
      <c r="O19726"/>
      <c r="P19726"/>
      <c r="Q19726"/>
      <c r="R19726"/>
      <c r="S19726"/>
    </row>
    <row r="19727" spans="13:19" ht="13.95" customHeight="1">
      <c r="M19727"/>
      <c r="N19727"/>
      <c r="O19727"/>
      <c r="P19727"/>
      <c r="Q19727"/>
      <c r="R19727"/>
      <c r="S19727"/>
    </row>
    <row r="19728" spans="13:19" ht="13.95" customHeight="1">
      <c r="M19728"/>
      <c r="N19728"/>
      <c r="O19728"/>
      <c r="P19728"/>
      <c r="Q19728"/>
      <c r="R19728"/>
      <c r="S19728"/>
    </row>
    <row r="19729" spans="13:19" ht="13.95" customHeight="1">
      <c r="M19729"/>
      <c r="N19729"/>
      <c r="O19729"/>
      <c r="P19729"/>
      <c r="Q19729"/>
      <c r="R19729"/>
      <c r="S19729"/>
    </row>
    <row r="19730" spans="13:19" ht="13.95" customHeight="1">
      <c r="M19730"/>
      <c r="N19730"/>
      <c r="O19730"/>
      <c r="P19730"/>
      <c r="Q19730"/>
      <c r="R19730"/>
      <c r="S19730"/>
    </row>
    <row r="19731" spans="13:19" ht="13.95" customHeight="1">
      <c r="M19731"/>
      <c r="N19731"/>
      <c r="O19731"/>
      <c r="P19731"/>
      <c r="Q19731"/>
      <c r="R19731"/>
      <c r="S19731"/>
    </row>
    <row r="19732" spans="13:19" ht="13.95" customHeight="1">
      <c r="M19732"/>
      <c r="N19732"/>
      <c r="O19732"/>
      <c r="P19732"/>
      <c r="Q19732"/>
      <c r="R19732"/>
      <c r="S19732"/>
    </row>
    <row r="19733" spans="13:19" ht="13.95" customHeight="1">
      <c r="M19733"/>
      <c r="N19733"/>
      <c r="O19733"/>
      <c r="P19733"/>
      <c r="Q19733"/>
      <c r="R19733"/>
      <c r="S19733"/>
    </row>
    <row r="19734" spans="13:19" ht="13.95" customHeight="1">
      <c r="M19734"/>
      <c r="N19734"/>
      <c r="O19734"/>
      <c r="P19734"/>
      <c r="Q19734"/>
      <c r="R19734"/>
      <c r="S19734"/>
    </row>
    <row r="19735" spans="13:19" ht="13.95" customHeight="1">
      <c r="M19735"/>
      <c r="N19735"/>
      <c r="O19735"/>
      <c r="P19735"/>
      <c r="Q19735"/>
      <c r="R19735"/>
      <c r="S19735"/>
    </row>
    <row r="19736" spans="13:19" ht="13.95" customHeight="1">
      <c r="M19736"/>
      <c r="N19736"/>
      <c r="O19736"/>
      <c r="P19736"/>
      <c r="Q19736"/>
      <c r="R19736"/>
      <c r="S19736"/>
    </row>
    <row r="19737" spans="13:19" ht="13.95" customHeight="1">
      <c r="M19737"/>
      <c r="N19737"/>
      <c r="O19737"/>
      <c r="P19737"/>
      <c r="Q19737"/>
      <c r="R19737"/>
      <c r="S19737"/>
    </row>
    <row r="19738" spans="13:19" ht="13.95" customHeight="1">
      <c r="M19738"/>
      <c r="N19738"/>
      <c r="O19738"/>
      <c r="P19738"/>
      <c r="Q19738"/>
      <c r="R19738"/>
      <c r="S19738"/>
    </row>
    <row r="19739" spans="13:19" ht="13.95" customHeight="1">
      <c r="M19739"/>
      <c r="N19739"/>
      <c r="O19739"/>
      <c r="P19739"/>
      <c r="Q19739"/>
      <c r="R19739"/>
      <c r="S19739"/>
    </row>
    <row r="19740" spans="13:19" ht="13.95" customHeight="1">
      <c r="M19740"/>
      <c r="N19740"/>
      <c r="O19740"/>
      <c r="P19740"/>
      <c r="Q19740"/>
      <c r="R19740"/>
      <c r="S19740"/>
    </row>
    <row r="19741" spans="13:19" ht="13.95" customHeight="1">
      <c r="M19741"/>
      <c r="N19741"/>
      <c r="O19741"/>
      <c r="P19741"/>
      <c r="Q19741"/>
      <c r="R19741"/>
      <c r="S19741"/>
    </row>
    <row r="19742" spans="13:19" ht="13.95" customHeight="1">
      <c r="M19742"/>
      <c r="N19742"/>
      <c r="O19742"/>
      <c r="P19742"/>
      <c r="Q19742"/>
      <c r="R19742"/>
      <c r="S19742"/>
    </row>
    <row r="19743" spans="13:19" ht="13.95" customHeight="1">
      <c r="M19743"/>
      <c r="N19743"/>
      <c r="O19743"/>
      <c r="P19743"/>
      <c r="Q19743"/>
      <c r="R19743"/>
      <c r="S19743"/>
    </row>
    <row r="19744" spans="13:19" ht="13.95" customHeight="1">
      <c r="M19744"/>
      <c r="N19744"/>
      <c r="O19744"/>
      <c r="P19744"/>
      <c r="Q19744"/>
      <c r="R19744"/>
      <c r="S19744"/>
    </row>
    <row r="19745" spans="13:19" ht="13.95" customHeight="1">
      <c r="M19745"/>
      <c r="N19745"/>
      <c r="O19745"/>
      <c r="P19745"/>
      <c r="Q19745"/>
      <c r="R19745"/>
      <c r="S19745"/>
    </row>
    <row r="19746" spans="13:19" ht="13.95" customHeight="1">
      <c r="M19746"/>
      <c r="N19746"/>
      <c r="O19746"/>
      <c r="P19746"/>
      <c r="Q19746"/>
      <c r="R19746"/>
      <c r="S19746"/>
    </row>
    <row r="19747" spans="13:19" ht="13.95" customHeight="1">
      <c r="M19747"/>
      <c r="N19747"/>
      <c r="O19747"/>
      <c r="P19747"/>
      <c r="Q19747"/>
      <c r="R19747"/>
      <c r="S19747"/>
    </row>
    <row r="19748" spans="13:19" ht="13.95" customHeight="1">
      <c r="M19748"/>
      <c r="N19748"/>
      <c r="O19748"/>
      <c r="P19748"/>
      <c r="Q19748"/>
      <c r="R19748"/>
      <c r="S19748"/>
    </row>
    <row r="19749" spans="13:19" ht="13.95" customHeight="1">
      <c r="M19749"/>
      <c r="N19749"/>
      <c r="O19749"/>
      <c r="P19749"/>
      <c r="Q19749"/>
      <c r="R19749"/>
      <c r="S19749"/>
    </row>
    <row r="19750" spans="13:19" ht="13.95" customHeight="1">
      <c r="M19750"/>
      <c r="N19750"/>
      <c r="O19750"/>
      <c r="P19750"/>
      <c r="Q19750"/>
      <c r="R19750"/>
      <c r="S19750"/>
    </row>
    <row r="19751" spans="13:19" ht="13.95" customHeight="1">
      <c r="M19751"/>
      <c r="N19751"/>
      <c r="O19751"/>
      <c r="P19751"/>
      <c r="Q19751"/>
      <c r="R19751"/>
      <c r="S19751"/>
    </row>
    <row r="19752" spans="13:19" ht="13.95" customHeight="1">
      <c r="M19752"/>
      <c r="N19752"/>
      <c r="O19752"/>
      <c r="P19752"/>
      <c r="Q19752"/>
      <c r="R19752"/>
      <c r="S19752"/>
    </row>
    <row r="19753" spans="13:19" ht="13.95" customHeight="1">
      <c r="M19753"/>
      <c r="N19753"/>
      <c r="O19753"/>
      <c r="P19753"/>
      <c r="Q19753"/>
      <c r="R19753"/>
      <c r="S19753"/>
    </row>
    <row r="19754" spans="13:19" ht="13.95" customHeight="1">
      <c r="M19754"/>
      <c r="N19754"/>
      <c r="O19754"/>
      <c r="P19754"/>
      <c r="Q19754"/>
      <c r="R19754"/>
      <c r="S19754"/>
    </row>
    <row r="19755" spans="13:19" ht="13.95" customHeight="1">
      <c r="M19755"/>
      <c r="N19755"/>
      <c r="O19755"/>
      <c r="P19755"/>
      <c r="Q19755"/>
      <c r="R19755"/>
      <c r="S19755"/>
    </row>
    <row r="19756" spans="13:19" ht="13.95" customHeight="1">
      <c r="M19756"/>
      <c r="N19756"/>
      <c r="O19756"/>
      <c r="P19756"/>
      <c r="Q19756"/>
      <c r="R19756"/>
      <c r="S19756"/>
    </row>
    <row r="19757" spans="13:19" ht="13.95" customHeight="1">
      <c r="M19757"/>
      <c r="N19757"/>
      <c r="O19757"/>
      <c r="P19757"/>
      <c r="Q19757"/>
      <c r="R19757"/>
      <c r="S19757"/>
    </row>
    <row r="19758" spans="13:19" ht="13.95" customHeight="1">
      <c r="M19758"/>
      <c r="N19758"/>
      <c r="O19758"/>
      <c r="P19758"/>
      <c r="Q19758"/>
      <c r="R19758"/>
      <c r="S19758"/>
    </row>
    <row r="19759" spans="13:19" ht="13.95" customHeight="1">
      <c r="M19759"/>
      <c r="N19759"/>
      <c r="O19759"/>
      <c r="P19759"/>
      <c r="Q19759"/>
      <c r="R19759"/>
      <c r="S19759"/>
    </row>
    <row r="19760" spans="13:19" ht="13.95" customHeight="1">
      <c r="M19760"/>
      <c r="N19760"/>
      <c r="O19760"/>
      <c r="P19760"/>
      <c r="Q19760"/>
      <c r="R19760"/>
      <c r="S19760"/>
    </row>
    <row r="19761" spans="13:19" ht="13.95" customHeight="1">
      <c r="M19761"/>
      <c r="N19761"/>
      <c r="O19761"/>
      <c r="P19761"/>
      <c r="Q19761"/>
      <c r="R19761"/>
      <c r="S19761"/>
    </row>
    <row r="19762" spans="13:19" ht="13.95" customHeight="1">
      <c r="M19762"/>
      <c r="N19762"/>
      <c r="O19762"/>
      <c r="P19762"/>
      <c r="Q19762"/>
      <c r="R19762"/>
      <c r="S19762"/>
    </row>
    <row r="19763" spans="13:19" ht="13.95" customHeight="1">
      <c r="M19763"/>
      <c r="N19763"/>
      <c r="O19763"/>
      <c r="P19763"/>
      <c r="Q19763"/>
      <c r="R19763"/>
      <c r="S19763"/>
    </row>
    <row r="19764" spans="13:19" ht="13.95" customHeight="1">
      <c r="M19764"/>
      <c r="N19764"/>
      <c r="O19764"/>
      <c r="P19764"/>
      <c r="Q19764"/>
      <c r="R19764"/>
      <c r="S19764"/>
    </row>
    <row r="19765" spans="13:19" ht="13.95" customHeight="1">
      <c r="M19765"/>
      <c r="N19765"/>
      <c r="O19765"/>
      <c r="P19765"/>
      <c r="Q19765"/>
      <c r="R19765"/>
      <c r="S19765"/>
    </row>
    <row r="19766" spans="13:19" ht="13.95" customHeight="1">
      <c r="M19766"/>
      <c r="N19766"/>
      <c r="O19766"/>
      <c r="P19766"/>
      <c r="Q19766"/>
      <c r="R19766"/>
      <c r="S19766"/>
    </row>
    <row r="19767" spans="13:19" ht="13.95" customHeight="1">
      <c r="M19767"/>
      <c r="N19767"/>
      <c r="O19767"/>
      <c r="P19767"/>
      <c r="Q19767"/>
      <c r="R19767"/>
      <c r="S19767"/>
    </row>
    <row r="19768" spans="13:19" ht="13.95" customHeight="1">
      <c r="M19768"/>
      <c r="N19768"/>
      <c r="O19768"/>
      <c r="P19768"/>
      <c r="Q19768"/>
      <c r="R19768"/>
      <c r="S19768"/>
    </row>
    <row r="19769" spans="13:19" ht="13.95" customHeight="1">
      <c r="M19769"/>
      <c r="N19769"/>
      <c r="O19769"/>
      <c r="P19769"/>
      <c r="Q19769"/>
      <c r="R19769"/>
      <c r="S19769"/>
    </row>
    <row r="19770" spans="13:19" ht="13.95" customHeight="1">
      <c r="M19770"/>
      <c r="N19770"/>
      <c r="O19770"/>
      <c r="P19770"/>
      <c r="Q19770"/>
      <c r="R19770"/>
      <c r="S19770"/>
    </row>
    <row r="19771" spans="13:19" ht="13.95" customHeight="1">
      <c r="M19771"/>
      <c r="N19771"/>
      <c r="O19771"/>
      <c r="P19771"/>
      <c r="Q19771"/>
      <c r="R19771"/>
      <c r="S19771"/>
    </row>
    <row r="19772" spans="13:19" ht="13.95" customHeight="1">
      <c r="M19772"/>
      <c r="N19772"/>
      <c r="O19772"/>
      <c r="P19772"/>
      <c r="Q19772"/>
      <c r="R19772"/>
      <c r="S19772"/>
    </row>
    <row r="19773" spans="13:19" ht="13.95" customHeight="1">
      <c r="M19773"/>
      <c r="N19773"/>
      <c r="O19773"/>
      <c r="P19773"/>
      <c r="Q19773"/>
      <c r="R19773"/>
      <c r="S19773"/>
    </row>
    <row r="19774" spans="13:19" ht="13.95" customHeight="1">
      <c r="M19774"/>
      <c r="N19774"/>
      <c r="O19774"/>
      <c r="P19774"/>
      <c r="Q19774"/>
      <c r="R19774"/>
      <c r="S19774"/>
    </row>
    <row r="19775" spans="13:19" ht="13.95" customHeight="1">
      <c r="M19775"/>
      <c r="N19775"/>
      <c r="O19775"/>
      <c r="P19775"/>
      <c r="Q19775"/>
      <c r="R19775"/>
      <c r="S19775"/>
    </row>
    <row r="19776" spans="13:19" ht="13.95" customHeight="1">
      <c r="M19776"/>
      <c r="N19776"/>
      <c r="O19776"/>
      <c r="P19776"/>
      <c r="Q19776"/>
      <c r="R19776"/>
      <c r="S19776"/>
    </row>
    <row r="19777" spans="13:19" ht="13.95" customHeight="1">
      <c r="M19777"/>
      <c r="N19777"/>
      <c r="O19777"/>
      <c r="P19777"/>
      <c r="Q19777"/>
      <c r="R19777"/>
      <c r="S19777"/>
    </row>
    <row r="19778" spans="13:19" ht="13.95" customHeight="1">
      <c r="M19778"/>
      <c r="N19778"/>
      <c r="O19778"/>
      <c r="P19778"/>
      <c r="Q19778"/>
      <c r="R19778"/>
      <c r="S19778"/>
    </row>
    <row r="19779" spans="13:19" ht="13.95" customHeight="1">
      <c r="M19779"/>
      <c r="N19779"/>
      <c r="O19779"/>
      <c r="P19779"/>
      <c r="Q19779"/>
      <c r="R19779"/>
      <c r="S19779"/>
    </row>
    <row r="19780" spans="13:19" ht="13.95" customHeight="1">
      <c r="M19780"/>
      <c r="N19780"/>
      <c r="O19780"/>
      <c r="P19780"/>
      <c r="Q19780"/>
      <c r="R19780"/>
      <c r="S19780"/>
    </row>
    <row r="19781" spans="13:19" ht="13.95" customHeight="1">
      <c r="M19781"/>
      <c r="N19781"/>
      <c r="O19781"/>
      <c r="P19781"/>
      <c r="Q19781"/>
      <c r="R19781"/>
      <c r="S19781"/>
    </row>
    <row r="19782" spans="13:19" ht="13.95" customHeight="1">
      <c r="M19782"/>
      <c r="N19782"/>
      <c r="O19782"/>
      <c r="P19782"/>
      <c r="Q19782"/>
      <c r="R19782"/>
      <c r="S19782"/>
    </row>
    <row r="19783" spans="13:19" ht="13.95" customHeight="1">
      <c r="M19783"/>
      <c r="N19783"/>
      <c r="O19783"/>
      <c r="P19783"/>
      <c r="Q19783"/>
      <c r="R19783"/>
      <c r="S19783"/>
    </row>
    <row r="19784" spans="13:19" ht="13.95" customHeight="1">
      <c r="M19784"/>
      <c r="N19784"/>
      <c r="O19784"/>
      <c r="P19784"/>
      <c r="Q19784"/>
      <c r="R19784"/>
      <c r="S19784"/>
    </row>
    <row r="19785" spans="13:19" ht="13.95" customHeight="1">
      <c r="M19785"/>
      <c r="N19785"/>
      <c r="O19785"/>
      <c r="P19785"/>
      <c r="Q19785"/>
      <c r="R19785"/>
      <c r="S19785"/>
    </row>
    <row r="19786" spans="13:19" ht="13.95" customHeight="1">
      <c r="M19786"/>
      <c r="N19786"/>
      <c r="O19786"/>
      <c r="P19786"/>
      <c r="Q19786"/>
      <c r="R19786"/>
      <c r="S19786"/>
    </row>
    <row r="19787" spans="13:19" ht="13.95" customHeight="1">
      <c r="M19787"/>
      <c r="N19787"/>
      <c r="O19787"/>
      <c r="P19787"/>
      <c r="Q19787"/>
      <c r="R19787"/>
      <c r="S19787"/>
    </row>
    <row r="19788" spans="13:19" ht="13.95" customHeight="1">
      <c r="M19788"/>
      <c r="N19788"/>
      <c r="O19788"/>
      <c r="P19788"/>
      <c r="Q19788"/>
      <c r="R19788"/>
      <c r="S19788"/>
    </row>
    <row r="19789" spans="13:19" ht="13.95" customHeight="1">
      <c r="M19789"/>
      <c r="N19789"/>
      <c r="O19789"/>
      <c r="P19789"/>
      <c r="Q19789"/>
      <c r="R19789"/>
      <c r="S19789"/>
    </row>
    <row r="19790" spans="13:19" ht="13.95" customHeight="1">
      <c r="M19790"/>
      <c r="N19790"/>
      <c r="O19790"/>
      <c r="P19790"/>
      <c r="Q19790"/>
      <c r="R19790"/>
      <c r="S19790"/>
    </row>
    <row r="19791" spans="13:19" ht="13.95" customHeight="1">
      <c r="M19791"/>
      <c r="N19791"/>
      <c r="O19791"/>
      <c r="P19791"/>
      <c r="Q19791"/>
      <c r="R19791"/>
      <c r="S19791"/>
    </row>
    <row r="19792" spans="13:19" ht="13.95" customHeight="1">
      <c r="M19792"/>
      <c r="N19792"/>
      <c r="O19792"/>
      <c r="P19792"/>
      <c r="Q19792"/>
      <c r="R19792"/>
      <c r="S19792"/>
    </row>
    <row r="19793" spans="13:19" ht="13.95" customHeight="1">
      <c r="M19793"/>
      <c r="N19793"/>
      <c r="O19793"/>
      <c r="P19793"/>
      <c r="Q19793"/>
      <c r="R19793"/>
      <c r="S19793"/>
    </row>
    <row r="19794" spans="13:19" ht="13.95" customHeight="1">
      <c r="M19794"/>
      <c r="N19794"/>
      <c r="O19794"/>
      <c r="P19794"/>
      <c r="Q19794"/>
      <c r="R19794"/>
      <c r="S19794"/>
    </row>
    <row r="19795" spans="13:19" ht="13.95" customHeight="1">
      <c r="M19795"/>
      <c r="N19795"/>
      <c r="O19795"/>
      <c r="P19795"/>
      <c r="Q19795"/>
      <c r="R19795"/>
      <c r="S19795"/>
    </row>
    <row r="19796" spans="13:19" ht="13.95" customHeight="1">
      <c r="M19796"/>
      <c r="N19796"/>
      <c r="O19796"/>
      <c r="P19796"/>
      <c r="Q19796"/>
      <c r="R19796"/>
      <c r="S19796"/>
    </row>
    <row r="19797" spans="13:19" ht="13.95" customHeight="1">
      <c r="M19797"/>
      <c r="N19797"/>
      <c r="O19797"/>
      <c r="P19797"/>
      <c r="Q19797"/>
      <c r="R19797"/>
      <c r="S19797"/>
    </row>
    <row r="19798" spans="13:19" ht="13.95" customHeight="1">
      <c r="M19798"/>
      <c r="N19798"/>
      <c r="O19798"/>
      <c r="P19798"/>
      <c r="Q19798"/>
      <c r="R19798"/>
      <c r="S19798"/>
    </row>
    <row r="19799" spans="13:19" ht="13.95" customHeight="1">
      <c r="M19799"/>
      <c r="N19799"/>
      <c r="O19799"/>
      <c r="P19799"/>
      <c r="Q19799"/>
      <c r="R19799"/>
      <c r="S19799"/>
    </row>
    <row r="19800" spans="13:19" ht="13.95" customHeight="1">
      <c r="M19800"/>
      <c r="N19800"/>
      <c r="O19800"/>
      <c r="P19800"/>
      <c r="Q19800"/>
      <c r="R19800"/>
      <c r="S19800"/>
    </row>
    <row r="19801" spans="13:19" ht="13.95" customHeight="1">
      <c r="M19801"/>
      <c r="N19801"/>
      <c r="O19801"/>
      <c r="P19801"/>
      <c r="Q19801"/>
      <c r="R19801"/>
      <c r="S19801"/>
    </row>
    <row r="19802" spans="13:19" ht="13.95" customHeight="1">
      <c r="M19802"/>
      <c r="N19802"/>
      <c r="O19802"/>
      <c r="P19802"/>
      <c r="Q19802"/>
      <c r="R19802"/>
      <c r="S19802"/>
    </row>
    <row r="19803" spans="13:19" ht="13.95" customHeight="1">
      <c r="M19803"/>
      <c r="N19803"/>
      <c r="O19803"/>
      <c r="P19803"/>
      <c r="Q19803"/>
      <c r="R19803"/>
      <c r="S19803"/>
    </row>
    <row r="19804" spans="13:19" ht="13.95" customHeight="1">
      <c r="M19804"/>
      <c r="N19804"/>
      <c r="O19804"/>
      <c r="P19804"/>
      <c r="Q19804"/>
      <c r="R19804"/>
      <c r="S19804"/>
    </row>
    <row r="19805" spans="13:19" ht="13.95" customHeight="1">
      <c r="M19805"/>
      <c r="N19805"/>
      <c r="O19805"/>
      <c r="P19805"/>
      <c r="Q19805"/>
      <c r="R19805"/>
      <c r="S19805"/>
    </row>
    <row r="19806" spans="13:19" ht="13.95" customHeight="1">
      <c r="M19806"/>
      <c r="N19806"/>
      <c r="O19806"/>
      <c r="P19806"/>
      <c r="Q19806"/>
      <c r="R19806"/>
      <c r="S19806"/>
    </row>
    <row r="19807" spans="13:19" ht="13.95" customHeight="1">
      <c r="M19807"/>
      <c r="N19807"/>
      <c r="O19807"/>
      <c r="P19807"/>
      <c r="Q19807"/>
      <c r="R19807"/>
      <c r="S19807"/>
    </row>
    <row r="19808" spans="13:19" ht="13.95" customHeight="1">
      <c r="M19808"/>
      <c r="N19808"/>
      <c r="O19808"/>
      <c r="P19808"/>
      <c r="Q19808"/>
      <c r="R19808"/>
      <c r="S19808"/>
    </row>
    <row r="19809" spans="13:19" ht="13.95" customHeight="1">
      <c r="M19809"/>
      <c r="N19809"/>
      <c r="O19809"/>
      <c r="P19809"/>
      <c r="Q19809"/>
      <c r="R19809"/>
      <c r="S19809"/>
    </row>
    <row r="19810" spans="13:19" ht="13.95" customHeight="1">
      <c r="M19810"/>
      <c r="N19810"/>
      <c r="O19810"/>
      <c r="P19810"/>
      <c r="Q19810"/>
      <c r="R19810"/>
      <c r="S19810"/>
    </row>
    <row r="19811" spans="13:19" ht="13.95" customHeight="1">
      <c r="M19811"/>
      <c r="N19811"/>
      <c r="O19811"/>
      <c r="P19811"/>
      <c r="Q19811"/>
      <c r="R19811"/>
      <c r="S19811"/>
    </row>
    <row r="19812" spans="13:19" ht="13.95" customHeight="1">
      <c r="M19812"/>
      <c r="N19812"/>
      <c r="O19812"/>
      <c r="P19812"/>
      <c r="Q19812"/>
      <c r="R19812"/>
      <c r="S19812"/>
    </row>
    <row r="19813" spans="13:19" ht="13.95" customHeight="1">
      <c r="M19813"/>
      <c r="N19813"/>
      <c r="O19813"/>
      <c r="P19813"/>
      <c r="Q19813"/>
      <c r="R19813"/>
      <c r="S19813"/>
    </row>
    <row r="19814" spans="13:19" ht="13.95" customHeight="1">
      <c r="M19814"/>
      <c r="N19814"/>
      <c r="O19814"/>
      <c r="P19814"/>
      <c r="Q19814"/>
      <c r="R19814"/>
      <c r="S19814"/>
    </row>
    <row r="19815" spans="13:19" ht="13.95" customHeight="1">
      <c r="M19815"/>
      <c r="N19815"/>
      <c r="O19815"/>
      <c r="P19815"/>
      <c r="Q19815"/>
      <c r="R19815"/>
      <c r="S19815"/>
    </row>
    <row r="19816" spans="13:19" ht="13.95" customHeight="1">
      <c r="M19816"/>
      <c r="N19816"/>
      <c r="O19816"/>
      <c r="P19816"/>
      <c r="Q19816"/>
      <c r="R19816"/>
      <c r="S19816"/>
    </row>
    <row r="19817" spans="13:19" ht="13.95" customHeight="1">
      <c r="M19817"/>
      <c r="N19817"/>
      <c r="O19817"/>
      <c r="P19817"/>
      <c r="Q19817"/>
      <c r="R19817"/>
      <c r="S19817"/>
    </row>
    <row r="19818" spans="13:19" ht="13.95" customHeight="1">
      <c r="M19818"/>
      <c r="N19818"/>
      <c r="O19818"/>
      <c r="P19818"/>
      <c r="Q19818"/>
      <c r="R19818"/>
      <c r="S19818"/>
    </row>
    <row r="19819" spans="13:19" ht="13.95" customHeight="1">
      <c r="M19819"/>
      <c r="N19819"/>
      <c r="O19819"/>
      <c r="P19819"/>
      <c r="Q19819"/>
      <c r="R19819"/>
      <c r="S19819"/>
    </row>
    <row r="19820" spans="13:19" ht="13.95" customHeight="1">
      <c r="M19820"/>
      <c r="N19820"/>
      <c r="O19820"/>
      <c r="P19820"/>
      <c r="Q19820"/>
      <c r="R19820"/>
      <c r="S19820"/>
    </row>
    <row r="19821" spans="13:19" ht="13.95" customHeight="1">
      <c r="M19821"/>
      <c r="N19821"/>
      <c r="O19821"/>
      <c r="P19821"/>
      <c r="Q19821"/>
      <c r="R19821"/>
      <c r="S19821"/>
    </row>
    <row r="19822" spans="13:19" ht="13.95" customHeight="1">
      <c r="M19822"/>
      <c r="N19822"/>
      <c r="O19822"/>
      <c r="P19822"/>
      <c r="Q19822"/>
      <c r="R19822"/>
      <c r="S19822"/>
    </row>
    <row r="19823" spans="13:19" ht="13.95" customHeight="1">
      <c r="M19823"/>
      <c r="N19823"/>
      <c r="O19823"/>
      <c r="P19823"/>
      <c r="Q19823"/>
      <c r="R19823"/>
      <c r="S19823"/>
    </row>
    <row r="19824" spans="13:19" ht="13.95" customHeight="1">
      <c r="M19824"/>
      <c r="N19824"/>
      <c r="O19824"/>
      <c r="P19824"/>
      <c r="Q19824"/>
      <c r="R19824"/>
      <c r="S19824"/>
    </row>
    <row r="19825" spans="13:19" ht="13.95" customHeight="1">
      <c r="M19825"/>
      <c r="N19825"/>
      <c r="O19825"/>
      <c r="P19825"/>
      <c r="Q19825"/>
      <c r="R19825"/>
      <c r="S19825"/>
    </row>
    <row r="19826" spans="13:19" ht="13.95" customHeight="1">
      <c r="M19826"/>
      <c r="N19826"/>
      <c r="O19826"/>
      <c r="P19826"/>
      <c r="Q19826"/>
      <c r="R19826"/>
      <c r="S19826"/>
    </row>
    <row r="19827" spans="13:19" ht="13.95" customHeight="1">
      <c r="M19827"/>
      <c r="N19827"/>
      <c r="O19827"/>
      <c r="P19827"/>
      <c r="Q19827"/>
      <c r="R19827"/>
      <c r="S19827"/>
    </row>
    <row r="19828" spans="13:19" ht="13.95" customHeight="1">
      <c r="M19828"/>
      <c r="N19828"/>
      <c r="O19828"/>
      <c r="P19828"/>
      <c r="Q19828"/>
      <c r="R19828"/>
      <c r="S19828"/>
    </row>
    <row r="19829" spans="13:19" ht="13.95" customHeight="1">
      <c r="M19829"/>
      <c r="N19829"/>
      <c r="O19829"/>
      <c r="P19829"/>
      <c r="Q19829"/>
      <c r="R19829"/>
      <c r="S19829"/>
    </row>
    <row r="19830" spans="13:19" ht="13.95" customHeight="1">
      <c r="M19830"/>
      <c r="N19830"/>
      <c r="O19830"/>
      <c r="P19830"/>
      <c r="Q19830"/>
      <c r="R19830"/>
      <c r="S19830"/>
    </row>
    <row r="19831" spans="13:19" ht="13.95" customHeight="1">
      <c r="M19831"/>
      <c r="N19831"/>
      <c r="O19831"/>
      <c r="P19831"/>
      <c r="Q19831"/>
      <c r="R19831"/>
      <c r="S19831"/>
    </row>
    <row r="19832" spans="13:19" ht="13.95" customHeight="1">
      <c r="M19832"/>
      <c r="N19832"/>
      <c r="O19832"/>
      <c r="P19832"/>
      <c r="Q19832"/>
      <c r="R19832"/>
      <c r="S19832"/>
    </row>
    <row r="19833" spans="13:19" ht="13.95" customHeight="1">
      <c r="M19833"/>
      <c r="N19833"/>
      <c r="O19833"/>
      <c r="P19833"/>
      <c r="Q19833"/>
      <c r="R19833"/>
      <c r="S19833"/>
    </row>
    <row r="19834" spans="13:19" ht="13.95" customHeight="1">
      <c r="M19834"/>
      <c r="N19834"/>
      <c r="O19834"/>
      <c r="P19834"/>
      <c r="Q19834"/>
      <c r="R19834"/>
      <c r="S19834"/>
    </row>
    <row r="19835" spans="13:19" ht="13.95" customHeight="1">
      <c r="M19835"/>
      <c r="N19835"/>
      <c r="O19835"/>
      <c r="P19835"/>
      <c r="Q19835"/>
      <c r="R19835"/>
      <c r="S19835"/>
    </row>
    <row r="19836" spans="13:19" ht="13.95" customHeight="1">
      <c r="M19836"/>
      <c r="N19836"/>
      <c r="O19836"/>
      <c r="P19836"/>
      <c r="Q19836"/>
      <c r="R19836"/>
      <c r="S19836"/>
    </row>
    <row r="19837" spans="13:19" ht="13.95" customHeight="1">
      <c r="M19837"/>
      <c r="N19837"/>
      <c r="O19837"/>
      <c r="P19837"/>
      <c r="Q19837"/>
      <c r="R19837"/>
      <c r="S19837"/>
    </row>
    <row r="19838" spans="13:19" ht="13.95" customHeight="1">
      <c r="M19838"/>
      <c r="N19838"/>
      <c r="O19838"/>
      <c r="P19838"/>
      <c r="Q19838"/>
      <c r="R19838"/>
      <c r="S19838"/>
    </row>
    <row r="19839" spans="13:19" ht="13.95" customHeight="1">
      <c r="M19839"/>
      <c r="N19839"/>
      <c r="O19839"/>
      <c r="P19839"/>
      <c r="Q19839"/>
      <c r="R19839"/>
      <c r="S19839"/>
    </row>
    <row r="19840" spans="13:19" ht="13.95" customHeight="1">
      <c r="M19840"/>
      <c r="N19840"/>
      <c r="O19840"/>
      <c r="P19840"/>
      <c r="Q19840"/>
      <c r="R19840"/>
      <c r="S19840"/>
    </row>
    <row r="19841" spans="13:19" ht="13.95" customHeight="1">
      <c r="M19841"/>
      <c r="N19841"/>
      <c r="O19841"/>
      <c r="P19841"/>
      <c r="Q19841"/>
      <c r="R19841"/>
      <c r="S19841"/>
    </row>
    <row r="19842" spans="13:19" ht="13.95" customHeight="1">
      <c r="M19842"/>
      <c r="N19842"/>
      <c r="O19842"/>
      <c r="P19842"/>
      <c r="Q19842"/>
      <c r="R19842"/>
      <c r="S19842"/>
    </row>
    <row r="19843" spans="13:19" ht="13.95" customHeight="1">
      <c r="M19843"/>
      <c r="N19843"/>
      <c r="O19843"/>
      <c r="P19843"/>
      <c r="Q19843"/>
      <c r="R19843"/>
      <c r="S19843"/>
    </row>
    <row r="19844" spans="13:19" ht="13.95" customHeight="1">
      <c r="M19844"/>
      <c r="N19844"/>
      <c r="O19844"/>
      <c r="P19844"/>
      <c r="Q19844"/>
      <c r="R19844"/>
      <c r="S19844"/>
    </row>
    <row r="19845" spans="13:19" ht="13.95" customHeight="1">
      <c r="M19845"/>
      <c r="N19845"/>
      <c r="O19845"/>
      <c r="P19845"/>
      <c r="Q19845"/>
      <c r="R19845"/>
      <c r="S19845"/>
    </row>
    <row r="19846" spans="13:19" ht="13.95" customHeight="1">
      <c r="M19846"/>
      <c r="N19846"/>
      <c r="O19846"/>
      <c r="P19846"/>
      <c r="Q19846"/>
      <c r="R19846"/>
      <c r="S19846"/>
    </row>
    <row r="19847" spans="13:19" ht="13.95" customHeight="1">
      <c r="M19847"/>
      <c r="N19847"/>
      <c r="O19847"/>
      <c r="P19847"/>
      <c r="Q19847"/>
      <c r="R19847"/>
      <c r="S19847"/>
    </row>
    <row r="19848" spans="13:19" ht="13.95" customHeight="1">
      <c r="M19848"/>
      <c r="N19848"/>
      <c r="O19848"/>
      <c r="P19848"/>
      <c r="Q19848"/>
      <c r="R19848"/>
      <c r="S19848"/>
    </row>
    <row r="19849" spans="13:19" ht="13.95" customHeight="1">
      <c r="M19849"/>
      <c r="N19849"/>
      <c r="O19849"/>
      <c r="P19849"/>
      <c r="Q19849"/>
      <c r="R19849"/>
      <c r="S19849"/>
    </row>
    <row r="19850" spans="13:19" ht="13.95" customHeight="1">
      <c r="M19850"/>
      <c r="N19850"/>
      <c r="O19850"/>
      <c r="P19850"/>
      <c r="Q19850"/>
      <c r="R19850"/>
      <c r="S19850"/>
    </row>
    <row r="19851" spans="13:19" ht="13.95" customHeight="1">
      <c r="M19851"/>
      <c r="N19851"/>
      <c r="O19851"/>
      <c r="P19851"/>
      <c r="Q19851"/>
      <c r="R19851"/>
      <c r="S19851"/>
    </row>
    <row r="19852" spans="13:19" ht="13.95" customHeight="1">
      <c r="M19852"/>
      <c r="N19852"/>
      <c r="O19852"/>
      <c r="P19852"/>
      <c r="Q19852"/>
      <c r="R19852"/>
      <c r="S19852"/>
    </row>
    <row r="19853" spans="13:19" ht="13.95" customHeight="1">
      <c r="M19853"/>
      <c r="N19853"/>
      <c r="O19853"/>
      <c r="P19853"/>
      <c r="Q19853"/>
      <c r="R19853"/>
      <c r="S19853"/>
    </row>
    <row r="19854" spans="13:19" ht="13.95" customHeight="1">
      <c r="M19854"/>
      <c r="N19854"/>
      <c r="O19854"/>
      <c r="P19854"/>
      <c r="Q19854"/>
      <c r="R19854"/>
      <c r="S19854"/>
    </row>
    <row r="19855" spans="13:19" ht="13.95" customHeight="1">
      <c r="M19855"/>
      <c r="N19855"/>
      <c r="O19855"/>
      <c r="P19855"/>
      <c r="Q19855"/>
      <c r="R19855"/>
      <c r="S19855"/>
    </row>
    <row r="19856" spans="13:19" ht="13.95" customHeight="1">
      <c r="M19856"/>
      <c r="N19856"/>
      <c r="O19856"/>
      <c r="P19856"/>
      <c r="Q19856"/>
      <c r="R19856"/>
      <c r="S19856"/>
    </row>
    <row r="19857" spans="13:19" ht="13.95" customHeight="1">
      <c r="M19857"/>
      <c r="N19857"/>
      <c r="O19857"/>
      <c r="P19857"/>
      <c r="Q19857"/>
      <c r="R19857"/>
      <c r="S19857"/>
    </row>
    <row r="19858" spans="13:19" ht="13.95" customHeight="1">
      <c r="M19858"/>
      <c r="N19858"/>
      <c r="O19858"/>
      <c r="P19858"/>
      <c r="Q19858"/>
      <c r="R19858"/>
      <c r="S19858"/>
    </row>
    <row r="19859" spans="13:19" ht="13.95" customHeight="1">
      <c r="M19859"/>
      <c r="N19859"/>
      <c r="O19859"/>
      <c r="P19859"/>
      <c r="Q19859"/>
      <c r="R19859"/>
      <c r="S19859"/>
    </row>
    <row r="19860" spans="13:19" ht="13.95" customHeight="1">
      <c r="M19860"/>
      <c r="N19860"/>
      <c r="O19860"/>
      <c r="P19860"/>
      <c r="Q19860"/>
      <c r="R19860"/>
      <c r="S19860"/>
    </row>
    <row r="19861" spans="13:19" ht="13.95" customHeight="1">
      <c r="M19861"/>
      <c r="N19861"/>
      <c r="O19861"/>
      <c r="P19861"/>
      <c r="Q19861"/>
      <c r="R19861"/>
      <c r="S19861"/>
    </row>
    <row r="19862" spans="13:19" ht="13.95" customHeight="1">
      <c r="M19862"/>
      <c r="N19862"/>
      <c r="O19862"/>
      <c r="P19862"/>
      <c r="Q19862"/>
      <c r="R19862"/>
      <c r="S19862"/>
    </row>
    <row r="19863" spans="13:19" ht="13.95" customHeight="1">
      <c r="M19863"/>
      <c r="N19863"/>
      <c r="O19863"/>
      <c r="P19863"/>
      <c r="Q19863"/>
      <c r="R19863"/>
      <c r="S19863"/>
    </row>
    <row r="19864" spans="13:19" ht="13.95" customHeight="1">
      <c r="M19864"/>
      <c r="N19864"/>
      <c r="O19864"/>
      <c r="P19864"/>
      <c r="Q19864"/>
      <c r="R19864"/>
      <c r="S19864"/>
    </row>
    <row r="19865" spans="13:19" ht="13.95" customHeight="1">
      <c r="M19865"/>
      <c r="N19865"/>
      <c r="O19865"/>
      <c r="P19865"/>
      <c r="Q19865"/>
      <c r="R19865"/>
      <c r="S19865"/>
    </row>
    <row r="19866" spans="13:19" ht="13.95" customHeight="1">
      <c r="M19866"/>
      <c r="N19866"/>
      <c r="O19866"/>
      <c r="P19866"/>
      <c r="Q19866"/>
      <c r="R19866"/>
      <c r="S19866"/>
    </row>
    <row r="19867" spans="13:19" ht="13.95" customHeight="1">
      <c r="M19867"/>
      <c r="N19867"/>
      <c r="O19867"/>
      <c r="P19867"/>
      <c r="Q19867"/>
      <c r="R19867"/>
      <c r="S19867"/>
    </row>
    <row r="19868" spans="13:19" ht="13.95" customHeight="1">
      <c r="M19868"/>
      <c r="N19868"/>
      <c r="O19868"/>
      <c r="P19868"/>
      <c r="Q19868"/>
      <c r="R19868"/>
      <c r="S19868"/>
    </row>
    <row r="19869" spans="13:19" ht="13.95" customHeight="1">
      <c r="M19869"/>
      <c r="N19869"/>
      <c r="O19869"/>
      <c r="P19869"/>
      <c r="Q19869"/>
      <c r="R19869"/>
      <c r="S19869"/>
    </row>
    <row r="19870" spans="13:19" ht="13.95" customHeight="1">
      <c r="M19870"/>
      <c r="N19870"/>
      <c r="O19870"/>
      <c r="P19870"/>
      <c r="Q19870"/>
      <c r="R19870"/>
      <c r="S19870"/>
    </row>
    <row r="19871" spans="13:19" ht="13.95" customHeight="1">
      <c r="M19871"/>
      <c r="N19871"/>
      <c r="O19871"/>
      <c r="P19871"/>
      <c r="Q19871"/>
      <c r="R19871"/>
      <c r="S19871"/>
    </row>
    <row r="19872" spans="13:19" ht="13.95" customHeight="1">
      <c r="M19872"/>
      <c r="N19872"/>
      <c r="O19872"/>
      <c r="P19872"/>
      <c r="Q19872"/>
      <c r="R19872"/>
      <c r="S19872"/>
    </row>
    <row r="19873" spans="13:19" ht="13.95" customHeight="1">
      <c r="M19873"/>
      <c r="N19873"/>
      <c r="O19873"/>
      <c r="P19873"/>
      <c r="Q19873"/>
      <c r="R19873"/>
      <c r="S19873"/>
    </row>
    <row r="19874" spans="13:19" ht="13.95" customHeight="1">
      <c r="M19874"/>
      <c r="N19874"/>
      <c r="O19874"/>
      <c r="P19874"/>
      <c r="Q19874"/>
      <c r="R19874"/>
      <c r="S19874"/>
    </row>
    <row r="19875" spans="13:19" ht="13.95" customHeight="1">
      <c r="M19875"/>
      <c r="N19875"/>
      <c r="O19875"/>
      <c r="P19875"/>
      <c r="Q19875"/>
      <c r="R19875"/>
      <c r="S19875"/>
    </row>
    <row r="19876" spans="13:19" ht="13.95" customHeight="1">
      <c r="M19876"/>
      <c r="N19876"/>
      <c r="O19876"/>
      <c r="P19876"/>
      <c r="Q19876"/>
      <c r="R19876"/>
      <c r="S19876"/>
    </row>
    <row r="19877" spans="13:19" ht="13.95" customHeight="1">
      <c r="M19877"/>
      <c r="N19877"/>
      <c r="O19877"/>
      <c r="P19877"/>
      <c r="Q19877"/>
      <c r="R19877"/>
      <c r="S19877"/>
    </row>
    <row r="19878" spans="13:19" ht="13.95" customHeight="1">
      <c r="M19878"/>
      <c r="N19878"/>
      <c r="O19878"/>
      <c r="P19878"/>
      <c r="Q19878"/>
      <c r="R19878"/>
      <c r="S19878"/>
    </row>
    <row r="19879" spans="13:19" ht="13.95" customHeight="1">
      <c r="M19879"/>
      <c r="N19879"/>
      <c r="O19879"/>
      <c r="P19879"/>
      <c r="Q19879"/>
      <c r="R19879"/>
      <c r="S19879"/>
    </row>
    <row r="19880" spans="13:19" ht="13.95" customHeight="1">
      <c r="M19880"/>
      <c r="N19880"/>
      <c r="O19880"/>
      <c r="P19880"/>
      <c r="Q19880"/>
      <c r="R19880"/>
      <c r="S19880"/>
    </row>
    <row r="19881" spans="13:19" ht="13.95" customHeight="1">
      <c r="M19881"/>
      <c r="N19881"/>
      <c r="O19881"/>
      <c r="P19881"/>
      <c r="Q19881"/>
      <c r="R19881"/>
      <c r="S19881"/>
    </row>
    <row r="19882" spans="13:19" ht="13.95" customHeight="1">
      <c r="M19882"/>
      <c r="N19882"/>
      <c r="O19882"/>
      <c r="P19882"/>
      <c r="Q19882"/>
      <c r="R19882"/>
      <c r="S19882"/>
    </row>
    <row r="19883" spans="13:19" ht="13.95" customHeight="1">
      <c r="M19883"/>
      <c r="N19883"/>
      <c r="O19883"/>
      <c r="P19883"/>
      <c r="Q19883"/>
      <c r="R19883"/>
      <c r="S19883"/>
    </row>
    <row r="19884" spans="13:19" ht="13.95" customHeight="1">
      <c r="M19884"/>
      <c r="N19884"/>
      <c r="O19884"/>
      <c r="P19884"/>
      <c r="Q19884"/>
      <c r="R19884"/>
      <c r="S19884"/>
    </row>
    <row r="19885" spans="13:19" ht="13.95" customHeight="1">
      <c r="M19885"/>
      <c r="N19885"/>
      <c r="O19885"/>
      <c r="P19885"/>
      <c r="Q19885"/>
      <c r="R19885"/>
      <c r="S19885"/>
    </row>
    <row r="19886" spans="13:19" ht="13.95" customHeight="1">
      <c r="M19886"/>
      <c r="N19886"/>
      <c r="O19886"/>
      <c r="P19886"/>
      <c r="Q19886"/>
      <c r="R19886"/>
      <c r="S19886"/>
    </row>
    <row r="19887" spans="13:19" ht="13.95" customHeight="1">
      <c r="M19887"/>
      <c r="N19887"/>
      <c r="O19887"/>
      <c r="P19887"/>
      <c r="Q19887"/>
      <c r="R19887"/>
      <c r="S19887"/>
    </row>
    <row r="19888" spans="13:19" ht="13.95" customHeight="1">
      <c r="M19888"/>
      <c r="N19888"/>
      <c r="O19888"/>
      <c r="P19888"/>
      <c r="Q19888"/>
      <c r="R19888"/>
      <c r="S19888"/>
    </row>
    <row r="19889" spans="13:19" ht="13.95" customHeight="1">
      <c r="M19889"/>
      <c r="N19889"/>
      <c r="O19889"/>
      <c r="P19889"/>
      <c r="Q19889"/>
      <c r="R19889"/>
      <c r="S19889"/>
    </row>
    <row r="19890" spans="13:19" ht="13.95" customHeight="1">
      <c r="M19890"/>
      <c r="N19890"/>
      <c r="O19890"/>
      <c r="P19890"/>
      <c r="Q19890"/>
      <c r="R19890"/>
      <c r="S19890"/>
    </row>
    <row r="19891" spans="13:19" ht="13.95" customHeight="1">
      <c r="M19891"/>
      <c r="N19891"/>
      <c r="O19891"/>
      <c r="P19891"/>
      <c r="Q19891"/>
      <c r="R19891"/>
      <c r="S19891"/>
    </row>
    <row r="19892" spans="13:19" ht="13.95" customHeight="1">
      <c r="M19892"/>
      <c r="N19892"/>
      <c r="O19892"/>
      <c r="P19892"/>
      <c r="Q19892"/>
      <c r="R19892"/>
      <c r="S19892"/>
    </row>
    <row r="19893" spans="13:19" ht="13.95" customHeight="1">
      <c r="M19893"/>
      <c r="N19893"/>
      <c r="O19893"/>
      <c r="P19893"/>
      <c r="Q19893"/>
      <c r="R19893"/>
      <c r="S19893"/>
    </row>
    <row r="19894" spans="13:19" ht="13.95" customHeight="1">
      <c r="M19894"/>
      <c r="N19894"/>
      <c r="O19894"/>
      <c r="P19894"/>
      <c r="Q19894"/>
      <c r="R19894"/>
      <c r="S19894"/>
    </row>
    <row r="19895" spans="13:19" ht="13.95" customHeight="1">
      <c r="M19895"/>
      <c r="N19895"/>
      <c r="O19895"/>
      <c r="P19895"/>
      <c r="Q19895"/>
      <c r="R19895"/>
      <c r="S19895"/>
    </row>
    <row r="19896" spans="13:19" ht="13.95" customHeight="1">
      <c r="M19896"/>
      <c r="N19896"/>
      <c r="O19896"/>
      <c r="P19896"/>
      <c r="Q19896"/>
      <c r="R19896"/>
      <c r="S19896"/>
    </row>
    <row r="19897" spans="13:19" ht="13.95" customHeight="1">
      <c r="M19897"/>
      <c r="N19897"/>
      <c r="O19897"/>
      <c r="P19897"/>
      <c r="Q19897"/>
      <c r="R19897"/>
      <c r="S19897"/>
    </row>
    <row r="19898" spans="13:19" ht="13.95" customHeight="1">
      <c r="M19898"/>
      <c r="N19898"/>
      <c r="O19898"/>
      <c r="P19898"/>
      <c r="Q19898"/>
      <c r="R19898"/>
      <c r="S19898"/>
    </row>
    <row r="19899" spans="13:19" ht="13.95" customHeight="1">
      <c r="M19899"/>
      <c r="N19899"/>
      <c r="O19899"/>
      <c r="P19899"/>
      <c r="Q19899"/>
      <c r="R19899"/>
      <c r="S19899"/>
    </row>
    <row r="19900" spans="13:19" ht="13.95" customHeight="1">
      <c r="M19900"/>
      <c r="N19900"/>
      <c r="O19900"/>
      <c r="P19900"/>
      <c r="Q19900"/>
      <c r="R19900"/>
      <c r="S19900"/>
    </row>
    <row r="19901" spans="13:19" ht="13.95" customHeight="1">
      <c r="M19901"/>
      <c r="N19901"/>
      <c r="O19901"/>
      <c r="P19901"/>
      <c r="Q19901"/>
      <c r="R19901"/>
      <c r="S19901"/>
    </row>
    <row r="19902" spans="13:19" ht="13.95" customHeight="1">
      <c r="M19902"/>
      <c r="N19902"/>
      <c r="O19902"/>
      <c r="P19902"/>
      <c r="Q19902"/>
      <c r="R19902"/>
      <c r="S19902"/>
    </row>
    <row r="19903" spans="13:19" ht="13.95" customHeight="1">
      <c r="M19903"/>
      <c r="N19903"/>
      <c r="O19903"/>
      <c r="P19903"/>
      <c r="Q19903"/>
      <c r="R19903"/>
      <c r="S19903"/>
    </row>
    <row r="19904" spans="13:19" ht="13.95" customHeight="1">
      <c r="M19904"/>
      <c r="N19904"/>
      <c r="O19904"/>
      <c r="P19904"/>
      <c r="Q19904"/>
      <c r="R19904"/>
      <c r="S19904"/>
    </row>
    <row r="19905" spans="13:19" ht="13.95" customHeight="1">
      <c r="M19905"/>
      <c r="N19905"/>
      <c r="O19905"/>
      <c r="P19905"/>
      <c r="Q19905"/>
      <c r="R19905"/>
      <c r="S19905"/>
    </row>
    <row r="19906" spans="13:19" ht="13.95" customHeight="1">
      <c r="M19906"/>
      <c r="N19906"/>
      <c r="O19906"/>
      <c r="P19906"/>
      <c r="Q19906"/>
      <c r="R19906"/>
      <c r="S19906"/>
    </row>
    <row r="19907" spans="13:19" ht="13.95" customHeight="1">
      <c r="M19907"/>
      <c r="N19907"/>
      <c r="O19907"/>
      <c r="P19907"/>
      <c r="Q19907"/>
      <c r="R19907"/>
      <c r="S19907"/>
    </row>
    <row r="19908" spans="13:19" ht="13.95" customHeight="1">
      <c r="M19908"/>
      <c r="N19908"/>
      <c r="O19908"/>
      <c r="P19908"/>
      <c r="Q19908"/>
      <c r="R19908"/>
      <c r="S19908"/>
    </row>
    <row r="19909" spans="13:19" ht="13.95" customHeight="1">
      <c r="M19909"/>
      <c r="N19909"/>
      <c r="O19909"/>
      <c r="P19909"/>
      <c r="Q19909"/>
      <c r="R19909"/>
      <c r="S19909"/>
    </row>
    <row r="19910" spans="13:19" ht="13.95" customHeight="1">
      <c r="M19910"/>
      <c r="N19910"/>
      <c r="O19910"/>
      <c r="P19910"/>
      <c r="Q19910"/>
      <c r="R19910"/>
      <c r="S19910"/>
    </row>
    <row r="19911" spans="13:19" ht="13.95" customHeight="1">
      <c r="M19911"/>
      <c r="N19911"/>
      <c r="O19911"/>
      <c r="P19911"/>
      <c r="Q19911"/>
      <c r="R19911"/>
      <c r="S19911"/>
    </row>
    <row r="19912" spans="13:19" ht="13.95" customHeight="1">
      <c r="M19912"/>
      <c r="N19912"/>
      <c r="O19912"/>
      <c r="P19912"/>
      <c r="Q19912"/>
      <c r="R19912"/>
      <c r="S19912"/>
    </row>
    <row r="19913" spans="13:19" ht="13.95" customHeight="1">
      <c r="M19913"/>
      <c r="N19913"/>
      <c r="O19913"/>
      <c r="P19913"/>
      <c r="Q19913"/>
      <c r="R19913"/>
      <c r="S19913"/>
    </row>
    <row r="19914" spans="13:19" ht="13.95" customHeight="1">
      <c r="M19914"/>
      <c r="N19914"/>
      <c r="O19914"/>
      <c r="P19914"/>
      <c r="Q19914"/>
      <c r="R19914"/>
      <c r="S19914"/>
    </row>
    <row r="19915" spans="13:19" ht="13.95" customHeight="1">
      <c r="M19915"/>
      <c r="N19915"/>
      <c r="O19915"/>
      <c r="P19915"/>
      <c r="Q19915"/>
      <c r="R19915"/>
      <c r="S19915"/>
    </row>
    <row r="19916" spans="13:19" ht="13.95" customHeight="1">
      <c r="M19916"/>
      <c r="N19916"/>
      <c r="O19916"/>
      <c r="P19916"/>
      <c r="Q19916"/>
      <c r="R19916"/>
      <c r="S19916"/>
    </row>
    <row r="19917" spans="13:19" ht="13.95" customHeight="1">
      <c r="M19917"/>
      <c r="N19917"/>
      <c r="O19917"/>
      <c r="P19917"/>
      <c r="Q19917"/>
      <c r="R19917"/>
      <c r="S19917"/>
    </row>
    <row r="19918" spans="13:19" ht="13.95" customHeight="1">
      <c r="M19918"/>
      <c r="N19918"/>
      <c r="O19918"/>
      <c r="P19918"/>
      <c r="Q19918"/>
      <c r="R19918"/>
      <c r="S19918"/>
    </row>
    <row r="19919" spans="13:19" ht="13.95" customHeight="1">
      <c r="M19919"/>
      <c r="N19919"/>
      <c r="O19919"/>
      <c r="P19919"/>
      <c r="Q19919"/>
      <c r="R19919"/>
      <c r="S19919"/>
    </row>
    <row r="19920" spans="13:19" ht="13.95" customHeight="1">
      <c r="M19920"/>
      <c r="N19920"/>
      <c r="O19920"/>
      <c r="P19920"/>
      <c r="Q19920"/>
      <c r="R19920"/>
      <c r="S19920"/>
    </row>
    <row r="19921" spans="13:19" ht="13.95" customHeight="1">
      <c r="M19921"/>
      <c r="N19921"/>
      <c r="O19921"/>
      <c r="P19921"/>
      <c r="Q19921"/>
      <c r="R19921"/>
      <c r="S19921"/>
    </row>
    <row r="19922" spans="13:19" ht="13.95" customHeight="1">
      <c r="M19922"/>
      <c r="N19922"/>
      <c r="O19922"/>
      <c r="P19922"/>
      <c r="Q19922"/>
      <c r="R19922"/>
      <c r="S19922"/>
    </row>
    <row r="19923" spans="13:19" ht="13.95" customHeight="1">
      <c r="M19923"/>
      <c r="N19923"/>
      <c r="O19923"/>
      <c r="P19923"/>
      <c r="Q19923"/>
      <c r="R19923"/>
      <c r="S19923"/>
    </row>
    <row r="19924" spans="13:19" ht="13.95" customHeight="1">
      <c r="M19924"/>
      <c r="N19924"/>
      <c r="O19924"/>
      <c r="P19924"/>
      <c r="Q19924"/>
      <c r="R19924"/>
      <c r="S19924"/>
    </row>
    <row r="19925" spans="13:19" ht="13.95" customHeight="1">
      <c r="M19925"/>
      <c r="N19925"/>
      <c r="O19925"/>
      <c r="P19925"/>
      <c r="Q19925"/>
      <c r="R19925"/>
      <c r="S19925"/>
    </row>
    <row r="19926" spans="13:19" ht="13.95" customHeight="1">
      <c r="M19926"/>
      <c r="N19926"/>
      <c r="O19926"/>
      <c r="P19926"/>
      <c r="Q19926"/>
      <c r="R19926"/>
      <c r="S19926"/>
    </row>
    <row r="19927" spans="13:19" ht="13.95" customHeight="1">
      <c r="M19927"/>
      <c r="N19927"/>
      <c r="O19927"/>
      <c r="P19927"/>
      <c r="Q19927"/>
      <c r="R19927"/>
      <c r="S19927"/>
    </row>
    <row r="19928" spans="13:19" ht="13.95" customHeight="1">
      <c r="M19928"/>
      <c r="N19928"/>
      <c r="O19928"/>
      <c r="P19928"/>
      <c r="Q19928"/>
      <c r="R19928"/>
      <c r="S19928"/>
    </row>
    <row r="19929" spans="13:19" ht="13.95" customHeight="1">
      <c r="M19929"/>
      <c r="N19929"/>
      <c r="O19929"/>
      <c r="P19929"/>
      <c r="Q19929"/>
      <c r="R19929"/>
      <c r="S19929"/>
    </row>
    <row r="19930" spans="13:19" ht="13.95" customHeight="1">
      <c r="M19930"/>
      <c r="N19930"/>
      <c r="O19930"/>
      <c r="P19930"/>
      <c r="Q19930"/>
      <c r="R19930"/>
      <c r="S19930"/>
    </row>
    <row r="19931" spans="13:19" ht="13.95" customHeight="1">
      <c r="M19931"/>
      <c r="N19931"/>
      <c r="O19931"/>
      <c r="P19931"/>
      <c r="Q19931"/>
      <c r="R19931"/>
      <c r="S19931"/>
    </row>
    <row r="19932" spans="13:19" ht="13.95" customHeight="1">
      <c r="M19932"/>
      <c r="N19932"/>
      <c r="O19932"/>
      <c r="P19932"/>
      <c r="Q19932"/>
      <c r="R19932"/>
      <c r="S19932"/>
    </row>
    <row r="19933" spans="13:19" ht="13.95" customHeight="1">
      <c r="M19933"/>
      <c r="N19933"/>
      <c r="O19933"/>
      <c r="P19933"/>
      <c r="Q19933"/>
      <c r="R19933"/>
      <c r="S19933"/>
    </row>
    <row r="19934" spans="13:19" ht="13.95" customHeight="1">
      <c r="M19934"/>
      <c r="N19934"/>
      <c r="O19934"/>
      <c r="P19934"/>
      <c r="Q19934"/>
      <c r="R19934"/>
      <c r="S19934"/>
    </row>
    <row r="19935" spans="13:19" ht="13.95" customHeight="1">
      <c r="M19935"/>
      <c r="N19935"/>
      <c r="O19935"/>
      <c r="P19935"/>
      <c r="Q19935"/>
      <c r="R19935"/>
      <c r="S19935"/>
    </row>
    <row r="19936" spans="13:19" ht="13.95" customHeight="1">
      <c r="M19936"/>
      <c r="N19936"/>
      <c r="O19936"/>
      <c r="P19936"/>
      <c r="Q19936"/>
      <c r="R19936"/>
      <c r="S19936"/>
    </row>
    <row r="19937" spans="13:19" ht="13.95" customHeight="1">
      <c r="M19937"/>
      <c r="N19937"/>
      <c r="O19937"/>
      <c r="P19937"/>
      <c r="Q19937"/>
      <c r="R19937"/>
      <c r="S19937"/>
    </row>
    <row r="19938" spans="13:19" ht="13.95" customHeight="1">
      <c r="M19938"/>
      <c r="N19938"/>
      <c r="O19938"/>
      <c r="P19938"/>
      <c r="Q19938"/>
      <c r="R19938"/>
      <c r="S19938"/>
    </row>
    <row r="19939" spans="13:19" ht="13.95" customHeight="1">
      <c r="M19939"/>
      <c r="N19939"/>
      <c r="O19939"/>
      <c r="P19939"/>
      <c r="Q19939"/>
      <c r="R19939"/>
      <c r="S19939"/>
    </row>
    <row r="19940" spans="13:19" ht="13.95" customHeight="1">
      <c r="M19940"/>
      <c r="N19940"/>
      <c r="O19940"/>
      <c r="P19940"/>
      <c r="Q19940"/>
      <c r="R19940"/>
      <c r="S19940"/>
    </row>
    <row r="19941" spans="13:19" ht="13.95" customHeight="1">
      <c r="M19941"/>
      <c r="N19941"/>
      <c r="O19941"/>
      <c r="P19941"/>
      <c r="Q19941"/>
      <c r="R19941"/>
      <c r="S19941"/>
    </row>
    <row r="19942" spans="13:19" ht="13.95" customHeight="1">
      <c r="M19942"/>
      <c r="N19942"/>
      <c r="O19942"/>
      <c r="P19942"/>
      <c r="Q19942"/>
      <c r="R19942"/>
      <c r="S19942"/>
    </row>
    <row r="19943" spans="13:19" ht="13.95" customHeight="1">
      <c r="M19943"/>
      <c r="N19943"/>
      <c r="O19943"/>
      <c r="P19943"/>
      <c r="Q19943"/>
      <c r="R19943"/>
      <c r="S19943"/>
    </row>
    <row r="19944" spans="13:19" ht="13.95" customHeight="1">
      <c r="M19944"/>
      <c r="N19944"/>
      <c r="O19944"/>
      <c r="P19944"/>
      <c r="Q19944"/>
      <c r="R19944"/>
      <c r="S19944"/>
    </row>
    <row r="19945" spans="13:19" ht="13.95" customHeight="1">
      <c r="M19945"/>
      <c r="N19945"/>
      <c r="O19945"/>
      <c r="P19945"/>
      <c r="Q19945"/>
      <c r="R19945"/>
      <c r="S19945"/>
    </row>
    <row r="19946" spans="13:19" ht="13.95" customHeight="1">
      <c r="M19946"/>
      <c r="N19946"/>
      <c r="O19946"/>
      <c r="P19946"/>
      <c r="Q19946"/>
      <c r="R19946"/>
      <c r="S19946"/>
    </row>
    <row r="19947" spans="13:19" ht="13.95" customHeight="1">
      <c r="M19947"/>
      <c r="N19947"/>
      <c r="O19947"/>
      <c r="P19947"/>
      <c r="Q19947"/>
      <c r="R19947"/>
      <c r="S19947"/>
    </row>
    <row r="19948" spans="13:19" ht="13.95" customHeight="1">
      <c r="M19948"/>
      <c r="N19948"/>
      <c r="O19948"/>
      <c r="P19948"/>
      <c r="Q19948"/>
      <c r="R19948"/>
      <c r="S19948"/>
    </row>
    <row r="19949" spans="13:19" ht="13.95" customHeight="1">
      <c r="M19949"/>
      <c r="N19949"/>
      <c r="O19949"/>
      <c r="P19949"/>
      <c r="Q19949"/>
      <c r="R19949"/>
      <c r="S19949"/>
    </row>
    <row r="19950" spans="13:19" ht="13.95" customHeight="1">
      <c r="M19950"/>
      <c r="N19950"/>
      <c r="O19950"/>
      <c r="P19950"/>
      <c r="Q19950"/>
      <c r="R19950"/>
      <c r="S19950"/>
    </row>
    <row r="19951" spans="13:19" ht="13.95" customHeight="1">
      <c r="M19951"/>
      <c r="N19951"/>
      <c r="O19951"/>
      <c r="P19951"/>
      <c r="Q19951"/>
      <c r="R19951"/>
      <c r="S19951"/>
    </row>
    <row r="19952" spans="13:19" ht="13.95" customHeight="1">
      <c r="M19952"/>
      <c r="N19952"/>
      <c r="O19952"/>
      <c r="P19952"/>
      <c r="Q19952"/>
      <c r="R19952"/>
      <c r="S19952"/>
    </row>
    <row r="19953" spans="13:19" ht="13.95" customHeight="1">
      <c r="M19953"/>
      <c r="N19953"/>
      <c r="O19953"/>
      <c r="P19953"/>
      <c r="Q19953"/>
      <c r="R19953"/>
      <c r="S19953"/>
    </row>
    <row r="19954" spans="13:19" ht="13.95" customHeight="1">
      <c r="M19954"/>
      <c r="N19954"/>
      <c r="O19954"/>
      <c r="P19954"/>
      <c r="Q19954"/>
      <c r="R19954"/>
      <c r="S19954"/>
    </row>
    <row r="19955" spans="13:19" ht="13.95" customHeight="1">
      <c r="M19955"/>
      <c r="N19955"/>
      <c r="O19955"/>
      <c r="P19955"/>
      <c r="Q19955"/>
      <c r="R19955"/>
      <c r="S19955"/>
    </row>
    <row r="19956" spans="13:19" ht="13.95" customHeight="1">
      <c r="M19956"/>
      <c r="N19956"/>
      <c r="O19956"/>
      <c r="P19956"/>
      <c r="Q19956"/>
      <c r="R19956"/>
      <c r="S19956"/>
    </row>
    <row r="19957" spans="13:19" ht="13.95" customHeight="1">
      <c r="M19957"/>
      <c r="N19957"/>
      <c r="O19957"/>
      <c r="P19957"/>
      <c r="Q19957"/>
      <c r="R19957"/>
      <c r="S19957"/>
    </row>
    <row r="19958" spans="13:19" ht="13.95" customHeight="1">
      <c r="M19958"/>
      <c r="N19958"/>
      <c r="O19958"/>
      <c r="P19958"/>
      <c r="Q19958"/>
      <c r="R19958"/>
      <c r="S19958"/>
    </row>
    <row r="19959" spans="13:19" ht="13.95" customHeight="1">
      <c r="M19959"/>
      <c r="N19959"/>
      <c r="O19959"/>
      <c r="P19959"/>
      <c r="Q19959"/>
      <c r="R19959"/>
      <c r="S19959"/>
    </row>
    <row r="19960" spans="13:19" ht="13.95" customHeight="1">
      <c r="M19960"/>
      <c r="N19960"/>
      <c r="O19960"/>
      <c r="P19960"/>
      <c r="Q19960"/>
      <c r="R19960"/>
      <c r="S19960"/>
    </row>
    <row r="19961" spans="13:19" ht="13.95" customHeight="1">
      <c r="M19961"/>
      <c r="N19961"/>
      <c r="O19961"/>
      <c r="P19961"/>
      <c r="Q19961"/>
      <c r="R19961"/>
      <c r="S19961"/>
    </row>
    <row r="19962" spans="13:19" ht="13.95" customHeight="1">
      <c r="M19962"/>
      <c r="N19962"/>
      <c r="O19962"/>
      <c r="P19962"/>
      <c r="Q19962"/>
      <c r="R19962"/>
      <c r="S19962"/>
    </row>
    <row r="19963" spans="13:19" ht="13.95" customHeight="1">
      <c r="M19963"/>
      <c r="N19963"/>
      <c r="O19963"/>
      <c r="P19963"/>
      <c r="Q19963"/>
      <c r="R19963"/>
      <c r="S19963"/>
    </row>
    <row r="19964" spans="13:19" ht="13.95" customHeight="1">
      <c r="M19964"/>
      <c r="N19964"/>
      <c r="O19964"/>
      <c r="P19964"/>
      <c r="Q19964"/>
      <c r="R19964"/>
      <c r="S19964"/>
    </row>
    <row r="19965" spans="13:19" ht="13.95" customHeight="1">
      <c r="M19965"/>
      <c r="N19965"/>
      <c r="O19965"/>
      <c r="P19965"/>
      <c r="Q19965"/>
      <c r="R19965"/>
      <c r="S19965"/>
    </row>
    <row r="19966" spans="13:19" ht="13.95" customHeight="1">
      <c r="M19966"/>
      <c r="N19966"/>
      <c r="O19966"/>
      <c r="P19966"/>
      <c r="Q19966"/>
      <c r="R19966"/>
      <c r="S19966"/>
    </row>
    <row r="19967" spans="13:19" ht="13.95" customHeight="1">
      <c r="M19967"/>
      <c r="N19967"/>
      <c r="O19967"/>
      <c r="P19967"/>
      <c r="Q19967"/>
      <c r="R19967"/>
      <c r="S19967"/>
    </row>
    <row r="19968" spans="13:19" ht="13.95" customHeight="1">
      <c r="M19968"/>
      <c r="N19968"/>
      <c r="O19968"/>
      <c r="P19968"/>
      <c r="Q19968"/>
      <c r="R19968"/>
      <c r="S19968"/>
    </row>
    <row r="19969" spans="13:19" ht="13.95" customHeight="1">
      <c r="M19969"/>
      <c r="N19969"/>
      <c r="O19969"/>
      <c r="P19969"/>
      <c r="Q19969"/>
      <c r="R19969"/>
      <c r="S19969"/>
    </row>
    <row r="19970" spans="13:19" ht="13.95" customHeight="1">
      <c r="M19970"/>
      <c r="N19970"/>
      <c r="O19970"/>
      <c r="P19970"/>
      <c r="Q19970"/>
      <c r="R19970"/>
      <c r="S19970"/>
    </row>
    <row r="19971" spans="13:19" ht="13.95" customHeight="1">
      <c r="M19971"/>
      <c r="N19971"/>
      <c r="O19971"/>
      <c r="P19971"/>
      <c r="Q19971"/>
      <c r="R19971"/>
      <c r="S19971"/>
    </row>
    <row r="19972" spans="13:19" ht="13.95" customHeight="1">
      <c r="M19972"/>
      <c r="N19972"/>
      <c r="O19972"/>
      <c r="P19972"/>
      <c r="Q19972"/>
      <c r="R19972"/>
      <c r="S19972"/>
    </row>
    <row r="19973" spans="13:19" ht="13.95" customHeight="1">
      <c r="M19973"/>
      <c r="N19973"/>
      <c r="O19973"/>
      <c r="P19973"/>
      <c r="Q19973"/>
      <c r="R19973"/>
      <c r="S19973"/>
    </row>
    <row r="19974" spans="13:19" ht="13.95" customHeight="1">
      <c r="M19974"/>
      <c r="N19974"/>
      <c r="O19974"/>
      <c r="P19974"/>
      <c r="Q19974"/>
      <c r="R19974"/>
      <c r="S19974"/>
    </row>
    <row r="19975" spans="13:19" ht="13.95" customHeight="1">
      <c r="M19975"/>
      <c r="N19975"/>
      <c r="O19975"/>
      <c r="P19975"/>
      <c r="Q19975"/>
      <c r="R19975"/>
      <c r="S19975"/>
    </row>
    <row r="19976" spans="13:19" ht="13.95" customHeight="1">
      <c r="M19976"/>
      <c r="N19976"/>
      <c r="O19976"/>
      <c r="P19976"/>
      <c r="Q19976"/>
      <c r="R19976"/>
      <c r="S19976"/>
    </row>
    <row r="19977" spans="13:19" ht="13.95" customHeight="1">
      <c r="M19977"/>
      <c r="N19977"/>
      <c r="O19977"/>
      <c r="P19977"/>
      <c r="Q19977"/>
      <c r="R19977"/>
      <c r="S19977"/>
    </row>
    <row r="19978" spans="13:19" ht="13.95" customHeight="1">
      <c r="M19978"/>
      <c r="N19978"/>
      <c r="O19978"/>
      <c r="P19978"/>
      <c r="Q19978"/>
      <c r="R19978"/>
      <c r="S19978"/>
    </row>
    <row r="19979" spans="13:19" ht="13.95" customHeight="1">
      <c r="M19979"/>
      <c r="N19979"/>
      <c r="O19979"/>
      <c r="P19979"/>
      <c r="Q19979"/>
      <c r="R19979"/>
      <c r="S19979"/>
    </row>
    <row r="19980" spans="13:19" ht="13.95" customHeight="1">
      <c r="M19980"/>
      <c r="N19980"/>
      <c r="O19980"/>
      <c r="P19980"/>
      <c r="Q19980"/>
      <c r="R19980"/>
      <c r="S19980"/>
    </row>
    <row r="19981" spans="13:19" ht="13.95" customHeight="1">
      <c r="M19981"/>
      <c r="N19981"/>
      <c r="O19981"/>
      <c r="P19981"/>
      <c r="Q19981"/>
      <c r="R19981"/>
      <c r="S19981"/>
    </row>
    <row r="19982" spans="13:19" ht="13.95" customHeight="1">
      <c r="M19982"/>
      <c r="N19982"/>
      <c r="O19982"/>
      <c r="P19982"/>
      <c r="Q19982"/>
      <c r="R19982"/>
      <c r="S19982"/>
    </row>
    <row r="19983" spans="13:19" ht="13.95" customHeight="1">
      <c r="M19983"/>
      <c r="N19983"/>
      <c r="O19983"/>
      <c r="P19983"/>
      <c r="Q19983"/>
      <c r="R19983"/>
      <c r="S19983"/>
    </row>
    <row r="19984" spans="13:19" ht="13.95" customHeight="1">
      <c r="M19984"/>
      <c r="N19984"/>
      <c r="O19984"/>
      <c r="P19984"/>
      <c r="Q19984"/>
      <c r="R19984"/>
      <c r="S19984"/>
    </row>
    <row r="19985" spans="13:19" ht="13.95" customHeight="1">
      <c r="M19985"/>
      <c r="N19985"/>
      <c r="O19985"/>
      <c r="P19985"/>
      <c r="Q19985"/>
      <c r="R19985"/>
      <c r="S19985"/>
    </row>
    <row r="19986" spans="13:19" ht="13.95" customHeight="1">
      <c r="M19986"/>
      <c r="N19986"/>
      <c r="O19986"/>
      <c r="P19986"/>
      <c r="Q19986"/>
      <c r="R19986"/>
      <c r="S19986"/>
    </row>
    <row r="19987" spans="13:19" ht="13.95" customHeight="1">
      <c r="M19987"/>
      <c r="N19987"/>
      <c r="O19987"/>
      <c r="P19987"/>
      <c r="Q19987"/>
      <c r="R19987"/>
      <c r="S19987"/>
    </row>
    <row r="19988" spans="13:19" ht="13.95" customHeight="1">
      <c r="M19988"/>
      <c r="N19988"/>
      <c r="O19988"/>
      <c r="P19988"/>
      <c r="Q19988"/>
      <c r="R19988"/>
      <c r="S19988"/>
    </row>
    <row r="19989" spans="13:19" ht="13.95" customHeight="1">
      <c r="M19989"/>
      <c r="N19989"/>
      <c r="O19989"/>
      <c r="P19989"/>
      <c r="Q19989"/>
      <c r="R19989"/>
      <c r="S19989"/>
    </row>
    <row r="19990" spans="13:19" ht="13.95" customHeight="1">
      <c r="M19990"/>
      <c r="N19990"/>
      <c r="O19990"/>
      <c r="P19990"/>
      <c r="Q19990"/>
      <c r="R19990"/>
      <c r="S19990"/>
    </row>
    <row r="19991" spans="13:19" ht="13.95" customHeight="1">
      <c r="M19991"/>
      <c r="N19991"/>
      <c r="O19991"/>
      <c r="P19991"/>
      <c r="Q19991"/>
      <c r="R19991"/>
      <c r="S19991"/>
    </row>
    <row r="19992" spans="13:19" ht="13.95" customHeight="1">
      <c r="M19992"/>
      <c r="N19992"/>
      <c r="O19992"/>
      <c r="P19992"/>
      <c r="Q19992"/>
      <c r="R19992"/>
      <c r="S19992"/>
    </row>
    <row r="19993" spans="13:19" ht="13.95" customHeight="1">
      <c r="M19993"/>
      <c r="N19993"/>
      <c r="O19993"/>
      <c r="P19993"/>
      <c r="Q19993"/>
      <c r="R19993"/>
      <c r="S19993"/>
    </row>
    <row r="19994" spans="13:19" ht="13.95" customHeight="1">
      <c r="M19994"/>
      <c r="N19994"/>
      <c r="O19994"/>
      <c r="P19994"/>
      <c r="Q19994"/>
      <c r="R19994"/>
      <c r="S19994"/>
    </row>
    <row r="19995" spans="13:19" ht="13.95" customHeight="1">
      <c r="M19995"/>
      <c r="N19995"/>
      <c r="O19995"/>
      <c r="P19995"/>
      <c r="Q19995"/>
      <c r="R19995"/>
      <c r="S19995"/>
    </row>
    <row r="19996" spans="13:19" ht="13.95" customHeight="1">
      <c r="M19996"/>
      <c r="N19996"/>
      <c r="O19996"/>
      <c r="P19996"/>
      <c r="Q19996"/>
      <c r="R19996"/>
      <c r="S19996"/>
    </row>
    <row r="19997" spans="13:19" ht="13.95" customHeight="1">
      <c r="M19997"/>
      <c r="N19997"/>
      <c r="O19997"/>
      <c r="P19997"/>
      <c r="Q19997"/>
      <c r="R19997"/>
      <c r="S19997"/>
    </row>
    <row r="19998" spans="13:19" ht="13.95" customHeight="1">
      <c r="M19998"/>
      <c r="N19998"/>
      <c r="O19998"/>
      <c r="P19998"/>
      <c r="Q19998"/>
      <c r="R19998"/>
      <c r="S19998"/>
    </row>
    <row r="19999" spans="13:19" ht="13.95" customHeight="1">
      <c r="M19999"/>
      <c r="N19999"/>
      <c r="O19999"/>
      <c r="P19999"/>
      <c r="Q19999"/>
      <c r="R19999"/>
      <c r="S19999"/>
    </row>
    <row r="20000" spans="13:19" ht="13.95" customHeight="1">
      <c r="M20000"/>
      <c r="N20000"/>
      <c r="O20000"/>
      <c r="P20000"/>
      <c r="Q20000"/>
      <c r="R20000"/>
      <c r="S20000"/>
    </row>
    <row r="20001" spans="13:19" ht="13.95" customHeight="1">
      <c r="M20001"/>
      <c r="N20001"/>
      <c r="O20001"/>
      <c r="P20001"/>
      <c r="Q20001"/>
      <c r="R20001"/>
      <c r="S20001"/>
    </row>
    <row r="20002" spans="13:19" ht="13.95" customHeight="1">
      <c r="M20002"/>
      <c r="N20002"/>
      <c r="O20002"/>
      <c r="P20002"/>
      <c r="Q20002"/>
      <c r="R20002"/>
      <c r="S20002"/>
    </row>
    <row r="20003" spans="13:19" ht="13.95" customHeight="1">
      <c r="M20003"/>
      <c r="N20003"/>
      <c r="O20003"/>
      <c r="P20003"/>
      <c r="Q20003"/>
      <c r="R20003"/>
      <c r="S20003"/>
    </row>
    <row r="20004" spans="13:19" ht="13.95" customHeight="1">
      <c r="M20004"/>
      <c r="N20004"/>
      <c r="O20004"/>
      <c r="P20004"/>
      <c r="Q20004"/>
      <c r="R20004"/>
      <c r="S20004"/>
    </row>
    <row r="20005" spans="13:19" ht="13.95" customHeight="1">
      <c r="M20005"/>
      <c r="N20005"/>
      <c r="O20005"/>
      <c r="P20005"/>
      <c r="Q20005"/>
      <c r="R20005"/>
      <c r="S20005"/>
    </row>
    <row r="20006" spans="13:19" ht="13.95" customHeight="1">
      <c r="M20006"/>
      <c r="N20006"/>
      <c r="O20006"/>
      <c r="P20006"/>
      <c r="Q20006"/>
      <c r="R20006"/>
      <c r="S20006"/>
    </row>
    <row r="20007" spans="13:19" ht="13.95" customHeight="1">
      <c r="M20007"/>
      <c r="N20007"/>
      <c r="O20007"/>
      <c r="P20007"/>
      <c r="Q20007"/>
      <c r="R20007"/>
      <c r="S20007"/>
    </row>
    <row r="20008" spans="13:19" ht="13.95" customHeight="1">
      <c r="M20008"/>
      <c r="N20008"/>
      <c r="O20008"/>
      <c r="P20008"/>
      <c r="Q20008"/>
      <c r="R20008"/>
      <c r="S20008"/>
    </row>
    <row r="20009" spans="13:19" ht="13.95" customHeight="1">
      <c r="M20009"/>
      <c r="N20009"/>
      <c r="O20009"/>
      <c r="P20009"/>
      <c r="Q20009"/>
      <c r="R20009"/>
      <c r="S20009"/>
    </row>
    <row r="20010" spans="13:19" ht="13.95" customHeight="1">
      <c r="M20010"/>
      <c r="N20010"/>
      <c r="O20010"/>
      <c r="P20010"/>
      <c r="Q20010"/>
      <c r="R20010"/>
      <c r="S20010"/>
    </row>
    <row r="20011" spans="13:19" ht="13.95" customHeight="1">
      <c r="M20011"/>
      <c r="N20011"/>
      <c r="O20011"/>
      <c r="P20011"/>
      <c r="Q20011"/>
      <c r="R20011"/>
      <c r="S20011"/>
    </row>
    <row r="20012" spans="13:19" ht="13.95" customHeight="1">
      <c r="M20012"/>
      <c r="N20012"/>
      <c r="O20012"/>
      <c r="P20012"/>
      <c r="Q20012"/>
      <c r="R20012"/>
      <c r="S20012"/>
    </row>
    <row r="20013" spans="13:19" ht="13.95" customHeight="1">
      <c r="M20013"/>
      <c r="N20013"/>
      <c r="O20013"/>
      <c r="P20013"/>
      <c r="Q20013"/>
      <c r="R20013"/>
      <c r="S20013"/>
    </row>
    <row r="20014" spans="13:19" ht="13.95" customHeight="1">
      <c r="M20014"/>
      <c r="N20014"/>
      <c r="O20014"/>
      <c r="P20014"/>
      <c r="Q20014"/>
      <c r="R20014"/>
      <c r="S20014"/>
    </row>
    <row r="20015" spans="13:19" ht="13.95" customHeight="1">
      <c r="M20015"/>
      <c r="N20015"/>
      <c r="O20015"/>
      <c r="P20015"/>
      <c r="Q20015"/>
      <c r="R20015"/>
      <c r="S20015"/>
    </row>
    <row r="20016" spans="13:19" ht="13.95" customHeight="1">
      <c r="M20016"/>
      <c r="N20016"/>
      <c r="O20016"/>
      <c r="P20016"/>
      <c r="Q20016"/>
      <c r="R20016"/>
      <c r="S20016"/>
    </row>
    <row r="20017" spans="13:19" ht="13.95" customHeight="1">
      <c r="M20017"/>
      <c r="N20017"/>
      <c r="O20017"/>
      <c r="P20017"/>
      <c r="Q20017"/>
      <c r="R20017"/>
      <c r="S20017"/>
    </row>
    <row r="20018" spans="13:19" ht="13.95" customHeight="1">
      <c r="M20018"/>
      <c r="N20018"/>
      <c r="O20018"/>
      <c r="P20018"/>
      <c r="Q20018"/>
      <c r="R20018"/>
      <c r="S20018"/>
    </row>
    <row r="20019" spans="13:19" ht="13.95" customHeight="1">
      <c r="M20019"/>
      <c r="N20019"/>
      <c r="O20019"/>
      <c r="P20019"/>
      <c r="Q20019"/>
      <c r="R20019"/>
      <c r="S20019"/>
    </row>
    <row r="20020" spans="13:19" ht="13.95" customHeight="1">
      <c r="M20020"/>
      <c r="N20020"/>
      <c r="O20020"/>
      <c r="P20020"/>
      <c r="Q20020"/>
      <c r="R20020"/>
      <c r="S20020"/>
    </row>
    <row r="20021" spans="13:19" ht="13.95" customHeight="1">
      <c r="M20021"/>
      <c r="N20021"/>
      <c r="O20021"/>
      <c r="P20021"/>
      <c r="Q20021"/>
      <c r="R20021"/>
      <c r="S20021"/>
    </row>
    <row r="20022" spans="13:19" ht="13.95" customHeight="1">
      <c r="M20022"/>
      <c r="N20022"/>
      <c r="O20022"/>
      <c r="P20022"/>
      <c r="Q20022"/>
      <c r="R20022"/>
      <c r="S20022"/>
    </row>
    <row r="20023" spans="13:19" ht="13.95" customHeight="1">
      <c r="M20023"/>
      <c r="N20023"/>
      <c r="O20023"/>
      <c r="P20023"/>
      <c r="Q20023"/>
      <c r="R20023"/>
      <c r="S20023"/>
    </row>
    <row r="20024" spans="13:19" ht="13.95" customHeight="1">
      <c r="M20024"/>
      <c r="N20024"/>
      <c r="O20024"/>
      <c r="P20024"/>
      <c r="Q20024"/>
      <c r="R20024"/>
      <c r="S20024"/>
    </row>
    <row r="20025" spans="13:19" ht="13.95" customHeight="1">
      <c r="M20025"/>
      <c r="N20025"/>
      <c r="O20025"/>
      <c r="P20025"/>
      <c r="Q20025"/>
      <c r="R20025"/>
      <c r="S20025"/>
    </row>
    <row r="20026" spans="13:19" ht="13.95" customHeight="1">
      <c r="M20026"/>
      <c r="N20026"/>
      <c r="O20026"/>
      <c r="P20026"/>
      <c r="Q20026"/>
      <c r="R20026"/>
      <c r="S20026"/>
    </row>
    <row r="20027" spans="13:19" ht="13.95" customHeight="1">
      <c r="M20027"/>
      <c r="N20027"/>
      <c r="O20027"/>
      <c r="P20027"/>
      <c r="Q20027"/>
      <c r="R20027"/>
      <c r="S20027"/>
    </row>
    <row r="20028" spans="13:19" ht="13.95" customHeight="1">
      <c r="M20028"/>
      <c r="N20028"/>
      <c r="O20028"/>
      <c r="P20028"/>
      <c r="Q20028"/>
      <c r="R20028"/>
      <c r="S20028"/>
    </row>
    <row r="20029" spans="13:19" ht="13.95" customHeight="1">
      <c r="M20029"/>
      <c r="N20029"/>
      <c r="O20029"/>
      <c r="P20029"/>
      <c r="Q20029"/>
      <c r="R20029"/>
      <c r="S20029"/>
    </row>
    <row r="20030" spans="13:19" ht="13.95" customHeight="1">
      <c r="M20030"/>
      <c r="N20030"/>
      <c r="O20030"/>
      <c r="P20030"/>
      <c r="Q20030"/>
      <c r="R20030"/>
      <c r="S20030"/>
    </row>
    <row r="20031" spans="13:19" ht="13.95" customHeight="1">
      <c r="M20031"/>
      <c r="N20031"/>
      <c r="O20031"/>
      <c r="P20031"/>
      <c r="Q20031"/>
      <c r="R20031"/>
      <c r="S20031"/>
    </row>
    <row r="20032" spans="13:19" ht="13.95" customHeight="1">
      <c r="M20032"/>
      <c r="N20032"/>
      <c r="O20032"/>
      <c r="P20032"/>
      <c r="Q20032"/>
      <c r="R20032"/>
      <c r="S20032"/>
    </row>
    <row r="20033" spans="13:19" ht="13.95" customHeight="1">
      <c r="M20033"/>
      <c r="N20033"/>
      <c r="O20033"/>
      <c r="P20033"/>
      <c r="Q20033"/>
      <c r="R20033"/>
      <c r="S20033"/>
    </row>
    <row r="20034" spans="13:19" ht="13.95" customHeight="1">
      <c r="M20034"/>
      <c r="N20034"/>
      <c r="O20034"/>
      <c r="P20034"/>
      <c r="Q20034"/>
      <c r="R20034"/>
      <c r="S20034"/>
    </row>
    <row r="20035" spans="13:19" ht="13.95" customHeight="1">
      <c r="M20035"/>
      <c r="N20035"/>
      <c r="O20035"/>
      <c r="P20035"/>
      <c r="Q20035"/>
      <c r="R20035"/>
      <c r="S20035"/>
    </row>
    <row r="20036" spans="13:19" ht="13.95" customHeight="1">
      <c r="M20036"/>
      <c r="N20036"/>
      <c r="O20036"/>
      <c r="P20036"/>
      <c r="Q20036"/>
      <c r="R20036"/>
      <c r="S20036"/>
    </row>
    <row r="20037" spans="13:19" ht="13.95" customHeight="1">
      <c r="M20037"/>
      <c r="N20037"/>
      <c r="O20037"/>
      <c r="P20037"/>
      <c r="Q20037"/>
      <c r="R20037"/>
      <c r="S20037"/>
    </row>
    <row r="20038" spans="13:19" ht="13.95" customHeight="1">
      <c r="M20038"/>
      <c r="N20038"/>
      <c r="O20038"/>
      <c r="P20038"/>
      <c r="Q20038"/>
      <c r="R20038"/>
      <c r="S20038"/>
    </row>
    <row r="20039" spans="13:19" ht="13.95" customHeight="1">
      <c r="M20039"/>
      <c r="N20039"/>
      <c r="O20039"/>
      <c r="P20039"/>
      <c r="Q20039"/>
      <c r="R20039"/>
      <c r="S20039"/>
    </row>
    <row r="20040" spans="13:19" ht="13.95" customHeight="1">
      <c r="M20040"/>
      <c r="N20040"/>
      <c r="O20040"/>
      <c r="P20040"/>
      <c r="Q20040"/>
      <c r="R20040"/>
      <c r="S20040"/>
    </row>
    <row r="20041" spans="13:19" ht="13.95" customHeight="1">
      <c r="M20041"/>
      <c r="N20041"/>
      <c r="O20041"/>
      <c r="P20041"/>
      <c r="Q20041"/>
      <c r="R20041"/>
      <c r="S20041"/>
    </row>
    <row r="20042" spans="13:19" ht="13.95" customHeight="1">
      <c r="M20042"/>
      <c r="N20042"/>
      <c r="O20042"/>
      <c r="P20042"/>
      <c r="Q20042"/>
      <c r="R20042"/>
      <c r="S20042"/>
    </row>
    <row r="20043" spans="13:19" ht="13.95" customHeight="1">
      <c r="M20043"/>
      <c r="N20043"/>
      <c r="O20043"/>
      <c r="P20043"/>
      <c r="Q20043"/>
      <c r="R20043"/>
      <c r="S20043"/>
    </row>
    <row r="20044" spans="13:19" ht="13.95" customHeight="1">
      <c r="M20044"/>
      <c r="N20044"/>
      <c r="O20044"/>
      <c r="P20044"/>
      <c r="Q20044"/>
      <c r="R20044"/>
      <c r="S20044"/>
    </row>
    <row r="20045" spans="13:19" ht="13.95" customHeight="1">
      <c r="M20045"/>
      <c r="N20045"/>
      <c r="O20045"/>
      <c r="P20045"/>
      <c r="Q20045"/>
      <c r="R20045"/>
      <c r="S20045"/>
    </row>
    <row r="20046" spans="13:19" ht="13.95" customHeight="1">
      <c r="M20046"/>
      <c r="N20046"/>
      <c r="O20046"/>
      <c r="P20046"/>
      <c r="Q20046"/>
      <c r="R20046"/>
      <c r="S20046"/>
    </row>
    <row r="20047" spans="13:19" ht="13.95" customHeight="1">
      <c r="M20047"/>
      <c r="N20047"/>
      <c r="O20047"/>
      <c r="P20047"/>
      <c r="Q20047"/>
      <c r="R20047"/>
      <c r="S20047"/>
    </row>
    <row r="20048" spans="13:19" ht="13.95" customHeight="1">
      <c r="M20048"/>
      <c r="N20048"/>
      <c r="O20048"/>
      <c r="P20048"/>
      <c r="Q20048"/>
      <c r="R20048"/>
      <c r="S20048"/>
    </row>
    <row r="20049" spans="13:19" ht="13.95" customHeight="1">
      <c r="M20049"/>
      <c r="N20049"/>
      <c r="O20049"/>
      <c r="P20049"/>
      <c r="Q20049"/>
      <c r="R20049"/>
      <c r="S20049"/>
    </row>
    <row r="20050" spans="13:19" ht="13.95" customHeight="1">
      <c r="M20050"/>
      <c r="N20050"/>
      <c r="O20050"/>
      <c r="P20050"/>
      <c r="Q20050"/>
      <c r="R20050"/>
      <c r="S20050"/>
    </row>
    <row r="20051" spans="13:19" ht="13.95" customHeight="1">
      <c r="M20051"/>
      <c r="N20051"/>
      <c r="O20051"/>
      <c r="P20051"/>
      <c r="Q20051"/>
      <c r="R20051"/>
      <c r="S20051"/>
    </row>
    <row r="20052" spans="13:19" ht="13.95" customHeight="1">
      <c r="M20052"/>
      <c r="N20052"/>
      <c r="O20052"/>
      <c r="P20052"/>
      <c r="Q20052"/>
      <c r="R20052"/>
      <c r="S20052"/>
    </row>
    <row r="20053" spans="13:19" ht="13.95" customHeight="1">
      <c r="M20053"/>
      <c r="N20053"/>
      <c r="O20053"/>
      <c r="P20053"/>
      <c r="Q20053"/>
      <c r="R20053"/>
      <c r="S20053"/>
    </row>
    <row r="20054" spans="13:19" ht="13.95" customHeight="1">
      <c r="M20054"/>
      <c r="N20054"/>
      <c r="O20054"/>
      <c r="P20054"/>
      <c r="Q20054"/>
      <c r="R20054"/>
      <c r="S20054"/>
    </row>
    <row r="20055" spans="13:19" ht="13.95" customHeight="1">
      <c r="M20055"/>
      <c r="N20055"/>
      <c r="O20055"/>
      <c r="P20055"/>
      <c r="Q20055"/>
      <c r="R20055"/>
      <c r="S20055"/>
    </row>
    <row r="20056" spans="13:19" ht="13.95" customHeight="1">
      <c r="M20056"/>
      <c r="N20056"/>
      <c r="O20056"/>
      <c r="P20056"/>
      <c r="Q20056"/>
      <c r="R20056"/>
      <c r="S20056"/>
    </row>
    <row r="20057" spans="13:19" ht="13.95" customHeight="1">
      <c r="M20057"/>
      <c r="N20057"/>
      <c r="O20057"/>
      <c r="P20057"/>
      <c r="Q20057"/>
      <c r="R20057"/>
      <c r="S20057"/>
    </row>
    <row r="20058" spans="13:19" ht="13.95" customHeight="1">
      <c r="M20058"/>
      <c r="N20058"/>
      <c r="O20058"/>
      <c r="P20058"/>
      <c r="Q20058"/>
      <c r="R20058"/>
      <c r="S20058"/>
    </row>
    <row r="20059" spans="13:19" ht="13.95" customHeight="1">
      <c r="M20059"/>
      <c r="N20059"/>
      <c r="O20059"/>
      <c r="P20059"/>
      <c r="Q20059"/>
      <c r="R20059"/>
      <c r="S20059"/>
    </row>
    <row r="20060" spans="13:19" ht="13.95" customHeight="1">
      <c r="M20060"/>
      <c r="N20060"/>
      <c r="O20060"/>
      <c r="P20060"/>
      <c r="Q20060"/>
      <c r="R20060"/>
      <c r="S20060"/>
    </row>
    <row r="20061" spans="13:19" ht="13.95" customHeight="1">
      <c r="M20061"/>
      <c r="N20061"/>
      <c r="O20061"/>
      <c r="P20061"/>
      <c r="Q20061"/>
      <c r="R20061"/>
      <c r="S20061"/>
    </row>
    <row r="20062" spans="13:19" ht="13.95" customHeight="1">
      <c r="M20062"/>
      <c r="N20062"/>
      <c r="O20062"/>
      <c r="P20062"/>
      <c r="Q20062"/>
      <c r="R20062"/>
      <c r="S20062"/>
    </row>
    <row r="20063" spans="13:19" ht="13.95" customHeight="1">
      <c r="M20063"/>
      <c r="N20063"/>
      <c r="O20063"/>
      <c r="P20063"/>
      <c r="Q20063"/>
      <c r="R20063"/>
      <c r="S20063"/>
    </row>
    <row r="20064" spans="13:19" ht="13.95" customHeight="1">
      <c r="M20064"/>
      <c r="N20064"/>
      <c r="O20064"/>
      <c r="P20064"/>
      <c r="Q20064"/>
      <c r="R20064"/>
      <c r="S20064"/>
    </row>
    <row r="20065" spans="13:19" ht="13.95" customHeight="1">
      <c r="M20065"/>
      <c r="N20065"/>
      <c r="O20065"/>
      <c r="P20065"/>
      <c r="Q20065"/>
      <c r="R20065"/>
      <c r="S20065"/>
    </row>
    <row r="20066" spans="13:19" ht="13.95" customHeight="1">
      <c r="M20066"/>
      <c r="N20066"/>
      <c r="O20066"/>
      <c r="P20066"/>
      <c r="Q20066"/>
      <c r="R20066"/>
      <c r="S20066"/>
    </row>
    <row r="20067" spans="13:19" ht="13.95" customHeight="1">
      <c r="M20067"/>
      <c r="N20067"/>
      <c r="O20067"/>
      <c r="P20067"/>
      <c r="Q20067"/>
      <c r="R20067"/>
      <c r="S20067"/>
    </row>
    <row r="20068" spans="13:19" ht="13.95" customHeight="1">
      <c r="M20068"/>
      <c r="N20068"/>
      <c r="O20068"/>
      <c r="P20068"/>
      <c r="Q20068"/>
      <c r="R20068"/>
      <c r="S20068"/>
    </row>
    <row r="20069" spans="13:19" ht="13.95" customHeight="1">
      <c r="M20069"/>
      <c r="N20069"/>
      <c r="O20069"/>
      <c r="P20069"/>
      <c r="Q20069"/>
      <c r="R20069"/>
      <c r="S20069"/>
    </row>
    <row r="20070" spans="13:19" ht="13.95" customHeight="1">
      <c r="M20070"/>
      <c r="N20070"/>
      <c r="O20070"/>
      <c r="P20070"/>
      <c r="Q20070"/>
      <c r="R20070"/>
      <c r="S20070"/>
    </row>
    <row r="20071" spans="13:19" ht="13.95" customHeight="1">
      <c r="M20071"/>
      <c r="N20071"/>
      <c r="O20071"/>
      <c r="P20071"/>
      <c r="Q20071"/>
      <c r="R20071"/>
      <c r="S20071"/>
    </row>
    <row r="20072" spans="13:19" ht="13.95" customHeight="1">
      <c r="M20072"/>
      <c r="N20072"/>
      <c r="O20072"/>
      <c r="P20072"/>
      <c r="Q20072"/>
      <c r="R20072"/>
      <c r="S20072"/>
    </row>
    <row r="20073" spans="13:19" ht="13.95" customHeight="1">
      <c r="M20073"/>
      <c r="N20073"/>
      <c r="O20073"/>
      <c r="P20073"/>
      <c r="Q20073"/>
      <c r="R20073"/>
      <c r="S20073"/>
    </row>
    <row r="20074" spans="13:19" ht="13.95" customHeight="1">
      <c r="M20074"/>
      <c r="N20074"/>
      <c r="O20074"/>
      <c r="P20074"/>
      <c r="Q20074"/>
      <c r="R20074"/>
      <c r="S20074"/>
    </row>
    <row r="20075" spans="13:19" ht="13.95" customHeight="1">
      <c r="M20075"/>
      <c r="N20075"/>
      <c r="O20075"/>
      <c r="P20075"/>
      <c r="Q20075"/>
      <c r="R20075"/>
      <c r="S20075"/>
    </row>
    <row r="20076" spans="13:19" ht="13.95" customHeight="1">
      <c r="M20076"/>
      <c r="N20076"/>
      <c r="O20076"/>
      <c r="P20076"/>
      <c r="Q20076"/>
      <c r="R20076"/>
      <c r="S20076"/>
    </row>
    <row r="20077" spans="13:19" ht="13.95" customHeight="1">
      <c r="M20077"/>
      <c r="N20077"/>
      <c r="O20077"/>
      <c r="P20077"/>
      <c r="Q20077"/>
      <c r="R20077"/>
      <c r="S20077"/>
    </row>
    <row r="20078" spans="13:19" ht="13.95" customHeight="1">
      <c r="M20078"/>
      <c r="N20078"/>
      <c r="O20078"/>
      <c r="P20078"/>
      <c r="Q20078"/>
      <c r="R20078"/>
      <c r="S20078"/>
    </row>
    <row r="20079" spans="13:19" ht="13.95" customHeight="1">
      <c r="M20079"/>
      <c r="N20079"/>
      <c r="O20079"/>
      <c r="P20079"/>
      <c r="Q20079"/>
      <c r="R20079"/>
      <c r="S20079"/>
    </row>
    <row r="20080" spans="13:19" ht="13.95" customHeight="1">
      <c r="M20080"/>
      <c r="N20080"/>
      <c r="O20080"/>
      <c r="P20080"/>
      <c r="Q20080"/>
      <c r="R20080"/>
      <c r="S20080"/>
    </row>
    <row r="20081" spans="13:19" ht="13.95" customHeight="1">
      <c r="M20081"/>
      <c r="N20081"/>
      <c r="O20081"/>
      <c r="P20081"/>
      <c r="Q20081"/>
      <c r="R20081"/>
      <c r="S20081"/>
    </row>
    <row r="20082" spans="13:19" ht="13.95" customHeight="1">
      <c r="M20082"/>
      <c r="N20082"/>
      <c r="O20082"/>
      <c r="P20082"/>
      <c r="Q20082"/>
      <c r="R20082"/>
      <c r="S20082"/>
    </row>
    <row r="20083" spans="13:19" ht="13.95" customHeight="1">
      <c r="M20083"/>
      <c r="N20083"/>
      <c r="O20083"/>
      <c r="P20083"/>
      <c r="Q20083"/>
      <c r="R20083"/>
      <c r="S20083"/>
    </row>
    <row r="20084" spans="13:19" ht="13.95" customHeight="1">
      <c r="M20084"/>
      <c r="N20084"/>
      <c r="O20084"/>
      <c r="P20084"/>
      <c r="Q20084"/>
      <c r="R20084"/>
      <c r="S20084"/>
    </row>
    <row r="20085" spans="13:19" ht="13.95" customHeight="1">
      <c r="M20085"/>
      <c r="N20085"/>
      <c r="O20085"/>
      <c r="P20085"/>
      <c r="Q20085"/>
      <c r="R20085"/>
      <c r="S20085"/>
    </row>
    <row r="20086" spans="13:19" ht="13.95" customHeight="1">
      <c r="M20086"/>
      <c r="N20086"/>
      <c r="O20086"/>
      <c r="P20086"/>
      <c r="Q20086"/>
      <c r="R20086"/>
      <c r="S20086"/>
    </row>
    <row r="20087" spans="13:19" ht="13.95" customHeight="1">
      <c r="M20087"/>
      <c r="N20087"/>
      <c r="O20087"/>
      <c r="P20087"/>
      <c r="Q20087"/>
      <c r="R20087"/>
      <c r="S20087"/>
    </row>
    <row r="20088" spans="13:19" ht="13.95" customHeight="1">
      <c r="M20088"/>
      <c r="N20088"/>
      <c r="O20088"/>
      <c r="P20088"/>
      <c r="Q20088"/>
      <c r="R20088"/>
      <c r="S20088"/>
    </row>
    <row r="20089" spans="13:19" ht="13.95" customHeight="1">
      <c r="M20089"/>
      <c r="N20089"/>
      <c r="O20089"/>
      <c r="P20089"/>
      <c r="Q20089"/>
      <c r="R20089"/>
      <c r="S20089"/>
    </row>
    <row r="20090" spans="13:19" ht="13.95" customHeight="1">
      <c r="M20090"/>
      <c r="N20090"/>
      <c r="O20090"/>
      <c r="P20090"/>
      <c r="Q20090"/>
      <c r="R20090"/>
      <c r="S20090"/>
    </row>
    <row r="20091" spans="13:19" ht="13.95" customHeight="1">
      <c r="M20091"/>
      <c r="N20091"/>
      <c r="O20091"/>
      <c r="P20091"/>
      <c r="Q20091"/>
      <c r="R20091"/>
      <c r="S20091"/>
    </row>
    <row r="20092" spans="13:19" ht="13.95" customHeight="1">
      <c r="M20092"/>
      <c r="N20092"/>
      <c r="O20092"/>
      <c r="P20092"/>
      <c r="Q20092"/>
      <c r="R20092"/>
      <c r="S20092"/>
    </row>
    <row r="20093" spans="13:19" ht="13.95" customHeight="1">
      <c r="M20093"/>
      <c r="N20093"/>
      <c r="O20093"/>
      <c r="P20093"/>
      <c r="Q20093"/>
      <c r="R20093"/>
      <c r="S20093"/>
    </row>
    <row r="20094" spans="13:19" ht="13.95" customHeight="1">
      <c r="M20094"/>
      <c r="N20094"/>
      <c r="O20094"/>
      <c r="P20094"/>
      <c r="Q20094"/>
      <c r="R20094"/>
      <c r="S20094"/>
    </row>
    <row r="20095" spans="13:19" ht="13.95" customHeight="1">
      <c r="M20095"/>
      <c r="N20095"/>
      <c r="O20095"/>
      <c r="P20095"/>
      <c r="Q20095"/>
      <c r="R20095"/>
      <c r="S20095"/>
    </row>
    <row r="20096" spans="13:19" ht="13.95" customHeight="1">
      <c r="M20096"/>
      <c r="N20096"/>
      <c r="O20096"/>
      <c r="P20096"/>
      <c r="Q20096"/>
      <c r="R20096"/>
      <c r="S20096"/>
    </row>
    <row r="20097" spans="13:19" ht="13.95" customHeight="1">
      <c r="M20097"/>
      <c r="N20097"/>
      <c r="O20097"/>
      <c r="P20097"/>
      <c r="Q20097"/>
      <c r="R20097"/>
      <c r="S20097"/>
    </row>
    <row r="20098" spans="13:19" ht="13.95" customHeight="1">
      <c r="M20098"/>
      <c r="N20098"/>
      <c r="O20098"/>
      <c r="P20098"/>
      <c r="Q20098"/>
      <c r="R20098"/>
      <c r="S20098"/>
    </row>
    <row r="20099" spans="13:19" ht="13.95" customHeight="1">
      <c r="M20099"/>
      <c r="N20099"/>
      <c r="O20099"/>
      <c r="P20099"/>
      <c r="Q20099"/>
      <c r="R20099"/>
      <c r="S20099"/>
    </row>
    <row r="20100" spans="13:19" ht="13.95" customHeight="1">
      <c r="M20100"/>
      <c r="N20100"/>
      <c r="O20100"/>
      <c r="P20100"/>
      <c r="Q20100"/>
      <c r="R20100"/>
      <c r="S20100"/>
    </row>
    <row r="20101" spans="13:19" ht="13.95" customHeight="1">
      <c r="M20101"/>
      <c r="N20101"/>
      <c r="O20101"/>
      <c r="P20101"/>
      <c r="Q20101"/>
      <c r="R20101"/>
      <c r="S20101"/>
    </row>
    <row r="20102" spans="13:19" ht="13.95" customHeight="1">
      <c r="M20102"/>
      <c r="N20102"/>
      <c r="O20102"/>
      <c r="P20102"/>
      <c r="Q20102"/>
      <c r="R20102"/>
      <c r="S20102"/>
    </row>
    <row r="20103" spans="13:19" ht="13.95" customHeight="1">
      <c r="M20103"/>
      <c r="N20103"/>
      <c r="O20103"/>
      <c r="P20103"/>
      <c r="Q20103"/>
      <c r="R20103"/>
      <c r="S20103"/>
    </row>
    <row r="20104" spans="13:19" ht="13.95" customHeight="1">
      <c r="M20104"/>
      <c r="N20104"/>
      <c r="O20104"/>
      <c r="P20104"/>
      <c r="Q20104"/>
      <c r="R20104"/>
      <c r="S20104"/>
    </row>
    <row r="20105" spans="13:19" ht="13.95" customHeight="1">
      <c r="M20105"/>
      <c r="N20105"/>
      <c r="O20105"/>
      <c r="P20105"/>
      <c r="Q20105"/>
      <c r="R20105"/>
      <c r="S20105"/>
    </row>
    <row r="20106" spans="13:19" ht="13.95" customHeight="1">
      <c r="M20106"/>
      <c r="N20106"/>
      <c r="O20106"/>
      <c r="P20106"/>
      <c r="Q20106"/>
      <c r="R20106"/>
      <c r="S20106"/>
    </row>
    <row r="20107" spans="13:19" ht="13.95" customHeight="1">
      <c r="M20107"/>
      <c r="N20107"/>
      <c r="O20107"/>
      <c r="P20107"/>
      <c r="Q20107"/>
      <c r="R20107"/>
      <c r="S20107"/>
    </row>
    <row r="20108" spans="13:19" ht="13.95" customHeight="1">
      <c r="M20108"/>
      <c r="N20108"/>
      <c r="O20108"/>
      <c r="P20108"/>
      <c r="Q20108"/>
      <c r="R20108"/>
      <c r="S20108"/>
    </row>
    <row r="20109" spans="13:19" ht="13.95" customHeight="1">
      <c r="M20109"/>
      <c r="N20109"/>
      <c r="O20109"/>
      <c r="P20109"/>
      <c r="Q20109"/>
      <c r="R20109"/>
      <c r="S20109"/>
    </row>
    <row r="20110" spans="13:19" ht="13.95" customHeight="1">
      <c r="M20110"/>
      <c r="N20110"/>
      <c r="O20110"/>
      <c r="P20110"/>
      <c r="Q20110"/>
      <c r="R20110"/>
      <c r="S20110"/>
    </row>
    <row r="20111" spans="13:19" ht="13.95" customHeight="1">
      <c r="M20111"/>
      <c r="N20111"/>
      <c r="O20111"/>
      <c r="P20111"/>
      <c r="Q20111"/>
      <c r="R20111"/>
      <c r="S20111"/>
    </row>
    <row r="20112" spans="13:19" ht="13.95" customHeight="1">
      <c r="M20112"/>
      <c r="N20112"/>
      <c r="O20112"/>
      <c r="P20112"/>
      <c r="Q20112"/>
      <c r="R20112"/>
      <c r="S20112"/>
    </row>
    <row r="20113" spans="13:19" ht="13.95" customHeight="1">
      <c r="M20113"/>
      <c r="N20113"/>
      <c r="O20113"/>
      <c r="P20113"/>
      <c r="Q20113"/>
      <c r="R20113"/>
      <c r="S20113"/>
    </row>
    <row r="20114" spans="13:19" ht="13.95" customHeight="1">
      <c r="M20114"/>
      <c r="N20114"/>
      <c r="O20114"/>
      <c r="P20114"/>
      <c r="Q20114"/>
      <c r="R20114"/>
      <c r="S20114"/>
    </row>
    <row r="20115" spans="13:19" ht="13.95" customHeight="1">
      <c r="M20115"/>
      <c r="N20115"/>
      <c r="O20115"/>
      <c r="P20115"/>
      <c r="Q20115"/>
      <c r="R20115"/>
      <c r="S20115"/>
    </row>
    <row r="20116" spans="13:19" ht="13.95" customHeight="1">
      <c r="M20116"/>
      <c r="N20116"/>
      <c r="O20116"/>
      <c r="P20116"/>
      <c r="Q20116"/>
      <c r="R20116"/>
      <c r="S20116"/>
    </row>
    <row r="20117" spans="13:19" ht="13.95" customHeight="1">
      <c r="M20117"/>
      <c r="N20117"/>
      <c r="O20117"/>
      <c r="P20117"/>
      <c r="Q20117"/>
      <c r="R20117"/>
      <c r="S20117"/>
    </row>
    <row r="20118" spans="13:19" ht="13.95" customHeight="1">
      <c r="M20118"/>
      <c r="N20118"/>
      <c r="O20118"/>
      <c r="P20118"/>
      <c r="Q20118"/>
      <c r="R20118"/>
      <c r="S20118"/>
    </row>
    <row r="20119" spans="13:19" ht="13.95" customHeight="1">
      <c r="M20119"/>
      <c r="N20119"/>
      <c r="O20119"/>
      <c r="P20119"/>
      <c r="Q20119"/>
      <c r="R20119"/>
      <c r="S20119"/>
    </row>
    <row r="20120" spans="13:19" ht="13.95" customHeight="1">
      <c r="M20120"/>
      <c r="N20120"/>
      <c r="O20120"/>
      <c r="P20120"/>
      <c r="Q20120"/>
      <c r="R20120"/>
      <c r="S20120"/>
    </row>
    <row r="20121" spans="13:19" ht="13.95" customHeight="1">
      <c r="M20121"/>
      <c r="N20121"/>
      <c r="O20121"/>
      <c r="P20121"/>
      <c r="Q20121"/>
      <c r="R20121"/>
      <c r="S20121"/>
    </row>
    <row r="20122" spans="13:19" ht="13.95" customHeight="1">
      <c r="M20122"/>
      <c r="N20122"/>
      <c r="O20122"/>
      <c r="P20122"/>
      <c r="Q20122"/>
      <c r="R20122"/>
      <c r="S20122"/>
    </row>
    <row r="20123" spans="13:19" ht="13.95" customHeight="1">
      <c r="M20123"/>
      <c r="N20123"/>
      <c r="O20123"/>
      <c r="P20123"/>
      <c r="Q20123"/>
      <c r="R20123"/>
      <c r="S20123"/>
    </row>
    <row r="20124" spans="13:19" ht="13.95" customHeight="1">
      <c r="M20124"/>
      <c r="N20124"/>
      <c r="O20124"/>
      <c r="P20124"/>
      <c r="Q20124"/>
      <c r="R20124"/>
      <c r="S20124"/>
    </row>
    <row r="20125" spans="13:19" ht="13.95" customHeight="1">
      <c r="M20125"/>
      <c r="N20125"/>
      <c r="O20125"/>
      <c r="P20125"/>
      <c r="Q20125"/>
      <c r="R20125"/>
      <c r="S20125"/>
    </row>
    <row r="20126" spans="13:19" ht="13.95" customHeight="1">
      <c r="M20126"/>
      <c r="N20126"/>
      <c r="O20126"/>
      <c r="P20126"/>
      <c r="Q20126"/>
      <c r="R20126"/>
      <c r="S20126"/>
    </row>
    <row r="20127" spans="13:19" ht="13.95" customHeight="1">
      <c r="M20127"/>
      <c r="N20127"/>
      <c r="O20127"/>
      <c r="P20127"/>
      <c r="Q20127"/>
      <c r="R20127"/>
      <c r="S20127"/>
    </row>
    <row r="20128" spans="13:19" ht="13.95" customHeight="1">
      <c r="M20128"/>
      <c r="N20128"/>
      <c r="O20128"/>
      <c r="P20128"/>
      <c r="Q20128"/>
      <c r="R20128"/>
      <c r="S20128"/>
    </row>
    <row r="20129" spans="13:19" ht="13.95" customHeight="1">
      <c r="M20129"/>
      <c r="N20129"/>
      <c r="O20129"/>
      <c r="P20129"/>
      <c r="Q20129"/>
      <c r="R20129"/>
      <c r="S20129"/>
    </row>
    <row r="20130" spans="13:19" ht="13.95" customHeight="1">
      <c r="M20130"/>
      <c r="N20130"/>
      <c r="O20130"/>
      <c r="P20130"/>
      <c r="Q20130"/>
      <c r="R20130"/>
      <c r="S20130"/>
    </row>
    <row r="20131" spans="13:19" ht="13.95" customHeight="1">
      <c r="M20131"/>
      <c r="N20131"/>
      <c r="O20131"/>
      <c r="P20131"/>
      <c r="Q20131"/>
      <c r="R20131"/>
      <c r="S20131"/>
    </row>
    <row r="20132" spans="13:19" ht="13.95" customHeight="1">
      <c r="M20132"/>
      <c r="N20132"/>
      <c r="O20132"/>
      <c r="P20132"/>
      <c r="Q20132"/>
      <c r="R20132"/>
      <c r="S20132"/>
    </row>
    <row r="20133" spans="13:19" ht="13.95" customHeight="1">
      <c r="M20133"/>
      <c r="N20133"/>
      <c r="O20133"/>
      <c r="P20133"/>
      <c r="Q20133"/>
      <c r="R20133"/>
      <c r="S20133"/>
    </row>
    <row r="20134" spans="13:19" ht="13.95" customHeight="1">
      <c r="M20134"/>
      <c r="N20134"/>
      <c r="O20134"/>
      <c r="P20134"/>
      <c r="Q20134"/>
      <c r="R20134"/>
      <c r="S20134"/>
    </row>
    <row r="20135" spans="13:19" ht="13.95" customHeight="1">
      <c r="M20135"/>
      <c r="N20135"/>
      <c r="O20135"/>
      <c r="P20135"/>
      <c r="Q20135"/>
      <c r="R20135"/>
      <c r="S20135"/>
    </row>
    <row r="20136" spans="13:19" ht="13.95" customHeight="1">
      <c r="M20136"/>
      <c r="N20136"/>
      <c r="O20136"/>
      <c r="P20136"/>
      <c r="Q20136"/>
      <c r="R20136"/>
      <c r="S20136"/>
    </row>
    <row r="20137" spans="13:19" ht="13.95" customHeight="1">
      <c r="M20137"/>
      <c r="N20137"/>
      <c r="O20137"/>
      <c r="P20137"/>
      <c r="Q20137"/>
      <c r="R20137"/>
      <c r="S20137"/>
    </row>
    <row r="20138" spans="13:19" ht="13.95" customHeight="1">
      <c r="M20138"/>
      <c r="N20138"/>
      <c r="O20138"/>
      <c r="P20138"/>
      <c r="Q20138"/>
      <c r="R20138"/>
      <c r="S20138"/>
    </row>
    <row r="20139" spans="13:19" ht="13.95" customHeight="1">
      <c r="M20139"/>
      <c r="N20139"/>
      <c r="O20139"/>
      <c r="P20139"/>
      <c r="Q20139"/>
      <c r="R20139"/>
      <c r="S20139"/>
    </row>
    <row r="20140" spans="13:19" ht="13.95" customHeight="1">
      <c r="M20140"/>
      <c r="N20140"/>
      <c r="O20140"/>
      <c r="P20140"/>
      <c r="Q20140"/>
      <c r="R20140"/>
      <c r="S20140"/>
    </row>
    <row r="20141" spans="13:19" ht="13.95" customHeight="1">
      <c r="M20141"/>
      <c r="N20141"/>
      <c r="O20141"/>
      <c r="P20141"/>
      <c r="Q20141"/>
      <c r="R20141"/>
      <c r="S20141"/>
    </row>
    <row r="20142" spans="13:19" ht="13.95" customHeight="1">
      <c r="M20142"/>
      <c r="N20142"/>
      <c r="O20142"/>
      <c r="P20142"/>
      <c r="Q20142"/>
      <c r="R20142"/>
      <c r="S20142"/>
    </row>
    <row r="20143" spans="13:19" ht="13.95" customHeight="1">
      <c r="M20143"/>
      <c r="N20143"/>
      <c r="O20143"/>
      <c r="P20143"/>
      <c r="Q20143"/>
      <c r="R20143"/>
      <c r="S20143"/>
    </row>
    <row r="20144" spans="13:19" ht="13.95" customHeight="1">
      <c r="M20144"/>
      <c r="N20144"/>
      <c r="O20144"/>
      <c r="P20144"/>
      <c r="Q20144"/>
      <c r="R20144"/>
      <c r="S20144"/>
    </row>
    <row r="20145" spans="13:19" ht="13.95" customHeight="1">
      <c r="M20145"/>
      <c r="N20145"/>
      <c r="O20145"/>
      <c r="P20145"/>
      <c r="Q20145"/>
      <c r="R20145"/>
      <c r="S20145"/>
    </row>
    <row r="20146" spans="13:19" ht="13.95" customHeight="1">
      <c r="M20146"/>
      <c r="N20146"/>
      <c r="O20146"/>
      <c r="P20146"/>
      <c r="Q20146"/>
      <c r="R20146"/>
      <c r="S20146"/>
    </row>
    <row r="20147" spans="13:19" ht="13.95" customHeight="1">
      <c r="M20147"/>
      <c r="N20147"/>
      <c r="O20147"/>
      <c r="P20147"/>
      <c r="Q20147"/>
      <c r="R20147"/>
      <c r="S20147"/>
    </row>
    <row r="20148" spans="13:19" ht="13.95" customHeight="1">
      <c r="M20148"/>
      <c r="N20148"/>
      <c r="O20148"/>
      <c r="P20148"/>
      <c r="Q20148"/>
      <c r="R20148"/>
      <c r="S20148"/>
    </row>
    <row r="20149" spans="13:19" ht="13.95" customHeight="1">
      <c r="M20149"/>
      <c r="N20149"/>
      <c r="O20149"/>
      <c r="P20149"/>
      <c r="Q20149"/>
      <c r="R20149"/>
      <c r="S20149"/>
    </row>
    <row r="20150" spans="13:19" ht="13.95" customHeight="1">
      <c r="M20150"/>
      <c r="N20150"/>
      <c r="O20150"/>
      <c r="P20150"/>
      <c r="Q20150"/>
      <c r="R20150"/>
      <c r="S20150"/>
    </row>
    <row r="20151" spans="13:19" ht="13.95" customHeight="1">
      <c r="M20151"/>
      <c r="N20151"/>
      <c r="O20151"/>
      <c r="P20151"/>
      <c r="Q20151"/>
      <c r="R20151"/>
      <c r="S20151"/>
    </row>
    <row r="20152" spans="13:19" ht="13.95" customHeight="1">
      <c r="M20152"/>
      <c r="N20152"/>
      <c r="O20152"/>
      <c r="P20152"/>
      <c r="Q20152"/>
      <c r="R20152"/>
      <c r="S20152"/>
    </row>
    <row r="20153" spans="13:19" ht="13.95" customHeight="1">
      <c r="M20153"/>
      <c r="N20153"/>
      <c r="O20153"/>
      <c r="P20153"/>
      <c r="Q20153"/>
      <c r="R20153"/>
      <c r="S20153"/>
    </row>
    <row r="20154" spans="13:19" ht="13.95" customHeight="1">
      <c r="M20154"/>
      <c r="N20154"/>
      <c r="O20154"/>
      <c r="P20154"/>
      <c r="Q20154"/>
      <c r="R20154"/>
      <c r="S20154"/>
    </row>
    <row r="20155" spans="13:19" ht="13.95" customHeight="1">
      <c r="M20155"/>
      <c r="N20155"/>
      <c r="O20155"/>
      <c r="P20155"/>
      <c r="Q20155"/>
      <c r="R20155"/>
      <c r="S20155"/>
    </row>
    <row r="20156" spans="13:19" ht="13.95" customHeight="1">
      <c r="M20156"/>
      <c r="N20156"/>
      <c r="O20156"/>
      <c r="P20156"/>
      <c r="Q20156"/>
      <c r="R20156"/>
      <c r="S20156"/>
    </row>
    <row r="20157" spans="13:19" ht="13.95" customHeight="1">
      <c r="M20157"/>
      <c r="N20157"/>
      <c r="O20157"/>
      <c r="P20157"/>
      <c r="Q20157"/>
      <c r="R20157"/>
      <c r="S20157"/>
    </row>
    <row r="20158" spans="13:19" ht="13.95" customHeight="1">
      <c r="M20158"/>
      <c r="N20158"/>
      <c r="O20158"/>
      <c r="P20158"/>
      <c r="Q20158"/>
      <c r="R20158"/>
      <c r="S20158"/>
    </row>
    <row r="20159" spans="13:19" ht="13.95" customHeight="1">
      <c r="M20159"/>
      <c r="N20159"/>
      <c r="O20159"/>
      <c r="P20159"/>
      <c r="Q20159"/>
      <c r="R20159"/>
      <c r="S20159"/>
    </row>
    <row r="20160" spans="13:19" ht="13.95" customHeight="1">
      <c r="M20160"/>
      <c r="N20160"/>
      <c r="O20160"/>
      <c r="P20160"/>
      <c r="Q20160"/>
      <c r="R20160"/>
      <c r="S20160"/>
    </row>
    <row r="20161" spans="13:19" ht="13.95" customHeight="1">
      <c r="M20161"/>
      <c r="N20161"/>
      <c r="O20161"/>
      <c r="P20161"/>
      <c r="Q20161"/>
      <c r="R20161"/>
      <c r="S20161"/>
    </row>
    <row r="20162" spans="13:19" ht="13.95" customHeight="1">
      <c r="M20162"/>
      <c r="N20162"/>
      <c r="O20162"/>
      <c r="P20162"/>
      <c r="Q20162"/>
      <c r="R20162"/>
      <c r="S20162"/>
    </row>
    <row r="20163" spans="13:19" ht="13.95" customHeight="1">
      <c r="M20163"/>
      <c r="N20163"/>
      <c r="O20163"/>
      <c r="P20163"/>
      <c r="Q20163"/>
      <c r="R20163"/>
      <c r="S20163"/>
    </row>
    <row r="20164" spans="13:19" ht="13.95" customHeight="1">
      <c r="M20164"/>
      <c r="N20164"/>
      <c r="O20164"/>
      <c r="P20164"/>
      <c r="Q20164"/>
      <c r="R20164"/>
      <c r="S20164"/>
    </row>
    <row r="20165" spans="13:19" ht="13.95" customHeight="1">
      <c r="M20165"/>
      <c r="N20165"/>
      <c r="O20165"/>
      <c r="P20165"/>
      <c r="Q20165"/>
      <c r="R20165"/>
      <c r="S20165"/>
    </row>
    <row r="20166" spans="13:19" ht="13.95" customHeight="1">
      <c r="M20166"/>
      <c r="N20166"/>
      <c r="O20166"/>
      <c r="P20166"/>
      <c r="Q20166"/>
      <c r="R20166"/>
      <c r="S20166"/>
    </row>
    <row r="20167" spans="13:19" ht="13.95" customHeight="1">
      <c r="M20167"/>
      <c r="N20167"/>
      <c r="O20167"/>
      <c r="P20167"/>
      <c r="Q20167"/>
      <c r="R20167"/>
      <c r="S20167"/>
    </row>
    <row r="20168" spans="13:19" ht="13.95" customHeight="1">
      <c r="M20168"/>
      <c r="N20168"/>
      <c r="O20168"/>
      <c r="P20168"/>
      <c r="Q20168"/>
      <c r="R20168"/>
      <c r="S20168"/>
    </row>
    <row r="20169" spans="13:19" ht="13.95" customHeight="1">
      <c r="M20169"/>
      <c r="N20169"/>
      <c r="O20169"/>
      <c r="P20169"/>
      <c r="Q20169"/>
      <c r="R20169"/>
      <c r="S20169"/>
    </row>
    <row r="20170" spans="13:19" ht="13.95" customHeight="1">
      <c r="M20170"/>
      <c r="N20170"/>
      <c r="O20170"/>
      <c r="P20170"/>
      <c r="Q20170"/>
      <c r="R20170"/>
      <c r="S20170"/>
    </row>
    <row r="20171" spans="13:19" ht="13.95" customHeight="1">
      <c r="M20171"/>
      <c r="N20171"/>
      <c r="O20171"/>
      <c r="P20171"/>
      <c r="Q20171"/>
      <c r="R20171"/>
      <c r="S20171"/>
    </row>
    <row r="20172" spans="13:19" ht="13.95" customHeight="1">
      <c r="M20172"/>
      <c r="N20172"/>
      <c r="O20172"/>
      <c r="P20172"/>
      <c r="Q20172"/>
      <c r="R20172"/>
      <c r="S20172"/>
    </row>
    <row r="20173" spans="13:19" ht="13.95" customHeight="1">
      <c r="M20173"/>
      <c r="N20173"/>
      <c r="O20173"/>
      <c r="P20173"/>
      <c r="Q20173"/>
      <c r="R20173"/>
      <c r="S20173"/>
    </row>
    <row r="20174" spans="13:19" ht="13.95" customHeight="1">
      <c r="M20174"/>
      <c r="N20174"/>
      <c r="O20174"/>
      <c r="P20174"/>
      <c r="Q20174"/>
      <c r="R20174"/>
      <c r="S20174"/>
    </row>
    <row r="20175" spans="13:19" ht="13.95" customHeight="1">
      <c r="M20175"/>
      <c r="N20175"/>
      <c r="O20175"/>
      <c r="P20175"/>
      <c r="Q20175"/>
      <c r="R20175"/>
      <c r="S20175"/>
    </row>
    <row r="20176" spans="13:19" ht="13.95" customHeight="1">
      <c r="M20176"/>
      <c r="N20176"/>
      <c r="O20176"/>
      <c r="P20176"/>
      <c r="Q20176"/>
      <c r="R20176"/>
      <c r="S20176"/>
    </row>
    <row r="20177" spans="13:19" ht="13.95" customHeight="1">
      <c r="M20177"/>
      <c r="N20177"/>
      <c r="O20177"/>
      <c r="P20177"/>
      <c r="Q20177"/>
      <c r="R20177"/>
      <c r="S20177"/>
    </row>
    <row r="20178" spans="13:19" ht="13.95" customHeight="1">
      <c r="M20178"/>
      <c r="N20178"/>
      <c r="O20178"/>
      <c r="P20178"/>
      <c r="Q20178"/>
      <c r="R20178"/>
      <c r="S20178"/>
    </row>
    <row r="20179" spans="13:19" ht="13.95" customHeight="1">
      <c r="M20179"/>
      <c r="N20179"/>
      <c r="O20179"/>
      <c r="P20179"/>
      <c r="Q20179"/>
      <c r="R20179"/>
      <c r="S20179"/>
    </row>
    <row r="20180" spans="13:19" ht="13.95" customHeight="1">
      <c r="M20180"/>
      <c r="N20180"/>
      <c r="O20180"/>
      <c r="P20180"/>
      <c r="Q20180"/>
      <c r="R20180"/>
      <c r="S20180"/>
    </row>
    <row r="20181" spans="13:19" ht="13.95" customHeight="1">
      <c r="M20181"/>
      <c r="N20181"/>
      <c r="O20181"/>
      <c r="P20181"/>
      <c r="Q20181"/>
      <c r="R20181"/>
      <c r="S20181"/>
    </row>
    <row r="20182" spans="13:19" ht="13.95" customHeight="1">
      <c r="M20182"/>
      <c r="N20182"/>
      <c r="O20182"/>
      <c r="P20182"/>
      <c r="Q20182"/>
      <c r="R20182"/>
      <c r="S20182"/>
    </row>
    <row r="20183" spans="13:19" ht="13.95" customHeight="1">
      <c r="M20183"/>
      <c r="N20183"/>
      <c r="O20183"/>
      <c r="P20183"/>
      <c r="Q20183"/>
      <c r="R20183"/>
      <c r="S20183"/>
    </row>
    <row r="20184" spans="13:19" ht="13.95" customHeight="1">
      <c r="M20184"/>
      <c r="N20184"/>
      <c r="O20184"/>
      <c r="P20184"/>
      <c r="Q20184"/>
      <c r="R20184"/>
      <c r="S20184"/>
    </row>
    <row r="20185" spans="13:19" ht="13.95" customHeight="1">
      <c r="M20185"/>
      <c r="N20185"/>
      <c r="O20185"/>
      <c r="P20185"/>
      <c r="Q20185"/>
      <c r="R20185"/>
      <c r="S20185"/>
    </row>
    <row r="20186" spans="13:19" ht="13.95" customHeight="1">
      <c r="M20186"/>
      <c r="N20186"/>
      <c r="O20186"/>
      <c r="P20186"/>
      <c r="Q20186"/>
      <c r="R20186"/>
      <c r="S20186"/>
    </row>
    <row r="20187" spans="13:19" ht="13.95" customHeight="1">
      <c r="M20187"/>
      <c r="N20187"/>
      <c r="O20187"/>
      <c r="P20187"/>
      <c r="Q20187"/>
      <c r="R20187"/>
      <c r="S20187"/>
    </row>
    <row r="20188" spans="13:19" ht="13.95" customHeight="1">
      <c r="M20188"/>
      <c r="N20188"/>
      <c r="O20188"/>
      <c r="P20188"/>
      <c r="Q20188"/>
      <c r="R20188"/>
      <c r="S20188"/>
    </row>
    <row r="20189" spans="13:19" ht="13.95" customHeight="1">
      <c r="M20189"/>
      <c r="N20189"/>
      <c r="O20189"/>
      <c r="P20189"/>
      <c r="Q20189"/>
      <c r="R20189"/>
      <c r="S20189"/>
    </row>
    <row r="20190" spans="13:19" ht="13.95" customHeight="1">
      <c r="M20190"/>
      <c r="N20190"/>
      <c r="O20190"/>
      <c r="P20190"/>
      <c r="Q20190"/>
      <c r="R20190"/>
      <c r="S20190"/>
    </row>
    <row r="20191" spans="13:19" ht="13.95" customHeight="1">
      <c r="M20191"/>
      <c r="N20191"/>
      <c r="O20191"/>
      <c r="P20191"/>
      <c r="Q20191"/>
      <c r="R20191"/>
      <c r="S20191"/>
    </row>
    <row r="20192" spans="13:19" ht="13.95" customHeight="1">
      <c r="M20192"/>
      <c r="N20192"/>
      <c r="O20192"/>
      <c r="P20192"/>
      <c r="Q20192"/>
      <c r="R20192"/>
      <c r="S20192"/>
    </row>
    <row r="20193" spans="13:19" ht="13.95" customHeight="1">
      <c r="M20193"/>
      <c r="N20193"/>
      <c r="O20193"/>
      <c r="P20193"/>
      <c r="Q20193"/>
      <c r="R20193"/>
      <c r="S20193"/>
    </row>
    <row r="20194" spans="13:19" ht="13.95" customHeight="1">
      <c r="M20194"/>
      <c r="N20194"/>
      <c r="O20194"/>
      <c r="P20194"/>
      <c r="Q20194"/>
      <c r="R20194"/>
      <c r="S20194"/>
    </row>
    <row r="20195" spans="13:19" ht="13.95" customHeight="1">
      <c r="M20195"/>
      <c r="N20195"/>
      <c r="O20195"/>
      <c r="P20195"/>
      <c r="Q20195"/>
      <c r="R20195"/>
      <c r="S20195"/>
    </row>
    <row r="20196" spans="13:19" ht="13.95" customHeight="1">
      <c r="M20196"/>
      <c r="N20196"/>
      <c r="O20196"/>
      <c r="P20196"/>
      <c r="Q20196"/>
      <c r="R20196"/>
      <c r="S20196"/>
    </row>
    <row r="20197" spans="13:19" ht="13.95" customHeight="1">
      <c r="M20197"/>
      <c r="N20197"/>
      <c r="O20197"/>
      <c r="P20197"/>
      <c r="Q20197"/>
      <c r="R20197"/>
      <c r="S20197"/>
    </row>
    <row r="20198" spans="13:19" ht="13.95" customHeight="1">
      <c r="M20198"/>
      <c r="N20198"/>
      <c r="O20198"/>
      <c r="P20198"/>
      <c r="Q20198"/>
      <c r="R20198"/>
      <c r="S20198"/>
    </row>
    <row r="20199" spans="13:19" ht="13.95" customHeight="1">
      <c r="M20199"/>
      <c r="N20199"/>
      <c r="O20199"/>
      <c r="P20199"/>
      <c r="Q20199"/>
      <c r="R20199"/>
      <c r="S20199"/>
    </row>
    <row r="20200" spans="13:19" ht="13.95" customHeight="1">
      <c r="M20200"/>
      <c r="N20200"/>
      <c r="O20200"/>
      <c r="P20200"/>
      <c r="Q20200"/>
      <c r="R20200"/>
      <c r="S20200"/>
    </row>
    <row r="20201" spans="13:19" ht="13.95" customHeight="1">
      <c r="M20201"/>
      <c r="N20201"/>
      <c r="O20201"/>
      <c r="P20201"/>
      <c r="Q20201"/>
      <c r="R20201"/>
      <c r="S20201"/>
    </row>
    <row r="20202" spans="13:19" ht="13.95" customHeight="1">
      <c r="M20202"/>
      <c r="N20202"/>
      <c r="O20202"/>
      <c r="P20202"/>
      <c r="Q20202"/>
      <c r="R20202"/>
      <c r="S20202"/>
    </row>
    <row r="20203" spans="13:19" ht="13.95" customHeight="1">
      <c r="M20203"/>
      <c r="N20203"/>
      <c r="O20203"/>
      <c r="P20203"/>
      <c r="Q20203"/>
      <c r="R20203"/>
      <c r="S20203"/>
    </row>
    <row r="20204" spans="13:19" ht="13.95" customHeight="1">
      <c r="M20204"/>
      <c r="N20204"/>
      <c r="O20204"/>
      <c r="P20204"/>
      <c r="Q20204"/>
      <c r="R20204"/>
      <c r="S20204"/>
    </row>
    <row r="20205" spans="13:19" ht="13.95" customHeight="1">
      <c r="M20205"/>
      <c r="N20205"/>
      <c r="O20205"/>
      <c r="P20205"/>
      <c r="Q20205"/>
      <c r="R20205"/>
      <c r="S20205"/>
    </row>
    <row r="20206" spans="13:19" ht="13.95" customHeight="1">
      <c r="M20206"/>
      <c r="N20206"/>
      <c r="O20206"/>
      <c r="P20206"/>
      <c r="Q20206"/>
      <c r="R20206"/>
      <c r="S20206"/>
    </row>
    <row r="20207" spans="13:19" ht="13.95" customHeight="1">
      <c r="M20207"/>
      <c r="N20207"/>
      <c r="O20207"/>
      <c r="P20207"/>
      <c r="Q20207"/>
      <c r="R20207"/>
      <c r="S20207"/>
    </row>
    <row r="20208" spans="13:19" ht="13.95" customHeight="1">
      <c r="M20208"/>
      <c r="N20208"/>
      <c r="O20208"/>
      <c r="P20208"/>
      <c r="Q20208"/>
      <c r="R20208"/>
      <c r="S20208"/>
    </row>
    <row r="20209" spans="13:19" ht="13.95" customHeight="1">
      <c r="M20209"/>
      <c r="N20209"/>
      <c r="O20209"/>
      <c r="P20209"/>
      <c r="Q20209"/>
      <c r="R20209"/>
      <c r="S20209"/>
    </row>
    <row r="20210" spans="13:19" ht="13.95" customHeight="1">
      <c r="M20210"/>
      <c r="N20210"/>
      <c r="O20210"/>
      <c r="P20210"/>
      <c r="Q20210"/>
      <c r="R20210"/>
      <c r="S20210"/>
    </row>
    <row r="20211" spans="13:19" ht="13.95" customHeight="1">
      <c r="M20211"/>
      <c r="N20211"/>
      <c r="O20211"/>
      <c r="P20211"/>
      <c r="Q20211"/>
      <c r="R20211"/>
      <c r="S20211"/>
    </row>
    <row r="20212" spans="13:19" ht="13.95" customHeight="1">
      <c r="M20212"/>
      <c r="N20212"/>
      <c r="O20212"/>
      <c r="P20212"/>
      <c r="Q20212"/>
      <c r="R20212"/>
      <c r="S20212"/>
    </row>
    <row r="20213" spans="13:19" ht="13.95" customHeight="1">
      <c r="M20213"/>
      <c r="N20213"/>
      <c r="O20213"/>
      <c r="P20213"/>
      <c r="Q20213"/>
      <c r="R20213"/>
      <c r="S20213"/>
    </row>
    <row r="20214" spans="13:19" ht="13.95" customHeight="1">
      <c r="M20214"/>
      <c r="N20214"/>
      <c r="O20214"/>
      <c r="P20214"/>
      <c r="Q20214"/>
      <c r="R20214"/>
      <c r="S20214"/>
    </row>
    <row r="20215" spans="13:19" ht="13.95" customHeight="1">
      <c r="M20215"/>
      <c r="N20215"/>
      <c r="O20215"/>
      <c r="P20215"/>
      <c r="Q20215"/>
      <c r="R20215"/>
      <c r="S20215"/>
    </row>
    <row r="20216" spans="13:19" ht="13.95" customHeight="1">
      <c r="M20216"/>
      <c r="N20216"/>
      <c r="O20216"/>
      <c r="P20216"/>
      <c r="Q20216"/>
      <c r="R20216"/>
      <c r="S20216"/>
    </row>
    <row r="20217" spans="13:19" ht="13.95" customHeight="1">
      <c r="M20217"/>
      <c r="N20217"/>
      <c r="O20217"/>
      <c r="P20217"/>
      <c r="Q20217"/>
      <c r="R20217"/>
      <c r="S20217"/>
    </row>
    <row r="20218" spans="13:19" ht="13.95" customHeight="1">
      <c r="M20218"/>
      <c r="N20218"/>
      <c r="O20218"/>
      <c r="P20218"/>
      <c r="Q20218"/>
      <c r="R20218"/>
      <c r="S20218"/>
    </row>
    <row r="20219" spans="13:19" ht="13.95" customHeight="1">
      <c r="M20219"/>
      <c r="N20219"/>
      <c r="O20219"/>
      <c r="P20219"/>
      <c r="Q20219"/>
      <c r="R20219"/>
      <c r="S20219"/>
    </row>
    <row r="20220" spans="13:19" ht="13.95" customHeight="1">
      <c r="M20220"/>
      <c r="N20220"/>
      <c r="O20220"/>
      <c r="P20220"/>
      <c r="Q20220"/>
      <c r="R20220"/>
      <c r="S20220"/>
    </row>
    <row r="20221" spans="13:19" ht="13.95" customHeight="1">
      <c r="M20221"/>
      <c r="N20221"/>
      <c r="O20221"/>
      <c r="P20221"/>
      <c r="Q20221"/>
      <c r="R20221"/>
      <c r="S20221"/>
    </row>
    <row r="20222" spans="13:19" ht="13.95" customHeight="1">
      <c r="M20222"/>
      <c r="N20222"/>
      <c r="O20222"/>
      <c r="P20222"/>
      <c r="Q20222"/>
      <c r="R20222"/>
      <c r="S20222"/>
    </row>
    <row r="20223" spans="13:19" ht="13.95" customHeight="1">
      <c r="M20223"/>
      <c r="N20223"/>
      <c r="O20223"/>
      <c r="P20223"/>
      <c r="Q20223"/>
      <c r="R20223"/>
      <c r="S20223"/>
    </row>
    <row r="20224" spans="13:19" ht="13.95" customHeight="1">
      <c r="M20224"/>
      <c r="N20224"/>
      <c r="O20224"/>
      <c r="P20224"/>
      <c r="Q20224"/>
      <c r="R20224"/>
      <c r="S20224"/>
    </row>
    <row r="20225" spans="13:19" ht="13.95" customHeight="1">
      <c r="M20225"/>
      <c r="N20225"/>
      <c r="O20225"/>
      <c r="P20225"/>
      <c r="Q20225"/>
      <c r="R20225"/>
      <c r="S20225"/>
    </row>
    <row r="20226" spans="13:19" ht="13.95" customHeight="1">
      <c r="M20226"/>
      <c r="N20226"/>
      <c r="O20226"/>
      <c r="P20226"/>
      <c r="Q20226"/>
      <c r="R20226"/>
      <c r="S20226"/>
    </row>
    <row r="20227" spans="13:19" ht="13.95" customHeight="1">
      <c r="M20227"/>
      <c r="N20227"/>
      <c r="O20227"/>
      <c r="P20227"/>
      <c r="Q20227"/>
      <c r="R20227"/>
      <c r="S20227"/>
    </row>
    <row r="20228" spans="13:19" ht="13.95" customHeight="1">
      <c r="M20228"/>
      <c r="N20228"/>
      <c r="O20228"/>
      <c r="P20228"/>
      <c r="Q20228"/>
      <c r="R20228"/>
      <c r="S20228"/>
    </row>
    <row r="20229" spans="13:19" ht="13.95" customHeight="1">
      <c r="M20229"/>
      <c r="N20229"/>
      <c r="O20229"/>
      <c r="P20229"/>
      <c r="Q20229"/>
      <c r="R20229"/>
      <c r="S20229"/>
    </row>
    <row r="20230" spans="13:19" ht="13.95" customHeight="1">
      <c r="M20230"/>
      <c r="N20230"/>
      <c r="O20230"/>
      <c r="P20230"/>
      <c r="Q20230"/>
      <c r="R20230"/>
      <c r="S20230"/>
    </row>
    <row r="20231" spans="13:19" ht="13.95" customHeight="1">
      <c r="M20231"/>
      <c r="N20231"/>
      <c r="O20231"/>
      <c r="P20231"/>
      <c r="Q20231"/>
      <c r="R20231"/>
      <c r="S20231"/>
    </row>
    <row r="20232" spans="13:19" ht="13.95" customHeight="1">
      <c r="M20232"/>
      <c r="N20232"/>
      <c r="O20232"/>
      <c r="P20232"/>
      <c r="Q20232"/>
      <c r="R20232"/>
      <c r="S20232"/>
    </row>
    <row r="20233" spans="13:19" ht="13.95" customHeight="1">
      <c r="M20233"/>
      <c r="N20233"/>
      <c r="O20233"/>
      <c r="P20233"/>
      <c r="Q20233"/>
      <c r="R20233"/>
      <c r="S20233"/>
    </row>
    <row r="20234" spans="13:19" ht="13.95" customHeight="1">
      <c r="M20234"/>
      <c r="N20234"/>
      <c r="O20234"/>
      <c r="P20234"/>
      <c r="Q20234"/>
      <c r="R20234"/>
      <c r="S20234"/>
    </row>
    <row r="20235" spans="13:19" ht="13.95" customHeight="1">
      <c r="M20235"/>
      <c r="N20235"/>
      <c r="O20235"/>
      <c r="P20235"/>
      <c r="Q20235"/>
      <c r="R20235"/>
      <c r="S20235"/>
    </row>
    <row r="20236" spans="13:19" ht="13.95" customHeight="1">
      <c r="M20236"/>
      <c r="N20236"/>
      <c r="O20236"/>
      <c r="P20236"/>
      <c r="Q20236"/>
      <c r="R20236"/>
      <c r="S20236"/>
    </row>
    <row r="20237" spans="13:19" ht="13.95" customHeight="1">
      <c r="M20237"/>
      <c r="N20237"/>
      <c r="O20237"/>
      <c r="P20237"/>
      <c r="Q20237"/>
      <c r="R20237"/>
      <c r="S20237"/>
    </row>
    <row r="20238" spans="13:19" ht="13.95" customHeight="1">
      <c r="M20238"/>
      <c r="N20238"/>
      <c r="O20238"/>
      <c r="P20238"/>
      <c r="Q20238"/>
      <c r="R20238"/>
      <c r="S20238"/>
    </row>
    <row r="20239" spans="13:19" ht="13.95" customHeight="1">
      <c r="M20239"/>
      <c r="N20239"/>
      <c r="O20239"/>
      <c r="P20239"/>
      <c r="Q20239"/>
      <c r="R20239"/>
      <c r="S20239"/>
    </row>
    <row r="20240" spans="13:19" ht="13.95" customHeight="1">
      <c r="M20240"/>
      <c r="N20240"/>
      <c r="O20240"/>
      <c r="P20240"/>
      <c r="Q20240"/>
      <c r="R20240"/>
      <c r="S20240"/>
    </row>
    <row r="20241" spans="13:19" ht="13.95" customHeight="1">
      <c r="M20241"/>
      <c r="N20241"/>
      <c r="O20241"/>
      <c r="P20241"/>
      <c r="Q20241"/>
      <c r="R20241"/>
      <c r="S20241"/>
    </row>
    <row r="20242" spans="13:19" ht="13.95" customHeight="1">
      <c r="M20242"/>
      <c r="N20242"/>
      <c r="O20242"/>
      <c r="P20242"/>
      <c r="Q20242"/>
      <c r="R20242"/>
      <c r="S20242"/>
    </row>
    <row r="20243" spans="13:19" ht="13.95" customHeight="1">
      <c r="M20243"/>
      <c r="N20243"/>
      <c r="O20243"/>
      <c r="P20243"/>
      <c r="Q20243"/>
      <c r="R20243"/>
      <c r="S20243"/>
    </row>
    <row r="20244" spans="13:19" ht="13.95" customHeight="1">
      <c r="M20244"/>
      <c r="N20244"/>
      <c r="O20244"/>
      <c r="P20244"/>
      <c r="Q20244"/>
      <c r="R20244"/>
      <c r="S20244"/>
    </row>
    <row r="20245" spans="13:19" ht="13.95" customHeight="1">
      <c r="M20245"/>
      <c r="N20245"/>
      <c r="O20245"/>
      <c r="P20245"/>
      <c r="Q20245"/>
      <c r="R20245"/>
      <c r="S20245"/>
    </row>
    <row r="20246" spans="13:19" ht="13.95" customHeight="1">
      <c r="M20246"/>
      <c r="N20246"/>
      <c r="O20246"/>
      <c r="P20246"/>
      <c r="Q20246"/>
      <c r="R20246"/>
      <c r="S20246"/>
    </row>
    <row r="20247" spans="13:19" ht="13.95" customHeight="1">
      <c r="M20247"/>
      <c r="N20247"/>
      <c r="O20247"/>
      <c r="P20247"/>
      <c r="Q20247"/>
      <c r="R20247"/>
      <c r="S20247"/>
    </row>
    <row r="20248" spans="13:19" ht="13.95" customHeight="1">
      <c r="M20248"/>
      <c r="N20248"/>
      <c r="O20248"/>
      <c r="P20248"/>
      <c r="Q20248"/>
      <c r="R20248"/>
      <c r="S20248"/>
    </row>
    <row r="20249" spans="13:19" ht="13.95" customHeight="1">
      <c r="M20249"/>
      <c r="N20249"/>
      <c r="O20249"/>
      <c r="P20249"/>
      <c r="Q20249"/>
      <c r="R20249"/>
      <c r="S20249"/>
    </row>
    <row r="20250" spans="13:19" ht="13.95" customHeight="1">
      <c r="M20250"/>
      <c r="N20250"/>
      <c r="O20250"/>
      <c r="P20250"/>
      <c r="Q20250"/>
      <c r="R20250"/>
      <c r="S20250"/>
    </row>
    <row r="20251" spans="13:19" ht="13.95" customHeight="1">
      <c r="M20251"/>
      <c r="N20251"/>
      <c r="O20251"/>
      <c r="P20251"/>
      <c r="Q20251"/>
      <c r="R20251"/>
      <c r="S20251"/>
    </row>
    <row r="20252" spans="13:19" ht="13.95" customHeight="1">
      <c r="M20252"/>
      <c r="N20252"/>
      <c r="O20252"/>
      <c r="P20252"/>
      <c r="Q20252"/>
      <c r="R20252"/>
      <c r="S20252"/>
    </row>
    <row r="20253" spans="13:19" ht="13.95" customHeight="1">
      <c r="M20253"/>
      <c r="N20253"/>
      <c r="O20253"/>
      <c r="P20253"/>
      <c r="Q20253"/>
      <c r="R20253"/>
      <c r="S20253"/>
    </row>
    <row r="20254" spans="13:19" ht="13.95" customHeight="1">
      <c r="M20254"/>
      <c r="N20254"/>
      <c r="O20254"/>
      <c r="P20254"/>
      <c r="Q20254"/>
      <c r="R20254"/>
      <c r="S20254"/>
    </row>
    <row r="20255" spans="13:19" ht="13.95" customHeight="1">
      <c r="M20255"/>
      <c r="N20255"/>
      <c r="O20255"/>
      <c r="P20255"/>
      <c r="Q20255"/>
      <c r="R20255"/>
      <c r="S20255"/>
    </row>
    <row r="20256" spans="13:19" ht="13.95" customHeight="1">
      <c r="M20256"/>
      <c r="N20256"/>
      <c r="O20256"/>
      <c r="P20256"/>
      <c r="Q20256"/>
      <c r="R20256"/>
      <c r="S20256"/>
    </row>
    <row r="20257" spans="13:19" ht="13.95" customHeight="1">
      <c r="M20257"/>
      <c r="N20257"/>
      <c r="O20257"/>
      <c r="P20257"/>
      <c r="Q20257"/>
      <c r="R20257"/>
      <c r="S20257"/>
    </row>
    <row r="20258" spans="13:19" ht="13.95" customHeight="1">
      <c r="M20258"/>
      <c r="N20258"/>
      <c r="O20258"/>
      <c r="P20258"/>
      <c r="Q20258"/>
      <c r="R20258"/>
      <c r="S20258"/>
    </row>
    <row r="20259" spans="13:19" ht="13.95" customHeight="1">
      <c r="M20259"/>
      <c r="N20259"/>
      <c r="O20259"/>
      <c r="P20259"/>
      <c r="Q20259"/>
      <c r="R20259"/>
      <c r="S20259"/>
    </row>
    <row r="20260" spans="13:19" ht="13.95" customHeight="1">
      <c r="M20260"/>
      <c r="N20260"/>
      <c r="O20260"/>
      <c r="P20260"/>
      <c r="Q20260"/>
      <c r="R20260"/>
      <c r="S20260"/>
    </row>
    <row r="20261" spans="13:19" ht="13.95" customHeight="1">
      <c r="M20261"/>
      <c r="N20261"/>
      <c r="O20261"/>
      <c r="P20261"/>
      <c r="Q20261"/>
      <c r="R20261"/>
      <c r="S20261"/>
    </row>
    <row r="20262" spans="13:19" ht="13.95" customHeight="1">
      <c r="M20262"/>
      <c r="N20262"/>
      <c r="O20262"/>
      <c r="P20262"/>
      <c r="Q20262"/>
      <c r="R20262"/>
      <c r="S20262"/>
    </row>
    <row r="20263" spans="13:19" ht="13.95" customHeight="1">
      <c r="M20263"/>
      <c r="N20263"/>
      <c r="O20263"/>
      <c r="P20263"/>
      <c r="Q20263"/>
      <c r="R20263"/>
      <c r="S20263"/>
    </row>
    <row r="20264" spans="13:19" ht="13.95" customHeight="1">
      <c r="M20264"/>
      <c r="N20264"/>
      <c r="O20264"/>
      <c r="P20264"/>
      <c r="Q20264"/>
      <c r="R20264"/>
      <c r="S20264"/>
    </row>
    <row r="20265" spans="13:19" ht="13.95" customHeight="1">
      <c r="M20265"/>
      <c r="N20265"/>
      <c r="O20265"/>
      <c r="P20265"/>
      <c r="Q20265"/>
      <c r="R20265"/>
      <c r="S20265"/>
    </row>
    <row r="20266" spans="13:19" ht="13.95" customHeight="1">
      <c r="M20266"/>
      <c r="N20266"/>
      <c r="O20266"/>
      <c r="P20266"/>
      <c r="Q20266"/>
      <c r="R20266"/>
      <c r="S20266"/>
    </row>
    <row r="20267" spans="13:19" ht="13.95" customHeight="1">
      <c r="M20267"/>
      <c r="N20267"/>
      <c r="O20267"/>
      <c r="P20267"/>
      <c r="Q20267"/>
      <c r="R20267"/>
      <c r="S20267"/>
    </row>
    <row r="20268" spans="13:19" ht="13.95" customHeight="1">
      <c r="M20268"/>
      <c r="N20268"/>
      <c r="O20268"/>
      <c r="P20268"/>
      <c r="Q20268"/>
      <c r="R20268"/>
      <c r="S20268"/>
    </row>
    <row r="20269" spans="13:19" ht="13.95" customHeight="1">
      <c r="M20269"/>
      <c r="N20269"/>
      <c r="O20269"/>
      <c r="P20269"/>
      <c r="Q20269"/>
      <c r="R20269"/>
      <c r="S20269"/>
    </row>
    <row r="20270" spans="13:19" ht="13.95" customHeight="1">
      <c r="M20270"/>
      <c r="N20270"/>
      <c r="O20270"/>
      <c r="P20270"/>
      <c r="Q20270"/>
      <c r="R20270"/>
      <c r="S20270"/>
    </row>
    <row r="20271" spans="13:19" ht="13.95" customHeight="1">
      <c r="M20271"/>
      <c r="N20271"/>
      <c r="O20271"/>
      <c r="P20271"/>
      <c r="Q20271"/>
      <c r="R20271"/>
      <c r="S20271"/>
    </row>
    <row r="20272" spans="13:19" ht="13.95" customHeight="1">
      <c r="M20272"/>
      <c r="N20272"/>
      <c r="O20272"/>
      <c r="P20272"/>
      <c r="Q20272"/>
      <c r="R20272"/>
      <c r="S20272"/>
    </row>
    <row r="20273" spans="13:19" ht="13.95" customHeight="1">
      <c r="M20273"/>
      <c r="N20273"/>
      <c r="O20273"/>
      <c r="P20273"/>
      <c r="Q20273"/>
      <c r="R20273"/>
      <c r="S20273"/>
    </row>
    <row r="20274" spans="13:19" ht="13.95" customHeight="1">
      <c r="M20274"/>
      <c r="N20274"/>
      <c r="O20274"/>
      <c r="P20274"/>
      <c r="Q20274"/>
      <c r="R20274"/>
      <c r="S20274"/>
    </row>
    <row r="20275" spans="13:19" ht="13.95" customHeight="1">
      <c r="M20275"/>
      <c r="N20275"/>
      <c r="O20275"/>
      <c r="P20275"/>
      <c r="Q20275"/>
      <c r="R20275"/>
      <c r="S20275"/>
    </row>
    <row r="20276" spans="13:19" ht="13.95" customHeight="1">
      <c r="M20276"/>
      <c r="N20276"/>
      <c r="O20276"/>
      <c r="P20276"/>
      <c r="Q20276"/>
      <c r="R20276"/>
      <c r="S20276"/>
    </row>
    <row r="20277" spans="13:19" ht="13.95" customHeight="1">
      <c r="M20277"/>
      <c r="N20277"/>
      <c r="O20277"/>
      <c r="P20277"/>
      <c r="Q20277"/>
      <c r="R20277"/>
      <c r="S20277"/>
    </row>
    <row r="20278" spans="13:19" ht="13.95" customHeight="1">
      <c r="M20278"/>
      <c r="N20278"/>
      <c r="O20278"/>
      <c r="P20278"/>
      <c r="Q20278"/>
      <c r="R20278"/>
      <c r="S20278"/>
    </row>
    <row r="20279" spans="13:19" ht="13.95" customHeight="1">
      <c r="M20279"/>
      <c r="N20279"/>
      <c r="O20279"/>
      <c r="P20279"/>
      <c r="Q20279"/>
      <c r="R20279"/>
      <c r="S20279"/>
    </row>
    <row r="20280" spans="13:19" ht="13.95" customHeight="1">
      <c r="M20280"/>
      <c r="N20280"/>
      <c r="O20280"/>
      <c r="P20280"/>
      <c r="Q20280"/>
      <c r="R20280"/>
      <c r="S20280"/>
    </row>
    <row r="20281" spans="13:19" ht="13.95" customHeight="1">
      <c r="M20281"/>
      <c r="N20281"/>
      <c r="O20281"/>
      <c r="P20281"/>
      <c r="Q20281"/>
      <c r="R20281"/>
      <c r="S20281"/>
    </row>
    <row r="20282" spans="13:19" ht="13.95" customHeight="1">
      <c r="M20282"/>
      <c r="N20282"/>
      <c r="O20282"/>
      <c r="P20282"/>
      <c r="Q20282"/>
      <c r="R20282"/>
      <c r="S20282"/>
    </row>
    <row r="20283" spans="13:19" ht="13.95" customHeight="1">
      <c r="M20283"/>
      <c r="N20283"/>
      <c r="O20283"/>
      <c r="P20283"/>
      <c r="Q20283"/>
      <c r="R20283"/>
      <c r="S20283"/>
    </row>
    <row r="20284" spans="13:19" ht="13.95" customHeight="1">
      <c r="M20284"/>
      <c r="N20284"/>
      <c r="O20284"/>
      <c r="P20284"/>
      <c r="Q20284"/>
      <c r="R20284"/>
      <c r="S20284"/>
    </row>
    <row r="20285" spans="13:19" ht="13.95" customHeight="1">
      <c r="M20285"/>
      <c r="N20285"/>
      <c r="O20285"/>
      <c r="P20285"/>
      <c r="Q20285"/>
      <c r="R20285"/>
      <c r="S20285"/>
    </row>
    <row r="20286" spans="13:19" ht="13.95" customHeight="1">
      <c r="M20286"/>
      <c r="N20286"/>
      <c r="O20286"/>
      <c r="P20286"/>
      <c r="Q20286"/>
      <c r="R20286"/>
      <c r="S20286"/>
    </row>
    <row r="20287" spans="13:19" ht="13.95" customHeight="1">
      <c r="M20287"/>
      <c r="N20287"/>
      <c r="O20287"/>
      <c r="P20287"/>
      <c r="Q20287"/>
      <c r="R20287"/>
      <c r="S20287"/>
    </row>
    <row r="20288" spans="13:19" ht="13.95" customHeight="1">
      <c r="M20288"/>
      <c r="N20288"/>
      <c r="O20288"/>
      <c r="P20288"/>
      <c r="Q20288"/>
      <c r="R20288"/>
      <c r="S20288"/>
    </row>
    <row r="20289" spans="13:19" ht="13.95" customHeight="1">
      <c r="M20289"/>
      <c r="N20289"/>
      <c r="O20289"/>
      <c r="P20289"/>
      <c r="Q20289"/>
      <c r="R20289"/>
      <c r="S20289"/>
    </row>
    <row r="20290" spans="13:19" ht="13.95" customHeight="1">
      <c r="M20290"/>
      <c r="N20290"/>
      <c r="O20290"/>
      <c r="P20290"/>
      <c r="Q20290"/>
      <c r="R20290"/>
      <c r="S20290"/>
    </row>
    <row r="20291" spans="13:19" ht="13.95" customHeight="1">
      <c r="M20291"/>
      <c r="N20291"/>
      <c r="O20291"/>
      <c r="P20291"/>
      <c r="Q20291"/>
      <c r="R20291"/>
      <c r="S20291"/>
    </row>
    <row r="20292" spans="13:19" ht="13.95" customHeight="1">
      <c r="M20292"/>
      <c r="N20292"/>
      <c r="O20292"/>
      <c r="P20292"/>
      <c r="Q20292"/>
      <c r="R20292"/>
      <c r="S20292"/>
    </row>
    <row r="20293" spans="13:19" ht="13.95" customHeight="1">
      <c r="M20293"/>
      <c r="N20293"/>
      <c r="O20293"/>
      <c r="P20293"/>
      <c r="Q20293"/>
      <c r="R20293"/>
      <c r="S20293"/>
    </row>
    <row r="20294" spans="13:19" ht="13.95" customHeight="1">
      <c r="M20294"/>
      <c r="N20294"/>
      <c r="O20294"/>
      <c r="P20294"/>
      <c r="Q20294"/>
      <c r="R20294"/>
      <c r="S20294"/>
    </row>
    <row r="20295" spans="13:19" ht="13.95" customHeight="1">
      <c r="M20295"/>
      <c r="N20295"/>
      <c r="O20295"/>
      <c r="P20295"/>
      <c r="Q20295"/>
      <c r="R20295"/>
      <c r="S20295"/>
    </row>
    <row r="20296" spans="13:19" ht="13.95" customHeight="1">
      <c r="M20296"/>
      <c r="N20296"/>
      <c r="O20296"/>
      <c r="P20296"/>
      <c r="Q20296"/>
      <c r="R20296"/>
      <c r="S20296"/>
    </row>
    <row r="20297" spans="13:19" ht="13.95" customHeight="1">
      <c r="M20297"/>
      <c r="N20297"/>
      <c r="O20297"/>
      <c r="P20297"/>
      <c r="Q20297"/>
      <c r="R20297"/>
      <c r="S20297"/>
    </row>
    <row r="20298" spans="13:19" ht="13.95" customHeight="1">
      <c r="M20298"/>
      <c r="N20298"/>
      <c r="O20298"/>
      <c r="P20298"/>
      <c r="Q20298"/>
      <c r="R20298"/>
      <c r="S20298"/>
    </row>
    <row r="20299" spans="13:19" ht="13.95" customHeight="1">
      <c r="M20299"/>
      <c r="N20299"/>
      <c r="O20299"/>
      <c r="P20299"/>
      <c r="Q20299"/>
      <c r="R20299"/>
      <c r="S20299"/>
    </row>
    <row r="20300" spans="13:19" ht="13.95" customHeight="1">
      <c r="M20300"/>
      <c r="N20300"/>
      <c r="O20300"/>
      <c r="P20300"/>
      <c r="Q20300"/>
      <c r="R20300"/>
      <c r="S20300"/>
    </row>
    <row r="20301" spans="13:19" ht="13.95" customHeight="1">
      <c r="M20301"/>
      <c r="N20301"/>
      <c r="O20301"/>
      <c r="P20301"/>
      <c r="Q20301"/>
      <c r="R20301"/>
      <c r="S20301"/>
    </row>
    <row r="20302" spans="13:19" ht="13.95" customHeight="1">
      <c r="M20302"/>
      <c r="N20302"/>
      <c r="O20302"/>
      <c r="P20302"/>
      <c r="Q20302"/>
      <c r="R20302"/>
      <c r="S20302"/>
    </row>
    <row r="20303" spans="13:19" ht="13.95" customHeight="1">
      <c r="M20303"/>
      <c r="N20303"/>
      <c r="O20303"/>
      <c r="P20303"/>
      <c r="Q20303"/>
      <c r="R20303"/>
      <c r="S20303"/>
    </row>
    <row r="20304" spans="13:19" ht="13.95" customHeight="1">
      <c r="M20304"/>
      <c r="N20304"/>
      <c r="O20304"/>
      <c r="P20304"/>
      <c r="Q20304"/>
      <c r="R20304"/>
      <c r="S20304"/>
    </row>
    <row r="20305" spans="13:19" ht="13.95" customHeight="1">
      <c r="M20305"/>
      <c r="N20305"/>
      <c r="O20305"/>
      <c r="P20305"/>
      <c r="Q20305"/>
      <c r="R20305"/>
      <c r="S20305"/>
    </row>
    <row r="20306" spans="13:19" ht="13.95" customHeight="1">
      <c r="M20306"/>
      <c r="N20306"/>
      <c r="O20306"/>
      <c r="P20306"/>
      <c r="Q20306"/>
      <c r="R20306"/>
      <c r="S20306"/>
    </row>
    <row r="20307" spans="13:19" ht="13.95" customHeight="1">
      <c r="M20307"/>
      <c r="N20307"/>
      <c r="O20307"/>
      <c r="P20307"/>
      <c r="Q20307"/>
      <c r="R20307"/>
      <c r="S20307"/>
    </row>
    <row r="20308" spans="13:19" ht="13.95" customHeight="1">
      <c r="M20308"/>
      <c r="N20308"/>
      <c r="O20308"/>
      <c r="P20308"/>
      <c r="Q20308"/>
      <c r="R20308"/>
      <c r="S20308"/>
    </row>
    <row r="20309" spans="13:19" ht="13.95" customHeight="1">
      <c r="M20309"/>
      <c r="N20309"/>
      <c r="O20309"/>
      <c r="P20309"/>
      <c r="Q20309"/>
      <c r="R20309"/>
      <c r="S20309"/>
    </row>
    <row r="20310" spans="13:19" ht="13.95" customHeight="1">
      <c r="M20310"/>
      <c r="N20310"/>
      <c r="O20310"/>
      <c r="P20310"/>
      <c r="Q20310"/>
      <c r="R20310"/>
      <c r="S20310"/>
    </row>
    <row r="20311" spans="13:19" ht="13.95" customHeight="1">
      <c r="M20311"/>
      <c r="N20311"/>
      <c r="O20311"/>
      <c r="P20311"/>
      <c r="Q20311"/>
      <c r="R20311"/>
      <c r="S20311"/>
    </row>
    <row r="20312" spans="13:19" ht="13.95" customHeight="1">
      <c r="M20312"/>
      <c r="N20312"/>
      <c r="O20312"/>
      <c r="P20312"/>
      <c r="Q20312"/>
      <c r="R20312"/>
      <c r="S20312"/>
    </row>
    <row r="20313" spans="13:19" ht="13.95" customHeight="1">
      <c r="M20313"/>
      <c r="N20313"/>
      <c r="O20313"/>
      <c r="P20313"/>
      <c r="Q20313"/>
      <c r="R20313"/>
      <c r="S20313"/>
    </row>
    <row r="20314" spans="13:19" ht="13.95" customHeight="1">
      <c r="M20314"/>
      <c r="N20314"/>
      <c r="O20314"/>
      <c r="P20314"/>
      <c r="Q20314"/>
      <c r="R20314"/>
      <c r="S20314"/>
    </row>
    <row r="20315" spans="13:19" ht="13.95" customHeight="1">
      <c r="M20315"/>
      <c r="N20315"/>
      <c r="O20315"/>
      <c r="P20315"/>
      <c r="Q20315"/>
      <c r="R20315"/>
      <c r="S20315"/>
    </row>
    <row r="20316" spans="13:19" ht="13.95" customHeight="1">
      <c r="M20316"/>
      <c r="N20316"/>
      <c r="O20316"/>
      <c r="P20316"/>
      <c r="Q20316"/>
      <c r="R20316"/>
      <c r="S20316"/>
    </row>
    <row r="20317" spans="13:19" ht="13.95" customHeight="1">
      <c r="M20317"/>
      <c r="N20317"/>
      <c r="O20317"/>
      <c r="P20317"/>
      <c r="Q20317"/>
      <c r="R20317"/>
      <c r="S20317"/>
    </row>
    <row r="20318" spans="13:19" ht="13.95" customHeight="1">
      <c r="M20318"/>
      <c r="N20318"/>
      <c r="O20318"/>
      <c r="P20318"/>
      <c r="Q20318"/>
      <c r="R20318"/>
      <c r="S20318"/>
    </row>
    <row r="20319" spans="13:19" ht="13.95" customHeight="1">
      <c r="M20319"/>
      <c r="N20319"/>
      <c r="O20319"/>
      <c r="P20319"/>
      <c r="Q20319"/>
      <c r="R20319"/>
      <c r="S20319"/>
    </row>
    <row r="20320" spans="13:19" ht="13.95" customHeight="1">
      <c r="M20320"/>
      <c r="N20320"/>
      <c r="O20320"/>
      <c r="P20320"/>
      <c r="Q20320"/>
      <c r="R20320"/>
      <c r="S20320"/>
    </row>
    <row r="20321" spans="13:19" ht="13.95" customHeight="1">
      <c r="M20321"/>
      <c r="N20321"/>
      <c r="O20321"/>
      <c r="P20321"/>
      <c r="Q20321"/>
      <c r="R20321"/>
      <c r="S20321"/>
    </row>
    <row r="20322" spans="13:19" ht="13.95" customHeight="1">
      <c r="M20322"/>
      <c r="N20322"/>
      <c r="O20322"/>
      <c r="P20322"/>
      <c r="Q20322"/>
      <c r="R20322"/>
      <c r="S20322"/>
    </row>
    <row r="20323" spans="13:19" ht="13.95" customHeight="1">
      <c r="M20323"/>
      <c r="N20323"/>
      <c r="O20323"/>
      <c r="P20323"/>
      <c r="Q20323"/>
      <c r="R20323"/>
      <c r="S20323"/>
    </row>
    <row r="20324" spans="13:19" ht="13.95" customHeight="1">
      <c r="M20324"/>
      <c r="N20324"/>
      <c r="O20324"/>
      <c r="P20324"/>
      <c r="Q20324"/>
      <c r="R20324"/>
      <c r="S20324"/>
    </row>
    <row r="20325" spans="13:19" ht="13.95" customHeight="1">
      <c r="M20325"/>
      <c r="N20325"/>
      <c r="O20325"/>
      <c r="P20325"/>
      <c r="Q20325"/>
      <c r="R20325"/>
      <c r="S20325"/>
    </row>
    <row r="20326" spans="13:19" ht="13.95" customHeight="1">
      <c r="M20326"/>
      <c r="N20326"/>
      <c r="O20326"/>
      <c r="P20326"/>
      <c r="Q20326"/>
      <c r="R20326"/>
      <c r="S20326"/>
    </row>
    <row r="20327" spans="13:19" ht="13.95" customHeight="1">
      <c r="M20327"/>
      <c r="N20327"/>
      <c r="O20327"/>
      <c r="P20327"/>
      <c r="Q20327"/>
      <c r="R20327"/>
      <c r="S20327"/>
    </row>
    <row r="20328" spans="13:19" ht="13.95" customHeight="1">
      <c r="M20328"/>
      <c r="N20328"/>
      <c r="O20328"/>
      <c r="P20328"/>
      <c r="Q20328"/>
      <c r="R20328"/>
      <c r="S20328"/>
    </row>
    <row r="20329" spans="13:19" ht="13.95" customHeight="1">
      <c r="M20329"/>
      <c r="N20329"/>
      <c r="O20329"/>
      <c r="P20329"/>
      <c r="Q20329"/>
      <c r="R20329"/>
      <c r="S20329"/>
    </row>
    <row r="20330" spans="13:19" ht="13.95" customHeight="1">
      <c r="M20330"/>
      <c r="N20330"/>
      <c r="O20330"/>
      <c r="P20330"/>
      <c r="Q20330"/>
      <c r="R20330"/>
      <c r="S20330"/>
    </row>
    <row r="20331" spans="13:19" ht="13.95" customHeight="1">
      <c r="M20331"/>
      <c r="N20331"/>
      <c r="O20331"/>
      <c r="P20331"/>
      <c r="Q20331"/>
      <c r="R20331"/>
      <c r="S20331"/>
    </row>
    <row r="20332" spans="13:19" ht="13.95" customHeight="1">
      <c r="M20332"/>
      <c r="N20332"/>
      <c r="O20332"/>
      <c r="P20332"/>
      <c r="Q20332"/>
      <c r="R20332"/>
      <c r="S20332"/>
    </row>
    <row r="20333" spans="13:19" ht="13.95" customHeight="1">
      <c r="M20333"/>
      <c r="N20333"/>
      <c r="O20333"/>
      <c r="P20333"/>
      <c r="Q20333"/>
      <c r="R20333"/>
      <c r="S20333"/>
    </row>
    <row r="20334" spans="13:19" ht="13.95" customHeight="1">
      <c r="M20334"/>
      <c r="N20334"/>
      <c r="O20334"/>
      <c r="P20334"/>
      <c r="Q20334"/>
      <c r="R20334"/>
      <c r="S20334"/>
    </row>
    <row r="20335" spans="13:19" ht="13.95" customHeight="1">
      <c r="M20335"/>
      <c r="N20335"/>
      <c r="O20335"/>
      <c r="P20335"/>
      <c r="Q20335"/>
      <c r="R20335"/>
      <c r="S20335"/>
    </row>
    <row r="20336" spans="13:19" ht="13.95" customHeight="1">
      <c r="M20336"/>
      <c r="N20336"/>
      <c r="O20336"/>
      <c r="P20336"/>
      <c r="Q20336"/>
      <c r="R20336"/>
      <c r="S20336"/>
    </row>
    <row r="20337" spans="13:19" ht="13.95" customHeight="1">
      <c r="M20337"/>
      <c r="N20337"/>
      <c r="O20337"/>
      <c r="P20337"/>
      <c r="Q20337"/>
      <c r="R20337"/>
      <c r="S20337"/>
    </row>
    <row r="20338" spans="13:19" ht="13.95" customHeight="1">
      <c r="M20338"/>
      <c r="N20338"/>
      <c r="O20338"/>
      <c r="P20338"/>
      <c r="Q20338"/>
      <c r="R20338"/>
      <c r="S20338"/>
    </row>
    <row r="20339" spans="13:19" ht="13.95" customHeight="1">
      <c r="M20339"/>
      <c r="N20339"/>
      <c r="O20339"/>
      <c r="P20339"/>
      <c r="Q20339"/>
      <c r="R20339"/>
      <c r="S20339"/>
    </row>
    <row r="20340" spans="13:19" ht="13.95" customHeight="1">
      <c r="M20340"/>
      <c r="N20340"/>
      <c r="O20340"/>
      <c r="P20340"/>
      <c r="Q20340"/>
      <c r="R20340"/>
      <c r="S20340"/>
    </row>
    <row r="20341" spans="13:19" ht="13.95" customHeight="1">
      <c r="M20341"/>
      <c r="N20341"/>
      <c r="O20341"/>
      <c r="P20341"/>
      <c r="Q20341"/>
      <c r="R20341"/>
      <c r="S20341"/>
    </row>
    <row r="20342" spans="13:19" ht="13.95" customHeight="1">
      <c r="M20342"/>
      <c r="N20342"/>
      <c r="O20342"/>
      <c r="P20342"/>
      <c r="Q20342"/>
      <c r="R20342"/>
      <c r="S20342"/>
    </row>
    <row r="20343" spans="13:19" ht="13.95" customHeight="1">
      <c r="M20343"/>
      <c r="N20343"/>
      <c r="O20343"/>
      <c r="P20343"/>
      <c r="Q20343"/>
      <c r="R20343"/>
      <c r="S20343"/>
    </row>
    <row r="20344" spans="13:19" ht="13.95" customHeight="1">
      <c r="M20344"/>
      <c r="N20344"/>
      <c r="O20344"/>
      <c r="P20344"/>
      <c r="Q20344"/>
      <c r="R20344"/>
      <c r="S20344"/>
    </row>
    <row r="20345" spans="13:19" ht="13.95" customHeight="1">
      <c r="M20345"/>
      <c r="N20345"/>
      <c r="O20345"/>
      <c r="P20345"/>
      <c r="Q20345"/>
      <c r="R20345"/>
      <c r="S20345"/>
    </row>
    <row r="20346" spans="13:19" ht="13.95" customHeight="1">
      <c r="M20346"/>
      <c r="N20346"/>
      <c r="O20346"/>
      <c r="P20346"/>
      <c r="Q20346"/>
      <c r="R20346"/>
      <c r="S20346"/>
    </row>
    <row r="20347" spans="13:19" ht="13.95" customHeight="1">
      <c r="M20347"/>
      <c r="N20347"/>
      <c r="O20347"/>
      <c r="P20347"/>
      <c r="Q20347"/>
      <c r="R20347"/>
      <c r="S20347"/>
    </row>
    <row r="20348" spans="13:19" ht="13.95" customHeight="1">
      <c r="M20348"/>
      <c r="N20348"/>
      <c r="O20348"/>
      <c r="P20348"/>
      <c r="Q20348"/>
      <c r="R20348"/>
      <c r="S20348"/>
    </row>
    <row r="20349" spans="13:19" ht="13.95" customHeight="1">
      <c r="M20349"/>
      <c r="N20349"/>
      <c r="O20349"/>
      <c r="P20349"/>
      <c r="Q20349"/>
      <c r="R20349"/>
      <c r="S20349"/>
    </row>
    <row r="20350" spans="13:19" ht="13.95" customHeight="1">
      <c r="M20350"/>
      <c r="N20350"/>
      <c r="O20350"/>
      <c r="P20350"/>
      <c r="Q20350"/>
      <c r="R20350"/>
      <c r="S20350"/>
    </row>
    <row r="20351" spans="13:19" ht="13.95" customHeight="1">
      <c r="M20351"/>
      <c r="N20351"/>
      <c r="O20351"/>
      <c r="P20351"/>
      <c r="Q20351"/>
      <c r="R20351"/>
      <c r="S20351"/>
    </row>
    <row r="20352" spans="13:19" ht="13.95" customHeight="1">
      <c r="M20352"/>
      <c r="N20352"/>
      <c r="O20352"/>
      <c r="P20352"/>
      <c r="Q20352"/>
      <c r="R20352"/>
      <c r="S20352"/>
    </row>
    <row r="20353" spans="13:19" ht="13.95" customHeight="1">
      <c r="M20353"/>
      <c r="N20353"/>
      <c r="O20353"/>
      <c r="P20353"/>
      <c r="Q20353"/>
      <c r="R20353"/>
      <c r="S20353"/>
    </row>
    <row r="20354" spans="13:19" ht="13.95" customHeight="1">
      <c r="M20354"/>
      <c r="N20354"/>
      <c r="O20354"/>
      <c r="P20354"/>
      <c r="Q20354"/>
      <c r="R20354"/>
      <c r="S20354"/>
    </row>
    <row r="20355" spans="13:19" ht="13.95" customHeight="1">
      <c r="M20355"/>
      <c r="N20355"/>
      <c r="O20355"/>
      <c r="P20355"/>
      <c r="Q20355"/>
      <c r="R20355"/>
      <c r="S20355"/>
    </row>
    <row r="20356" spans="13:19" ht="13.95" customHeight="1">
      <c r="M20356"/>
      <c r="N20356"/>
      <c r="O20356"/>
      <c r="P20356"/>
      <c r="Q20356"/>
      <c r="R20356"/>
      <c r="S20356"/>
    </row>
    <row r="20357" spans="13:19" ht="13.95" customHeight="1">
      <c r="M20357"/>
      <c r="N20357"/>
      <c r="O20357"/>
      <c r="P20357"/>
      <c r="Q20357"/>
      <c r="R20357"/>
      <c r="S20357"/>
    </row>
    <row r="20358" spans="13:19" ht="13.95" customHeight="1">
      <c r="M20358"/>
      <c r="N20358"/>
      <c r="O20358"/>
      <c r="P20358"/>
      <c r="Q20358"/>
      <c r="R20358"/>
      <c r="S20358"/>
    </row>
    <row r="20359" spans="13:19" ht="13.95" customHeight="1">
      <c r="M20359"/>
      <c r="N20359"/>
      <c r="O20359"/>
      <c r="P20359"/>
      <c r="Q20359"/>
      <c r="R20359"/>
      <c r="S20359"/>
    </row>
    <row r="20360" spans="13:19" ht="13.95" customHeight="1">
      <c r="M20360"/>
      <c r="N20360"/>
      <c r="O20360"/>
      <c r="P20360"/>
      <c r="Q20360"/>
      <c r="R20360"/>
      <c r="S20360"/>
    </row>
    <row r="20361" spans="13:19" ht="13.95" customHeight="1">
      <c r="M20361"/>
      <c r="N20361"/>
      <c r="O20361"/>
      <c r="P20361"/>
      <c r="Q20361"/>
      <c r="R20361"/>
      <c r="S20361"/>
    </row>
    <row r="20362" spans="13:19" ht="13.95" customHeight="1">
      <c r="M20362"/>
      <c r="N20362"/>
      <c r="O20362"/>
      <c r="P20362"/>
      <c r="Q20362"/>
      <c r="R20362"/>
      <c r="S20362"/>
    </row>
    <row r="20363" spans="13:19" ht="13.95" customHeight="1">
      <c r="M20363"/>
      <c r="N20363"/>
      <c r="O20363"/>
      <c r="P20363"/>
      <c r="Q20363"/>
      <c r="R20363"/>
      <c r="S20363"/>
    </row>
    <row r="20364" spans="13:19" ht="13.95" customHeight="1">
      <c r="M20364"/>
      <c r="N20364"/>
      <c r="O20364"/>
      <c r="P20364"/>
      <c r="Q20364"/>
      <c r="R20364"/>
      <c r="S20364"/>
    </row>
    <row r="20365" spans="13:19" ht="13.95" customHeight="1">
      <c r="M20365"/>
      <c r="N20365"/>
      <c r="O20365"/>
      <c r="P20365"/>
      <c r="Q20365"/>
      <c r="R20365"/>
      <c r="S20365"/>
    </row>
    <row r="20366" spans="13:19" ht="13.95" customHeight="1">
      <c r="M20366"/>
      <c r="N20366"/>
      <c r="O20366"/>
      <c r="P20366"/>
      <c r="Q20366"/>
      <c r="R20366"/>
      <c r="S20366"/>
    </row>
    <row r="20367" spans="13:19" ht="13.95" customHeight="1">
      <c r="M20367"/>
      <c r="N20367"/>
      <c r="O20367"/>
      <c r="P20367"/>
      <c r="Q20367"/>
      <c r="R20367"/>
      <c r="S20367"/>
    </row>
    <row r="20368" spans="13:19" ht="13.95" customHeight="1">
      <c r="M20368"/>
      <c r="N20368"/>
      <c r="O20368"/>
      <c r="P20368"/>
      <c r="Q20368"/>
      <c r="R20368"/>
      <c r="S20368"/>
    </row>
    <row r="20369" spans="13:19" ht="13.95" customHeight="1">
      <c r="M20369"/>
      <c r="N20369"/>
      <c r="O20369"/>
      <c r="P20369"/>
      <c r="Q20369"/>
      <c r="R20369"/>
      <c r="S20369"/>
    </row>
    <row r="20370" spans="13:19" ht="13.95" customHeight="1">
      <c r="M20370"/>
      <c r="N20370"/>
      <c r="O20370"/>
      <c r="P20370"/>
      <c r="Q20370"/>
      <c r="R20370"/>
      <c r="S20370"/>
    </row>
    <row r="20371" spans="13:19" ht="13.95" customHeight="1">
      <c r="M20371"/>
      <c r="N20371"/>
      <c r="O20371"/>
      <c r="P20371"/>
      <c r="Q20371"/>
      <c r="R20371"/>
      <c r="S20371"/>
    </row>
    <row r="20372" spans="13:19" ht="13.95" customHeight="1">
      <c r="M20372"/>
      <c r="N20372"/>
      <c r="O20372"/>
      <c r="P20372"/>
      <c r="Q20372"/>
      <c r="R20372"/>
      <c r="S20372"/>
    </row>
    <row r="20373" spans="13:19" ht="13.95" customHeight="1">
      <c r="M20373"/>
      <c r="N20373"/>
      <c r="O20373"/>
      <c r="P20373"/>
      <c r="Q20373"/>
      <c r="R20373"/>
      <c r="S20373"/>
    </row>
    <row r="20374" spans="13:19" ht="13.95" customHeight="1">
      <c r="M20374"/>
      <c r="N20374"/>
      <c r="O20374"/>
      <c r="P20374"/>
      <c r="Q20374"/>
      <c r="R20374"/>
      <c r="S20374"/>
    </row>
    <row r="20375" spans="13:19" ht="13.95" customHeight="1">
      <c r="M20375"/>
      <c r="N20375"/>
      <c r="O20375"/>
      <c r="P20375"/>
      <c r="Q20375"/>
      <c r="R20375"/>
      <c r="S20375"/>
    </row>
    <row r="20376" spans="13:19" ht="13.95" customHeight="1">
      <c r="M20376"/>
      <c r="N20376"/>
      <c r="O20376"/>
      <c r="P20376"/>
      <c r="Q20376"/>
      <c r="R20376"/>
      <c r="S20376"/>
    </row>
    <row r="20377" spans="13:19" ht="13.95" customHeight="1">
      <c r="M20377"/>
      <c r="N20377"/>
      <c r="O20377"/>
      <c r="P20377"/>
      <c r="Q20377"/>
      <c r="R20377"/>
      <c r="S20377"/>
    </row>
    <row r="20378" spans="13:19" ht="13.95" customHeight="1">
      <c r="M20378"/>
      <c r="N20378"/>
      <c r="O20378"/>
      <c r="P20378"/>
      <c r="Q20378"/>
      <c r="R20378"/>
      <c r="S20378"/>
    </row>
    <row r="20379" spans="13:19" ht="13.95" customHeight="1">
      <c r="M20379"/>
      <c r="N20379"/>
      <c r="O20379"/>
      <c r="P20379"/>
      <c r="Q20379"/>
      <c r="R20379"/>
      <c r="S20379"/>
    </row>
    <row r="20380" spans="13:19" ht="13.95" customHeight="1">
      <c r="M20380"/>
      <c r="N20380"/>
      <c r="O20380"/>
      <c r="P20380"/>
      <c r="Q20380"/>
      <c r="R20380"/>
      <c r="S20380"/>
    </row>
    <row r="20381" spans="13:19" ht="13.95" customHeight="1">
      <c r="M20381"/>
      <c r="N20381"/>
      <c r="O20381"/>
      <c r="P20381"/>
      <c r="Q20381"/>
      <c r="R20381"/>
      <c r="S20381"/>
    </row>
    <row r="20382" spans="13:19" ht="13.95" customHeight="1">
      <c r="M20382"/>
      <c r="N20382"/>
      <c r="O20382"/>
      <c r="P20382"/>
      <c r="Q20382"/>
      <c r="R20382"/>
      <c r="S20382"/>
    </row>
    <row r="20383" spans="13:19" ht="13.95" customHeight="1">
      <c r="M20383"/>
      <c r="N20383"/>
      <c r="O20383"/>
      <c r="P20383"/>
      <c r="Q20383"/>
      <c r="R20383"/>
      <c r="S20383"/>
    </row>
    <row r="20384" spans="13:19" ht="13.95" customHeight="1">
      <c r="M20384"/>
      <c r="N20384"/>
      <c r="O20384"/>
      <c r="P20384"/>
      <c r="Q20384"/>
      <c r="R20384"/>
      <c r="S20384"/>
    </row>
    <row r="20385" spans="13:19" ht="13.95" customHeight="1">
      <c r="M20385"/>
      <c r="N20385"/>
      <c r="O20385"/>
      <c r="P20385"/>
      <c r="Q20385"/>
      <c r="R20385"/>
      <c r="S20385"/>
    </row>
    <row r="20386" spans="13:19" ht="13.95" customHeight="1">
      <c r="M20386"/>
      <c r="N20386"/>
      <c r="O20386"/>
      <c r="P20386"/>
      <c r="Q20386"/>
      <c r="R20386"/>
      <c r="S20386"/>
    </row>
    <row r="20387" spans="13:19" ht="13.95" customHeight="1">
      <c r="M20387"/>
      <c r="N20387"/>
      <c r="O20387"/>
      <c r="P20387"/>
      <c r="Q20387"/>
      <c r="R20387"/>
      <c r="S20387"/>
    </row>
    <row r="20388" spans="13:19" ht="13.95" customHeight="1">
      <c r="M20388"/>
      <c r="N20388"/>
      <c r="O20388"/>
      <c r="P20388"/>
      <c r="Q20388"/>
      <c r="R20388"/>
      <c r="S20388"/>
    </row>
    <row r="20389" spans="13:19" ht="13.95" customHeight="1">
      <c r="M20389"/>
      <c r="N20389"/>
      <c r="O20389"/>
      <c r="P20389"/>
      <c r="Q20389"/>
      <c r="R20389"/>
      <c r="S20389"/>
    </row>
    <row r="20390" spans="13:19" ht="13.95" customHeight="1">
      <c r="M20390"/>
      <c r="N20390"/>
      <c r="O20390"/>
      <c r="P20390"/>
      <c r="Q20390"/>
      <c r="R20390"/>
      <c r="S20390"/>
    </row>
    <row r="20391" spans="13:19" ht="13.95" customHeight="1">
      <c r="M20391"/>
      <c r="N20391"/>
      <c r="O20391"/>
      <c r="P20391"/>
      <c r="Q20391"/>
      <c r="R20391"/>
      <c r="S20391"/>
    </row>
    <row r="20392" spans="13:19" ht="13.95" customHeight="1">
      <c r="M20392"/>
      <c r="N20392"/>
      <c r="O20392"/>
      <c r="P20392"/>
      <c r="Q20392"/>
      <c r="R20392"/>
      <c r="S20392"/>
    </row>
    <row r="20393" spans="13:19" ht="13.95" customHeight="1">
      <c r="M20393"/>
      <c r="N20393"/>
      <c r="O20393"/>
      <c r="P20393"/>
      <c r="Q20393"/>
      <c r="R20393"/>
      <c r="S20393"/>
    </row>
    <row r="20394" spans="13:19" ht="13.95" customHeight="1">
      <c r="M20394"/>
      <c r="N20394"/>
      <c r="O20394"/>
      <c r="P20394"/>
      <c r="Q20394"/>
      <c r="R20394"/>
      <c r="S20394"/>
    </row>
    <row r="20395" spans="13:19" ht="13.95" customHeight="1">
      <c r="M20395"/>
      <c r="N20395"/>
      <c r="O20395"/>
      <c r="P20395"/>
      <c r="Q20395"/>
      <c r="R20395"/>
      <c r="S20395"/>
    </row>
    <row r="20396" spans="13:19" ht="13.95" customHeight="1">
      <c r="M20396"/>
      <c r="N20396"/>
      <c r="O20396"/>
      <c r="P20396"/>
      <c r="Q20396"/>
      <c r="R20396"/>
      <c r="S20396"/>
    </row>
    <row r="20397" spans="13:19" ht="13.95" customHeight="1">
      <c r="M20397"/>
      <c r="N20397"/>
      <c r="O20397"/>
      <c r="P20397"/>
      <c r="Q20397"/>
      <c r="R20397"/>
      <c r="S20397"/>
    </row>
    <row r="20398" spans="13:19" ht="13.95" customHeight="1">
      <c r="M20398"/>
      <c r="N20398"/>
      <c r="O20398"/>
      <c r="P20398"/>
      <c r="Q20398"/>
      <c r="R20398"/>
      <c r="S20398"/>
    </row>
    <row r="20399" spans="13:19" ht="13.95" customHeight="1">
      <c r="M20399"/>
      <c r="N20399"/>
      <c r="O20399"/>
      <c r="P20399"/>
      <c r="Q20399"/>
      <c r="R20399"/>
      <c r="S20399"/>
    </row>
    <row r="20400" spans="13:19" ht="13.95" customHeight="1">
      <c r="M20400"/>
      <c r="N20400"/>
      <c r="O20400"/>
      <c r="P20400"/>
      <c r="Q20400"/>
      <c r="R20400"/>
      <c r="S20400"/>
    </row>
    <row r="20401" spans="13:19" ht="13.95" customHeight="1">
      <c r="M20401"/>
      <c r="N20401"/>
      <c r="O20401"/>
      <c r="P20401"/>
      <c r="Q20401"/>
      <c r="R20401"/>
      <c r="S20401"/>
    </row>
    <row r="20402" spans="13:19" ht="13.95" customHeight="1">
      <c r="M20402"/>
      <c r="N20402"/>
      <c r="O20402"/>
      <c r="P20402"/>
      <c r="Q20402"/>
      <c r="R20402"/>
      <c r="S20402"/>
    </row>
    <row r="20403" spans="13:19" ht="13.95" customHeight="1">
      <c r="M20403"/>
      <c r="N20403"/>
      <c r="O20403"/>
      <c r="P20403"/>
      <c r="Q20403"/>
      <c r="R20403"/>
      <c r="S20403"/>
    </row>
    <row r="20404" spans="13:19" ht="13.95" customHeight="1">
      <c r="M20404"/>
      <c r="N20404"/>
      <c r="O20404"/>
      <c r="P20404"/>
      <c r="Q20404"/>
      <c r="R20404"/>
      <c r="S20404"/>
    </row>
    <row r="20405" spans="13:19" ht="13.95" customHeight="1">
      <c r="M20405"/>
      <c r="N20405"/>
      <c r="O20405"/>
      <c r="P20405"/>
      <c r="Q20405"/>
      <c r="R20405"/>
      <c r="S20405"/>
    </row>
    <row r="20406" spans="13:19" ht="13.95" customHeight="1">
      <c r="M20406"/>
      <c r="N20406"/>
      <c r="O20406"/>
      <c r="P20406"/>
      <c r="Q20406"/>
      <c r="R20406"/>
      <c r="S20406"/>
    </row>
    <row r="20407" spans="13:19" ht="13.95" customHeight="1">
      <c r="M20407"/>
      <c r="N20407"/>
      <c r="O20407"/>
      <c r="P20407"/>
      <c r="Q20407"/>
      <c r="R20407"/>
      <c r="S20407"/>
    </row>
    <row r="20408" spans="13:19" ht="13.95" customHeight="1">
      <c r="M20408"/>
      <c r="N20408"/>
      <c r="O20408"/>
      <c r="P20408"/>
      <c r="Q20408"/>
      <c r="R20408"/>
      <c r="S20408"/>
    </row>
    <row r="20409" spans="13:19" ht="13.95" customHeight="1">
      <c r="M20409"/>
      <c r="N20409"/>
      <c r="O20409"/>
      <c r="P20409"/>
      <c r="Q20409"/>
      <c r="R20409"/>
      <c r="S20409"/>
    </row>
    <row r="20410" spans="13:19" ht="13.95" customHeight="1">
      <c r="M20410"/>
      <c r="N20410"/>
      <c r="O20410"/>
      <c r="P20410"/>
      <c r="Q20410"/>
      <c r="R20410"/>
      <c r="S20410"/>
    </row>
    <row r="20411" spans="13:19" ht="13.95" customHeight="1">
      <c r="M20411"/>
      <c r="N20411"/>
      <c r="O20411"/>
      <c r="P20411"/>
      <c r="Q20411"/>
      <c r="R20411"/>
      <c r="S20411"/>
    </row>
    <row r="20412" spans="13:19" ht="13.95" customHeight="1">
      <c r="M20412"/>
      <c r="N20412"/>
      <c r="O20412"/>
      <c r="P20412"/>
      <c r="Q20412"/>
      <c r="R20412"/>
      <c r="S20412"/>
    </row>
    <row r="20413" spans="13:19" ht="13.95" customHeight="1">
      <c r="M20413"/>
      <c r="N20413"/>
      <c r="O20413"/>
      <c r="P20413"/>
      <c r="Q20413"/>
      <c r="R20413"/>
      <c r="S20413"/>
    </row>
    <row r="20414" spans="13:19" ht="13.95" customHeight="1">
      <c r="M20414"/>
      <c r="N20414"/>
      <c r="O20414"/>
      <c r="P20414"/>
      <c r="Q20414"/>
      <c r="R20414"/>
      <c r="S20414"/>
    </row>
    <row r="20415" spans="13:19" ht="13.95" customHeight="1">
      <c r="M20415"/>
      <c r="N20415"/>
      <c r="O20415"/>
      <c r="P20415"/>
      <c r="Q20415"/>
      <c r="R20415"/>
      <c r="S20415"/>
    </row>
    <row r="20416" spans="13:19" ht="13.95" customHeight="1">
      <c r="M20416"/>
      <c r="N20416"/>
      <c r="O20416"/>
      <c r="P20416"/>
      <c r="Q20416"/>
      <c r="R20416"/>
      <c r="S20416"/>
    </row>
    <row r="20417" spans="13:19" ht="13.95" customHeight="1">
      <c r="M20417"/>
      <c r="N20417"/>
      <c r="O20417"/>
      <c r="P20417"/>
      <c r="Q20417"/>
      <c r="R20417"/>
      <c r="S20417"/>
    </row>
    <row r="20418" spans="13:19" ht="13.95" customHeight="1">
      <c r="M20418"/>
      <c r="N20418"/>
      <c r="O20418"/>
      <c r="P20418"/>
      <c r="Q20418"/>
      <c r="R20418"/>
      <c r="S20418"/>
    </row>
    <row r="20419" spans="13:19" ht="13.95" customHeight="1">
      <c r="M20419"/>
      <c r="N20419"/>
      <c r="O20419"/>
      <c r="P20419"/>
      <c r="Q20419"/>
      <c r="R20419"/>
      <c r="S20419"/>
    </row>
    <row r="20420" spans="13:19" ht="13.95" customHeight="1">
      <c r="M20420"/>
      <c r="N20420"/>
      <c r="O20420"/>
      <c r="P20420"/>
      <c r="Q20420"/>
      <c r="R20420"/>
      <c r="S20420"/>
    </row>
    <row r="20421" spans="13:19" ht="13.95" customHeight="1">
      <c r="M20421"/>
      <c r="N20421"/>
      <c r="O20421"/>
      <c r="P20421"/>
      <c r="Q20421"/>
      <c r="R20421"/>
      <c r="S20421"/>
    </row>
    <row r="20422" spans="13:19" ht="13.95" customHeight="1">
      <c r="M20422"/>
      <c r="N20422"/>
      <c r="O20422"/>
      <c r="P20422"/>
      <c r="Q20422"/>
      <c r="R20422"/>
      <c r="S20422"/>
    </row>
    <row r="20423" spans="13:19" ht="13.95" customHeight="1">
      <c r="M20423"/>
      <c r="N20423"/>
      <c r="O20423"/>
      <c r="P20423"/>
      <c r="Q20423"/>
      <c r="R20423"/>
      <c r="S20423"/>
    </row>
    <row r="20424" spans="13:19" ht="13.95" customHeight="1">
      <c r="M20424"/>
      <c r="N20424"/>
      <c r="O20424"/>
      <c r="P20424"/>
      <c r="Q20424"/>
      <c r="R20424"/>
      <c r="S20424"/>
    </row>
    <row r="20425" spans="13:19" ht="13.95" customHeight="1">
      <c r="M20425"/>
      <c r="N20425"/>
      <c r="O20425"/>
      <c r="P20425"/>
      <c r="Q20425"/>
      <c r="R20425"/>
      <c r="S20425"/>
    </row>
    <row r="20426" spans="13:19" ht="13.95" customHeight="1">
      <c r="M20426"/>
      <c r="N20426"/>
      <c r="O20426"/>
      <c r="P20426"/>
      <c r="Q20426"/>
      <c r="R20426"/>
      <c r="S20426"/>
    </row>
    <row r="20427" spans="13:19" ht="13.95" customHeight="1">
      <c r="M20427"/>
      <c r="N20427"/>
      <c r="O20427"/>
      <c r="P20427"/>
      <c r="Q20427"/>
      <c r="R20427"/>
      <c r="S20427"/>
    </row>
    <row r="20428" spans="13:19" ht="13.95" customHeight="1">
      <c r="M20428"/>
      <c r="N20428"/>
      <c r="O20428"/>
      <c r="P20428"/>
      <c r="Q20428"/>
      <c r="R20428"/>
      <c r="S20428"/>
    </row>
    <row r="20429" spans="13:19" ht="13.95" customHeight="1">
      <c r="M20429"/>
      <c r="N20429"/>
      <c r="O20429"/>
      <c r="P20429"/>
      <c r="Q20429"/>
      <c r="R20429"/>
      <c r="S20429"/>
    </row>
    <row r="20430" spans="13:19" ht="13.95" customHeight="1">
      <c r="M20430"/>
      <c r="N20430"/>
      <c r="O20430"/>
      <c r="P20430"/>
      <c r="Q20430"/>
      <c r="R20430"/>
      <c r="S20430"/>
    </row>
    <row r="20431" spans="13:19" ht="13.95" customHeight="1">
      <c r="M20431"/>
      <c r="N20431"/>
      <c r="O20431"/>
      <c r="P20431"/>
      <c r="Q20431"/>
      <c r="R20431"/>
      <c r="S20431"/>
    </row>
    <row r="20432" spans="13:19" ht="13.95" customHeight="1">
      <c r="M20432"/>
      <c r="N20432"/>
      <c r="O20432"/>
      <c r="P20432"/>
      <c r="Q20432"/>
      <c r="R20432"/>
      <c r="S20432"/>
    </row>
    <row r="20433" spans="13:19" ht="13.95" customHeight="1">
      <c r="M20433"/>
      <c r="N20433"/>
      <c r="O20433"/>
      <c r="P20433"/>
      <c r="Q20433"/>
      <c r="R20433"/>
      <c r="S20433"/>
    </row>
    <row r="20434" spans="13:19" ht="13.95" customHeight="1">
      <c r="M20434"/>
      <c r="N20434"/>
      <c r="O20434"/>
      <c r="P20434"/>
      <c r="Q20434"/>
      <c r="R20434"/>
      <c r="S20434"/>
    </row>
    <row r="20435" spans="13:19" ht="13.95" customHeight="1">
      <c r="M20435"/>
      <c r="N20435"/>
      <c r="O20435"/>
      <c r="P20435"/>
      <c r="Q20435"/>
      <c r="R20435"/>
      <c r="S20435"/>
    </row>
    <row r="20436" spans="13:19" ht="13.95" customHeight="1">
      <c r="M20436"/>
      <c r="N20436"/>
      <c r="O20436"/>
      <c r="P20436"/>
      <c r="Q20436"/>
      <c r="R20436"/>
      <c r="S20436"/>
    </row>
    <row r="20437" spans="13:19" ht="13.95" customHeight="1">
      <c r="M20437"/>
      <c r="N20437"/>
      <c r="O20437"/>
      <c r="P20437"/>
      <c r="Q20437"/>
      <c r="R20437"/>
      <c r="S20437"/>
    </row>
    <row r="20438" spans="13:19" ht="13.95" customHeight="1">
      <c r="M20438"/>
      <c r="N20438"/>
      <c r="O20438"/>
      <c r="P20438"/>
      <c r="Q20438"/>
      <c r="R20438"/>
      <c r="S20438"/>
    </row>
    <row r="20439" spans="13:19" ht="13.95" customHeight="1">
      <c r="M20439"/>
      <c r="N20439"/>
      <c r="O20439"/>
      <c r="P20439"/>
      <c r="Q20439"/>
      <c r="R20439"/>
      <c r="S20439"/>
    </row>
    <row r="20440" spans="13:19" ht="13.95" customHeight="1">
      <c r="M20440"/>
      <c r="N20440"/>
      <c r="O20440"/>
      <c r="P20440"/>
      <c r="Q20440"/>
      <c r="R20440"/>
      <c r="S20440"/>
    </row>
    <row r="20441" spans="13:19" ht="13.95" customHeight="1">
      <c r="M20441"/>
      <c r="N20441"/>
      <c r="O20441"/>
      <c r="P20441"/>
      <c r="Q20441"/>
      <c r="R20441"/>
      <c r="S20441"/>
    </row>
    <row r="20442" spans="13:19" ht="13.95" customHeight="1">
      <c r="M20442"/>
      <c r="N20442"/>
      <c r="O20442"/>
      <c r="P20442"/>
      <c r="Q20442"/>
      <c r="R20442"/>
      <c r="S20442"/>
    </row>
    <row r="20443" spans="13:19" ht="13.95" customHeight="1">
      <c r="M20443"/>
      <c r="N20443"/>
      <c r="O20443"/>
      <c r="P20443"/>
      <c r="Q20443"/>
      <c r="R20443"/>
      <c r="S20443"/>
    </row>
    <row r="20444" spans="13:19" ht="13.95" customHeight="1">
      <c r="M20444"/>
      <c r="N20444"/>
      <c r="O20444"/>
      <c r="P20444"/>
      <c r="Q20444"/>
      <c r="R20444"/>
      <c r="S20444"/>
    </row>
    <row r="20445" spans="13:19" ht="13.95" customHeight="1">
      <c r="M20445"/>
      <c r="N20445"/>
      <c r="O20445"/>
      <c r="P20445"/>
      <c r="Q20445"/>
      <c r="R20445"/>
      <c r="S20445"/>
    </row>
    <row r="20446" spans="13:19" ht="13.95" customHeight="1">
      <c r="M20446"/>
      <c r="N20446"/>
      <c r="O20446"/>
      <c r="P20446"/>
      <c r="Q20446"/>
      <c r="R20446"/>
      <c r="S20446"/>
    </row>
    <row r="20447" spans="13:19" ht="13.95" customHeight="1">
      <c r="M20447"/>
      <c r="N20447"/>
      <c r="O20447"/>
      <c r="P20447"/>
      <c r="Q20447"/>
      <c r="R20447"/>
      <c r="S20447"/>
    </row>
    <row r="20448" spans="13:19" ht="13.95" customHeight="1">
      <c r="M20448"/>
      <c r="N20448"/>
      <c r="O20448"/>
      <c r="P20448"/>
      <c r="Q20448"/>
      <c r="R20448"/>
      <c r="S20448"/>
    </row>
    <row r="20449" spans="13:19" ht="13.95" customHeight="1">
      <c r="M20449"/>
      <c r="N20449"/>
      <c r="O20449"/>
      <c r="P20449"/>
      <c r="Q20449"/>
      <c r="R20449"/>
      <c r="S20449"/>
    </row>
    <row r="20450" spans="13:19" ht="13.95" customHeight="1">
      <c r="M20450"/>
      <c r="N20450"/>
      <c r="O20450"/>
      <c r="P20450"/>
      <c r="Q20450"/>
      <c r="R20450"/>
      <c r="S20450"/>
    </row>
    <row r="20451" spans="13:19" ht="13.95" customHeight="1">
      <c r="M20451"/>
      <c r="N20451"/>
      <c r="O20451"/>
      <c r="P20451"/>
      <c r="Q20451"/>
      <c r="R20451"/>
      <c r="S20451"/>
    </row>
    <row r="20452" spans="13:19" ht="13.95" customHeight="1">
      <c r="M20452"/>
      <c r="N20452"/>
      <c r="O20452"/>
      <c r="P20452"/>
      <c r="Q20452"/>
      <c r="R20452"/>
      <c r="S20452"/>
    </row>
    <row r="20453" spans="13:19" ht="13.95" customHeight="1">
      <c r="M20453"/>
      <c r="N20453"/>
      <c r="O20453"/>
      <c r="P20453"/>
      <c r="Q20453"/>
      <c r="R20453"/>
      <c r="S20453"/>
    </row>
    <row r="20454" spans="13:19" ht="13.95" customHeight="1">
      <c r="M20454"/>
      <c r="N20454"/>
      <c r="O20454"/>
      <c r="P20454"/>
      <c r="Q20454"/>
      <c r="R20454"/>
      <c r="S20454"/>
    </row>
    <row r="20455" spans="13:19" ht="13.95" customHeight="1">
      <c r="M20455"/>
      <c r="N20455"/>
      <c r="O20455"/>
      <c r="P20455"/>
      <c r="Q20455"/>
      <c r="R20455"/>
      <c r="S20455"/>
    </row>
    <row r="20456" spans="13:19" ht="13.95" customHeight="1">
      <c r="M20456"/>
      <c r="N20456"/>
      <c r="O20456"/>
      <c r="P20456"/>
      <c r="Q20456"/>
      <c r="R20456"/>
      <c r="S20456"/>
    </row>
    <row r="20457" spans="13:19" ht="13.95" customHeight="1">
      <c r="M20457"/>
      <c r="N20457"/>
      <c r="O20457"/>
      <c r="P20457"/>
      <c r="Q20457"/>
      <c r="R20457"/>
      <c r="S20457"/>
    </row>
    <row r="20458" spans="13:19" ht="13.95" customHeight="1">
      <c r="M20458"/>
      <c r="N20458"/>
      <c r="O20458"/>
      <c r="P20458"/>
      <c r="Q20458"/>
      <c r="R20458"/>
      <c r="S20458"/>
    </row>
    <row r="20459" spans="13:19" ht="13.95" customHeight="1">
      <c r="M20459"/>
      <c r="N20459"/>
      <c r="O20459"/>
      <c r="P20459"/>
      <c r="Q20459"/>
      <c r="R20459"/>
      <c r="S20459"/>
    </row>
    <row r="20460" spans="13:19" ht="13.95" customHeight="1">
      <c r="M20460"/>
      <c r="N20460"/>
      <c r="O20460"/>
      <c r="P20460"/>
      <c r="Q20460"/>
      <c r="R20460"/>
      <c r="S20460"/>
    </row>
    <row r="20461" spans="13:19" ht="13.95" customHeight="1">
      <c r="M20461"/>
      <c r="N20461"/>
      <c r="O20461"/>
      <c r="P20461"/>
      <c r="Q20461"/>
      <c r="R20461"/>
      <c r="S20461"/>
    </row>
    <row r="20462" spans="13:19" ht="13.95" customHeight="1">
      <c r="M20462"/>
      <c r="N20462"/>
      <c r="O20462"/>
      <c r="P20462"/>
      <c r="Q20462"/>
      <c r="R20462"/>
      <c r="S20462"/>
    </row>
    <row r="20463" spans="13:19" ht="13.95" customHeight="1">
      <c r="M20463"/>
      <c r="N20463"/>
      <c r="O20463"/>
      <c r="P20463"/>
      <c r="Q20463"/>
      <c r="R20463"/>
      <c r="S20463"/>
    </row>
    <row r="20464" spans="13:19" ht="13.95" customHeight="1">
      <c r="M20464"/>
      <c r="N20464"/>
      <c r="O20464"/>
      <c r="P20464"/>
      <c r="Q20464"/>
      <c r="R20464"/>
      <c r="S20464"/>
    </row>
    <row r="20465" spans="13:19" ht="13.95" customHeight="1">
      <c r="M20465"/>
      <c r="N20465"/>
      <c r="O20465"/>
      <c r="P20465"/>
      <c r="Q20465"/>
      <c r="R20465"/>
      <c r="S20465"/>
    </row>
    <row r="20466" spans="13:19" ht="13.95" customHeight="1">
      <c r="M20466"/>
      <c r="N20466"/>
      <c r="O20466"/>
      <c r="P20466"/>
      <c r="Q20466"/>
      <c r="R20466"/>
      <c r="S20466"/>
    </row>
    <row r="20467" spans="13:19" ht="13.95" customHeight="1">
      <c r="M20467"/>
      <c r="N20467"/>
      <c r="O20467"/>
      <c r="P20467"/>
      <c r="Q20467"/>
      <c r="R20467"/>
      <c r="S20467"/>
    </row>
    <row r="20468" spans="13:19" ht="13.95" customHeight="1">
      <c r="M20468"/>
      <c r="N20468"/>
      <c r="O20468"/>
      <c r="P20468"/>
      <c r="Q20468"/>
      <c r="R20468"/>
      <c r="S20468"/>
    </row>
    <row r="20469" spans="13:19" ht="13.95" customHeight="1">
      <c r="M20469"/>
      <c r="N20469"/>
      <c r="O20469"/>
      <c r="P20469"/>
      <c r="Q20469"/>
      <c r="R20469"/>
      <c r="S20469"/>
    </row>
    <row r="20470" spans="13:19" ht="13.95" customHeight="1">
      <c r="M20470"/>
      <c r="N20470"/>
      <c r="O20470"/>
      <c r="P20470"/>
      <c r="Q20470"/>
      <c r="R20470"/>
      <c r="S20470"/>
    </row>
    <row r="20471" spans="13:19" ht="13.95" customHeight="1">
      <c r="M20471"/>
      <c r="N20471"/>
      <c r="O20471"/>
      <c r="P20471"/>
      <c r="Q20471"/>
      <c r="R20471"/>
      <c r="S20471"/>
    </row>
    <row r="20472" spans="13:19" ht="13.95" customHeight="1">
      <c r="M20472"/>
      <c r="N20472"/>
      <c r="O20472"/>
      <c r="P20472"/>
      <c r="Q20472"/>
      <c r="R20472"/>
      <c r="S20472"/>
    </row>
    <row r="20473" spans="13:19" ht="13.95" customHeight="1">
      <c r="M20473"/>
      <c r="N20473"/>
      <c r="O20473"/>
      <c r="P20473"/>
      <c r="Q20473"/>
      <c r="R20473"/>
      <c r="S20473"/>
    </row>
    <row r="20474" spans="13:19" ht="13.95" customHeight="1">
      <c r="M20474"/>
      <c r="N20474"/>
      <c r="O20474"/>
      <c r="P20474"/>
      <c r="Q20474"/>
      <c r="R20474"/>
      <c r="S20474"/>
    </row>
    <row r="20475" spans="13:19" ht="13.95" customHeight="1">
      <c r="M20475"/>
      <c r="N20475"/>
      <c r="O20475"/>
      <c r="P20475"/>
      <c r="Q20475"/>
      <c r="R20475"/>
      <c r="S20475"/>
    </row>
    <row r="20476" spans="13:19" ht="13.95" customHeight="1">
      <c r="M20476"/>
      <c r="N20476"/>
      <c r="O20476"/>
      <c r="P20476"/>
      <c r="Q20476"/>
      <c r="R20476"/>
      <c r="S20476"/>
    </row>
    <row r="20477" spans="13:19" ht="13.95" customHeight="1">
      <c r="M20477"/>
      <c r="N20477"/>
      <c r="O20477"/>
      <c r="P20477"/>
      <c r="Q20477"/>
      <c r="R20477"/>
      <c r="S20477"/>
    </row>
    <row r="20478" spans="13:19" ht="13.95" customHeight="1">
      <c r="M20478"/>
      <c r="N20478"/>
      <c r="O20478"/>
      <c r="P20478"/>
      <c r="Q20478"/>
      <c r="R20478"/>
      <c r="S20478"/>
    </row>
    <row r="20479" spans="13:19" ht="13.95" customHeight="1">
      <c r="M20479"/>
      <c r="N20479"/>
      <c r="O20479"/>
      <c r="P20479"/>
      <c r="Q20479"/>
      <c r="R20479"/>
      <c r="S20479"/>
    </row>
    <row r="20480" spans="13:19" ht="13.95" customHeight="1">
      <c r="M20480"/>
      <c r="N20480"/>
      <c r="O20480"/>
      <c r="P20480"/>
      <c r="Q20480"/>
      <c r="R20480"/>
      <c r="S20480"/>
    </row>
    <row r="20481" spans="13:19" ht="13.95" customHeight="1">
      <c r="M20481"/>
      <c r="N20481"/>
      <c r="O20481"/>
      <c r="P20481"/>
      <c r="Q20481"/>
      <c r="R20481"/>
      <c r="S20481"/>
    </row>
    <row r="20482" spans="13:19" ht="13.95" customHeight="1">
      <c r="M20482"/>
      <c r="N20482"/>
      <c r="O20482"/>
      <c r="P20482"/>
      <c r="Q20482"/>
      <c r="R20482"/>
      <c r="S20482"/>
    </row>
    <row r="20483" spans="13:19" ht="13.95" customHeight="1">
      <c r="M20483"/>
      <c r="N20483"/>
      <c r="O20483"/>
      <c r="P20483"/>
      <c r="Q20483"/>
      <c r="R20483"/>
      <c r="S20483"/>
    </row>
    <row r="20484" spans="13:19" ht="13.95" customHeight="1">
      <c r="M20484"/>
      <c r="N20484"/>
      <c r="O20484"/>
      <c r="P20484"/>
      <c r="Q20484"/>
      <c r="R20484"/>
      <c r="S20484"/>
    </row>
    <row r="20485" spans="13:19" ht="13.95" customHeight="1">
      <c r="M20485"/>
      <c r="N20485"/>
      <c r="O20485"/>
      <c r="P20485"/>
      <c r="Q20485"/>
      <c r="R20485"/>
      <c r="S20485"/>
    </row>
    <row r="20486" spans="13:19" ht="13.95" customHeight="1">
      <c r="M20486"/>
      <c r="N20486"/>
      <c r="O20486"/>
      <c r="P20486"/>
      <c r="Q20486"/>
      <c r="R20486"/>
      <c r="S20486"/>
    </row>
    <row r="20487" spans="13:19" ht="13.95" customHeight="1">
      <c r="M20487"/>
      <c r="N20487"/>
      <c r="O20487"/>
      <c r="P20487"/>
      <c r="Q20487"/>
      <c r="R20487"/>
      <c r="S20487"/>
    </row>
    <row r="20488" spans="13:19" ht="13.95" customHeight="1">
      <c r="M20488"/>
      <c r="N20488"/>
      <c r="O20488"/>
      <c r="P20488"/>
      <c r="Q20488"/>
      <c r="R20488"/>
      <c r="S20488"/>
    </row>
    <row r="20489" spans="13:19" ht="13.95" customHeight="1">
      <c r="M20489"/>
      <c r="N20489"/>
      <c r="O20489"/>
      <c r="P20489"/>
      <c r="Q20489"/>
      <c r="R20489"/>
      <c r="S20489"/>
    </row>
    <row r="20490" spans="13:19" ht="13.95" customHeight="1">
      <c r="M20490"/>
      <c r="N20490"/>
      <c r="O20490"/>
      <c r="P20490"/>
      <c r="Q20490"/>
      <c r="R20490"/>
      <c r="S20490"/>
    </row>
    <row r="20491" spans="13:19" ht="13.95" customHeight="1">
      <c r="M20491"/>
      <c r="N20491"/>
      <c r="O20491"/>
      <c r="P20491"/>
      <c r="Q20491"/>
      <c r="R20491"/>
      <c r="S20491"/>
    </row>
    <row r="20492" spans="13:19" ht="13.95" customHeight="1">
      <c r="M20492"/>
      <c r="N20492"/>
      <c r="O20492"/>
      <c r="P20492"/>
      <c r="Q20492"/>
      <c r="R20492"/>
      <c r="S20492"/>
    </row>
    <row r="20493" spans="13:19" ht="13.95" customHeight="1">
      <c r="M20493"/>
      <c r="N20493"/>
      <c r="O20493"/>
      <c r="P20493"/>
      <c r="Q20493"/>
      <c r="R20493"/>
      <c r="S20493"/>
    </row>
    <row r="20494" spans="13:19" ht="13.95" customHeight="1">
      <c r="M20494"/>
      <c r="N20494"/>
      <c r="O20494"/>
      <c r="P20494"/>
      <c r="Q20494"/>
      <c r="R20494"/>
      <c r="S20494"/>
    </row>
    <row r="20495" spans="13:19" ht="13.95" customHeight="1">
      <c r="M20495"/>
      <c r="N20495"/>
      <c r="O20495"/>
      <c r="P20495"/>
      <c r="Q20495"/>
      <c r="R20495"/>
      <c r="S20495"/>
    </row>
    <row r="20496" spans="13:19" ht="13.95" customHeight="1">
      <c r="M20496"/>
      <c r="N20496"/>
      <c r="O20496"/>
      <c r="P20496"/>
      <c r="Q20496"/>
      <c r="R20496"/>
      <c r="S20496"/>
    </row>
    <row r="20497" spans="13:19" ht="13.95" customHeight="1">
      <c r="M20497"/>
      <c r="N20497"/>
      <c r="O20497"/>
      <c r="P20497"/>
      <c r="Q20497"/>
      <c r="R20497"/>
      <c r="S20497"/>
    </row>
    <row r="20498" spans="13:19" ht="13.95" customHeight="1">
      <c r="M20498"/>
      <c r="N20498"/>
      <c r="O20498"/>
      <c r="P20498"/>
      <c r="Q20498"/>
      <c r="R20498"/>
      <c r="S20498"/>
    </row>
    <row r="20499" spans="13:19" ht="13.95" customHeight="1">
      <c r="M20499"/>
      <c r="N20499"/>
      <c r="O20499"/>
      <c r="P20499"/>
      <c r="Q20499"/>
      <c r="R20499"/>
      <c r="S20499"/>
    </row>
    <row r="20500" spans="13:19" ht="13.95" customHeight="1">
      <c r="M20500"/>
      <c r="N20500"/>
      <c r="O20500"/>
      <c r="P20500"/>
      <c r="Q20500"/>
      <c r="R20500"/>
      <c r="S20500"/>
    </row>
    <row r="20501" spans="13:19" ht="13.95" customHeight="1">
      <c r="M20501"/>
      <c r="N20501"/>
      <c r="O20501"/>
      <c r="P20501"/>
      <c r="Q20501"/>
      <c r="R20501"/>
      <c r="S20501"/>
    </row>
    <row r="20502" spans="13:19" ht="13.95" customHeight="1">
      <c r="M20502"/>
      <c r="N20502"/>
      <c r="O20502"/>
      <c r="P20502"/>
      <c r="Q20502"/>
      <c r="R20502"/>
      <c r="S20502"/>
    </row>
    <row r="20503" spans="13:19" ht="13.95" customHeight="1">
      <c r="M20503"/>
      <c r="N20503"/>
      <c r="O20503"/>
      <c r="P20503"/>
      <c r="Q20503"/>
      <c r="R20503"/>
      <c r="S20503"/>
    </row>
    <row r="20504" spans="13:19" ht="13.95" customHeight="1">
      <c r="M20504"/>
      <c r="N20504"/>
      <c r="O20504"/>
      <c r="P20504"/>
      <c r="Q20504"/>
      <c r="R20504"/>
      <c r="S20504"/>
    </row>
    <row r="20505" spans="13:19" ht="13.95" customHeight="1">
      <c r="M20505"/>
      <c r="N20505"/>
      <c r="O20505"/>
      <c r="P20505"/>
      <c r="Q20505"/>
      <c r="R20505"/>
      <c r="S20505"/>
    </row>
    <row r="20506" spans="13:19" ht="13.95" customHeight="1">
      <c r="M20506"/>
      <c r="N20506"/>
      <c r="O20506"/>
      <c r="P20506"/>
      <c r="Q20506"/>
      <c r="R20506"/>
      <c r="S20506"/>
    </row>
    <row r="20507" spans="13:19" ht="13.95" customHeight="1">
      <c r="M20507"/>
      <c r="N20507"/>
      <c r="O20507"/>
      <c r="P20507"/>
      <c r="Q20507"/>
      <c r="R20507"/>
      <c r="S20507"/>
    </row>
    <row r="20508" spans="13:19" ht="13.95" customHeight="1">
      <c r="M20508"/>
      <c r="N20508"/>
      <c r="O20508"/>
      <c r="P20508"/>
      <c r="Q20508"/>
      <c r="R20508"/>
      <c r="S20508"/>
    </row>
    <row r="20509" spans="13:19" ht="13.95" customHeight="1">
      <c r="M20509"/>
      <c r="N20509"/>
      <c r="O20509"/>
      <c r="P20509"/>
      <c r="Q20509"/>
      <c r="R20509"/>
      <c r="S20509"/>
    </row>
    <row r="20510" spans="13:19" ht="13.95" customHeight="1">
      <c r="M20510"/>
      <c r="N20510"/>
      <c r="O20510"/>
      <c r="P20510"/>
      <c r="Q20510"/>
      <c r="R20510"/>
      <c r="S20510"/>
    </row>
    <row r="20511" spans="13:19" ht="13.95" customHeight="1">
      <c r="M20511"/>
      <c r="N20511"/>
      <c r="O20511"/>
      <c r="P20511"/>
      <c r="Q20511"/>
      <c r="R20511"/>
      <c r="S20511"/>
    </row>
    <row r="20512" spans="13:19" ht="13.95" customHeight="1">
      <c r="M20512"/>
      <c r="N20512"/>
      <c r="O20512"/>
      <c r="P20512"/>
      <c r="Q20512"/>
      <c r="R20512"/>
      <c r="S20512"/>
    </row>
    <row r="20513" spans="13:19" ht="13.95" customHeight="1">
      <c r="M20513"/>
      <c r="N20513"/>
      <c r="O20513"/>
      <c r="P20513"/>
      <c r="Q20513"/>
      <c r="R20513"/>
      <c r="S20513"/>
    </row>
    <row r="20514" spans="13:19" ht="13.95" customHeight="1">
      <c r="M20514"/>
      <c r="N20514"/>
      <c r="O20514"/>
      <c r="P20514"/>
      <c r="Q20514"/>
      <c r="R20514"/>
      <c r="S20514"/>
    </row>
    <row r="20515" spans="13:19" ht="13.95" customHeight="1">
      <c r="M20515"/>
      <c r="N20515"/>
      <c r="O20515"/>
      <c r="P20515"/>
      <c r="Q20515"/>
      <c r="R20515"/>
      <c r="S20515"/>
    </row>
    <row r="20516" spans="13:19" ht="13.95" customHeight="1">
      <c r="M20516"/>
      <c r="N20516"/>
      <c r="O20516"/>
      <c r="P20516"/>
      <c r="Q20516"/>
      <c r="R20516"/>
      <c r="S20516"/>
    </row>
    <row r="20517" spans="13:19" ht="13.95" customHeight="1">
      <c r="M20517"/>
      <c r="N20517"/>
      <c r="O20517"/>
      <c r="P20517"/>
      <c r="Q20517"/>
      <c r="R20517"/>
      <c r="S20517"/>
    </row>
    <row r="20518" spans="13:19" ht="13.95" customHeight="1">
      <c r="M20518"/>
      <c r="N20518"/>
      <c r="O20518"/>
      <c r="P20518"/>
      <c r="Q20518"/>
      <c r="R20518"/>
      <c r="S20518"/>
    </row>
    <row r="20519" spans="13:19" ht="13.95" customHeight="1">
      <c r="M20519"/>
      <c r="N20519"/>
      <c r="O20519"/>
      <c r="P20519"/>
      <c r="Q20519"/>
      <c r="R20519"/>
      <c r="S20519"/>
    </row>
    <row r="20520" spans="13:19" ht="13.95" customHeight="1">
      <c r="M20520"/>
      <c r="N20520"/>
      <c r="O20520"/>
      <c r="P20520"/>
      <c r="Q20520"/>
      <c r="R20520"/>
      <c r="S20520"/>
    </row>
    <row r="20521" spans="13:19" ht="13.95" customHeight="1">
      <c r="M20521"/>
      <c r="N20521"/>
      <c r="O20521"/>
      <c r="P20521"/>
      <c r="Q20521"/>
      <c r="R20521"/>
      <c r="S20521"/>
    </row>
    <row r="20522" spans="13:19" ht="13.95" customHeight="1">
      <c r="M20522"/>
      <c r="N20522"/>
      <c r="O20522"/>
      <c r="P20522"/>
      <c r="Q20522"/>
      <c r="R20522"/>
      <c r="S20522"/>
    </row>
    <row r="20523" spans="13:19" ht="13.95" customHeight="1">
      <c r="M20523"/>
      <c r="N20523"/>
      <c r="O20523"/>
      <c r="P20523"/>
      <c r="Q20523"/>
      <c r="R20523"/>
      <c r="S20523"/>
    </row>
    <row r="20524" spans="13:19" ht="13.95" customHeight="1">
      <c r="M20524"/>
      <c r="N20524"/>
      <c r="O20524"/>
      <c r="P20524"/>
      <c r="Q20524"/>
      <c r="R20524"/>
      <c r="S20524"/>
    </row>
    <row r="20525" spans="13:19" ht="13.95" customHeight="1">
      <c r="M20525"/>
      <c r="N20525"/>
      <c r="O20525"/>
      <c r="P20525"/>
      <c r="Q20525"/>
      <c r="R20525"/>
      <c r="S20525"/>
    </row>
    <row r="20526" spans="13:19" ht="13.95" customHeight="1">
      <c r="M20526"/>
      <c r="N20526"/>
      <c r="O20526"/>
      <c r="P20526"/>
      <c r="Q20526"/>
      <c r="R20526"/>
      <c r="S20526"/>
    </row>
    <row r="20527" spans="13:19" ht="13.95" customHeight="1">
      <c r="M20527"/>
      <c r="N20527"/>
      <c r="O20527"/>
      <c r="P20527"/>
      <c r="Q20527"/>
      <c r="R20527"/>
      <c r="S20527"/>
    </row>
    <row r="20528" spans="13:19" ht="13.95" customHeight="1">
      <c r="M20528"/>
      <c r="N20528"/>
      <c r="O20528"/>
      <c r="P20528"/>
      <c r="Q20528"/>
      <c r="R20528"/>
      <c r="S20528"/>
    </row>
    <row r="20529" spans="13:19" ht="13.95" customHeight="1">
      <c r="M20529"/>
      <c r="N20529"/>
      <c r="O20529"/>
      <c r="P20529"/>
      <c r="Q20529"/>
      <c r="R20529"/>
      <c r="S20529"/>
    </row>
    <row r="20530" spans="13:19" ht="13.95" customHeight="1">
      <c r="M20530"/>
      <c r="N20530"/>
      <c r="O20530"/>
      <c r="P20530"/>
      <c r="Q20530"/>
      <c r="R20530"/>
      <c r="S20530"/>
    </row>
    <row r="20531" spans="13:19" ht="13.95" customHeight="1">
      <c r="M20531"/>
      <c r="N20531"/>
      <c r="O20531"/>
      <c r="P20531"/>
      <c r="Q20531"/>
      <c r="R20531"/>
      <c r="S20531"/>
    </row>
    <row r="20532" spans="13:19" ht="13.95" customHeight="1">
      <c r="M20532"/>
      <c r="N20532"/>
      <c r="O20532"/>
      <c r="P20532"/>
      <c r="Q20532"/>
      <c r="R20532"/>
      <c r="S20532"/>
    </row>
    <row r="20533" spans="13:19" ht="13.95" customHeight="1">
      <c r="M20533"/>
      <c r="N20533"/>
      <c r="O20533"/>
      <c r="P20533"/>
      <c r="Q20533"/>
      <c r="R20533"/>
      <c r="S20533"/>
    </row>
    <row r="20534" spans="13:19" ht="13.95" customHeight="1">
      <c r="M20534"/>
      <c r="N20534"/>
      <c r="O20534"/>
      <c r="P20534"/>
      <c r="Q20534"/>
      <c r="R20534"/>
      <c r="S20534"/>
    </row>
    <row r="20535" spans="13:19" ht="13.95" customHeight="1">
      <c r="M20535"/>
      <c r="N20535"/>
      <c r="O20535"/>
      <c r="P20535"/>
      <c r="Q20535"/>
      <c r="R20535"/>
      <c r="S20535"/>
    </row>
    <row r="20536" spans="13:19" ht="13.95" customHeight="1">
      <c r="M20536"/>
      <c r="N20536"/>
      <c r="O20536"/>
      <c r="P20536"/>
      <c r="Q20536"/>
      <c r="R20536"/>
      <c r="S20536"/>
    </row>
    <row r="20537" spans="13:19" ht="13.95" customHeight="1">
      <c r="M20537"/>
      <c r="N20537"/>
      <c r="O20537"/>
      <c r="P20537"/>
      <c r="Q20537"/>
      <c r="R20537"/>
      <c r="S20537"/>
    </row>
    <row r="20538" spans="13:19" ht="13.95" customHeight="1">
      <c r="M20538"/>
      <c r="N20538"/>
      <c r="O20538"/>
      <c r="P20538"/>
      <c r="Q20538"/>
      <c r="R20538"/>
      <c r="S20538"/>
    </row>
    <row r="20539" spans="13:19" ht="13.95" customHeight="1">
      <c r="M20539"/>
      <c r="N20539"/>
      <c r="O20539"/>
      <c r="P20539"/>
      <c r="Q20539"/>
      <c r="R20539"/>
      <c r="S20539"/>
    </row>
    <row r="20540" spans="13:19" ht="13.95" customHeight="1">
      <c r="M20540"/>
      <c r="N20540"/>
      <c r="O20540"/>
      <c r="P20540"/>
      <c r="Q20540"/>
      <c r="R20540"/>
      <c r="S20540"/>
    </row>
    <row r="20541" spans="13:19" ht="13.95" customHeight="1">
      <c r="M20541"/>
      <c r="N20541"/>
      <c r="O20541"/>
      <c r="P20541"/>
      <c r="Q20541"/>
      <c r="R20541"/>
      <c r="S20541"/>
    </row>
    <row r="20542" spans="13:19" ht="13.95" customHeight="1">
      <c r="M20542"/>
      <c r="N20542"/>
      <c r="O20542"/>
      <c r="P20542"/>
      <c r="Q20542"/>
      <c r="R20542"/>
      <c r="S20542"/>
    </row>
    <row r="20543" spans="13:19" ht="13.95" customHeight="1">
      <c r="M20543"/>
      <c r="N20543"/>
      <c r="O20543"/>
      <c r="P20543"/>
      <c r="Q20543"/>
      <c r="R20543"/>
      <c r="S20543"/>
    </row>
    <row r="20544" spans="13:19" ht="13.95" customHeight="1">
      <c r="M20544"/>
      <c r="N20544"/>
      <c r="O20544"/>
      <c r="P20544"/>
      <c r="Q20544"/>
      <c r="R20544"/>
      <c r="S20544"/>
    </row>
    <row r="20545" spans="13:19" ht="13.95" customHeight="1">
      <c r="M20545"/>
      <c r="N20545"/>
      <c r="O20545"/>
      <c r="P20545"/>
      <c r="Q20545"/>
      <c r="R20545"/>
      <c r="S20545"/>
    </row>
    <row r="20546" spans="13:19" ht="13.95" customHeight="1">
      <c r="M20546"/>
      <c r="N20546"/>
      <c r="O20546"/>
      <c r="P20546"/>
      <c r="Q20546"/>
      <c r="R20546"/>
      <c r="S20546"/>
    </row>
    <row r="20547" spans="13:19" ht="13.95" customHeight="1">
      <c r="M20547"/>
      <c r="N20547"/>
      <c r="O20547"/>
      <c r="P20547"/>
      <c r="Q20547"/>
      <c r="R20547"/>
      <c r="S20547"/>
    </row>
    <row r="20548" spans="13:19" ht="13.95" customHeight="1">
      <c r="M20548"/>
      <c r="N20548"/>
      <c r="O20548"/>
      <c r="P20548"/>
      <c r="Q20548"/>
      <c r="R20548"/>
      <c r="S20548"/>
    </row>
    <row r="20549" spans="13:19" ht="13.95" customHeight="1">
      <c r="M20549"/>
      <c r="N20549"/>
      <c r="O20549"/>
      <c r="P20549"/>
      <c r="Q20549"/>
      <c r="R20549"/>
      <c r="S20549"/>
    </row>
    <row r="20550" spans="13:19" ht="13.95" customHeight="1">
      <c r="M20550"/>
      <c r="N20550"/>
      <c r="O20550"/>
      <c r="P20550"/>
      <c r="Q20550"/>
      <c r="R20550"/>
      <c r="S20550"/>
    </row>
    <row r="20551" spans="13:19" ht="13.95" customHeight="1">
      <c r="M20551"/>
      <c r="N20551"/>
      <c r="O20551"/>
      <c r="P20551"/>
      <c r="Q20551"/>
      <c r="R20551"/>
      <c r="S20551"/>
    </row>
    <row r="20552" spans="13:19" ht="13.95" customHeight="1">
      <c r="M20552"/>
      <c r="N20552"/>
      <c r="O20552"/>
      <c r="P20552"/>
      <c r="Q20552"/>
      <c r="R20552"/>
      <c r="S20552"/>
    </row>
    <row r="20553" spans="13:19" ht="13.95" customHeight="1">
      <c r="M20553"/>
      <c r="N20553"/>
      <c r="O20553"/>
      <c r="P20553"/>
      <c r="Q20553"/>
      <c r="R20553"/>
      <c r="S20553"/>
    </row>
    <row r="20554" spans="13:19" ht="13.95" customHeight="1">
      <c r="M20554"/>
      <c r="N20554"/>
      <c r="O20554"/>
      <c r="P20554"/>
      <c r="Q20554"/>
      <c r="R20554"/>
      <c r="S20554"/>
    </row>
    <row r="20555" spans="13:19" ht="13.95" customHeight="1">
      <c r="M20555"/>
      <c r="N20555"/>
      <c r="O20555"/>
      <c r="P20555"/>
      <c r="Q20555"/>
      <c r="R20555"/>
      <c r="S20555"/>
    </row>
    <row r="20556" spans="13:19" ht="13.95" customHeight="1">
      <c r="M20556"/>
      <c r="N20556"/>
      <c r="O20556"/>
      <c r="P20556"/>
      <c r="Q20556"/>
      <c r="R20556"/>
      <c r="S20556"/>
    </row>
    <row r="20557" spans="13:19" ht="13.95" customHeight="1">
      <c r="M20557"/>
      <c r="N20557"/>
      <c r="O20557"/>
      <c r="P20557"/>
      <c r="Q20557"/>
      <c r="R20557"/>
      <c r="S20557"/>
    </row>
    <row r="20558" spans="13:19" ht="13.95" customHeight="1">
      <c r="M20558"/>
      <c r="N20558"/>
      <c r="O20558"/>
      <c r="P20558"/>
      <c r="Q20558"/>
      <c r="R20558"/>
      <c r="S20558"/>
    </row>
    <row r="20559" spans="13:19" ht="13.95" customHeight="1">
      <c r="M20559"/>
      <c r="N20559"/>
      <c r="O20559"/>
      <c r="P20559"/>
      <c r="Q20559"/>
      <c r="R20559"/>
      <c r="S20559"/>
    </row>
    <row r="20560" spans="13:19" ht="13.95" customHeight="1">
      <c r="M20560"/>
      <c r="N20560"/>
      <c r="O20560"/>
      <c r="P20560"/>
      <c r="Q20560"/>
      <c r="R20560"/>
      <c r="S20560"/>
    </row>
    <row r="20561" spans="13:19" ht="13.95" customHeight="1">
      <c r="M20561"/>
      <c r="N20561"/>
      <c r="O20561"/>
      <c r="P20561"/>
      <c r="Q20561"/>
      <c r="R20561"/>
      <c r="S20561"/>
    </row>
    <row r="20562" spans="13:19" ht="13.95" customHeight="1">
      <c r="M20562"/>
      <c r="N20562"/>
      <c r="O20562"/>
      <c r="P20562"/>
      <c r="Q20562"/>
      <c r="R20562"/>
      <c r="S20562"/>
    </row>
    <row r="20563" spans="13:19" ht="13.95" customHeight="1">
      <c r="M20563"/>
      <c r="N20563"/>
      <c r="O20563"/>
      <c r="P20563"/>
      <c r="Q20563"/>
      <c r="R20563"/>
      <c r="S20563"/>
    </row>
    <row r="20564" spans="13:19" ht="13.95" customHeight="1">
      <c r="M20564"/>
      <c r="N20564"/>
      <c r="O20564"/>
      <c r="P20564"/>
      <c r="Q20564"/>
      <c r="R20564"/>
      <c r="S20564"/>
    </row>
    <row r="20565" spans="13:19" ht="13.95" customHeight="1">
      <c r="M20565"/>
      <c r="N20565"/>
      <c r="O20565"/>
      <c r="P20565"/>
      <c r="Q20565"/>
      <c r="R20565"/>
      <c r="S20565"/>
    </row>
    <row r="20566" spans="13:19" ht="13.95" customHeight="1">
      <c r="M20566"/>
      <c r="N20566"/>
      <c r="O20566"/>
      <c r="P20566"/>
      <c r="Q20566"/>
      <c r="R20566"/>
      <c r="S20566"/>
    </row>
    <row r="20567" spans="13:19" ht="13.95" customHeight="1">
      <c r="M20567"/>
      <c r="N20567"/>
      <c r="O20567"/>
      <c r="P20567"/>
      <c r="Q20567"/>
      <c r="R20567"/>
      <c r="S20567"/>
    </row>
    <row r="20568" spans="13:19" ht="13.95" customHeight="1">
      <c r="M20568"/>
      <c r="N20568"/>
      <c r="O20568"/>
      <c r="P20568"/>
      <c r="Q20568"/>
      <c r="R20568"/>
      <c r="S20568"/>
    </row>
    <row r="20569" spans="13:19" ht="13.95" customHeight="1">
      <c r="M20569"/>
      <c r="N20569"/>
      <c r="O20569"/>
      <c r="P20569"/>
      <c r="Q20569"/>
      <c r="R20569"/>
      <c r="S20569"/>
    </row>
    <row r="20570" spans="13:19" ht="13.95" customHeight="1">
      <c r="M20570"/>
      <c r="N20570"/>
      <c r="O20570"/>
      <c r="P20570"/>
      <c r="Q20570"/>
      <c r="R20570"/>
      <c r="S20570"/>
    </row>
    <row r="20571" spans="13:19" ht="13.95" customHeight="1">
      <c r="M20571"/>
      <c r="N20571"/>
      <c r="O20571"/>
      <c r="P20571"/>
      <c r="Q20571"/>
      <c r="R20571"/>
      <c r="S20571"/>
    </row>
    <row r="20572" spans="13:19" ht="13.95" customHeight="1">
      <c r="M20572"/>
      <c r="N20572"/>
      <c r="O20572"/>
      <c r="P20572"/>
      <c r="Q20572"/>
      <c r="R20572"/>
      <c r="S20572"/>
    </row>
    <row r="20573" spans="13:19" ht="13.95" customHeight="1">
      <c r="M20573"/>
      <c r="N20573"/>
      <c r="O20573"/>
      <c r="P20573"/>
      <c r="Q20573"/>
      <c r="R20573"/>
      <c r="S20573"/>
    </row>
    <row r="20574" spans="13:19" ht="13.95" customHeight="1">
      <c r="M20574"/>
      <c r="N20574"/>
      <c r="O20574"/>
      <c r="P20574"/>
      <c r="Q20574"/>
      <c r="R20574"/>
      <c r="S20574"/>
    </row>
    <row r="20575" spans="13:19" ht="13.95" customHeight="1">
      <c r="M20575"/>
      <c r="N20575"/>
      <c r="O20575"/>
      <c r="P20575"/>
      <c r="Q20575"/>
      <c r="R20575"/>
      <c r="S20575"/>
    </row>
    <row r="20576" spans="13:19" ht="13.95" customHeight="1">
      <c r="M20576"/>
      <c r="N20576"/>
      <c r="O20576"/>
      <c r="P20576"/>
      <c r="Q20576"/>
      <c r="R20576"/>
      <c r="S20576"/>
    </row>
    <row r="20577" spans="13:19" ht="13.95" customHeight="1">
      <c r="M20577"/>
      <c r="N20577"/>
      <c r="O20577"/>
      <c r="P20577"/>
      <c r="Q20577"/>
      <c r="R20577"/>
      <c r="S20577"/>
    </row>
    <row r="20578" spans="13:19" ht="13.95" customHeight="1">
      <c r="M20578"/>
      <c r="N20578"/>
      <c r="O20578"/>
      <c r="P20578"/>
      <c r="Q20578"/>
      <c r="R20578"/>
      <c r="S20578"/>
    </row>
    <row r="20579" spans="13:19" ht="13.95" customHeight="1">
      <c r="M20579"/>
      <c r="N20579"/>
      <c r="O20579"/>
      <c r="P20579"/>
      <c r="Q20579"/>
      <c r="R20579"/>
      <c r="S20579"/>
    </row>
    <row r="20580" spans="13:19" ht="13.95" customHeight="1">
      <c r="M20580"/>
      <c r="N20580"/>
      <c r="O20580"/>
      <c r="P20580"/>
      <c r="Q20580"/>
      <c r="R20580"/>
      <c r="S20580"/>
    </row>
    <row r="20581" spans="13:19" ht="13.95" customHeight="1">
      <c r="M20581"/>
      <c r="N20581"/>
      <c r="O20581"/>
      <c r="P20581"/>
      <c r="Q20581"/>
      <c r="R20581"/>
      <c r="S20581"/>
    </row>
    <row r="20582" spans="13:19" ht="13.95" customHeight="1">
      <c r="M20582"/>
      <c r="N20582"/>
      <c r="O20582"/>
      <c r="P20582"/>
      <c r="Q20582"/>
      <c r="R20582"/>
      <c r="S20582"/>
    </row>
    <row r="20583" spans="13:19" ht="13.95" customHeight="1">
      <c r="M20583"/>
      <c r="N20583"/>
      <c r="O20583"/>
      <c r="P20583"/>
      <c r="Q20583"/>
      <c r="R20583"/>
      <c r="S20583"/>
    </row>
    <row r="20584" spans="13:19" ht="13.95" customHeight="1">
      <c r="M20584"/>
      <c r="N20584"/>
      <c r="O20584"/>
      <c r="P20584"/>
      <c r="Q20584"/>
      <c r="R20584"/>
      <c r="S20584"/>
    </row>
    <row r="20585" spans="13:19" ht="13.95" customHeight="1">
      <c r="M20585"/>
      <c r="N20585"/>
      <c r="O20585"/>
      <c r="P20585"/>
      <c r="Q20585"/>
      <c r="R20585"/>
      <c r="S20585"/>
    </row>
    <row r="20586" spans="13:19" ht="13.95" customHeight="1">
      <c r="M20586"/>
      <c r="N20586"/>
      <c r="O20586"/>
      <c r="P20586"/>
      <c r="Q20586"/>
      <c r="R20586"/>
      <c r="S20586"/>
    </row>
    <row r="20587" spans="13:19" ht="13.95" customHeight="1">
      <c r="M20587"/>
      <c r="N20587"/>
      <c r="O20587"/>
      <c r="P20587"/>
      <c r="Q20587"/>
      <c r="R20587"/>
      <c r="S20587"/>
    </row>
    <row r="20588" spans="13:19" ht="13.95" customHeight="1">
      <c r="M20588"/>
      <c r="N20588"/>
      <c r="O20588"/>
      <c r="P20588"/>
      <c r="Q20588"/>
      <c r="R20588"/>
      <c r="S20588"/>
    </row>
    <row r="20589" spans="13:19" ht="13.95" customHeight="1">
      <c r="M20589"/>
      <c r="N20589"/>
      <c r="O20589"/>
      <c r="P20589"/>
      <c r="Q20589"/>
      <c r="R20589"/>
      <c r="S20589"/>
    </row>
    <row r="20590" spans="13:19" ht="13.95" customHeight="1">
      <c r="M20590"/>
      <c r="N20590"/>
      <c r="O20590"/>
      <c r="P20590"/>
      <c r="Q20590"/>
      <c r="R20590"/>
      <c r="S20590"/>
    </row>
    <row r="20591" spans="13:19" ht="13.95" customHeight="1">
      <c r="M20591"/>
      <c r="N20591"/>
      <c r="O20591"/>
      <c r="P20591"/>
      <c r="Q20591"/>
      <c r="R20591"/>
      <c r="S20591"/>
    </row>
    <row r="20592" spans="13:19" ht="13.95" customHeight="1">
      <c r="M20592"/>
      <c r="N20592"/>
      <c r="O20592"/>
      <c r="P20592"/>
      <c r="Q20592"/>
      <c r="R20592"/>
      <c r="S20592"/>
    </row>
    <row r="20593" spans="13:19" ht="13.95" customHeight="1">
      <c r="M20593"/>
      <c r="N20593"/>
      <c r="O20593"/>
      <c r="P20593"/>
      <c r="Q20593"/>
      <c r="R20593"/>
      <c r="S20593"/>
    </row>
    <row r="20594" spans="13:19" ht="13.95" customHeight="1">
      <c r="M20594"/>
      <c r="N20594"/>
      <c r="O20594"/>
      <c r="P20594"/>
      <c r="Q20594"/>
      <c r="R20594"/>
      <c r="S20594"/>
    </row>
    <row r="20595" spans="13:19" ht="13.95" customHeight="1">
      <c r="M20595"/>
      <c r="N20595"/>
      <c r="O20595"/>
      <c r="P20595"/>
      <c r="Q20595"/>
      <c r="R20595"/>
      <c r="S20595"/>
    </row>
    <row r="20596" spans="13:19" ht="13.95" customHeight="1">
      <c r="M20596"/>
      <c r="N20596"/>
      <c r="O20596"/>
      <c r="P20596"/>
      <c r="Q20596"/>
      <c r="R20596"/>
      <c r="S20596"/>
    </row>
    <row r="20597" spans="13:19" ht="13.95" customHeight="1">
      <c r="M20597"/>
      <c r="N20597"/>
      <c r="O20597"/>
      <c r="P20597"/>
      <c r="Q20597"/>
      <c r="R20597"/>
      <c r="S20597"/>
    </row>
    <row r="20598" spans="13:19" ht="13.95" customHeight="1">
      <c r="M20598"/>
      <c r="N20598"/>
      <c r="O20598"/>
      <c r="P20598"/>
      <c r="Q20598"/>
      <c r="R20598"/>
      <c r="S20598"/>
    </row>
    <row r="20599" spans="13:19" ht="13.95" customHeight="1">
      <c r="M20599"/>
      <c r="N20599"/>
      <c r="O20599"/>
      <c r="P20599"/>
      <c r="Q20599"/>
      <c r="R20599"/>
      <c r="S20599"/>
    </row>
    <row r="20600" spans="13:19" ht="13.95" customHeight="1">
      <c r="M20600"/>
      <c r="N20600"/>
      <c r="O20600"/>
      <c r="P20600"/>
      <c r="Q20600"/>
      <c r="R20600"/>
      <c r="S20600"/>
    </row>
    <row r="20601" spans="13:19" ht="13.95" customHeight="1">
      <c r="M20601"/>
      <c r="N20601"/>
      <c r="O20601"/>
      <c r="P20601"/>
      <c r="Q20601"/>
      <c r="R20601"/>
      <c r="S20601"/>
    </row>
    <row r="20602" spans="13:19" ht="13.95" customHeight="1">
      <c r="M20602"/>
      <c r="N20602"/>
      <c r="O20602"/>
      <c r="P20602"/>
      <c r="Q20602"/>
      <c r="R20602"/>
      <c r="S20602"/>
    </row>
    <row r="20603" spans="13:19" ht="13.95" customHeight="1">
      <c r="M20603"/>
      <c r="N20603"/>
      <c r="O20603"/>
      <c r="P20603"/>
      <c r="Q20603"/>
      <c r="R20603"/>
      <c r="S20603"/>
    </row>
    <row r="20604" spans="13:19" ht="13.95" customHeight="1">
      <c r="M20604"/>
      <c r="N20604"/>
      <c r="O20604"/>
      <c r="P20604"/>
      <c r="Q20604"/>
      <c r="R20604"/>
      <c r="S20604"/>
    </row>
    <row r="20605" spans="13:19" ht="13.95" customHeight="1">
      <c r="M20605"/>
      <c r="N20605"/>
      <c r="O20605"/>
      <c r="P20605"/>
      <c r="Q20605"/>
      <c r="R20605"/>
      <c r="S20605"/>
    </row>
    <row r="20606" spans="13:19" ht="13.95" customHeight="1">
      <c r="M20606"/>
      <c r="N20606"/>
      <c r="O20606"/>
      <c r="P20606"/>
      <c r="Q20606"/>
      <c r="R20606"/>
      <c r="S20606"/>
    </row>
    <row r="20607" spans="13:19" ht="13.95" customHeight="1">
      <c r="M20607"/>
      <c r="N20607"/>
      <c r="O20607"/>
      <c r="P20607"/>
      <c r="Q20607"/>
      <c r="R20607"/>
      <c r="S20607"/>
    </row>
    <row r="20608" spans="13:19" ht="13.95" customHeight="1">
      <c r="M20608"/>
      <c r="N20608"/>
      <c r="O20608"/>
      <c r="P20608"/>
      <c r="Q20608"/>
      <c r="R20608"/>
      <c r="S20608"/>
    </row>
    <row r="20609" spans="13:19" ht="13.95" customHeight="1">
      <c r="M20609"/>
      <c r="N20609"/>
      <c r="O20609"/>
      <c r="P20609"/>
      <c r="Q20609"/>
      <c r="R20609"/>
      <c r="S20609"/>
    </row>
    <row r="20610" spans="13:19" ht="13.95" customHeight="1">
      <c r="M20610"/>
      <c r="N20610"/>
      <c r="O20610"/>
      <c r="P20610"/>
      <c r="Q20610"/>
      <c r="R20610"/>
      <c r="S20610"/>
    </row>
    <row r="20611" spans="13:19" ht="13.95" customHeight="1">
      <c r="M20611"/>
      <c r="N20611"/>
      <c r="O20611"/>
      <c r="P20611"/>
      <c r="Q20611"/>
      <c r="R20611"/>
      <c r="S20611"/>
    </row>
    <row r="20612" spans="13:19" ht="13.95" customHeight="1">
      <c r="M20612"/>
      <c r="N20612"/>
      <c r="O20612"/>
      <c r="P20612"/>
      <c r="Q20612"/>
      <c r="R20612"/>
      <c r="S20612"/>
    </row>
    <row r="20613" spans="13:19" ht="13.95" customHeight="1">
      <c r="M20613"/>
      <c r="N20613"/>
      <c r="O20613"/>
      <c r="P20613"/>
      <c r="Q20613"/>
      <c r="R20613"/>
      <c r="S20613"/>
    </row>
    <row r="20614" spans="13:19" ht="13.95" customHeight="1">
      <c r="M20614"/>
      <c r="N20614"/>
      <c r="O20614"/>
      <c r="P20614"/>
      <c r="Q20614"/>
      <c r="R20614"/>
      <c r="S20614"/>
    </row>
    <row r="20615" spans="13:19" ht="13.95" customHeight="1">
      <c r="M20615"/>
      <c r="N20615"/>
      <c r="O20615"/>
      <c r="P20615"/>
      <c r="Q20615"/>
      <c r="R20615"/>
      <c r="S20615"/>
    </row>
    <row r="20616" spans="13:19" ht="13.95" customHeight="1">
      <c r="M20616"/>
      <c r="N20616"/>
      <c r="O20616"/>
      <c r="P20616"/>
      <c r="Q20616"/>
      <c r="R20616"/>
      <c r="S20616"/>
    </row>
    <row r="20617" spans="13:19" ht="13.95" customHeight="1">
      <c r="M20617"/>
      <c r="N20617"/>
      <c r="O20617"/>
      <c r="P20617"/>
      <c r="Q20617"/>
      <c r="R20617"/>
      <c r="S20617"/>
    </row>
    <row r="20618" spans="13:19" ht="13.95" customHeight="1">
      <c r="M20618"/>
      <c r="N20618"/>
      <c r="O20618"/>
      <c r="P20618"/>
      <c r="Q20618"/>
      <c r="R20618"/>
      <c r="S20618"/>
    </row>
    <row r="20619" spans="13:19" ht="13.95" customHeight="1">
      <c r="M20619"/>
      <c r="N20619"/>
      <c r="O20619"/>
      <c r="P20619"/>
      <c r="Q20619"/>
      <c r="R20619"/>
      <c r="S20619"/>
    </row>
    <row r="20620" spans="13:19" ht="13.95" customHeight="1">
      <c r="M20620"/>
      <c r="N20620"/>
      <c r="O20620"/>
      <c r="P20620"/>
      <c r="Q20620"/>
      <c r="R20620"/>
      <c r="S20620"/>
    </row>
    <row r="20621" spans="13:19" ht="13.95" customHeight="1">
      <c r="M20621"/>
      <c r="N20621"/>
      <c r="O20621"/>
      <c r="P20621"/>
      <c r="Q20621"/>
      <c r="R20621"/>
      <c r="S20621"/>
    </row>
    <row r="20622" spans="13:19" ht="13.95" customHeight="1">
      <c r="M20622"/>
      <c r="N20622"/>
      <c r="O20622"/>
      <c r="P20622"/>
      <c r="Q20622"/>
      <c r="R20622"/>
      <c r="S20622"/>
    </row>
    <row r="20623" spans="13:19" ht="13.95" customHeight="1">
      <c r="M20623"/>
      <c r="N20623"/>
      <c r="O20623"/>
      <c r="P20623"/>
      <c r="Q20623"/>
      <c r="R20623"/>
      <c r="S20623"/>
    </row>
    <row r="20624" spans="13:19" ht="13.95" customHeight="1">
      <c r="M20624"/>
      <c r="N20624"/>
      <c r="O20624"/>
      <c r="P20624"/>
      <c r="Q20624"/>
      <c r="R20624"/>
      <c r="S20624"/>
    </row>
    <row r="20625" spans="13:19" ht="13.95" customHeight="1">
      <c r="M20625"/>
      <c r="N20625"/>
      <c r="O20625"/>
      <c r="P20625"/>
      <c r="Q20625"/>
      <c r="R20625"/>
      <c r="S20625"/>
    </row>
    <row r="20626" spans="13:19" ht="13.95" customHeight="1">
      <c r="M20626"/>
      <c r="N20626"/>
      <c r="O20626"/>
      <c r="P20626"/>
      <c r="Q20626"/>
      <c r="R20626"/>
      <c r="S20626"/>
    </row>
    <row r="20627" spans="13:19" ht="13.95" customHeight="1">
      <c r="M20627"/>
      <c r="N20627"/>
      <c r="O20627"/>
      <c r="P20627"/>
      <c r="Q20627"/>
      <c r="R20627"/>
      <c r="S20627"/>
    </row>
    <row r="20628" spans="13:19" ht="13.95" customHeight="1">
      <c r="M20628"/>
      <c r="N20628"/>
      <c r="O20628"/>
      <c r="P20628"/>
      <c r="Q20628"/>
      <c r="R20628"/>
      <c r="S20628"/>
    </row>
    <row r="20629" spans="13:19" ht="13.95" customHeight="1">
      <c r="M20629"/>
      <c r="N20629"/>
      <c r="O20629"/>
      <c r="P20629"/>
      <c r="Q20629"/>
      <c r="R20629"/>
      <c r="S20629"/>
    </row>
    <row r="20630" spans="13:19" ht="13.95" customHeight="1">
      <c r="M20630"/>
      <c r="N20630"/>
      <c r="O20630"/>
      <c r="P20630"/>
      <c r="Q20630"/>
      <c r="R20630"/>
      <c r="S20630"/>
    </row>
    <row r="20631" spans="13:19" ht="13.95" customHeight="1">
      <c r="M20631"/>
      <c r="N20631"/>
      <c r="O20631"/>
      <c r="P20631"/>
      <c r="Q20631"/>
      <c r="R20631"/>
      <c r="S20631"/>
    </row>
    <row r="20632" spans="13:19" ht="13.95" customHeight="1">
      <c r="M20632"/>
      <c r="N20632"/>
      <c r="O20632"/>
      <c r="P20632"/>
      <c r="Q20632"/>
      <c r="R20632"/>
      <c r="S20632"/>
    </row>
    <row r="20633" spans="13:19" ht="13.95" customHeight="1">
      <c r="M20633"/>
      <c r="N20633"/>
      <c r="O20633"/>
      <c r="P20633"/>
      <c r="Q20633"/>
      <c r="R20633"/>
      <c r="S20633"/>
    </row>
    <row r="20634" spans="13:19" ht="13.95" customHeight="1">
      <c r="M20634"/>
      <c r="N20634"/>
      <c r="O20634"/>
      <c r="P20634"/>
      <c r="Q20634"/>
      <c r="R20634"/>
      <c r="S20634"/>
    </row>
    <row r="20635" spans="13:19" ht="13.95" customHeight="1">
      <c r="M20635"/>
      <c r="N20635"/>
      <c r="O20635"/>
      <c r="P20635"/>
      <c r="Q20635"/>
      <c r="R20635"/>
      <c r="S20635"/>
    </row>
    <row r="20636" spans="13:19" ht="13.95" customHeight="1">
      <c r="M20636"/>
      <c r="N20636"/>
      <c r="O20636"/>
      <c r="P20636"/>
      <c r="Q20636"/>
      <c r="R20636"/>
      <c r="S20636"/>
    </row>
    <row r="20637" spans="13:19" ht="13.95" customHeight="1">
      <c r="M20637"/>
      <c r="N20637"/>
      <c r="O20637"/>
      <c r="P20637"/>
      <c r="Q20637"/>
      <c r="R20637"/>
      <c r="S20637"/>
    </row>
    <row r="20638" spans="13:19" ht="13.95" customHeight="1">
      <c r="M20638"/>
      <c r="N20638"/>
      <c r="O20638"/>
      <c r="P20638"/>
      <c r="Q20638"/>
      <c r="R20638"/>
      <c r="S20638"/>
    </row>
    <row r="20639" spans="13:19" ht="13.95" customHeight="1">
      <c r="M20639"/>
      <c r="N20639"/>
      <c r="O20639"/>
      <c r="P20639"/>
      <c r="Q20639"/>
      <c r="R20639"/>
      <c r="S20639"/>
    </row>
    <row r="20640" spans="13:19" ht="13.95" customHeight="1">
      <c r="M20640"/>
      <c r="N20640"/>
      <c r="O20640"/>
      <c r="P20640"/>
      <c r="Q20640"/>
      <c r="R20640"/>
      <c r="S20640"/>
    </row>
    <row r="20641" spans="13:19" ht="13.95" customHeight="1">
      <c r="M20641"/>
      <c r="N20641"/>
      <c r="O20641"/>
      <c r="P20641"/>
      <c r="Q20641"/>
      <c r="R20641"/>
      <c r="S20641"/>
    </row>
    <row r="20642" spans="13:19" ht="13.95" customHeight="1">
      <c r="M20642"/>
      <c r="N20642"/>
      <c r="O20642"/>
      <c r="P20642"/>
      <c r="Q20642"/>
      <c r="R20642"/>
      <c r="S20642"/>
    </row>
    <row r="20643" spans="13:19" ht="13.95" customHeight="1">
      <c r="M20643"/>
      <c r="N20643"/>
      <c r="O20643"/>
      <c r="P20643"/>
      <c r="Q20643"/>
      <c r="R20643"/>
      <c r="S20643"/>
    </row>
    <row r="20644" spans="13:19" ht="13.95" customHeight="1">
      <c r="M20644"/>
      <c r="N20644"/>
      <c r="O20644"/>
      <c r="P20644"/>
      <c r="Q20644"/>
      <c r="R20644"/>
      <c r="S20644"/>
    </row>
    <row r="20645" spans="13:19" ht="13.95" customHeight="1">
      <c r="M20645"/>
      <c r="N20645"/>
      <c r="O20645"/>
      <c r="P20645"/>
      <c r="Q20645"/>
      <c r="R20645"/>
      <c r="S20645"/>
    </row>
    <row r="20646" spans="13:19" ht="13.95" customHeight="1">
      <c r="M20646"/>
      <c r="N20646"/>
      <c r="O20646"/>
      <c r="P20646"/>
      <c r="Q20646"/>
      <c r="R20646"/>
      <c r="S20646"/>
    </row>
    <row r="20647" spans="13:19" ht="13.95" customHeight="1">
      <c r="M20647"/>
      <c r="N20647"/>
      <c r="O20647"/>
      <c r="P20647"/>
      <c r="Q20647"/>
      <c r="R20647"/>
      <c r="S20647"/>
    </row>
    <row r="20648" spans="13:19" ht="13.95" customHeight="1">
      <c r="M20648"/>
      <c r="N20648"/>
      <c r="O20648"/>
      <c r="P20648"/>
      <c r="Q20648"/>
      <c r="R20648"/>
      <c r="S20648"/>
    </row>
    <row r="20649" spans="13:19" ht="13.95" customHeight="1">
      <c r="M20649"/>
      <c r="N20649"/>
      <c r="O20649"/>
      <c r="P20649"/>
      <c r="Q20649"/>
      <c r="R20649"/>
      <c r="S20649"/>
    </row>
    <row r="20650" spans="13:19" ht="13.95" customHeight="1">
      <c r="M20650"/>
      <c r="N20650"/>
      <c r="O20650"/>
      <c r="P20650"/>
      <c r="Q20650"/>
      <c r="R20650"/>
      <c r="S20650"/>
    </row>
    <row r="20651" spans="13:19" ht="13.95" customHeight="1">
      <c r="M20651"/>
      <c r="N20651"/>
      <c r="O20651"/>
      <c r="P20651"/>
      <c r="Q20651"/>
      <c r="R20651"/>
      <c r="S20651"/>
    </row>
    <row r="20652" spans="13:19" ht="13.95" customHeight="1">
      <c r="M20652"/>
      <c r="N20652"/>
      <c r="O20652"/>
      <c r="P20652"/>
      <c r="Q20652"/>
      <c r="R20652"/>
      <c r="S20652"/>
    </row>
    <row r="20653" spans="13:19" ht="13.95" customHeight="1">
      <c r="M20653"/>
      <c r="N20653"/>
      <c r="O20653"/>
      <c r="P20653"/>
      <c r="Q20653"/>
      <c r="R20653"/>
      <c r="S20653"/>
    </row>
    <row r="20654" spans="13:19" ht="13.95" customHeight="1">
      <c r="M20654"/>
      <c r="N20654"/>
      <c r="O20654"/>
      <c r="P20654"/>
      <c r="Q20654"/>
      <c r="R20654"/>
      <c r="S20654"/>
    </row>
    <row r="20655" spans="13:19" ht="13.95" customHeight="1">
      <c r="M20655"/>
      <c r="N20655"/>
      <c r="O20655"/>
      <c r="P20655"/>
      <c r="Q20655"/>
      <c r="R20655"/>
      <c r="S20655"/>
    </row>
    <row r="20656" spans="13:19" ht="13.95" customHeight="1">
      <c r="M20656"/>
      <c r="N20656"/>
      <c r="O20656"/>
      <c r="P20656"/>
      <c r="Q20656"/>
      <c r="R20656"/>
      <c r="S20656"/>
    </row>
    <row r="20657" spans="13:19" ht="13.95" customHeight="1">
      <c r="M20657"/>
      <c r="N20657"/>
      <c r="O20657"/>
      <c r="P20657"/>
      <c r="Q20657"/>
      <c r="R20657"/>
      <c r="S20657"/>
    </row>
    <row r="20658" spans="13:19" ht="13.95" customHeight="1">
      <c r="M20658"/>
      <c r="N20658"/>
      <c r="O20658"/>
      <c r="P20658"/>
      <c r="Q20658"/>
      <c r="R20658"/>
      <c r="S20658"/>
    </row>
    <row r="20659" spans="13:19" ht="13.95" customHeight="1">
      <c r="M20659"/>
      <c r="N20659"/>
      <c r="O20659"/>
      <c r="P20659"/>
      <c r="Q20659"/>
      <c r="R20659"/>
      <c r="S20659"/>
    </row>
    <row r="20660" spans="13:19" ht="13.95" customHeight="1">
      <c r="M20660"/>
      <c r="N20660"/>
      <c r="O20660"/>
      <c r="P20660"/>
      <c r="Q20660"/>
      <c r="R20660"/>
      <c r="S20660"/>
    </row>
    <row r="20661" spans="13:19" ht="13.95" customHeight="1">
      <c r="M20661"/>
      <c r="N20661"/>
      <c r="O20661"/>
      <c r="P20661"/>
      <c r="Q20661"/>
      <c r="R20661"/>
      <c r="S20661"/>
    </row>
    <row r="20662" spans="13:19" ht="13.95" customHeight="1">
      <c r="M20662"/>
      <c r="N20662"/>
      <c r="O20662"/>
      <c r="P20662"/>
      <c r="Q20662"/>
      <c r="R20662"/>
      <c r="S20662"/>
    </row>
    <row r="20663" spans="13:19" ht="13.95" customHeight="1">
      <c r="M20663"/>
      <c r="N20663"/>
      <c r="O20663"/>
      <c r="P20663"/>
      <c r="Q20663"/>
      <c r="R20663"/>
      <c r="S20663"/>
    </row>
    <row r="20664" spans="13:19" ht="13.95" customHeight="1">
      <c r="M20664"/>
      <c r="N20664"/>
      <c r="O20664"/>
      <c r="P20664"/>
      <c r="Q20664"/>
      <c r="R20664"/>
      <c r="S20664"/>
    </row>
    <row r="20665" spans="13:19" ht="13.95" customHeight="1">
      <c r="M20665"/>
      <c r="N20665"/>
      <c r="O20665"/>
      <c r="P20665"/>
      <c r="Q20665"/>
      <c r="R20665"/>
      <c r="S20665"/>
    </row>
    <row r="20666" spans="13:19" ht="13.95" customHeight="1">
      <c r="M20666"/>
      <c r="N20666"/>
      <c r="O20666"/>
      <c r="P20666"/>
      <c r="Q20666"/>
      <c r="R20666"/>
      <c r="S20666"/>
    </row>
    <row r="20667" spans="13:19" ht="13.95" customHeight="1">
      <c r="M20667"/>
      <c r="N20667"/>
      <c r="O20667"/>
      <c r="P20667"/>
      <c r="Q20667"/>
      <c r="R20667"/>
      <c r="S20667"/>
    </row>
    <row r="20668" spans="13:19" ht="13.95" customHeight="1">
      <c r="M20668"/>
      <c r="N20668"/>
      <c r="O20668"/>
      <c r="P20668"/>
      <c r="Q20668"/>
      <c r="R20668"/>
      <c r="S20668"/>
    </row>
    <row r="20669" spans="13:19" ht="13.95" customHeight="1">
      <c r="M20669"/>
      <c r="N20669"/>
      <c r="O20669"/>
      <c r="P20669"/>
      <c r="Q20669"/>
      <c r="R20669"/>
      <c r="S20669"/>
    </row>
    <row r="20670" spans="13:19" ht="13.95" customHeight="1">
      <c r="M20670"/>
      <c r="N20670"/>
      <c r="O20670"/>
      <c r="P20670"/>
      <c r="Q20670"/>
      <c r="R20670"/>
      <c r="S20670"/>
    </row>
    <row r="20671" spans="13:19" ht="13.95" customHeight="1">
      <c r="M20671"/>
      <c r="N20671"/>
      <c r="O20671"/>
      <c r="P20671"/>
      <c r="Q20671"/>
      <c r="R20671"/>
      <c r="S20671"/>
    </row>
    <row r="20672" spans="13:19" ht="13.95" customHeight="1">
      <c r="M20672"/>
      <c r="N20672"/>
      <c r="O20672"/>
      <c r="P20672"/>
      <c r="Q20672"/>
      <c r="R20672"/>
      <c r="S20672"/>
    </row>
    <row r="20673" spans="13:19" ht="13.95" customHeight="1">
      <c r="M20673"/>
      <c r="N20673"/>
      <c r="O20673"/>
      <c r="P20673"/>
      <c r="Q20673"/>
      <c r="R20673"/>
      <c r="S20673"/>
    </row>
    <row r="20674" spans="13:19" ht="13.95" customHeight="1">
      <c r="M20674"/>
      <c r="N20674"/>
      <c r="O20674"/>
      <c r="P20674"/>
      <c r="Q20674"/>
      <c r="R20674"/>
      <c r="S20674"/>
    </row>
    <row r="20675" spans="13:19" ht="13.95" customHeight="1">
      <c r="M20675"/>
      <c r="N20675"/>
      <c r="O20675"/>
      <c r="P20675"/>
      <c r="Q20675"/>
      <c r="R20675"/>
      <c r="S20675"/>
    </row>
    <row r="20676" spans="13:19" ht="13.95" customHeight="1">
      <c r="M20676"/>
      <c r="N20676"/>
      <c r="O20676"/>
      <c r="P20676"/>
      <c r="Q20676"/>
      <c r="R20676"/>
      <c r="S20676"/>
    </row>
    <row r="20677" spans="13:19" ht="13.95" customHeight="1">
      <c r="M20677"/>
      <c r="N20677"/>
      <c r="O20677"/>
      <c r="P20677"/>
      <c r="Q20677"/>
      <c r="R20677"/>
      <c r="S20677"/>
    </row>
    <row r="20678" spans="13:19" ht="13.95" customHeight="1">
      <c r="M20678"/>
      <c r="N20678"/>
      <c r="O20678"/>
      <c r="P20678"/>
      <c r="Q20678"/>
      <c r="R20678"/>
      <c r="S20678"/>
    </row>
    <row r="20679" spans="13:19" ht="13.95" customHeight="1">
      <c r="M20679"/>
      <c r="N20679"/>
      <c r="O20679"/>
      <c r="P20679"/>
      <c r="Q20679"/>
      <c r="R20679"/>
      <c r="S20679"/>
    </row>
    <row r="20680" spans="13:19" ht="13.95" customHeight="1">
      <c r="M20680"/>
      <c r="N20680"/>
      <c r="O20680"/>
      <c r="P20680"/>
      <c r="Q20680"/>
      <c r="R20680"/>
      <c r="S20680"/>
    </row>
    <row r="20681" spans="13:19" ht="13.95" customHeight="1">
      <c r="M20681"/>
      <c r="N20681"/>
      <c r="O20681"/>
      <c r="P20681"/>
      <c r="Q20681"/>
      <c r="R20681"/>
      <c r="S20681"/>
    </row>
    <row r="20682" spans="13:19" ht="13.95" customHeight="1">
      <c r="M20682"/>
      <c r="N20682"/>
      <c r="O20682"/>
      <c r="P20682"/>
      <c r="Q20682"/>
      <c r="R20682"/>
      <c r="S20682"/>
    </row>
    <row r="20683" spans="13:19" ht="13.95" customHeight="1">
      <c r="M20683"/>
      <c r="N20683"/>
      <c r="O20683"/>
      <c r="P20683"/>
      <c r="Q20683"/>
      <c r="R20683"/>
      <c r="S20683"/>
    </row>
    <row r="20684" spans="13:19" ht="13.95" customHeight="1">
      <c r="M20684"/>
      <c r="N20684"/>
      <c r="O20684"/>
      <c r="P20684"/>
      <c r="Q20684"/>
      <c r="R20684"/>
      <c r="S20684"/>
    </row>
    <row r="20685" spans="13:19" ht="13.95" customHeight="1">
      <c r="M20685"/>
      <c r="N20685"/>
      <c r="O20685"/>
      <c r="P20685"/>
      <c r="Q20685"/>
      <c r="R20685"/>
      <c r="S20685"/>
    </row>
    <row r="20686" spans="13:19" ht="13.95" customHeight="1">
      <c r="M20686"/>
      <c r="N20686"/>
      <c r="O20686"/>
      <c r="P20686"/>
      <c r="Q20686"/>
      <c r="R20686"/>
      <c r="S20686"/>
    </row>
    <row r="20687" spans="13:19" ht="13.95" customHeight="1">
      <c r="M20687"/>
      <c r="N20687"/>
      <c r="O20687"/>
      <c r="P20687"/>
      <c r="Q20687"/>
      <c r="R20687"/>
      <c r="S20687"/>
    </row>
    <row r="20688" spans="13:19" ht="13.95" customHeight="1">
      <c r="M20688"/>
      <c r="N20688"/>
      <c r="O20688"/>
      <c r="P20688"/>
      <c r="Q20688"/>
      <c r="R20688"/>
      <c r="S20688"/>
    </row>
    <row r="20689" spans="13:19" ht="13.95" customHeight="1">
      <c r="M20689"/>
      <c r="N20689"/>
      <c r="O20689"/>
      <c r="P20689"/>
      <c r="Q20689"/>
      <c r="R20689"/>
      <c r="S20689"/>
    </row>
    <row r="20690" spans="13:19" ht="13.95" customHeight="1">
      <c r="M20690"/>
      <c r="N20690"/>
      <c r="O20690"/>
      <c r="P20690"/>
      <c r="Q20690"/>
      <c r="R20690"/>
      <c r="S20690"/>
    </row>
    <row r="20691" spans="13:19" ht="13.95" customHeight="1">
      <c r="M20691"/>
      <c r="N20691"/>
      <c r="O20691"/>
      <c r="P20691"/>
      <c r="Q20691"/>
      <c r="R20691"/>
      <c r="S20691"/>
    </row>
    <row r="20692" spans="13:19" ht="13.95" customHeight="1">
      <c r="M20692"/>
      <c r="N20692"/>
      <c r="O20692"/>
      <c r="P20692"/>
      <c r="Q20692"/>
      <c r="R20692"/>
      <c r="S20692"/>
    </row>
    <row r="20693" spans="13:19" ht="13.95" customHeight="1">
      <c r="M20693"/>
      <c r="N20693"/>
      <c r="O20693"/>
      <c r="P20693"/>
      <c r="Q20693"/>
      <c r="R20693"/>
      <c r="S20693"/>
    </row>
    <row r="20694" spans="13:19" ht="13.95" customHeight="1">
      <c r="M20694"/>
      <c r="N20694"/>
      <c r="O20694"/>
      <c r="P20694"/>
      <c r="Q20694"/>
      <c r="R20694"/>
      <c r="S20694"/>
    </row>
    <row r="20695" spans="13:19" ht="13.95" customHeight="1">
      <c r="M20695"/>
      <c r="N20695"/>
      <c r="O20695"/>
      <c r="P20695"/>
      <c r="Q20695"/>
      <c r="R20695"/>
      <c r="S20695"/>
    </row>
    <row r="20696" spans="13:19" ht="13.95" customHeight="1">
      <c r="M20696"/>
      <c r="N20696"/>
      <c r="O20696"/>
      <c r="P20696"/>
      <c r="Q20696"/>
      <c r="R20696"/>
      <c r="S20696"/>
    </row>
    <row r="20697" spans="13:19" ht="13.95" customHeight="1">
      <c r="M20697"/>
      <c r="N20697"/>
      <c r="O20697"/>
      <c r="P20697"/>
      <c r="Q20697"/>
      <c r="R20697"/>
      <c r="S20697"/>
    </row>
    <row r="20698" spans="13:19" ht="13.95" customHeight="1">
      <c r="M20698"/>
      <c r="N20698"/>
      <c r="O20698"/>
      <c r="P20698"/>
      <c r="Q20698"/>
      <c r="R20698"/>
      <c r="S20698"/>
    </row>
    <row r="20699" spans="13:19" ht="13.95" customHeight="1">
      <c r="M20699"/>
      <c r="N20699"/>
      <c r="O20699"/>
      <c r="P20699"/>
      <c r="Q20699"/>
      <c r="R20699"/>
      <c r="S20699"/>
    </row>
    <row r="20700" spans="13:19" ht="13.95" customHeight="1">
      <c r="M20700"/>
      <c r="N20700"/>
      <c r="O20700"/>
      <c r="P20700"/>
      <c r="Q20700"/>
      <c r="R20700"/>
      <c r="S20700"/>
    </row>
    <row r="20701" spans="13:19" ht="13.95" customHeight="1">
      <c r="M20701"/>
      <c r="N20701"/>
      <c r="O20701"/>
      <c r="P20701"/>
      <c r="Q20701"/>
      <c r="R20701"/>
      <c r="S20701"/>
    </row>
    <row r="20702" spans="13:19" ht="13.95" customHeight="1">
      <c r="M20702"/>
      <c r="N20702"/>
      <c r="O20702"/>
      <c r="P20702"/>
      <c r="Q20702"/>
      <c r="R20702"/>
      <c r="S20702"/>
    </row>
    <row r="20703" spans="13:19" ht="13.95" customHeight="1">
      <c r="M20703"/>
      <c r="N20703"/>
      <c r="O20703"/>
      <c r="P20703"/>
      <c r="Q20703"/>
      <c r="R20703"/>
      <c r="S20703"/>
    </row>
    <row r="20704" spans="13:19" ht="13.95" customHeight="1">
      <c r="M20704"/>
      <c r="N20704"/>
      <c r="O20704"/>
      <c r="P20704"/>
      <c r="Q20704"/>
      <c r="R20704"/>
      <c r="S20704"/>
    </row>
    <row r="20705" spans="13:19" ht="13.95" customHeight="1">
      <c r="M20705"/>
      <c r="N20705"/>
      <c r="O20705"/>
      <c r="P20705"/>
      <c r="Q20705"/>
      <c r="R20705"/>
      <c r="S20705"/>
    </row>
    <row r="20706" spans="13:19" ht="13.95" customHeight="1">
      <c r="M20706"/>
      <c r="N20706"/>
      <c r="O20706"/>
      <c r="P20706"/>
      <c r="Q20706"/>
      <c r="R20706"/>
      <c r="S20706"/>
    </row>
    <row r="20707" spans="13:19" ht="13.95" customHeight="1">
      <c r="M20707"/>
      <c r="N20707"/>
      <c r="O20707"/>
      <c r="P20707"/>
      <c r="Q20707"/>
      <c r="R20707"/>
      <c r="S20707"/>
    </row>
    <row r="20708" spans="13:19" ht="13.95" customHeight="1">
      <c r="M20708"/>
      <c r="N20708"/>
      <c r="O20708"/>
      <c r="P20708"/>
      <c r="Q20708"/>
      <c r="R20708"/>
      <c r="S20708"/>
    </row>
    <row r="20709" spans="13:19" ht="13.95" customHeight="1">
      <c r="M20709"/>
      <c r="N20709"/>
      <c r="O20709"/>
      <c r="P20709"/>
      <c r="Q20709"/>
      <c r="R20709"/>
      <c r="S20709"/>
    </row>
    <row r="20710" spans="13:19" ht="13.95" customHeight="1">
      <c r="M20710"/>
      <c r="N20710"/>
      <c r="O20710"/>
      <c r="P20710"/>
      <c r="Q20710"/>
      <c r="R20710"/>
      <c r="S20710"/>
    </row>
    <row r="20711" spans="13:19" ht="13.95" customHeight="1">
      <c r="M20711"/>
      <c r="N20711"/>
      <c r="O20711"/>
      <c r="P20711"/>
      <c r="Q20711"/>
      <c r="R20711"/>
      <c r="S20711"/>
    </row>
    <row r="20712" spans="13:19" ht="13.95" customHeight="1">
      <c r="M20712"/>
      <c r="N20712"/>
      <c r="O20712"/>
      <c r="P20712"/>
      <c r="Q20712"/>
      <c r="R20712"/>
      <c r="S20712"/>
    </row>
    <row r="20713" spans="13:19" ht="13.95" customHeight="1">
      <c r="M20713"/>
      <c r="N20713"/>
      <c r="O20713"/>
      <c r="P20713"/>
      <c r="Q20713"/>
      <c r="R20713"/>
      <c r="S20713"/>
    </row>
    <row r="20714" spans="13:19" ht="13.95" customHeight="1">
      <c r="M20714"/>
      <c r="N20714"/>
      <c r="O20714"/>
      <c r="P20714"/>
      <c r="Q20714"/>
      <c r="R20714"/>
      <c r="S20714"/>
    </row>
    <row r="20715" spans="13:19" ht="13.95" customHeight="1">
      <c r="M20715"/>
      <c r="N20715"/>
      <c r="O20715"/>
      <c r="P20715"/>
      <c r="Q20715"/>
      <c r="R20715"/>
      <c r="S20715"/>
    </row>
    <row r="20716" spans="13:19" ht="13.95" customHeight="1">
      <c r="M20716"/>
      <c r="N20716"/>
      <c r="O20716"/>
      <c r="P20716"/>
      <c r="Q20716"/>
      <c r="R20716"/>
      <c r="S20716"/>
    </row>
    <row r="20717" spans="13:19" ht="13.95" customHeight="1">
      <c r="M20717"/>
      <c r="N20717"/>
      <c r="O20717"/>
      <c r="P20717"/>
      <c r="Q20717"/>
      <c r="R20717"/>
      <c r="S20717"/>
    </row>
    <row r="20718" spans="13:19" ht="13.95" customHeight="1">
      <c r="M20718"/>
      <c r="N20718"/>
      <c r="O20718"/>
      <c r="P20718"/>
      <c r="Q20718"/>
      <c r="R20718"/>
      <c r="S20718"/>
    </row>
    <row r="20719" spans="13:19" ht="13.95" customHeight="1">
      <c r="M20719"/>
      <c r="N20719"/>
      <c r="O20719"/>
      <c r="P20719"/>
      <c r="Q20719"/>
      <c r="R20719"/>
      <c r="S20719"/>
    </row>
    <row r="20720" spans="13:19" ht="13.95" customHeight="1">
      <c r="M20720"/>
      <c r="N20720"/>
      <c r="O20720"/>
      <c r="P20720"/>
      <c r="Q20720"/>
      <c r="R20720"/>
      <c r="S20720"/>
    </row>
    <row r="20721" spans="13:19" ht="13.95" customHeight="1">
      <c r="M20721"/>
      <c r="N20721"/>
      <c r="O20721"/>
      <c r="P20721"/>
      <c r="Q20721"/>
      <c r="R20721"/>
      <c r="S20721"/>
    </row>
    <row r="20722" spans="13:19" ht="13.95" customHeight="1">
      <c r="M20722"/>
      <c r="N20722"/>
      <c r="O20722"/>
      <c r="P20722"/>
      <c r="Q20722"/>
      <c r="R20722"/>
      <c r="S20722"/>
    </row>
    <row r="20723" spans="13:19" ht="13.95" customHeight="1">
      <c r="M20723"/>
      <c r="N20723"/>
      <c r="O20723"/>
      <c r="P20723"/>
      <c r="Q20723"/>
      <c r="R20723"/>
      <c r="S20723"/>
    </row>
    <row r="20724" spans="13:19" ht="13.95" customHeight="1">
      <c r="M20724"/>
      <c r="N20724"/>
      <c r="O20724"/>
      <c r="P20724"/>
      <c r="Q20724"/>
      <c r="R20724"/>
      <c r="S20724"/>
    </row>
    <row r="20725" spans="13:19" ht="13.95" customHeight="1">
      <c r="M20725"/>
      <c r="N20725"/>
      <c r="O20725"/>
      <c r="P20725"/>
      <c r="Q20725"/>
      <c r="R20725"/>
      <c r="S20725"/>
    </row>
    <row r="20726" spans="13:19" ht="13.95" customHeight="1">
      <c r="M20726"/>
      <c r="N20726"/>
      <c r="O20726"/>
      <c r="P20726"/>
      <c r="Q20726"/>
      <c r="R20726"/>
      <c r="S20726"/>
    </row>
    <row r="20727" spans="13:19" ht="13.95" customHeight="1">
      <c r="M20727"/>
      <c r="N20727"/>
      <c r="O20727"/>
      <c r="P20727"/>
      <c r="Q20727"/>
      <c r="R20727"/>
      <c r="S20727"/>
    </row>
    <row r="20728" spans="13:19" ht="13.95" customHeight="1">
      <c r="M20728"/>
      <c r="N20728"/>
      <c r="O20728"/>
      <c r="P20728"/>
      <c r="Q20728"/>
      <c r="R20728"/>
      <c r="S20728"/>
    </row>
    <row r="20729" spans="13:19" ht="13.95" customHeight="1">
      <c r="M20729"/>
      <c r="N20729"/>
      <c r="O20729"/>
      <c r="P20729"/>
      <c r="Q20729"/>
      <c r="R20729"/>
      <c r="S20729"/>
    </row>
    <row r="20730" spans="13:19" ht="13.95" customHeight="1">
      <c r="M20730"/>
      <c r="N20730"/>
      <c r="O20730"/>
      <c r="P20730"/>
      <c r="Q20730"/>
      <c r="R20730"/>
      <c r="S20730"/>
    </row>
    <row r="20731" spans="13:19" ht="13.95" customHeight="1">
      <c r="M20731"/>
      <c r="N20731"/>
      <c r="O20731"/>
      <c r="P20731"/>
      <c r="Q20731"/>
      <c r="R20731"/>
      <c r="S20731"/>
    </row>
    <row r="20732" spans="13:19" ht="13.95" customHeight="1">
      <c r="M20732"/>
      <c r="N20732"/>
      <c r="O20732"/>
      <c r="P20732"/>
      <c r="Q20732"/>
      <c r="R20732"/>
      <c r="S20732"/>
    </row>
    <row r="20733" spans="13:19" ht="13.95" customHeight="1">
      <c r="M20733"/>
      <c r="N20733"/>
      <c r="O20733"/>
      <c r="P20733"/>
      <c r="Q20733"/>
      <c r="R20733"/>
      <c r="S20733"/>
    </row>
    <row r="20734" spans="13:19" ht="13.95" customHeight="1">
      <c r="M20734"/>
      <c r="N20734"/>
      <c r="O20734"/>
      <c r="P20734"/>
      <c r="Q20734"/>
      <c r="R20734"/>
      <c r="S20734"/>
    </row>
    <row r="20735" spans="13:19" ht="13.95" customHeight="1">
      <c r="M20735"/>
      <c r="N20735"/>
      <c r="O20735"/>
      <c r="P20735"/>
      <c r="Q20735"/>
      <c r="R20735"/>
      <c r="S20735"/>
    </row>
    <row r="20736" spans="13:19" ht="13.95" customHeight="1">
      <c r="M20736"/>
      <c r="N20736"/>
      <c r="O20736"/>
      <c r="P20736"/>
      <c r="Q20736"/>
      <c r="R20736"/>
      <c r="S20736"/>
    </row>
    <row r="20737" spans="13:19" ht="13.95" customHeight="1">
      <c r="M20737"/>
      <c r="N20737"/>
      <c r="O20737"/>
      <c r="P20737"/>
      <c r="Q20737"/>
      <c r="R20737"/>
      <c r="S20737"/>
    </row>
    <row r="20738" spans="13:19" ht="13.95" customHeight="1">
      <c r="M20738"/>
      <c r="N20738"/>
      <c r="O20738"/>
      <c r="P20738"/>
      <c r="Q20738"/>
      <c r="R20738"/>
      <c r="S20738"/>
    </row>
    <row r="20739" spans="13:19" ht="13.95" customHeight="1">
      <c r="M20739"/>
      <c r="N20739"/>
      <c r="O20739"/>
      <c r="P20739"/>
      <c r="Q20739"/>
      <c r="R20739"/>
      <c r="S20739"/>
    </row>
    <row r="20740" spans="13:19" ht="13.95" customHeight="1">
      <c r="M20740"/>
      <c r="N20740"/>
      <c r="O20740"/>
      <c r="P20740"/>
      <c r="Q20740"/>
      <c r="R20740"/>
      <c r="S20740"/>
    </row>
    <row r="20741" spans="13:19" ht="13.95" customHeight="1">
      <c r="M20741"/>
      <c r="N20741"/>
      <c r="O20741"/>
      <c r="P20741"/>
      <c r="Q20741"/>
      <c r="R20741"/>
      <c r="S20741"/>
    </row>
    <row r="20742" spans="13:19" ht="13.95" customHeight="1">
      <c r="M20742"/>
      <c r="N20742"/>
      <c r="O20742"/>
      <c r="P20742"/>
      <c r="Q20742"/>
      <c r="R20742"/>
      <c r="S20742"/>
    </row>
    <row r="20743" spans="13:19" ht="13.95" customHeight="1">
      <c r="M20743"/>
      <c r="N20743"/>
      <c r="O20743"/>
      <c r="P20743"/>
      <c r="Q20743"/>
      <c r="R20743"/>
      <c r="S20743"/>
    </row>
    <row r="20744" spans="13:19" ht="13.95" customHeight="1">
      <c r="M20744"/>
      <c r="N20744"/>
      <c r="O20744"/>
      <c r="P20744"/>
      <c r="Q20744"/>
      <c r="R20744"/>
      <c r="S20744"/>
    </row>
    <row r="20745" spans="13:19" ht="13.95" customHeight="1">
      <c r="M20745"/>
      <c r="N20745"/>
      <c r="O20745"/>
      <c r="P20745"/>
      <c r="Q20745"/>
      <c r="R20745"/>
      <c r="S20745"/>
    </row>
    <row r="20746" spans="13:19" ht="13.95" customHeight="1">
      <c r="M20746"/>
      <c r="N20746"/>
      <c r="O20746"/>
      <c r="P20746"/>
      <c r="Q20746"/>
      <c r="R20746"/>
      <c r="S20746"/>
    </row>
    <row r="20747" spans="13:19" ht="13.95" customHeight="1">
      <c r="M20747"/>
      <c r="N20747"/>
      <c r="O20747"/>
      <c r="P20747"/>
      <c r="Q20747"/>
      <c r="R20747"/>
      <c r="S20747"/>
    </row>
    <row r="20748" spans="13:19" ht="13.95" customHeight="1">
      <c r="M20748"/>
      <c r="N20748"/>
      <c r="O20748"/>
      <c r="P20748"/>
      <c r="Q20748"/>
      <c r="R20748"/>
      <c r="S20748"/>
    </row>
    <row r="20749" spans="13:19" ht="13.95" customHeight="1">
      <c r="M20749"/>
      <c r="N20749"/>
      <c r="O20749"/>
      <c r="P20749"/>
      <c r="Q20749"/>
      <c r="R20749"/>
      <c r="S20749"/>
    </row>
    <row r="20750" spans="13:19" ht="13.95" customHeight="1">
      <c r="M20750"/>
      <c r="N20750"/>
      <c r="O20750"/>
      <c r="P20750"/>
      <c r="Q20750"/>
      <c r="R20750"/>
      <c r="S20750"/>
    </row>
    <row r="20751" spans="13:19" ht="13.95" customHeight="1">
      <c r="M20751"/>
      <c r="N20751"/>
      <c r="O20751"/>
      <c r="P20751"/>
      <c r="Q20751"/>
      <c r="R20751"/>
      <c r="S20751"/>
    </row>
    <row r="20752" spans="13:19" ht="13.95" customHeight="1">
      <c r="M20752"/>
      <c r="N20752"/>
      <c r="O20752"/>
      <c r="P20752"/>
      <c r="Q20752"/>
      <c r="R20752"/>
      <c r="S20752"/>
    </row>
    <row r="20753" spans="13:19" ht="13.95" customHeight="1">
      <c r="M20753"/>
      <c r="N20753"/>
      <c r="O20753"/>
      <c r="P20753"/>
      <c r="Q20753"/>
      <c r="R20753"/>
      <c r="S20753"/>
    </row>
    <row r="20754" spans="13:19" ht="13.95" customHeight="1">
      <c r="M20754"/>
      <c r="N20754"/>
      <c r="O20754"/>
      <c r="P20754"/>
      <c r="Q20754"/>
      <c r="R20754"/>
      <c r="S20754"/>
    </row>
    <row r="20755" spans="13:19" ht="13.95" customHeight="1">
      <c r="M20755"/>
      <c r="N20755"/>
      <c r="O20755"/>
      <c r="P20755"/>
      <c r="Q20755"/>
      <c r="R20755"/>
      <c r="S20755"/>
    </row>
    <row r="20756" spans="13:19" ht="13.95" customHeight="1">
      <c r="M20756"/>
      <c r="N20756"/>
      <c r="O20756"/>
      <c r="P20756"/>
      <c r="Q20756"/>
      <c r="R20756"/>
      <c r="S20756"/>
    </row>
    <row r="20757" spans="13:19" ht="13.95" customHeight="1">
      <c r="M20757"/>
      <c r="N20757"/>
      <c r="O20757"/>
      <c r="P20757"/>
      <c r="Q20757"/>
      <c r="R20757"/>
      <c r="S20757"/>
    </row>
    <row r="20758" spans="13:19" ht="13.95" customHeight="1">
      <c r="M20758"/>
      <c r="N20758"/>
      <c r="O20758"/>
      <c r="P20758"/>
      <c r="Q20758"/>
      <c r="R20758"/>
      <c r="S20758"/>
    </row>
    <row r="20759" spans="13:19" ht="13.95" customHeight="1">
      <c r="M20759"/>
      <c r="N20759"/>
      <c r="O20759"/>
      <c r="P20759"/>
      <c r="Q20759"/>
      <c r="R20759"/>
      <c r="S20759"/>
    </row>
    <row r="20760" spans="13:19" ht="13.95" customHeight="1">
      <c r="M20760"/>
      <c r="N20760"/>
      <c r="O20760"/>
      <c r="P20760"/>
      <c r="Q20760"/>
      <c r="R20760"/>
      <c r="S20760"/>
    </row>
    <row r="20761" spans="13:19" ht="13.95" customHeight="1">
      <c r="M20761"/>
      <c r="N20761"/>
      <c r="O20761"/>
      <c r="P20761"/>
      <c r="Q20761"/>
      <c r="R20761"/>
      <c r="S20761"/>
    </row>
    <row r="20762" spans="13:19" ht="13.95" customHeight="1">
      <c r="M20762"/>
      <c r="N20762"/>
      <c r="O20762"/>
      <c r="P20762"/>
      <c r="Q20762"/>
      <c r="R20762"/>
      <c r="S20762"/>
    </row>
    <row r="20763" spans="13:19" ht="13.95" customHeight="1">
      <c r="M20763"/>
      <c r="N20763"/>
      <c r="O20763"/>
      <c r="P20763"/>
      <c r="Q20763"/>
      <c r="R20763"/>
      <c r="S20763"/>
    </row>
    <row r="20764" spans="13:19" ht="13.95" customHeight="1">
      <c r="M20764"/>
      <c r="N20764"/>
      <c r="O20764"/>
      <c r="P20764"/>
      <c r="Q20764"/>
      <c r="R20764"/>
      <c r="S20764"/>
    </row>
    <row r="20765" spans="13:19" ht="13.95" customHeight="1">
      <c r="M20765"/>
      <c r="N20765"/>
      <c r="O20765"/>
      <c r="P20765"/>
      <c r="Q20765"/>
      <c r="R20765"/>
      <c r="S20765"/>
    </row>
    <row r="20766" spans="13:19" ht="13.95" customHeight="1">
      <c r="M20766"/>
      <c r="N20766"/>
      <c r="O20766"/>
      <c r="P20766"/>
      <c r="Q20766"/>
      <c r="R20766"/>
      <c r="S20766"/>
    </row>
    <row r="20767" spans="13:19" ht="13.95" customHeight="1">
      <c r="M20767"/>
      <c r="N20767"/>
      <c r="O20767"/>
      <c r="P20767"/>
      <c r="Q20767"/>
      <c r="R20767"/>
      <c r="S20767"/>
    </row>
    <row r="20768" spans="13:19" ht="13.95" customHeight="1">
      <c r="M20768"/>
      <c r="N20768"/>
      <c r="O20768"/>
      <c r="P20768"/>
      <c r="Q20768"/>
      <c r="R20768"/>
      <c r="S20768"/>
    </row>
    <row r="20769" spans="13:19" ht="13.95" customHeight="1">
      <c r="M20769"/>
      <c r="N20769"/>
      <c r="O20769"/>
      <c r="P20769"/>
      <c r="Q20769"/>
      <c r="R20769"/>
      <c r="S20769"/>
    </row>
    <row r="20770" spans="13:19" ht="13.95" customHeight="1">
      <c r="M20770"/>
      <c r="N20770"/>
      <c r="O20770"/>
      <c r="P20770"/>
      <c r="Q20770"/>
      <c r="R20770"/>
      <c r="S20770"/>
    </row>
    <row r="20771" spans="13:19" ht="13.95" customHeight="1">
      <c r="M20771"/>
      <c r="N20771"/>
      <c r="O20771"/>
      <c r="P20771"/>
      <c r="Q20771"/>
      <c r="R20771"/>
      <c r="S20771"/>
    </row>
    <row r="20772" spans="13:19" ht="13.95" customHeight="1">
      <c r="M20772"/>
      <c r="N20772"/>
      <c r="O20772"/>
      <c r="P20772"/>
      <c r="Q20772"/>
      <c r="R20772"/>
      <c r="S20772"/>
    </row>
    <row r="20773" spans="13:19" ht="13.95" customHeight="1">
      <c r="M20773"/>
      <c r="N20773"/>
      <c r="O20773"/>
      <c r="P20773"/>
      <c r="Q20773"/>
      <c r="R20773"/>
      <c r="S20773"/>
    </row>
    <row r="20774" spans="13:19" ht="13.95" customHeight="1">
      <c r="M20774"/>
      <c r="N20774"/>
      <c r="O20774"/>
      <c r="P20774"/>
      <c r="Q20774"/>
      <c r="R20774"/>
      <c r="S20774"/>
    </row>
    <row r="20775" spans="13:19" ht="13.95" customHeight="1">
      <c r="M20775"/>
      <c r="N20775"/>
      <c r="O20775"/>
      <c r="P20775"/>
      <c r="Q20775"/>
      <c r="R20775"/>
      <c r="S20775"/>
    </row>
    <row r="20776" spans="13:19" ht="13.95" customHeight="1">
      <c r="M20776"/>
      <c r="N20776"/>
      <c r="O20776"/>
      <c r="P20776"/>
      <c r="Q20776"/>
      <c r="R20776"/>
      <c r="S20776"/>
    </row>
    <row r="20777" spans="13:19" ht="13.95" customHeight="1">
      <c r="M20777"/>
      <c r="N20777"/>
      <c r="O20777"/>
      <c r="P20777"/>
      <c r="Q20777"/>
      <c r="R20777"/>
      <c r="S20777"/>
    </row>
    <row r="20778" spans="13:19" ht="13.95" customHeight="1">
      <c r="M20778"/>
      <c r="N20778"/>
      <c r="O20778"/>
      <c r="P20778"/>
      <c r="Q20778"/>
      <c r="R20778"/>
      <c r="S20778"/>
    </row>
    <row r="20779" spans="13:19" ht="13.95" customHeight="1">
      <c r="M20779"/>
      <c r="N20779"/>
      <c r="O20779"/>
      <c r="P20779"/>
      <c r="Q20779"/>
      <c r="R20779"/>
      <c r="S20779"/>
    </row>
    <row r="20780" spans="13:19" ht="13.95" customHeight="1">
      <c r="M20780"/>
      <c r="N20780"/>
      <c r="O20780"/>
      <c r="P20780"/>
      <c r="Q20780"/>
      <c r="R20780"/>
      <c r="S20780"/>
    </row>
    <row r="20781" spans="13:19" ht="13.95" customHeight="1">
      <c r="M20781"/>
      <c r="N20781"/>
      <c r="O20781"/>
      <c r="P20781"/>
      <c r="Q20781"/>
      <c r="R20781"/>
      <c r="S20781"/>
    </row>
    <row r="20782" spans="13:19" ht="13.95" customHeight="1">
      <c r="M20782"/>
      <c r="N20782"/>
      <c r="O20782"/>
      <c r="P20782"/>
      <c r="Q20782"/>
      <c r="R20782"/>
      <c r="S20782"/>
    </row>
    <row r="20783" spans="13:19" ht="13.95" customHeight="1">
      <c r="M20783"/>
      <c r="N20783"/>
      <c r="O20783"/>
      <c r="P20783"/>
      <c r="Q20783"/>
      <c r="R20783"/>
      <c r="S20783"/>
    </row>
    <row r="20784" spans="13:19" ht="13.95" customHeight="1">
      <c r="M20784"/>
      <c r="N20784"/>
      <c r="O20784"/>
      <c r="P20784"/>
      <c r="Q20784"/>
      <c r="R20784"/>
      <c r="S20784"/>
    </row>
    <row r="20785" spans="13:19" ht="13.95" customHeight="1">
      <c r="M20785"/>
      <c r="N20785"/>
      <c r="O20785"/>
      <c r="P20785"/>
      <c r="Q20785"/>
      <c r="R20785"/>
      <c r="S20785"/>
    </row>
    <row r="20786" spans="13:19" ht="13.95" customHeight="1">
      <c r="M20786"/>
      <c r="N20786"/>
      <c r="O20786"/>
      <c r="P20786"/>
      <c r="Q20786"/>
      <c r="R20786"/>
      <c r="S20786"/>
    </row>
    <row r="20787" spans="13:19" ht="13.95" customHeight="1">
      <c r="M20787"/>
      <c r="N20787"/>
      <c r="O20787"/>
      <c r="P20787"/>
      <c r="Q20787"/>
      <c r="R20787"/>
      <c r="S20787"/>
    </row>
    <row r="20788" spans="13:19" ht="13.95" customHeight="1">
      <c r="M20788"/>
      <c r="N20788"/>
      <c r="O20788"/>
      <c r="P20788"/>
      <c r="Q20788"/>
      <c r="R20788"/>
      <c r="S20788"/>
    </row>
    <row r="20789" spans="13:19" ht="13.95" customHeight="1">
      <c r="M20789"/>
      <c r="N20789"/>
      <c r="O20789"/>
      <c r="P20789"/>
      <c r="Q20789"/>
      <c r="R20789"/>
      <c r="S20789"/>
    </row>
    <row r="20790" spans="13:19" ht="13.95" customHeight="1">
      <c r="M20790"/>
      <c r="N20790"/>
      <c r="O20790"/>
      <c r="P20790"/>
      <c r="Q20790"/>
      <c r="R20790"/>
      <c r="S20790"/>
    </row>
    <row r="20791" spans="13:19" ht="13.95" customHeight="1">
      <c r="M20791"/>
      <c r="N20791"/>
      <c r="O20791"/>
      <c r="P20791"/>
      <c r="Q20791"/>
      <c r="R20791"/>
      <c r="S20791"/>
    </row>
    <row r="20792" spans="13:19" ht="13.95" customHeight="1">
      <c r="M20792"/>
      <c r="N20792"/>
      <c r="O20792"/>
      <c r="P20792"/>
      <c r="Q20792"/>
      <c r="R20792"/>
      <c r="S20792"/>
    </row>
    <row r="20793" spans="13:19" ht="13.95" customHeight="1">
      <c r="M20793"/>
      <c r="N20793"/>
      <c r="O20793"/>
      <c r="P20793"/>
      <c r="Q20793"/>
      <c r="R20793"/>
      <c r="S20793"/>
    </row>
    <row r="20794" spans="13:19" ht="13.95" customHeight="1">
      <c r="M20794"/>
      <c r="N20794"/>
      <c r="O20794"/>
      <c r="P20794"/>
      <c r="Q20794"/>
      <c r="R20794"/>
      <c r="S20794"/>
    </row>
    <row r="20795" spans="13:19" ht="13.95" customHeight="1">
      <c r="M20795"/>
      <c r="N20795"/>
      <c r="O20795"/>
      <c r="P20795"/>
      <c r="Q20795"/>
      <c r="R20795"/>
      <c r="S20795"/>
    </row>
    <row r="20796" spans="13:19" ht="13.95" customHeight="1">
      <c r="M20796"/>
      <c r="N20796"/>
      <c r="O20796"/>
      <c r="P20796"/>
      <c r="Q20796"/>
      <c r="R20796"/>
      <c r="S20796"/>
    </row>
    <row r="20797" spans="13:19" ht="13.95" customHeight="1">
      <c r="M20797"/>
      <c r="N20797"/>
      <c r="O20797"/>
      <c r="P20797"/>
      <c r="Q20797"/>
      <c r="R20797"/>
      <c r="S20797"/>
    </row>
    <row r="20798" spans="13:19" ht="13.95" customHeight="1">
      <c r="M20798"/>
      <c r="N20798"/>
      <c r="O20798"/>
      <c r="P20798"/>
      <c r="Q20798"/>
      <c r="R20798"/>
      <c r="S20798"/>
    </row>
    <row r="20799" spans="13:19" ht="13.95" customHeight="1">
      <c r="M20799"/>
      <c r="N20799"/>
      <c r="O20799"/>
      <c r="P20799"/>
      <c r="Q20799"/>
      <c r="R20799"/>
      <c r="S20799"/>
    </row>
    <row r="20800" spans="13:19" ht="13.95" customHeight="1">
      <c r="M20800"/>
      <c r="N20800"/>
      <c r="O20800"/>
      <c r="P20800"/>
      <c r="Q20800"/>
      <c r="R20800"/>
      <c r="S20800"/>
    </row>
    <row r="20801" spans="13:19" ht="13.95" customHeight="1">
      <c r="M20801"/>
      <c r="N20801"/>
      <c r="O20801"/>
      <c r="P20801"/>
      <c r="Q20801"/>
      <c r="R20801"/>
      <c r="S20801"/>
    </row>
    <row r="20802" spans="13:19" ht="13.95" customHeight="1">
      <c r="M20802"/>
      <c r="N20802"/>
      <c r="O20802"/>
      <c r="P20802"/>
      <c r="Q20802"/>
      <c r="R20802"/>
      <c r="S20802"/>
    </row>
    <row r="20803" spans="13:19" ht="13.95" customHeight="1">
      <c r="M20803"/>
      <c r="N20803"/>
      <c r="O20803"/>
      <c r="P20803"/>
      <c r="Q20803"/>
      <c r="R20803"/>
      <c r="S20803"/>
    </row>
    <row r="20804" spans="13:19" ht="13.95" customHeight="1">
      <c r="M20804"/>
      <c r="N20804"/>
      <c r="O20804"/>
      <c r="P20804"/>
      <c r="Q20804"/>
      <c r="R20804"/>
      <c r="S20804"/>
    </row>
    <row r="20805" spans="13:19" ht="13.95" customHeight="1">
      <c r="M20805"/>
      <c r="N20805"/>
      <c r="O20805"/>
      <c r="P20805"/>
      <c r="Q20805"/>
      <c r="R20805"/>
      <c r="S20805"/>
    </row>
    <row r="20806" spans="13:19" ht="13.95" customHeight="1">
      <c r="M20806"/>
      <c r="N20806"/>
      <c r="O20806"/>
      <c r="P20806"/>
      <c r="Q20806"/>
      <c r="R20806"/>
      <c r="S20806"/>
    </row>
    <row r="20807" spans="13:19" ht="13.95" customHeight="1">
      <c r="M20807"/>
      <c r="N20807"/>
      <c r="O20807"/>
      <c r="P20807"/>
      <c r="Q20807"/>
      <c r="R20807"/>
      <c r="S20807"/>
    </row>
    <row r="20808" spans="13:19" ht="13.95" customHeight="1">
      <c r="M20808"/>
      <c r="N20808"/>
      <c r="O20808"/>
      <c r="P20808"/>
      <c r="Q20808"/>
      <c r="R20808"/>
      <c r="S20808"/>
    </row>
    <row r="20809" spans="13:19" ht="13.95" customHeight="1">
      <c r="M20809"/>
      <c r="N20809"/>
      <c r="O20809"/>
      <c r="P20809"/>
      <c r="Q20809"/>
      <c r="R20809"/>
      <c r="S20809"/>
    </row>
    <row r="20810" spans="13:19" ht="13.95" customHeight="1">
      <c r="M20810"/>
      <c r="N20810"/>
      <c r="O20810"/>
      <c r="P20810"/>
      <c r="Q20810"/>
      <c r="R20810"/>
      <c r="S20810"/>
    </row>
    <row r="20811" spans="13:19" ht="13.95" customHeight="1">
      <c r="M20811"/>
      <c r="N20811"/>
      <c r="O20811"/>
      <c r="P20811"/>
      <c r="Q20811"/>
      <c r="R20811"/>
      <c r="S20811"/>
    </row>
    <row r="20812" spans="13:19" ht="13.95" customHeight="1">
      <c r="M20812"/>
      <c r="N20812"/>
      <c r="O20812"/>
      <c r="P20812"/>
      <c r="Q20812"/>
      <c r="R20812"/>
      <c r="S20812"/>
    </row>
    <row r="20813" spans="13:19" ht="13.95" customHeight="1">
      <c r="M20813"/>
      <c r="N20813"/>
      <c r="O20813"/>
      <c r="P20813"/>
      <c r="Q20813"/>
      <c r="R20813"/>
      <c r="S20813"/>
    </row>
    <row r="20814" spans="13:19" ht="13.95" customHeight="1">
      <c r="M20814"/>
      <c r="N20814"/>
      <c r="O20814"/>
      <c r="P20814"/>
      <c r="Q20814"/>
      <c r="R20814"/>
      <c r="S20814"/>
    </row>
    <row r="20815" spans="13:19" ht="13.95" customHeight="1">
      <c r="M20815"/>
      <c r="N20815"/>
      <c r="O20815"/>
      <c r="P20815"/>
      <c r="Q20815"/>
      <c r="R20815"/>
      <c r="S20815"/>
    </row>
    <row r="20816" spans="13:19" ht="13.95" customHeight="1">
      <c r="M20816"/>
      <c r="N20816"/>
      <c r="O20816"/>
      <c r="P20816"/>
      <c r="Q20816"/>
      <c r="R20816"/>
      <c r="S20816"/>
    </row>
    <row r="20817" spans="13:19" ht="13.95" customHeight="1">
      <c r="M20817"/>
      <c r="N20817"/>
      <c r="O20817"/>
      <c r="P20817"/>
      <c r="Q20817"/>
      <c r="R20817"/>
      <c r="S20817"/>
    </row>
    <row r="20818" spans="13:19" ht="13.95" customHeight="1">
      <c r="M20818"/>
      <c r="N20818"/>
      <c r="O20818"/>
      <c r="P20818"/>
      <c r="Q20818"/>
      <c r="R20818"/>
      <c r="S20818"/>
    </row>
    <row r="20819" spans="13:19" ht="13.95" customHeight="1">
      <c r="M20819"/>
      <c r="N20819"/>
      <c r="O20819"/>
      <c r="P20819"/>
      <c r="Q20819"/>
      <c r="R20819"/>
      <c r="S20819"/>
    </row>
    <row r="20820" spans="13:19" ht="13.95" customHeight="1">
      <c r="M20820"/>
      <c r="N20820"/>
      <c r="O20820"/>
      <c r="P20820"/>
      <c r="Q20820"/>
      <c r="R20820"/>
      <c r="S20820"/>
    </row>
    <row r="20821" spans="13:19" ht="13.95" customHeight="1">
      <c r="M20821"/>
      <c r="N20821"/>
      <c r="O20821"/>
      <c r="P20821"/>
      <c r="Q20821"/>
      <c r="R20821"/>
      <c r="S20821"/>
    </row>
    <row r="20822" spans="13:19" ht="13.95" customHeight="1">
      <c r="M20822"/>
      <c r="N20822"/>
      <c r="O20822"/>
      <c r="P20822"/>
      <c r="Q20822"/>
      <c r="R20822"/>
      <c r="S20822"/>
    </row>
    <row r="20823" spans="13:19" ht="13.95" customHeight="1">
      <c r="M20823"/>
      <c r="N20823"/>
      <c r="O20823"/>
      <c r="P20823"/>
      <c r="Q20823"/>
      <c r="R20823"/>
      <c r="S20823"/>
    </row>
    <row r="20824" spans="13:19" ht="13.95" customHeight="1">
      <c r="M20824"/>
      <c r="N20824"/>
      <c r="O20824"/>
      <c r="P20824"/>
      <c r="Q20824"/>
      <c r="R20824"/>
      <c r="S20824"/>
    </row>
    <row r="20825" spans="13:19" ht="13.95" customHeight="1">
      <c r="M20825"/>
      <c r="N20825"/>
      <c r="O20825"/>
      <c r="P20825"/>
      <c r="Q20825"/>
      <c r="R20825"/>
      <c r="S20825"/>
    </row>
    <row r="20826" spans="13:19" ht="13.95" customHeight="1">
      <c r="M20826"/>
      <c r="N20826"/>
      <c r="O20826"/>
      <c r="P20826"/>
      <c r="Q20826"/>
      <c r="R20826"/>
      <c r="S20826"/>
    </row>
    <row r="20827" spans="13:19" ht="13.95" customHeight="1">
      <c r="M20827"/>
      <c r="N20827"/>
      <c r="O20827"/>
      <c r="P20827"/>
      <c r="Q20827"/>
      <c r="R20827"/>
      <c r="S20827"/>
    </row>
    <row r="20828" spans="13:19" ht="13.95" customHeight="1">
      <c r="M20828"/>
      <c r="N20828"/>
      <c r="O20828"/>
      <c r="P20828"/>
      <c r="Q20828"/>
      <c r="R20828"/>
      <c r="S20828"/>
    </row>
    <row r="20829" spans="13:19" ht="13.95" customHeight="1">
      <c r="M20829"/>
      <c r="N20829"/>
      <c r="O20829"/>
      <c r="P20829"/>
      <c r="Q20829"/>
      <c r="R20829"/>
      <c r="S20829"/>
    </row>
    <row r="20830" spans="13:19" ht="13.95" customHeight="1">
      <c r="M20830"/>
      <c r="N20830"/>
      <c r="O20830"/>
      <c r="P20830"/>
      <c r="Q20830"/>
      <c r="R20830"/>
      <c r="S20830"/>
    </row>
    <row r="20831" spans="13:19" ht="13.95" customHeight="1">
      <c r="M20831"/>
      <c r="N20831"/>
      <c r="O20831"/>
      <c r="P20831"/>
      <c r="Q20831"/>
      <c r="R20831"/>
      <c r="S20831"/>
    </row>
    <row r="20832" spans="13:19" ht="13.95" customHeight="1">
      <c r="M20832"/>
      <c r="N20832"/>
      <c r="O20832"/>
      <c r="P20832"/>
      <c r="Q20832"/>
      <c r="R20832"/>
      <c r="S20832"/>
    </row>
    <row r="20833" spans="13:19" ht="13.95" customHeight="1">
      <c r="M20833"/>
      <c r="N20833"/>
      <c r="O20833"/>
      <c r="P20833"/>
      <c r="Q20833"/>
      <c r="R20833"/>
      <c r="S20833"/>
    </row>
    <row r="20834" spans="13:19" ht="13.95" customHeight="1">
      <c r="M20834"/>
      <c r="N20834"/>
      <c r="O20834"/>
      <c r="P20834"/>
      <c r="Q20834"/>
      <c r="R20834"/>
      <c r="S20834"/>
    </row>
    <row r="20835" spans="13:19" ht="13.95" customHeight="1">
      <c r="M20835"/>
      <c r="N20835"/>
      <c r="O20835"/>
      <c r="P20835"/>
      <c r="Q20835"/>
      <c r="R20835"/>
      <c r="S20835"/>
    </row>
    <row r="20836" spans="13:19" ht="13.95" customHeight="1">
      <c r="M20836"/>
      <c r="N20836"/>
      <c r="O20836"/>
      <c r="P20836"/>
      <c r="Q20836"/>
      <c r="R20836"/>
      <c r="S20836"/>
    </row>
    <row r="20837" spans="13:19" ht="13.95" customHeight="1">
      <c r="M20837"/>
      <c r="N20837"/>
      <c r="O20837"/>
      <c r="P20837"/>
      <c r="Q20837"/>
      <c r="R20837"/>
      <c r="S20837"/>
    </row>
    <row r="20838" spans="13:19" ht="13.95" customHeight="1">
      <c r="M20838"/>
      <c r="N20838"/>
      <c r="O20838"/>
      <c r="P20838"/>
      <c r="Q20838"/>
      <c r="R20838"/>
      <c r="S20838"/>
    </row>
    <row r="20839" spans="13:19" ht="13.95" customHeight="1">
      <c r="M20839"/>
      <c r="N20839"/>
      <c r="O20839"/>
      <c r="P20839"/>
      <c r="Q20839"/>
      <c r="R20839"/>
      <c r="S20839"/>
    </row>
    <row r="20840" spans="13:19" ht="13.95" customHeight="1">
      <c r="M20840"/>
      <c r="N20840"/>
      <c r="O20840"/>
      <c r="P20840"/>
      <c r="Q20840"/>
      <c r="R20840"/>
      <c r="S20840"/>
    </row>
    <row r="20841" spans="13:19" ht="13.95" customHeight="1">
      <c r="M20841"/>
      <c r="N20841"/>
      <c r="O20841"/>
      <c r="P20841"/>
      <c r="Q20841"/>
      <c r="R20841"/>
      <c r="S20841"/>
    </row>
    <row r="20842" spans="13:19" ht="13.95" customHeight="1">
      <c r="M20842"/>
      <c r="N20842"/>
      <c r="O20842"/>
      <c r="P20842"/>
      <c r="Q20842"/>
      <c r="R20842"/>
      <c r="S20842"/>
    </row>
    <row r="20843" spans="13:19" ht="13.95" customHeight="1">
      <c r="M20843"/>
      <c r="N20843"/>
      <c r="O20843"/>
      <c r="P20843"/>
      <c r="Q20843"/>
      <c r="R20843"/>
      <c r="S20843"/>
    </row>
    <row r="20844" spans="13:19" ht="13.95" customHeight="1">
      <c r="M20844"/>
      <c r="N20844"/>
      <c r="O20844"/>
      <c r="P20844"/>
      <c r="Q20844"/>
      <c r="R20844"/>
      <c r="S20844"/>
    </row>
    <row r="20845" spans="13:19" ht="13.95" customHeight="1">
      <c r="M20845"/>
      <c r="N20845"/>
      <c r="O20845"/>
      <c r="P20845"/>
      <c r="Q20845"/>
      <c r="R20845"/>
      <c r="S20845"/>
    </row>
    <row r="20846" spans="13:19" ht="13.95" customHeight="1">
      <c r="M20846"/>
      <c r="N20846"/>
      <c r="O20846"/>
      <c r="P20846"/>
      <c r="Q20846"/>
      <c r="R20846"/>
      <c r="S20846"/>
    </row>
    <row r="20847" spans="13:19" ht="13.95" customHeight="1">
      <c r="M20847"/>
      <c r="N20847"/>
      <c r="O20847"/>
      <c r="P20847"/>
      <c r="Q20847"/>
      <c r="R20847"/>
      <c r="S20847"/>
    </row>
    <row r="20848" spans="13:19" ht="13.95" customHeight="1">
      <c r="M20848"/>
      <c r="N20848"/>
      <c r="O20848"/>
      <c r="P20848"/>
      <c r="Q20848"/>
      <c r="R20848"/>
      <c r="S20848"/>
    </row>
    <row r="20849" spans="13:19" ht="13.95" customHeight="1">
      <c r="M20849"/>
      <c r="N20849"/>
      <c r="O20849"/>
      <c r="P20849"/>
      <c r="Q20849"/>
      <c r="R20849"/>
      <c r="S20849"/>
    </row>
    <row r="20850" spans="13:19" ht="13.95" customHeight="1">
      <c r="M20850"/>
      <c r="N20850"/>
      <c r="O20850"/>
      <c r="P20850"/>
      <c r="Q20850"/>
      <c r="R20850"/>
      <c r="S20850"/>
    </row>
    <row r="20851" spans="13:19" ht="13.95" customHeight="1">
      <c r="M20851"/>
      <c r="N20851"/>
      <c r="O20851"/>
      <c r="P20851"/>
      <c r="Q20851"/>
      <c r="R20851"/>
      <c r="S20851"/>
    </row>
    <row r="20852" spans="13:19" ht="13.95" customHeight="1">
      <c r="M20852"/>
      <c r="N20852"/>
      <c r="O20852"/>
      <c r="P20852"/>
      <c r="Q20852"/>
      <c r="R20852"/>
      <c r="S20852"/>
    </row>
    <row r="20853" spans="13:19" ht="13.95" customHeight="1">
      <c r="M20853"/>
      <c r="N20853"/>
      <c r="O20853"/>
      <c r="P20853"/>
      <c r="Q20853"/>
      <c r="R20853"/>
      <c r="S20853"/>
    </row>
    <row r="20854" spans="13:19" ht="13.95" customHeight="1">
      <c r="M20854"/>
      <c r="N20854"/>
      <c r="O20854"/>
      <c r="P20854"/>
      <c r="Q20854"/>
      <c r="R20854"/>
      <c r="S20854"/>
    </row>
    <row r="20855" spans="13:19" ht="13.95" customHeight="1">
      <c r="M20855"/>
      <c r="N20855"/>
      <c r="O20855"/>
      <c r="P20855"/>
      <c r="Q20855"/>
      <c r="R20855"/>
      <c r="S20855"/>
    </row>
    <row r="20856" spans="13:19" ht="13.95" customHeight="1">
      <c r="M20856"/>
      <c r="N20856"/>
      <c r="O20856"/>
      <c r="P20856"/>
      <c r="Q20856"/>
      <c r="R20856"/>
      <c r="S20856"/>
    </row>
    <row r="20857" spans="13:19" ht="13.95" customHeight="1">
      <c r="M20857"/>
      <c r="N20857"/>
      <c r="O20857"/>
      <c r="P20857"/>
      <c r="Q20857"/>
      <c r="R20857"/>
      <c r="S20857"/>
    </row>
    <row r="20858" spans="13:19" ht="13.95" customHeight="1">
      <c r="M20858"/>
      <c r="N20858"/>
      <c r="O20858"/>
      <c r="P20858"/>
      <c r="Q20858"/>
      <c r="R20858"/>
      <c r="S20858"/>
    </row>
    <row r="20859" spans="13:19" ht="13.95" customHeight="1">
      <c r="M20859"/>
      <c r="N20859"/>
      <c r="O20859"/>
      <c r="P20859"/>
      <c r="Q20859"/>
      <c r="R20859"/>
      <c r="S20859"/>
    </row>
    <row r="20860" spans="13:19" ht="13.95" customHeight="1">
      <c r="M20860"/>
      <c r="N20860"/>
      <c r="O20860"/>
      <c r="P20860"/>
      <c r="Q20860"/>
      <c r="R20860"/>
      <c r="S20860"/>
    </row>
    <row r="20861" spans="13:19" ht="13.95" customHeight="1">
      <c r="M20861"/>
      <c r="N20861"/>
      <c r="O20861"/>
      <c r="P20861"/>
      <c r="Q20861"/>
      <c r="R20861"/>
      <c r="S20861"/>
    </row>
    <row r="20862" spans="13:19" ht="13.95" customHeight="1">
      <c r="M20862"/>
      <c r="N20862"/>
      <c r="O20862"/>
      <c r="P20862"/>
      <c r="Q20862"/>
      <c r="R20862"/>
      <c r="S20862"/>
    </row>
    <row r="20863" spans="13:19" ht="13.95" customHeight="1">
      <c r="M20863"/>
      <c r="N20863"/>
      <c r="O20863"/>
      <c r="P20863"/>
      <c r="Q20863"/>
      <c r="R20863"/>
      <c r="S20863"/>
    </row>
    <row r="20864" spans="13:19" ht="13.95" customHeight="1">
      <c r="M20864"/>
      <c r="N20864"/>
      <c r="O20864"/>
      <c r="P20864"/>
      <c r="Q20864"/>
      <c r="R20864"/>
      <c r="S20864"/>
    </row>
    <row r="20865" spans="13:19" ht="13.95" customHeight="1">
      <c r="M20865"/>
      <c r="N20865"/>
      <c r="O20865"/>
      <c r="P20865"/>
      <c r="Q20865"/>
      <c r="R20865"/>
      <c r="S20865"/>
    </row>
    <row r="20866" spans="13:19" ht="13.95" customHeight="1">
      <c r="M20866"/>
      <c r="N20866"/>
      <c r="O20866"/>
      <c r="P20866"/>
      <c r="Q20866"/>
      <c r="R20866"/>
      <c r="S20866"/>
    </row>
    <row r="20867" spans="13:19" ht="13.95" customHeight="1">
      <c r="M20867"/>
      <c r="N20867"/>
      <c r="O20867"/>
      <c r="P20867"/>
      <c r="Q20867"/>
      <c r="R20867"/>
      <c r="S20867"/>
    </row>
    <row r="20868" spans="13:19" ht="13.95" customHeight="1">
      <c r="M20868"/>
      <c r="N20868"/>
      <c r="O20868"/>
      <c r="P20868"/>
      <c r="Q20868"/>
      <c r="R20868"/>
      <c r="S20868"/>
    </row>
    <row r="20869" spans="13:19" ht="13.95" customHeight="1">
      <c r="M20869"/>
      <c r="N20869"/>
      <c r="O20869"/>
      <c r="P20869"/>
      <c r="Q20869"/>
      <c r="R20869"/>
      <c r="S20869"/>
    </row>
    <row r="20870" spans="13:19" ht="13.95" customHeight="1">
      <c r="M20870"/>
      <c r="N20870"/>
      <c r="O20870"/>
      <c r="P20870"/>
      <c r="Q20870"/>
      <c r="R20870"/>
      <c r="S20870"/>
    </row>
    <row r="20871" spans="13:19" ht="13.95" customHeight="1">
      <c r="M20871"/>
      <c r="N20871"/>
      <c r="O20871"/>
      <c r="P20871"/>
      <c r="Q20871"/>
      <c r="R20871"/>
      <c r="S20871"/>
    </row>
    <row r="20872" spans="13:19" ht="13.95" customHeight="1">
      <c r="M20872"/>
      <c r="N20872"/>
      <c r="O20872"/>
      <c r="P20872"/>
      <c r="Q20872"/>
      <c r="R20872"/>
      <c r="S20872"/>
    </row>
    <row r="20873" spans="13:19" ht="13.95" customHeight="1">
      <c r="M20873"/>
      <c r="N20873"/>
      <c r="O20873"/>
      <c r="P20873"/>
      <c r="Q20873"/>
      <c r="R20873"/>
      <c r="S20873"/>
    </row>
    <row r="20874" spans="13:19" ht="13.95" customHeight="1">
      <c r="M20874"/>
      <c r="N20874"/>
      <c r="O20874"/>
      <c r="P20874"/>
      <c r="Q20874"/>
      <c r="R20874"/>
      <c r="S20874"/>
    </row>
    <row r="20875" spans="13:19" ht="13.95" customHeight="1">
      <c r="M20875"/>
      <c r="N20875"/>
      <c r="O20875"/>
      <c r="P20875"/>
      <c r="Q20875"/>
      <c r="R20875"/>
      <c r="S20875"/>
    </row>
    <row r="20876" spans="13:19" ht="13.95" customHeight="1">
      <c r="M20876"/>
      <c r="N20876"/>
      <c r="O20876"/>
      <c r="P20876"/>
      <c r="Q20876"/>
      <c r="R20876"/>
      <c r="S20876"/>
    </row>
    <row r="20877" spans="13:19" ht="13.95" customHeight="1">
      <c r="M20877"/>
      <c r="N20877"/>
      <c r="O20877"/>
      <c r="P20877"/>
      <c r="Q20877"/>
      <c r="R20877"/>
      <c r="S20877"/>
    </row>
    <row r="20878" spans="13:19" ht="13.95" customHeight="1">
      <c r="M20878"/>
      <c r="N20878"/>
      <c r="O20878"/>
      <c r="P20878"/>
      <c r="Q20878"/>
      <c r="R20878"/>
      <c r="S20878"/>
    </row>
    <row r="20879" spans="13:19" ht="13.95" customHeight="1">
      <c r="M20879"/>
      <c r="N20879"/>
      <c r="O20879"/>
      <c r="P20879"/>
      <c r="Q20879"/>
      <c r="R20879"/>
      <c r="S20879"/>
    </row>
    <row r="20880" spans="13:19" ht="13.95" customHeight="1">
      <c r="M20880"/>
      <c r="N20880"/>
      <c r="O20880"/>
      <c r="P20880"/>
      <c r="Q20880"/>
      <c r="R20880"/>
      <c r="S20880"/>
    </row>
    <row r="20881" spans="13:19" ht="13.95" customHeight="1">
      <c r="M20881"/>
      <c r="N20881"/>
      <c r="O20881"/>
      <c r="P20881"/>
      <c r="Q20881"/>
      <c r="R20881"/>
      <c r="S20881"/>
    </row>
    <row r="20882" spans="13:19" ht="13.95" customHeight="1">
      <c r="M20882"/>
      <c r="N20882"/>
      <c r="O20882"/>
      <c r="P20882"/>
      <c r="Q20882"/>
      <c r="R20882"/>
      <c r="S20882"/>
    </row>
    <row r="20883" spans="13:19" ht="13.95" customHeight="1">
      <c r="M20883"/>
      <c r="N20883"/>
      <c r="O20883"/>
      <c r="P20883"/>
      <c r="Q20883"/>
      <c r="R20883"/>
      <c r="S20883"/>
    </row>
    <row r="20884" spans="13:19" ht="13.95" customHeight="1">
      <c r="M20884"/>
      <c r="N20884"/>
      <c r="O20884"/>
      <c r="P20884"/>
      <c r="Q20884"/>
      <c r="R20884"/>
      <c r="S20884"/>
    </row>
    <row r="20885" spans="13:19" ht="13.95" customHeight="1">
      <c r="M20885"/>
      <c r="N20885"/>
      <c r="O20885"/>
      <c r="P20885"/>
      <c r="Q20885"/>
      <c r="R20885"/>
      <c r="S20885"/>
    </row>
    <row r="20886" spans="13:19" ht="13.95" customHeight="1">
      <c r="M20886"/>
      <c r="N20886"/>
      <c r="O20886"/>
      <c r="P20886"/>
      <c r="Q20886"/>
      <c r="R20886"/>
      <c r="S20886"/>
    </row>
    <row r="20887" spans="13:19" ht="13.95" customHeight="1">
      <c r="M20887"/>
      <c r="N20887"/>
      <c r="O20887"/>
      <c r="P20887"/>
      <c r="Q20887"/>
      <c r="R20887"/>
      <c r="S20887"/>
    </row>
    <row r="20888" spans="13:19" ht="13.95" customHeight="1">
      <c r="M20888"/>
      <c r="N20888"/>
      <c r="O20888"/>
      <c r="P20888"/>
      <c r="Q20888"/>
      <c r="R20888"/>
      <c r="S20888"/>
    </row>
    <row r="20889" spans="13:19" ht="13.95" customHeight="1">
      <c r="M20889"/>
      <c r="N20889"/>
      <c r="O20889"/>
      <c r="P20889"/>
      <c r="Q20889"/>
      <c r="R20889"/>
      <c r="S20889"/>
    </row>
    <row r="20890" spans="13:19" ht="13.95" customHeight="1">
      <c r="M20890"/>
      <c r="N20890"/>
      <c r="O20890"/>
      <c r="P20890"/>
      <c r="Q20890"/>
      <c r="R20890"/>
      <c r="S20890"/>
    </row>
    <row r="20891" spans="13:19" ht="13.95" customHeight="1">
      <c r="M20891"/>
      <c r="N20891"/>
      <c r="O20891"/>
      <c r="P20891"/>
      <c r="Q20891"/>
      <c r="R20891"/>
      <c r="S20891"/>
    </row>
    <row r="20892" spans="13:19" ht="13.95" customHeight="1">
      <c r="M20892"/>
      <c r="N20892"/>
      <c r="O20892"/>
      <c r="P20892"/>
      <c r="Q20892"/>
      <c r="R20892"/>
      <c r="S20892"/>
    </row>
    <row r="20893" spans="13:19" ht="13.95" customHeight="1">
      <c r="M20893"/>
      <c r="N20893"/>
      <c r="O20893"/>
      <c r="P20893"/>
      <c r="Q20893"/>
      <c r="R20893"/>
      <c r="S20893"/>
    </row>
    <row r="20894" spans="13:19" ht="13.95" customHeight="1">
      <c r="M20894"/>
      <c r="N20894"/>
      <c r="O20894"/>
      <c r="P20894"/>
      <c r="Q20894"/>
      <c r="R20894"/>
      <c r="S20894"/>
    </row>
    <row r="20895" spans="13:19" ht="13.95" customHeight="1">
      <c r="M20895"/>
      <c r="N20895"/>
      <c r="O20895"/>
      <c r="P20895"/>
      <c r="Q20895"/>
      <c r="R20895"/>
      <c r="S20895"/>
    </row>
    <row r="20896" spans="13:19" ht="13.95" customHeight="1">
      <c r="M20896"/>
      <c r="N20896"/>
      <c r="O20896"/>
      <c r="P20896"/>
      <c r="Q20896"/>
      <c r="R20896"/>
      <c r="S20896"/>
    </row>
    <row r="20897" spans="13:19" ht="13.95" customHeight="1">
      <c r="M20897"/>
      <c r="N20897"/>
      <c r="O20897"/>
      <c r="P20897"/>
      <c r="Q20897"/>
      <c r="R20897"/>
      <c r="S20897"/>
    </row>
    <row r="20898" spans="13:19" ht="13.95" customHeight="1">
      <c r="M20898"/>
      <c r="N20898"/>
      <c r="O20898"/>
      <c r="P20898"/>
      <c r="Q20898"/>
      <c r="R20898"/>
      <c r="S20898"/>
    </row>
    <row r="20899" spans="13:19" ht="13.95" customHeight="1">
      <c r="M20899"/>
      <c r="N20899"/>
      <c r="O20899"/>
      <c r="P20899"/>
      <c r="Q20899"/>
      <c r="R20899"/>
      <c r="S20899"/>
    </row>
    <row r="20900" spans="13:19" ht="13.95" customHeight="1">
      <c r="M20900"/>
      <c r="N20900"/>
      <c r="O20900"/>
      <c r="P20900"/>
      <c r="Q20900"/>
      <c r="R20900"/>
      <c r="S20900"/>
    </row>
    <row r="20901" spans="13:19" ht="13.95" customHeight="1">
      <c r="M20901"/>
      <c r="N20901"/>
      <c r="O20901"/>
      <c r="P20901"/>
      <c r="Q20901"/>
      <c r="R20901"/>
      <c r="S20901"/>
    </row>
    <row r="20902" spans="13:19" ht="13.95" customHeight="1">
      <c r="M20902"/>
      <c r="N20902"/>
      <c r="O20902"/>
      <c r="P20902"/>
      <c r="Q20902"/>
      <c r="R20902"/>
      <c r="S20902"/>
    </row>
    <row r="20903" spans="13:19" ht="13.95" customHeight="1">
      <c r="M20903"/>
      <c r="N20903"/>
      <c r="O20903"/>
      <c r="P20903"/>
      <c r="Q20903"/>
      <c r="R20903"/>
      <c r="S20903"/>
    </row>
    <row r="20904" spans="13:19" ht="13.95" customHeight="1">
      <c r="M20904"/>
      <c r="N20904"/>
      <c r="O20904"/>
      <c r="P20904"/>
      <c r="Q20904"/>
      <c r="R20904"/>
      <c r="S20904"/>
    </row>
    <row r="20905" spans="13:19" ht="13.95" customHeight="1">
      <c r="M20905"/>
      <c r="N20905"/>
      <c r="O20905"/>
      <c r="P20905"/>
      <c r="Q20905"/>
      <c r="R20905"/>
      <c r="S20905"/>
    </row>
    <row r="20906" spans="13:19" ht="13.95" customHeight="1">
      <c r="M20906"/>
      <c r="N20906"/>
      <c r="O20906"/>
      <c r="P20906"/>
      <c r="Q20906"/>
      <c r="R20906"/>
      <c r="S20906"/>
    </row>
    <row r="20907" spans="13:19" ht="13.95" customHeight="1">
      <c r="M20907"/>
      <c r="N20907"/>
      <c r="O20907"/>
      <c r="P20907"/>
      <c r="Q20907"/>
      <c r="R20907"/>
      <c r="S20907"/>
    </row>
    <row r="20908" spans="13:19" ht="13.95" customHeight="1">
      <c r="M20908"/>
      <c r="N20908"/>
      <c r="O20908"/>
      <c r="P20908"/>
      <c r="Q20908"/>
      <c r="R20908"/>
      <c r="S20908"/>
    </row>
    <row r="20909" spans="13:19" ht="13.95" customHeight="1">
      <c r="M20909"/>
      <c r="N20909"/>
      <c r="O20909"/>
      <c r="P20909"/>
      <c r="Q20909"/>
      <c r="R20909"/>
      <c r="S20909"/>
    </row>
    <row r="20910" spans="13:19" ht="13.95" customHeight="1">
      <c r="M20910"/>
      <c r="N20910"/>
      <c r="O20910"/>
      <c r="P20910"/>
      <c r="Q20910"/>
      <c r="R20910"/>
      <c r="S20910"/>
    </row>
    <row r="20911" spans="13:19" ht="13.95" customHeight="1">
      <c r="M20911"/>
      <c r="N20911"/>
      <c r="O20911"/>
      <c r="P20911"/>
      <c r="Q20911"/>
      <c r="R20911"/>
      <c r="S20911"/>
    </row>
    <row r="20912" spans="13:19" ht="13.95" customHeight="1">
      <c r="M20912"/>
      <c r="N20912"/>
      <c r="O20912"/>
      <c r="P20912"/>
      <c r="Q20912"/>
      <c r="R20912"/>
      <c r="S20912"/>
    </row>
    <row r="20913" spans="13:19" ht="13.95" customHeight="1">
      <c r="M20913"/>
      <c r="N20913"/>
      <c r="O20913"/>
      <c r="P20913"/>
      <c r="Q20913"/>
      <c r="R20913"/>
      <c r="S20913"/>
    </row>
    <row r="20914" spans="13:19" ht="13.95" customHeight="1">
      <c r="M20914"/>
      <c r="N20914"/>
      <c r="O20914"/>
      <c r="P20914"/>
      <c r="Q20914"/>
      <c r="R20914"/>
      <c r="S20914"/>
    </row>
    <row r="20915" spans="13:19" ht="13.95" customHeight="1">
      <c r="M20915"/>
      <c r="N20915"/>
      <c r="O20915"/>
      <c r="P20915"/>
      <c r="Q20915"/>
      <c r="R20915"/>
      <c r="S20915"/>
    </row>
    <row r="20916" spans="13:19" ht="13.95" customHeight="1">
      <c r="M20916"/>
      <c r="N20916"/>
      <c r="O20916"/>
      <c r="P20916"/>
      <c r="Q20916"/>
      <c r="R20916"/>
      <c r="S20916"/>
    </row>
    <row r="20917" spans="13:19" ht="13.95" customHeight="1">
      <c r="M20917"/>
      <c r="N20917"/>
      <c r="O20917"/>
      <c r="P20917"/>
      <c r="Q20917"/>
      <c r="R20917"/>
      <c r="S20917"/>
    </row>
    <row r="20918" spans="13:19" ht="13.95" customHeight="1">
      <c r="M20918"/>
      <c r="N20918"/>
      <c r="O20918"/>
      <c r="P20918"/>
      <c r="Q20918"/>
      <c r="R20918"/>
      <c r="S20918"/>
    </row>
    <row r="20919" spans="13:19" ht="13.95" customHeight="1">
      <c r="M20919"/>
      <c r="N20919"/>
      <c r="O20919"/>
      <c r="P20919"/>
      <c r="Q20919"/>
      <c r="R20919"/>
      <c r="S20919"/>
    </row>
    <row r="20920" spans="13:19" ht="13.95" customHeight="1">
      <c r="M20920"/>
      <c r="N20920"/>
      <c r="O20920"/>
      <c r="P20920"/>
      <c r="Q20920"/>
      <c r="R20920"/>
      <c r="S20920"/>
    </row>
    <row r="20921" spans="13:19" ht="13.95" customHeight="1">
      <c r="M20921"/>
      <c r="N20921"/>
      <c r="O20921"/>
      <c r="P20921"/>
      <c r="Q20921"/>
      <c r="R20921"/>
      <c r="S20921"/>
    </row>
    <row r="20922" spans="13:19" ht="13.95" customHeight="1">
      <c r="M20922"/>
      <c r="N20922"/>
      <c r="O20922"/>
      <c r="P20922"/>
      <c r="Q20922"/>
      <c r="R20922"/>
      <c r="S20922"/>
    </row>
    <row r="20923" spans="13:19" ht="13.95" customHeight="1">
      <c r="M20923"/>
      <c r="N20923"/>
      <c r="O20923"/>
      <c r="P20923"/>
      <c r="Q20923"/>
      <c r="R20923"/>
      <c r="S20923"/>
    </row>
    <row r="20924" spans="13:19" ht="13.95" customHeight="1">
      <c r="M20924"/>
      <c r="N20924"/>
      <c r="O20924"/>
      <c r="P20924"/>
      <c r="Q20924"/>
      <c r="R20924"/>
      <c r="S20924"/>
    </row>
    <row r="20925" spans="13:19" ht="13.95" customHeight="1">
      <c r="M20925"/>
      <c r="N20925"/>
      <c r="O20925"/>
      <c r="P20925"/>
      <c r="Q20925"/>
      <c r="R20925"/>
      <c r="S20925"/>
    </row>
    <row r="20926" spans="13:19" ht="13.95" customHeight="1">
      <c r="M20926"/>
      <c r="N20926"/>
      <c r="O20926"/>
      <c r="P20926"/>
      <c r="Q20926"/>
      <c r="R20926"/>
      <c r="S20926"/>
    </row>
    <row r="20927" spans="13:19" ht="13.95" customHeight="1">
      <c r="M20927"/>
      <c r="N20927"/>
      <c r="O20927"/>
      <c r="P20927"/>
      <c r="Q20927"/>
      <c r="R20927"/>
      <c r="S20927"/>
    </row>
    <row r="20928" spans="13:19" ht="13.95" customHeight="1">
      <c r="M20928"/>
      <c r="N20928"/>
      <c r="O20928"/>
      <c r="P20928"/>
      <c r="Q20928"/>
      <c r="R20928"/>
      <c r="S20928"/>
    </row>
    <row r="20929" spans="13:19" ht="13.95" customHeight="1">
      <c r="M20929"/>
      <c r="N20929"/>
      <c r="O20929"/>
      <c r="P20929"/>
      <c r="Q20929"/>
      <c r="R20929"/>
      <c r="S20929"/>
    </row>
    <row r="20930" spans="13:19" ht="13.95" customHeight="1">
      <c r="M20930"/>
      <c r="N20930"/>
      <c r="O20930"/>
      <c r="P20930"/>
      <c r="Q20930"/>
      <c r="R20930"/>
      <c r="S20930"/>
    </row>
    <row r="20931" spans="13:19" ht="13.95" customHeight="1">
      <c r="M20931"/>
      <c r="N20931"/>
      <c r="O20931"/>
      <c r="P20931"/>
      <c r="Q20931"/>
      <c r="R20931"/>
      <c r="S20931"/>
    </row>
    <row r="20932" spans="13:19" ht="13.95" customHeight="1">
      <c r="M20932"/>
      <c r="N20932"/>
      <c r="O20932"/>
      <c r="P20932"/>
      <c r="Q20932"/>
      <c r="R20932"/>
      <c r="S20932"/>
    </row>
    <row r="20933" spans="13:19" ht="13.95" customHeight="1">
      <c r="M20933"/>
      <c r="N20933"/>
      <c r="O20933"/>
      <c r="P20933"/>
      <c r="Q20933"/>
      <c r="R20933"/>
      <c r="S20933"/>
    </row>
    <row r="20934" spans="13:19" ht="13.95" customHeight="1">
      <c r="M20934"/>
      <c r="N20934"/>
      <c r="O20934"/>
      <c r="P20934"/>
      <c r="Q20934"/>
      <c r="R20934"/>
      <c r="S20934"/>
    </row>
    <row r="20935" spans="13:19" ht="13.95" customHeight="1">
      <c r="M20935"/>
      <c r="N20935"/>
      <c r="O20935"/>
      <c r="P20935"/>
      <c r="Q20935"/>
      <c r="R20935"/>
      <c r="S20935"/>
    </row>
    <row r="20936" spans="13:19" ht="13.95" customHeight="1">
      <c r="M20936"/>
      <c r="N20936"/>
      <c r="O20936"/>
      <c r="P20936"/>
      <c r="Q20936"/>
      <c r="R20936"/>
      <c r="S20936"/>
    </row>
    <row r="20937" spans="13:19" ht="13.95" customHeight="1">
      <c r="M20937"/>
      <c r="N20937"/>
      <c r="O20937"/>
      <c r="P20937"/>
      <c r="Q20937"/>
      <c r="R20937"/>
      <c r="S20937"/>
    </row>
    <row r="20938" spans="13:19" ht="13.95" customHeight="1">
      <c r="M20938"/>
      <c r="N20938"/>
      <c r="O20938"/>
      <c r="P20938"/>
      <c r="Q20938"/>
      <c r="R20938"/>
      <c r="S20938"/>
    </row>
    <row r="20939" spans="13:19" ht="13.95" customHeight="1">
      <c r="M20939"/>
      <c r="N20939"/>
      <c r="O20939"/>
      <c r="P20939"/>
      <c r="Q20939"/>
      <c r="R20939"/>
      <c r="S20939"/>
    </row>
    <row r="20940" spans="13:19" ht="13.95" customHeight="1">
      <c r="M20940"/>
      <c r="N20940"/>
      <c r="O20940"/>
      <c r="P20940"/>
      <c r="Q20940"/>
      <c r="R20940"/>
      <c r="S20940"/>
    </row>
    <row r="20941" spans="13:19" ht="13.95" customHeight="1">
      <c r="M20941"/>
      <c r="N20941"/>
      <c r="O20941"/>
      <c r="P20941"/>
      <c r="Q20941"/>
      <c r="R20941"/>
      <c r="S20941"/>
    </row>
    <row r="20942" spans="13:19" ht="13.95" customHeight="1">
      <c r="M20942"/>
      <c r="N20942"/>
      <c r="O20942"/>
      <c r="P20942"/>
      <c r="Q20942"/>
      <c r="R20942"/>
      <c r="S20942"/>
    </row>
    <row r="20943" spans="13:19" ht="13.95" customHeight="1">
      <c r="M20943"/>
      <c r="N20943"/>
      <c r="O20943"/>
      <c r="P20943"/>
      <c r="Q20943"/>
      <c r="R20943"/>
      <c r="S20943"/>
    </row>
    <row r="20944" spans="13:19" ht="13.95" customHeight="1">
      <c r="M20944"/>
      <c r="N20944"/>
      <c r="O20944"/>
      <c r="P20944"/>
      <c r="Q20944"/>
      <c r="R20944"/>
      <c r="S20944"/>
    </row>
    <row r="20945" spans="13:19" ht="13.95" customHeight="1">
      <c r="M20945"/>
      <c r="N20945"/>
      <c r="O20945"/>
      <c r="P20945"/>
      <c r="Q20945"/>
      <c r="R20945"/>
      <c r="S20945"/>
    </row>
    <row r="20946" spans="13:19" ht="13.95" customHeight="1">
      <c r="M20946"/>
      <c r="N20946"/>
      <c r="O20946"/>
      <c r="P20946"/>
      <c r="Q20946"/>
      <c r="R20946"/>
      <c r="S20946"/>
    </row>
    <row r="20947" spans="13:19" ht="13.95" customHeight="1">
      <c r="M20947"/>
      <c r="N20947"/>
      <c r="O20947"/>
      <c r="P20947"/>
      <c r="Q20947"/>
      <c r="R20947"/>
      <c r="S20947"/>
    </row>
    <row r="20948" spans="13:19" ht="13.95" customHeight="1">
      <c r="M20948"/>
      <c r="N20948"/>
      <c r="O20948"/>
      <c r="P20948"/>
      <c r="Q20948"/>
      <c r="R20948"/>
      <c r="S20948"/>
    </row>
    <row r="20949" spans="13:19" ht="13.95" customHeight="1">
      <c r="M20949"/>
      <c r="N20949"/>
      <c r="O20949"/>
      <c r="P20949"/>
      <c r="Q20949"/>
      <c r="R20949"/>
      <c r="S20949"/>
    </row>
    <row r="20950" spans="13:19" ht="13.95" customHeight="1">
      <c r="M20950"/>
      <c r="N20950"/>
      <c r="O20950"/>
      <c r="P20950"/>
      <c r="Q20950"/>
      <c r="R20950"/>
      <c r="S20950"/>
    </row>
    <row r="20951" spans="13:19" ht="13.95" customHeight="1">
      <c r="M20951"/>
      <c r="N20951"/>
      <c r="O20951"/>
      <c r="P20951"/>
      <c r="Q20951"/>
      <c r="R20951"/>
      <c r="S20951"/>
    </row>
    <row r="20952" spans="13:19" ht="13.95" customHeight="1">
      <c r="M20952"/>
      <c r="N20952"/>
      <c r="O20952"/>
      <c r="P20952"/>
      <c r="Q20952"/>
      <c r="R20952"/>
      <c r="S20952"/>
    </row>
    <row r="20953" spans="13:19" ht="13.95" customHeight="1">
      <c r="M20953"/>
      <c r="N20953"/>
      <c r="O20953"/>
      <c r="P20953"/>
      <c r="Q20953"/>
      <c r="R20953"/>
      <c r="S20953"/>
    </row>
    <row r="20954" spans="13:19" ht="13.95" customHeight="1">
      <c r="M20954"/>
      <c r="N20954"/>
      <c r="O20954"/>
      <c r="P20954"/>
      <c r="Q20954"/>
      <c r="R20954"/>
      <c r="S20954"/>
    </row>
    <row r="20955" spans="13:19" ht="13.95" customHeight="1">
      <c r="M20955"/>
      <c r="N20955"/>
      <c r="O20955"/>
      <c r="P20955"/>
      <c r="Q20955"/>
      <c r="R20955"/>
      <c r="S20955"/>
    </row>
    <row r="20956" spans="13:19" ht="13.95" customHeight="1">
      <c r="M20956"/>
      <c r="N20956"/>
      <c r="O20956"/>
      <c r="P20956"/>
      <c r="Q20956"/>
      <c r="R20956"/>
      <c r="S20956"/>
    </row>
    <row r="20957" spans="13:19" ht="13.95" customHeight="1">
      <c r="M20957"/>
      <c r="N20957"/>
      <c r="O20957"/>
      <c r="P20957"/>
      <c r="Q20957"/>
      <c r="R20957"/>
      <c r="S20957"/>
    </row>
    <row r="20958" spans="13:19" ht="13.95" customHeight="1">
      <c r="M20958"/>
      <c r="N20958"/>
      <c r="O20958"/>
      <c r="P20958"/>
      <c r="Q20958"/>
      <c r="R20958"/>
      <c r="S20958"/>
    </row>
    <row r="20959" spans="13:19" ht="13.95" customHeight="1">
      <c r="M20959"/>
      <c r="N20959"/>
      <c r="O20959"/>
      <c r="P20959"/>
      <c r="Q20959"/>
      <c r="R20959"/>
      <c r="S20959"/>
    </row>
    <row r="20960" spans="13:19" ht="13.95" customHeight="1">
      <c r="M20960"/>
      <c r="N20960"/>
      <c r="O20960"/>
      <c r="P20960"/>
      <c r="Q20960"/>
      <c r="R20960"/>
      <c r="S20960"/>
    </row>
    <row r="20961" spans="13:19" ht="13.95" customHeight="1">
      <c r="M20961"/>
      <c r="N20961"/>
      <c r="O20961"/>
      <c r="P20961"/>
      <c r="Q20961"/>
      <c r="R20961"/>
      <c r="S20961"/>
    </row>
    <row r="20962" spans="13:19" ht="13.95" customHeight="1">
      <c r="M20962"/>
      <c r="N20962"/>
      <c r="O20962"/>
      <c r="P20962"/>
      <c r="Q20962"/>
      <c r="R20962"/>
      <c r="S20962"/>
    </row>
    <row r="20963" spans="13:19" ht="13.95" customHeight="1">
      <c r="M20963"/>
      <c r="N20963"/>
      <c r="O20963"/>
      <c r="P20963"/>
      <c r="Q20963"/>
      <c r="R20963"/>
      <c r="S20963"/>
    </row>
    <row r="20964" spans="13:19" ht="13.95" customHeight="1">
      <c r="M20964"/>
      <c r="N20964"/>
      <c r="O20964"/>
      <c r="P20964"/>
      <c r="Q20964"/>
      <c r="R20964"/>
      <c r="S20964"/>
    </row>
    <row r="20965" spans="13:19" ht="13.95" customHeight="1">
      <c r="M20965"/>
      <c r="N20965"/>
      <c r="O20965"/>
      <c r="P20965"/>
      <c r="Q20965"/>
      <c r="R20965"/>
      <c r="S20965"/>
    </row>
    <row r="20966" spans="13:19" ht="13.95" customHeight="1">
      <c r="M20966"/>
      <c r="N20966"/>
      <c r="O20966"/>
      <c r="P20966"/>
      <c r="Q20966"/>
      <c r="R20966"/>
      <c r="S20966"/>
    </row>
    <row r="20967" spans="13:19" ht="13.95" customHeight="1">
      <c r="M20967"/>
      <c r="N20967"/>
      <c r="O20967"/>
      <c r="P20967"/>
      <c r="Q20967"/>
      <c r="R20967"/>
      <c r="S20967"/>
    </row>
    <row r="20968" spans="13:19" ht="13.95" customHeight="1">
      <c r="M20968"/>
      <c r="N20968"/>
      <c r="O20968"/>
      <c r="P20968"/>
      <c r="Q20968"/>
      <c r="R20968"/>
      <c r="S20968"/>
    </row>
    <row r="20969" spans="13:19" ht="13.95" customHeight="1">
      <c r="M20969"/>
      <c r="N20969"/>
      <c r="O20969"/>
      <c r="P20969"/>
      <c r="Q20969"/>
      <c r="R20969"/>
      <c r="S20969"/>
    </row>
    <row r="20970" spans="13:19" ht="13.95" customHeight="1">
      <c r="M20970"/>
      <c r="N20970"/>
      <c r="O20970"/>
      <c r="P20970"/>
      <c r="Q20970"/>
      <c r="R20970"/>
      <c r="S20970"/>
    </row>
    <row r="20971" spans="13:19" ht="13.95" customHeight="1">
      <c r="M20971"/>
      <c r="N20971"/>
      <c r="O20971"/>
      <c r="P20971"/>
      <c r="Q20971"/>
      <c r="R20971"/>
      <c r="S20971"/>
    </row>
    <row r="20972" spans="13:19" ht="13.95" customHeight="1">
      <c r="M20972"/>
      <c r="N20972"/>
      <c r="O20972"/>
      <c r="P20972"/>
      <c r="Q20972"/>
      <c r="R20972"/>
      <c r="S20972"/>
    </row>
    <row r="20973" spans="13:19" ht="13.95" customHeight="1">
      <c r="M20973"/>
      <c r="N20973"/>
      <c r="O20973"/>
      <c r="P20973"/>
      <c r="Q20973"/>
      <c r="R20973"/>
      <c r="S20973"/>
    </row>
    <row r="20974" spans="13:19" ht="13.95" customHeight="1">
      <c r="M20974"/>
      <c r="N20974"/>
      <c r="O20974"/>
      <c r="P20974"/>
      <c r="Q20974"/>
      <c r="R20974"/>
      <c r="S20974"/>
    </row>
    <row r="20975" spans="13:19" ht="13.95" customHeight="1">
      <c r="M20975"/>
      <c r="N20975"/>
      <c r="O20975"/>
      <c r="P20975"/>
      <c r="Q20975"/>
      <c r="R20975"/>
      <c r="S20975"/>
    </row>
    <row r="20976" spans="13:19" ht="13.95" customHeight="1">
      <c r="M20976"/>
      <c r="N20976"/>
      <c r="O20976"/>
      <c r="P20976"/>
      <c r="Q20976"/>
      <c r="R20976"/>
      <c r="S20976"/>
    </row>
    <row r="20977" spans="13:19" ht="13.95" customHeight="1">
      <c r="M20977"/>
      <c r="N20977"/>
      <c r="O20977"/>
      <c r="P20977"/>
      <c r="Q20977"/>
      <c r="R20977"/>
      <c r="S20977"/>
    </row>
    <row r="20978" spans="13:19" ht="13.95" customHeight="1">
      <c r="M20978"/>
      <c r="N20978"/>
      <c r="O20978"/>
      <c r="P20978"/>
      <c r="Q20978"/>
      <c r="R20978"/>
      <c r="S20978"/>
    </row>
    <row r="20979" spans="13:19" ht="13.95" customHeight="1">
      <c r="M20979"/>
      <c r="N20979"/>
      <c r="O20979"/>
      <c r="P20979"/>
      <c r="Q20979"/>
      <c r="R20979"/>
      <c r="S20979"/>
    </row>
    <row r="20980" spans="13:19" ht="13.95" customHeight="1">
      <c r="M20980"/>
      <c r="N20980"/>
      <c r="O20980"/>
      <c r="P20980"/>
      <c r="Q20980"/>
      <c r="R20980"/>
      <c r="S20980"/>
    </row>
    <row r="20981" spans="13:19" ht="13.95" customHeight="1">
      <c r="M20981"/>
      <c r="N20981"/>
      <c r="O20981"/>
      <c r="P20981"/>
      <c r="Q20981"/>
      <c r="R20981"/>
      <c r="S20981"/>
    </row>
    <row r="20982" spans="13:19" ht="13.95" customHeight="1">
      <c r="M20982"/>
      <c r="N20982"/>
      <c r="O20982"/>
      <c r="P20982"/>
      <c r="Q20982"/>
      <c r="R20982"/>
      <c r="S20982"/>
    </row>
    <row r="20983" spans="13:19" ht="13.95" customHeight="1">
      <c r="M20983"/>
      <c r="N20983"/>
      <c r="O20983"/>
      <c r="P20983"/>
      <c r="Q20983"/>
      <c r="R20983"/>
      <c r="S20983"/>
    </row>
    <row r="20984" spans="13:19" ht="13.95" customHeight="1">
      <c r="M20984"/>
      <c r="N20984"/>
      <c r="O20984"/>
      <c r="P20984"/>
      <c r="Q20984"/>
      <c r="R20984"/>
      <c r="S20984"/>
    </row>
    <row r="20985" spans="13:19" ht="13.95" customHeight="1">
      <c r="M20985"/>
      <c r="N20985"/>
      <c r="O20985"/>
      <c r="P20985"/>
      <c r="Q20985"/>
      <c r="R20985"/>
      <c r="S20985"/>
    </row>
    <row r="20986" spans="13:19" ht="13.95" customHeight="1">
      <c r="M20986"/>
      <c r="N20986"/>
      <c r="O20986"/>
      <c r="P20986"/>
      <c r="Q20986"/>
      <c r="R20986"/>
      <c r="S20986"/>
    </row>
    <row r="20987" spans="13:19" ht="13.95" customHeight="1">
      <c r="M20987"/>
      <c r="N20987"/>
      <c r="O20987"/>
      <c r="P20987"/>
      <c r="Q20987"/>
      <c r="R20987"/>
      <c r="S20987"/>
    </row>
    <row r="20988" spans="13:19" ht="13.95" customHeight="1">
      <c r="M20988"/>
      <c r="N20988"/>
      <c r="O20988"/>
      <c r="P20988"/>
      <c r="Q20988"/>
      <c r="R20988"/>
      <c r="S20988"/>
    </row>
    <row r="20989" spans="13:19" ht="13.95" customHeight="1">
      <c r="M20989"/>
      <c r="N20989"/>
      <c r="O20989"/>
      <c r="P20989"/>
      <c r="Q20989"/>
      <c r="R20989"/>
      <c r="S20989"/>
    </row>
    <row r="20990" spans="13:19" ht="13.95" customHeight="1">
      <c r="M20990"/>
      <c r="N20990"/>
      <c r="O20990"/>
      <c r="P20990"/>
      <c r="Q20990"/>
      <c r="R20990"/>
      <c r="S20990"/>
    </row>
    <row r="20991" spans="13:19" ht="13.95" customHeight="1">
      <c r="M20991"/>
      <c r="N20991"/>
      <c r="O20991"/>
      <c r="P20991"/>
      <c r="Q20991"/>
      <c r="R20991"/>
      <c r="S20991"/>
    </row>
    <row r="20992" spans="13:19" ht="13.95" customHeight="1">
      <c r="M20992"/>
      <c r="N20992"/>
      <c r="O20992"/>
      <c r="P20992"/>
      <c r="Q20992"/>
      <c r="R20992"/>
      <c r="S20992"/>
    </row>
    <row r="20993" spans="13:19" ht="13.95" customHeight="1">
      <c r="M20993"/>
      <c r="N20993"/>
      <c r="O20993"/>
      <c r="P20993"/>
      <c r="Q20993"/>
      <c r="R20993"/>
      <c r="S20993"/>
    </row>
    <row r="20994" spans="13:19" ht="13.95" customHeight="1">
      <c r="M20994"/>
      <c r="N20994"/>
      <c r="O20994"/>
      <c r="P20994"/>
      <c r="Q20994"/>
      <c r="R20994"/>
      <c r="S20994"/>
    </row>
    <row r="20995" spans="13:19" ht="13.95" customHeight="1">
      <c r="M20995"/>
      <c r="N20995"/>
      <c r="O20995"/>
      <c r="P20995"/>
      <c r="Q20995"/>
      <c r="R20995"/>
      <c r="S20995"/>
    </row>
    <row r="20996" spans="13:19" ht="13.95" customHeight="1">
      <c r="M20996"/>
      <c r="N20996"/>
      <c r="O20996"/>
      <c r="P20996"/>
      <c r="Q20996"/>
      <c r="R20996"/>
      <c r="S20996"/>
    </row>
    <row r="20997" spans="13:19" ht="13.95" customHeight="1">
      <c r="M20997"/>
      <c r="N20997"/>
      <c r="O20997"/>
      <c r="P20997"/>
      <c r="Q20997"/>
      <c r="R20997"/>
      <c r="S20997"/>
    </row>
    <row r="20998" spans="13:19" ht="13.95" customHeight="1">
      <c r="M20998"/>
      <c r="N20998"/>
      <c r="O20998"/>
      <c r="P20998"/>
      <c r="Q20998"/>
      <c r="R20998"/>
      <c r="S20998"/>
    </row>
    <row r="20999" spans="13:19" ht="13.95" customHeight="1">
      <c r="M20999"/>
      <c r="N20999"/>
      <c r="O20999"/>
      <c r="P20999"/>
      <c r="Q20999"/>
      <c r="R20999"/>
      <c r="S20999"/>
    </row>
    <row r="21000" spans="13:19" ht="13.95" customHeight="1">
      <c r="M21000"/>
      <c r="N21000"/>
      <c r="O21000"/>
      <c r="P21000"/>
      <c r="Q21000"/>
      <c r="R21000"/>
      <c r="S21000"/>
    </row>
    <row r="21001" spans="13:19" ht="13.95" customHeight="1">
      <c r="M21001"/>
      <c r="N21001"/>
      <c r="O21001"/>
      <c r="P21001"/>
      <c r="Q21001"/>
      <c r="R21001"/>
      <c r="S21001"/>
    </row>
    <row r="21002" spans="13:19" ht="13.95" customHeight="1">
      <c r="M21002"/>
      <c r="N21002"/>
      <c r="O21002"/>
      <c r="P21002"/>
      <c r="Q21002"/>
      <c r="R21002"/>
      <c r="S21002"/>
    </row>
    <row r="21003" spans="13:19" ht="13.95" customHeight="1">
      <c r="M21003"/>
      <c r="N21003"/>
      <c r="O21003"/>
      <c r="P21003"/>
      <c r="Q21003"/>
      <c r="R21003"/>
      <c r="S21003"/>
    </row>
    <row r="21004" spans="13:19" ht="13.95" customHeight="1">
      <c r="M21004"/>
      <c r="N21004"/>
      <c r="O21004"/>
      <c r="P21004"/>
      <c r="Q21004"/>
      <c r="R21004"/>
      <c r="S21004"/>
    </row>
    <row r="21005" spans="13:19" ht="13.95" customHeight="1">
      <c r="M21005"/>
      <c r="N21005"/>
      <c r="O21005"/>
      <c r="P21005"/>
      <c r="Q21005"/>
      <c r="R21005"/>
      <c r="S21005"/>
    </row>
    <row r="21006" spans="13:19" ht="13.95" customHeight="1">
      <c r="M21006"/>
      <c r="N21006"/>
      <c r="O21006"/>
      <c r="P21006"/>
      <c r="Q21006"/>
      <c r="R21006"/>
      <c r="S21006"/>
    </row>
    <row r="21007" spans="13:19" ht="13.95" customHeight="1">
      <c r="M21007"/>
      <c r="N21007"/>
      <c r="O21007"/>
      <c r="P21007"/>
      <c r="Q21007"/>
      <c r="R21007"/>
      <c r="S21007"/>
    </row>
    <row r="21008" spans="13:19" ht="13.95" customHeight="1">
      <c r="M21008"/>
      <c r="N21008"/>
      <c r="O21008"/>
      <c r="P21008"/>
      <c r="Q21008"/>
      <c r="R21008"/>
      <c r="S21008"/>
    </row>
    <row r="21009" spans="13:19" ht="13.95" customHeight="1">
      <c r="M21009"/>
      <c r="N21009"/>
      <c r="O21009"/>
      <c r="P21009"/>
      <c r="Q21009"/>
      <c r="R21009"/>
      <c r="S21009"/>
    </row>
    <row r="21010" spans="13:19" ht="13.95" customHeight="1">
      <c r="M21010"/>
      <c r="N21010"/>
      <c r="O21010"/>
      <c r="P21010"/>
      <c r="Q21010"/>
      <c r="R21010"/>
      <c r="S21010"/>
    </row>
    <row r="21011" spans="13:19" ht="13.95" customHeight="1">
      <c r="M21011"/>
      <c r="N21011"/>
      <c r="O21011"/>
      <c r="P21011"/>
      <c r="Q21011"/>
      <c r="R21011"/>
      <c r="S21011"/>
    </row>
    <row r="21012" spans="13:19" ht="13.95" customHeight="1">
      <c r="M21012"/>
      <c r="N21012"/>
      <c r="O21012"/>
      <c r="P21012"/>
      <c r="Q21012"/>
      <c r="R21012"/>
      <c r="S21012"/>
    </row>
    <row r="21013" spans="13:19" ht="13.95" customHeight="1">
      <c r="M21013"/>
      <c r="N21013"/>
      <c r="O21013"/>
      <c r="P21013"/>
      <c r="Q21013"/>
      <c r="R21013"/>
      <c r="S21013"/>
    </row>
    <row r="21014" spans="13:19" ht="13.95" customHeight="1">
      <c r="M21014"/>
      <c r="N21014"/>
      <c r="O21014"/>
      <c r="P21014"/>
      <c r="Q21014"/>
      <c r="R21014"/>
      <c r="S21014"/>
    </row>
    <row r="21015" spans="13:19" ht="13.95" customHeight="1">
      <c r="M21015"/>
      <c r="N21015"/>
      <c r="O21015"/>
      <c r="P21015"/>
      <c r="Q21015"/>
      <c r="R21015"/>
      <c r="S21015"/>
    </row>
    <row r="21016" spans="13:19" ht="13.95" customHeight="1">
      <c r="M21016"/>
      <c r="N21016"/>
      <c r="O21016"/>
      <c r="P21016"/>
      <c r="Q21016"/>
      <c r="R21016"/>
      <c r="S21016"/>
    </row>
    <row r="21017" spans="13:19" ht="13.95" customHeight="1">
      <c r="M21017"/>
      <c r="N21017"/>
      <c r="O21017"/>
      <c r="P21017"/>
      <c r="Q21017"/>
      <c r="R21017"/>
      <c r="S21017"/>
    </row>
    <row r="21018" spans="13:19" ht="13.95" customHeight="1">
      <c r="M21018"/>
      <c r="N21018"/>
      <c r="O21018"/>
      <c r="P21018"/>
      <c r="Q21018"/>
      <c r="R21018"/>
      <c r="S21018"/>
    </row>
    <row r="21019" spans="13:19" ht="13.95" customHeight="1">
      <c r="M21019"/>
      <c r="N21019"/>
      <c r="O21019"/>
      <c r="P21019"/>
      <c r="Q21019"/>
      <c r="R21019"/>
      <c r="S21019"/>
    </row>
    <row r="21020" spans="13:19" ht="13.95" customHeight="1">
      <c r="M21020"/>
      <c r="N21020"/>
      <c r="O21020"/>
      <c r="P21020"/>
      <c r="Q21020"/>
      <c r="R21020"/>
      <c r="S21020"/>
    </row>
    <row r="21021" spans="13:19" ht="13.95" customHeight="1">
      <c r="M21021"/>
      <c r="N21021"/>
      <c r="O21021"/>
      <c r="P21021"/>
      <c r="Q21021"/>
      <c r="R21021"/>
      <c r="S21021"/>
    </row>
    <row r="21022" spans="13:19" ht="13.95" customHeight="1">
      <c r="M21022"/>
      <c r="N21022"/>
      <c r="O21022"/>
      <c r="P21022"/>
      <c r="Q21022"/>
      <c r="R21022"/>
      <c r="S21022"/>
    </row>
    <row r="21023" spans="13:19" ht="13.95" customHeight="1">
      <c r="M21023"/>
      <c r="N21023"/>
      <c r="O21023"/>
      <c r="P21023"/>
      <c r="Q21023"/>
      <c r="R21023"/>
      <c r="S21023"/>
    </row>
    <row r="21024" spans="13:19" ht="13.95" customHeight="1">
      <c r="M21024"/>
      <c r="N21024"/>
      <c r="O21024"/>
      <c r="P21024"/>
      <c r="Q21024"/>
      <c r="R21024"/>
      <c r="S21024"/>
    </row>
    <row r="21025" spans="13:19" ht="13.95" customHeight="1">
      <c r="M21025"/>
      <c r="N21025"/>
      <c r="O21025"/>
      <c r="P21025"/>
      <c r="Q21025"/>
      <c r="R21025"/>
      <c r="S21025"/>
    </row>
    <row r="21026" spans="13:19" ht="13.95" customHeight="1">
      <c r="M21026"/>
      <c r="N21026"/>
      <c r="O21026"/>
      <c r="P21026"/>
      <c r="Q21026"/>
      <c r="R21026"/>
      <c r="S21026"/>
    </row>
    <row r="21027" spans="13:19" ht="13.95" customHeight="1">
      <c r="M21027"/>
      <c r="N21027"/>
      <c r="O21027"/>
      <c r="P21027"/>
      <c r="Q21027"/>
      <c r="R21027"/>
      <c r="S21027"/>
    </row>
    <row r="21028" spans="13:19" ht="13.95" customHeight="1">
      <c r="M21028"/>
      <c r="N21028"/>
      <c r="O21028"/>
      <c r="P21028"/>
      <c r="Q21028"/>
      <c r="R21028"/>
      <c r="S21028"/>
    </row>
    <row r="21029" spans="13:19" ht="13.95" customHeight="1">
      <c r="M21029"/>
      <c r="N21029"/>
      <c r="O21029"/>
      <c r="P21029"/>
      <c r="Q21029"/>
      <c r="R21029"/>
      <c r="S21029"/>
    </row>
    <row r="21030" spans="13:19" ht="13.95" customHeight="1">
      <c r="M21030"/>
      <c r="N21030"/>
      <c r="O21030"/>
      <c r="P21030"/>
      <c r="Q21030"/>
      <c r="R21030"/>
      <c r="S21030"/>
    </row>
    <row r="21031" spans="13:19" ht="13.95" customHeight="1">
      <c r="M21031"/>
      <c r="N21031"/>
      <c r="O21031"/>
      <c r="P21031"/>
      <c r="Q21031"/>
      <c r="R21031"/>
      <c r="S21031"/>
    </row>
    <row r="21032" spans="13:19" ht="13.95" customHeight="1">
      <c r="M21032"/>
      <c r="N21032"/>
      <c r="O21032"/>
      <c r="P21032"/>
      <c r="Q21032"/>
      <c r="R21032"/>
      <c r="S21032"/>
    </row>
    <row r="21033" spans="13:19" ht="13.95" customHeight="1">
      <c r="M21033"/>
      <c r="N21033"/>
      <c r="O21033"/>
      <c r="P21033"/>
      <c r="Q21033"/>
      <c r="R21033"/>
      <c r="S21033"/>
    </row>
    <row r="21034" spans="13:19" ht="13.95" customHeight="1">
      <c r="M21034"/>
      <c r="N21034"/>
      <c r="O21034"/>
      <c r="P21034"/>
      <c r="Q21034"/>
      <c r="R21034"/>
      <c r="S21034"/>
    </row>
    <row r="21035" spans="13:19" ht="13.95" customHeight="1">
      <c r="M21035"/>
      <c r="N21035"/>
      <c r="O21035"/>
      <c r="P21035"/>
      <c r="Q21035"/>
      <c r="R21035"/>
      <c r="S21035"/>
    </row>
    <row r="21036" spans="13:19" ht="13.95" customHeight="1">
      <c r="M21036"/>
      <c r="N21036"/>
      <c r="O21036"/>
      <c r="P21036"/>
      <c r="Q21036"/>
      <c r="R21036"/>
      <c r="S21036"/>
    </row>
    <row r="21037" spans="13:19" ht="13.95" customHeight="1">
      <c r="M21037"/>
      <c r="N21037"/>
      <c r="O21037"/>
      <c r="P21037"/>
      <c r="Q21037"/>
      <c r="R21037"/>
      <c r="S21037"/>
    </row>
    <row r="21038" spans="13:19" ht="13.95" customHeight="1">
      <c r="M21038"/>
      <c r="N21038"/>
      <c r="O21038"/>
      <c r="P21038"/>
      <c r="Q21038"/>
      <c r="R21038"/>
      <c r="S21038"/>
    </row>
    <row r="21039" spans="13:19" ht="13.95" customHeight="1">
      <c r="M21039"/>
      <c r="N21039"/>
      <c r="O21039"/>
      <c r="P21039"/>
      <c r="Q21039"/>
      <c r="R21039"/>
      <c r="S21039"/>
    </row>
    <row r="21040" spans="13:19" ht="13.95" customHeight="1">
      <c r="M21040"/>
      <c r="N21040"/>
      <c r="O21040"/>
      <c r="P21040"/>
      <c r="Q21040"/>
      <c r="R21040"/>
      <c r="S21040"/>
    </row>
    <row r="21041" spans="13:19" ht="13.95" customHeight="1">
      <c r="M21041"/>
      <c r="N21041"/>
      <c r="O21041"/>
      <c r="P21041"/>
      <c r="Q21041"/>
      <c r="R21041"/>
      <c r="S21041"/>
    </row>
    <row r="21042" spans="13:19" ht="13.95" customHeight="1">
      <c r="M21042"/>
      <c r="N21042"/>
      <c r="O21042"/>
      <c r="P21042"/>
      <c r="Q21042"/>
      <c r="R21042"/>
      <c r="S21042"/>
    </row>
    <row r="21043" spans="13:19" ht="13.95" customHeight="1">
      <c r="M21043"/>
      <c r="N21043"/>
      <c r="O21043"/>
      <c r="P21043"/>
      <c r="Q21043"/>
      <c r="R21043"/>
      <c r="S21043"/>
    </row>
    <row r="21044" spans="13:19" ht="13.95" customHeight="1">
      <c r="M21044"/>
      <c r="N21044"/>
      <c r="O21044"/>
      <c r="P21044"/>
      <c r="Q21044"/>
      <c r="R21044"/>
      <c r="S21044"/>
    </row>
    <row r="21045" spans="13:19" ht="13.95" customHeight="1">
      <c r="M21045"/>
      <c r="N21045"/>
      <c r="O21045"/>
      <c r="P21045"/>
      <c r="Q21045"/>
      <c r="R21045"/>
      <c r="S21045"/>
    </row>
    <row r="21046" spans="13:19" ht="13.95" customHeight="1">
      <c r="M21046"/>
      <c r="N21046"/>
      <c r="O21046"/>
      <c r="P21046"/>
      <c r="Q21046"/>
      <c r="R21046"/>
      <c r="S21046"/>
    </row>
    <row r="21047" spans="13:19" ht="13.95" customHeight="1">
      <c r="M21047"/>
      <c r="N21047"/>
      <c r="O21047"/>
      <c r="P21047"/>
      <c r="Q21047"/>
      <c r="R21047"/>
      <c r="S21047"/>
    </row>
    <row r="21048" spans="13:19" ht="13.95" customHeight="1">
      <c r="M21048"/>
      <c r="N21048"/>
      <c r="O21048"/>
      <c r="P21048"/>
      <c r="Q21048"/>
      <c r="R21048"/>
      <c r="S21048"/>
    </row>
    <row r="21049" spans="13:19" ht="13.95" customHeight="1">
      <c r="M21049"/>
      <c r="N21049"/>
      <c r="O21049"/>
      <c r="P21049"/>
      <c r="Q21049"/>
      <c r="R21049"/>
      <c r="S21049"/>
    </row>
    <row r="21050" spans="13:19" ht="13.95" customHeight="1">
      <c r="M21050"/>
      <c r="N21050"/>
      <c r="O21050"/>
      <c r="P21050"/>
      <c r="Q21050"/>
      <c r="R21050"/>
      <c r="S21050"/>
    </row>
    <row r="21051" spans="13:19" ht="13.95" customHeight="1">
      <c r="M21051"/>
      <c r="N21051"/>
      <c r="O21051"/>
      <c r="P21051"/>
      <c r="Q21051"/>
      <c r="R21051"/>
      <c r="S21051"/>
    </row>
    <row r="21052" spans="13:19" ht="13.95" customHeight="1">
      <c r="M21052"/>
      <c r="N21052"/>
      <c r="O21052"/>
      <c r="P21052"/>
      <c r="Q21052"/>
      <c r="R21052"/>
      <c r="S21052"/>
    </row>
    <row r="21053" spans="13:19" ht="13.95" customHeight="1">
      <c r="M21053"/>
      <c r="N21053"/>
      <c r="O21053"/>
      <c r="P21053"/>
      <c r="Q21053"/>
      <c r="R21053"/>
      <c r="S21053"/>
    </row>
    <row r="21054" spans="13:19" ht="13.95" customHeight="1">
      <c r="M21054"/>
      <c r="N21054"/>
      <c r="O21054"/>
      <c r="P21054"/>
      <c r="Q21054"/>
      <c r="R21054"/>
      <c r="S21054"/>
    </row>
    <row r="21055" spans="13:19" ht="13.95" customHeight="1">
      <c r="M21055"/>
      <c r="N21055"/>
      <c r="O21055"/>
      <c r="P21055"/>
      <c r="Q21055"/>
      <c r="R21055"/>
      <c r="S21055"/>
    </row>
    <row r="21056" spans="13:19" ht="13.95" customHeight="1">
      <c r="M21056"/>
      <c r="N21056"/>
      <c r="O21056"/>
      <c r="P21056"/>
      <c r="Q21056"/>
      <c r="R21056"/>
      <c r="S21056"/>
    </row>
    <row r="21057" spans="13:19" ht="13.95" customHeight="1">
      <c r="M21057"/>
      <c r="N21057"/>
      <c r="O21057"/>
      <c r="P21057"/>
      <c r="Q21057"/>
      <c r="R21057"/>
      <c r="S21057"/>
    </row>
    <row r="21058" spans="13:19" ht="13.95" customHeight="1">
      <c r="M21058"/>
      <c r="N21058"/>
      <c r="O21058"/>
      <c r="P21058"/>
      <c r="Q21058"/>
      <c r="R21058"/>
      <c r="S21058"/>
    </row>
    <row r="21059" spans="13:19" ht="13.95" customHeight="1">
      <c r="M21059"/>
      <c r="N21059"/>
      <c r="O21059"/>
      <c r="P21059"/>
      <c r="Q21059"/>
      <c r="R21059"/>
      <c r="S21059"/>
    </row>
    <row r="21060" spans="13:19" ht="13.95" customHeight="1">
      <c r="M21060"/>
      <c r="N21060"/>
      <c r="O21060"/>
      <c r="P21060"/>
      <c r="Q21060"/>
      <c r="R21060"/>
      <c r="S21060"/>
    </row>
    <row r="21061" spans="13:19" ht="13.95" customHeight="1">
      <c r="M21061"/>
      <c r="N21061"/>
      <c r="O21061"/>
      <c r="P21061"/>
      <c r="Q21061"/>
      <c r="R21061"/>
      <c r="S21061"/>
    </row>
    <row r="21062" spans="13:19" ht="13.95" customHeight="1">
      <c r="M21062"/>
      <c r="N21062"/>
      <c r="O21062"/>
      <c r="P21062"/>
      <c r="Q21062"/>
      <c r="R21062"/>
      <c r="S21062"/>
    </row>
    <row r="21063" spans="13:19" ht="13.95" customHeight="1">
      <c r="M21063"/>
      <c r="N21063"/>
      <c r="O21063"/>
      <c r="P21063"/>
      <c r="Q21063"/>
      <c r="R21063"/>
      <c r="S21063"/>
    </row>
    <row r="21064" spans="13:19" ht="13.95" customHeight="1">
      <c r="M21064"/>
      <c r="N21064"/>
      <c r="O21064"/>
      <c r="P21064"/>
      <c r="Q21064"/>
      <c r="R21064"/>
      <c r="S21064"/>
    </row>
    <row r="21065" spans="13:19" ht="13.95" customHeight="1">
      <c r="M21065"/>
      <c r="N21065"/>
      <c r="O21065"/>
      <c r="P21065"/>
      <c r="Q21065"/>
      <c r="R21065"/>
      <c r="S21065"/>
    </row>
    <row r="21066" spans="13:19" ht="13.95" customHeight="1">
      <c r="M21066"/>
      <c r="N21066"/>
      <c r="O21066"/>
      <c r="P21066"/>
      <c r="Q21066"/>
      <c r="R21066"/>
      <c r="S21066"/>
    </row>
    <row r="21067" spans="13:19" ht="13.95" customHeight="1">
      <c r="M21067"/>
      <c r="N21067"/>
      <c r="O21067"/>
      <c r="P21067"/>
      <c r="Q21067"/>
      <c r="R21067"/>
      <c r="S21067"/>
    </row>
    <row r="21068" spans="13:19" ht="13.95" customHeight="1">
      <c r="M21068"/>
      <c r="N21068"/>
      <c r="O21068"/>
      <c r="P21068"/>
      <c r="Q21068"/>
      <c r="R21068"/>
      <c r="S21068"/>
    </row>
    <row r="21069" spans="13:19" ht="13.95" customHeight="1">
      <c r="M21069"/>
      <c r="N21069"/>
      <c r="O21069"/>
      <c r="P21069"/>
      <c r="Q21069"/>
      <c r="R21069"/>
      <c r="S21069"/>
    </row>
    <row r="21070" spans="13:19" ht="13.95" customHeight="1">
      <c r="M21070"/>
      <c r="N21070"/>
      <c r="O21070"/>
      <c r="P21070"/>
      <c r="Q21070"/>
      <c r="R21070"/>
      <c r="S21070"/>
    </row>
    <row r="21071" spans="13:19" ht="13.95" customHeight="1">
      <c r="M21071"/>
      <c r="N21071"/>
      <c r="O21071"/>
      <c r="P21071"/>
      <c r="Q21071"/>
      <c r="R21071"/>
      <c r="S21071"/>
    </row>
    <row r="21072" spans="13:19" ht="13.95" customHeight="1">
      <c r="M21072"/>
      <c r="N21072"/>
      <c r="O21072"/>
      <c r="P21072"/>
      <c r="Q21072"/>
      <c r="R21072"/>
      <c r="S21072"/>
    </row>
    <row r="21073" spans="13:19" ht="13.95" customHeight="1">
      <c r="M21073"/>
      <c r="N21073"/>
      <c r="O21073"/>
      <c r="P21073"/>
      <c r="Q21073"/>
      <c r="R21073"/>
      <c r="S21073"/>
    </row>
    <row r="21074" spans="13:19" ht="13.95" customHeight="1">
      <c r="M21074"/>
      <c r="N21074"/>
      <c r="O21074"/>
      <c r="P21074"/>
      <c r="Q21074"/>
      <c r="R21074"/>
      <c r="S21074"/>
    </row>
    <row r="21075" spans="13:19" ht="13.95" customHeight="1">
      <c r="M21075"/>
      <c r="N21075"/>
      <c r="O21075"/>
      <c r="P21075"/>
      <c r="Q21075"/>
      <c r="R21075"/>
      <c r="S21075"/>
    </row>
    <row r="21076" spans="13:19" ht="13.95" customHeight="1">
      <c r="M21076"/>
      <c r="N21076"/>
      <c r="O21076"/>
      <c r="P21076"/>
      <c r="Q21076"/>
      <c r="R21076"/>
      <c r="S21076"/>
    </row>
    <row r="21077" spans="13:19" ht="13.95" customHeight="1">
      <c r="M21077"/>
      <c r="N21077"/>
      <c r="O21077"/>
      <c r="P21077"/>
      <c r="Q21077"/>
      <c r="R21077"/>
      <c r="S21077"/>
    </row>
    <row r="21078" spans="13:19" ht="13.95" customHeight="1">
      <c r="M21078"/>
      <c r="N21078"/>
      <c r="O21078"/>
      <c r="P21078"/>
      <c r="Q21078"/>
      <c r="R21078"/>
      <c r="S21078"/>
    </row>
    <row r="21079" spans="13:19" ht="13.95" customHeight="1">
      <c r="M21079"/>
      <c r="N21079"/>
      <c r="O21079"/>
      <c r="P21079"/>
      <c r="Q21079"/>
      <c r="R21079"/>
      <c r="S21079"/>
    </row>
    <row r="21080" spans="13:19" ht="13.95" customHeight="1">
      <c r="M21080"/>
      <c r="N21080"/>
      <c r="O21080"/>
      <c r="P21080"/>
      <c r="Q21080"/>
      <c r="R21080"/>
      <c r="S21080"/>
    </row>
    <row r="21081" spans="13:19" ht="13.95" customHeight="1">
      <c r="M21081"/>
      <c r="N21081"/>
      <c r="O21081"/>
      <c r="P21081"/>
      <c r="Q21081"/>
      <c r="R21081"/>
      <c r="S21081"/>
    </row>
    <row r="21082" spans="13:19" ht="13.95" customHeight="1">
      <c r="M21082"/>
      <c r="N21082"/>
      <c r="O21082"/>
      <c r="P21082"/>
      <c r="Q21082"/>
      <c r="R21082"/>
      <c r="S21082"/>
    </row>
    <row r="21083" spans="13:19" ht="13.95" customHeight="1">
      <c r="M21083"/>
      <c r="N21083"/>
      <c r="O21083"/>
      <c r="P21083"/>
      <c r="Q21083"/>
      <c r="R21083"/>
      <c r="S21083"/>
    </row>
    <row r="21084" spans="13:19" ht="13.95" customHeight="1">
      <c r="M21084"/>
      <c r="N21084"/>
      <c r="O21084"/>
      <c r="P21084"/>
      <c r="Q21084"/>
      <c r="R21084"/>
      <c r="S21084"/>
    </row>
    <row r="21085" spans="13:19" ht="13.95" customHeight="1">
      <c r="M21085"/>
      <c r="N21085"/>
      <c r="O21085"/>
      <c r="P21085"/>
      <c r="Q21085"/>
      <c r="R21085"/>
      <c r="S21085"/>
    </row>
    <row r="21086" spans="13:19" ht="13.95" customHeight="1">
      <c r="M21086"/>
      <c r="N21086"/>
      <c r="O21086"/>
      <c r="P21086"/>
      <c r="Q21086"/>
      <c r="R21086"/>
      <c r="S21086"/>
    </row>
    <row r="21087" spans="13:19" ht="13.95" customHeight="1">
      <c r="M21087"/>
      <c r="N21087"/>
      <c r="O21087"/>
      <c r="P21087"/>
      <c r="Q21087"/>
      <c r="R21087"/>
      <c r="S21087"/>
    </row>
    <row r="21088" spans="13:19" ht="13.95" customHeight="1">
      <c r="M21088"/>
      <c r="N21088"/>
      <c r="O21088"/>
      <c r="P21088"/>
      <c r="Q21088"/>
      <c r="R21088"/>
      <c r="S21088"/>
    </row>
    <row r="21089" spans="13:19" ht="13.95" customHeight="1">
      <c r="M21089"/>
      <c r="N21089"/>
      <c r="O21089"/>
      <c r="P21089"/>
      <c r="Q21089"/>
      <c r="R21089"/>
      <c r="S21089"/>
    </row>
    <row r="21090" spans="13:19" ht="13.95" customHeight="1">
      <c r="M21090"/>
      <c r="N21090"/>
      <c r="O21090"/>
      <c r="P21090"/>
      <c r="Q21090"/>
      <c r="R21090"/>
      <c r="S21090"/>
    </row>
    <row r="21091" spans="13:19" ht="13.95" customHeight="1">
      <c r="M21091"/>
      <c r="N21091"/>
      <c r="O21091"/>
      <c r="P21091"/>
      <c r="Q21091"/>
      <c r="R21091"/>
      <c r="S21091"/>
    </row>
    <row r="21092" spans="13:19" ht="13.95" customHeight="1">
      <c r="M21092"/>
      <c r="N21092"/>
      <c r="O21092"/>
      <c r="P21092"/>
      <c r="Q21092"/>
      <c r="R21092"/>
      <c r="S21092"/>
    </row>
    <row r="21093" spans="13:19" ht="13.95" customHeight="1">
      <c r="M21093"/>
      <c r="N21093"/>
      <c r="O21093"/>
      <c r="P21093"/>
      <c r="Q21093"/>
      <c r="R21093"/>
      <c r="S21093"/>
    </row>
    <row r="21094" spans="13:19" ht="13.95" customHeight="1">
      <c r="M21094"/>
      <c r="N21094"/>
      <c r="O21094"/>
      <c r="P21094"/>
      <c r="Q21094"/>
      <c r="R21094"/>
      <c r="S21094"/>
    </row>
    <row r="21095" spans="13:19" ht="13.95" customHeight="1">
      <c r="M21095"/>
      <c r="N21095"/>
      <c r="O21095"/>
      <c r="P21095"/>
      <c r="Q21095"/>
      <c r="R21095"/>
      <c r="S21095"/>
    </row>
    <row r="21096" spans="13:19" ht="13.95" customHeight="1">
      <c r="M21096"/>
      <c r="N21096"/>
      <c r="O21096"/>
      <c r="P21096"/>
      <c r="Q21096"/>
      <c r="R21096"/>
      <c r="S21096"/>
    </row>
    <row r="21097" spans="13:19" ht="13.95" customHeight="1">
      <c r="M21097"/>
      <c r="N21097"/>
      <c r="O21097"/>
      <c r="P21097"/>
      <c r="Q21097"/>
      <c r="R21097"/>
      <c r="S21097"/>
    </row>
    <row r="21098" spans="13:19" ht="13.95" customHeight="1">
      <c r="M21098"/>
      <c r="N21098"/>
      <c r="O21098"/>
      <c r="P21098"/>
      <c r="Q21098"/>
      <c r="R21098"/>
      <c r="S21098"/>
    </row>
    <row r="21099" spans="13:19" ht="13.95" customHeight="1">
      <c r="M21099"/>
      <c r="N21099"/>
      <c r="O21099"/>
      <c r="P21099"/>
      <c r="Q21099"/>
      <c r="R21099"/>
      <c r="S21099"/>
    </row>
    <row r="21100" spans="13:19" ht="13.95" customHeight="1">
      <c r="M21100"/>
      <c r="N21100"/>
      <c r="O21100"/>
      <c r="P21100"/>
      <c r="Q21100"/>
      <c r="R21100"/>
      <c r="S21100"/>
    </row>
    <row r="21101" spans="13:19" ht="13.95" customHeight="1">
      <c r="M21101"/>
      <c r="N21101"/>
      <c r="O21101"/>
      <c r="P21101"/>
      <c r="Q21101"/>
      <c r="R21101"/>
      <c r="S21101"/>
    </row>
    <row r="21102" spans="13:19" ht="13.95" customHeight="1">
      <c r="M21102"/>
      <c r="N21102"/>
      <c r="O21102"/>
      <c r="P21102"/>
      <c r="Q21102"/>
      <c r="R21102"/>
      <c r="S21102"/>
    </row>
    <row r="21103" spans="13:19" ht="13.95" customHeight="1">
      <c r="M21103"/>
      <c r="N21103"/>
      <c r="O21103"/>
      <c r="P21103"/>
      <c r="Q21103"/>
      <c r="R21103"/>
      <c r="S21103"/>
    </row>
    <row r="21104" spans="13:19" ht="13.95" customHeight="1">
      <c r="M21104"/>
      <c r="N21104"/>
      <c r="O21104"/>
      <c r="P21104"/>
      <c r="Q21104"/>
      <c r="R21104"/>
      <c r="S21104"/>
    </row>
    <row r="21105" spans="13:19" ht="13.95" customHeight="1">
      <c r="M21105"/>
      <c r="N21105"/>
      <c r="O21105"/>
      <c r="P21105"/>
      <c r="Q21105"/>
      <c r="R21105"/>
      <c r="S21105"/>
    </row>
    <row r="21106" spans="13:19" ht="13.95" customHeight="1">
      <c r="M21106"/>
      <c r="N21106"/>
      <c r="O21106"/>
      <c r="P21106"/>
      <c r="Q21106"/>
      <c r="R21106"/>
      <c r="S21106"/>
    </row>
    <row r="21107" spans="13:19" ht="13.95" customHeight="1">
      <c r="M21107"/>
      <c r="N21107"/>
      <c r="O21107"/>
      <c r="P21107"/>
      <c r="Q21107"/>
      <c r="R21107"/>
      <c r="S21107"/>
    </row>
    <row r="21108" spans="13:19" ht="13.95" customHeight="1">
      <c r="M21108"/>
      <c r="N21108"/>
      <c r="O21108"/>
      <c r="P21108"/>
      <c r="Q21108"/>
      <c r="R21108"/>
      <c r="S21108"/>
    </row>
    <row r="21109" spans="13:19" ht="13.95" customHeight="1">
      <c r="M21109"/>
      <c r="N21109"/>
      <c r="O21109"/>
      <c r="P21109"/>
      <c r="Q21109"/>
      <c r="R21109"/>
      <c r="S21109"/>
    </row>
    <row r="21110" spans="13:19" ht="13.95" customHeight="1">
      <c r="M21110"/>
      <c r="N21110"/>
      <c r="O21110"/>
      <c r="P21110"/>
      <c r="Q21110"/>
      <c r="R21110"/>
      <c r="S21110"/>
    </row>
    <row r="21111" spans="13:19" ht="13.95" customHeight="1">
      <c r="M21111"/>
      <c r="N21111"/>
      <c r="O21111"/>
      <c r="P21111"/>
      <c r="Q21111"/>
      <c r="R21111"/>
      <c r="S21111"/>
    </row>
    <row r="21112" spans="13:19" ht="13.95" customHeight="1">
      <c r="M21112"/>
      <c r="N21112"/>
      <c r="O21112"/>
      <c r="P21112"/>
      <c r="Q21112"/>
      <c r="R21112"/>
      <c r="S21112"/>
    </row>
    <row r="21113" spans="13:19" ht="13.95" customHeight="1">
      <c r="M21113"/>
      <c r="N21113"/>
      <c r="O21113"/>
      <c r="P21113"/>
      <c r="Q21113"/>
      <c r="R21113"/>
      <c r="S21113"/>
    </row>
    <row r="21114" spans="13:19" ht="13.95" customHeight="1">
      <c r="M21114"/>
      <c r="N21114"/>
      <c r="O21114"/>
      <c r="P21114"/>
      <c r="Q21114"/>
      <c r="R21114"/>
      <c r="S21114"/>
    </row>
    <row r="21115" spans="13:19" ht="13.95" customHeight="1">
      <c r="M21115"/>
      <c r="N21115"/>
      <c r="O21115"/>
      <c r="P21115"/>
      <c r="Q21115"/>
      <c r="R21115"/>
      <c r="S21115"/>
    </row>
    <row r="21116" spans="13:19" ht="13.95" customHeight="1">
      <c r="M21116"/>
      <c r="N21116"/>
      <c r="O21116"/>
      <c r="P21116"/>
      <c r="Q21116"/>
      <c r="R21116"/>
      <c r="S21116"/>
    </row>
    <row r="21117" spans="13:19" ht="13.95" customHeight="1">
      <c r="M21117"/>
      <c r="N21117"/>
      <c r="O21117"/>
      <c r="P21117"/>
      <c r="Q21117"/>
      <c r="R21117"/>
      <c r="S21117"/>
    </row>
    <row r="21118" spans="13:19" ht="13.95" customHeight="1">
      <c r="M21118"/>
      <c r="N21118"/>
      <c r="O21118"/>
      <c r="P21118"/>
      <c r="Q21118"/>
      <c r="R21118"/>
      <c r="S21118"/>
    </row>
    <row r="21119" spans="13:19" ht="13.95" customHeight="1">
      <c r="M21119"/>
      <c r="N21119"/>
      <c r="O21119"/>
      <c r="P21119"/>
      <c r="Q21119"/>
      <c r="R21119"/>
      <c r="S21119"/>
    </row>
    <row r="21120" spans="13:19" ht="13.95" customHeight="1">
      <c r="M21120"/>
      <c r="N21120"/>
      <c r="O21120"/>
      <c r="P21120"/>
      <c r="Q21120"/>
      <c r="R21120"/>
      <c r="S21120"/>
    </row>
    <row r="21121" spans="13:19" ht="13.95" customHeight="1">
      <c r="M21121"/>
      <c r="N21121"/>
      <c r="O21121"/>
      <c r="P21121"/>
      <c r="Q21121"/>
      <c r="R21121"/>
      <c r="S21121"/>
    </row>
    <row r="21122" spans="13:19" ht="13.95" customHeight="1">
      <c r="M21122"/>
      <c r="N21122"/>
      <c r="O21122"/>
      <c r="P21122"/>
      <c r="Q21122"/>
      <c r="R21122"/>
      <c r="S21122"/>
    </row>
    <row r="21123" spans="13:19" ht="13.95" customHeight="1">
      <c r="M21123"/>
      <c r="N21123"/>
      <c r="O21123"/>
      <c r="P21123"/>
      <c r="Q21123"/>
      <c r="R21123"/>
      <c r="S21123"/>
    </row>
    <row r="21124" spans="13:19" ht="13.95" customHeight="1">
      <c r="M21124"/>
      <c r="N21124"/>
      <c r="O21124"/>
      <c r="P21124"/>
      <c r="Q21124"/>
      <c r="R21124"/>
      <c r="S21124"/>
    </row>
    <row r="21125" spans="13:19" ht="13.95" customHeight="1">
      <c r="M21125"/>
      <c r="N21125"/>
      <c r="O21125"/>
      <c r="P21125"/>
      <c r="Q21125"/>
      <c r="R21125"/>
      <c r="S21125"/>
    </row>
    <row r="21126" spans="13:19" ht="13.95" customHeight="1">
      <c r="M21126"/>
      <c r="N21126"/>
      <c r="O21126"/>
      <c r="P21126"/>
      <c r="Q21126"/>
      <c r="R21126"/>
      <c r="S21126"/>
    </row>
    <row r="21127" spans="13:19" ht="13.95" customHeight="1">
      <c r="M21127"/>
      <c r="N21127"/>
      <c r="O21127"/>
      <c r="P21127"/>
      <c r="Q21127"/>
      <c r="R21127"/>
      <c r="S21127"/>
    </row>
    <row r="21128" spans="13:19" ht="13.95" customHeight="1">
      <c r="M21128"/>
      <c r="N21128"/>
      <c r="O21128"/>
      <c r="P21128"/>
      <c r="Q21128"/>
      <c r="R21128"/>
      <c r="S21128"/>
    </row>
    <row r="21129" spans="13:19" ht="13.95" customHeight="1">
      <c r="M21129"/>
      <c r="N21129"/>
      <c r="O21129"/>
      <c r="P21129"/>
      <c r="Q21129"/>
      <c r="R21129"/>
      <c r="S21129"/>
    </row>
    <row r="21130" spans="13:19" ht="13.95" customHeight="1">
      <c r="M21130"/>
      <c r="N21130"/>
      <c r="O21130"/>
      <c r="P21130"/>
      <c r="Q21130"/>
      <c r="R21130"/>
      <c r="S21130"/>
    </row>
    <row r="21131" spans="13:19" ht="13.95" customHeight="1">
      <c r="M21131"/>
      <c r="N21131"/>
      <c r="O21131"/>
      <c r="P21131"/>
      <c r="Q21131"/>
      <c r="R21131"/>
      <c r="S21131"/>
    </row>
    <row r="21132" spans="13:19" ht="13.95" customHeight="1">
      <c r="M21132"/>
      <c r="N21132"/>
      <c r="O21132"/>
      <c r="P21132"/>
      <c r="Q21132"/>
      <c r="R21132"/>
      <c r="S21132"/>
    </row>
    <row r="21133" spans="13:19" ht="13.95" customHeight="1">
      <c r="M21133"/>
      <c r="N21133"/>
      <c r="O21133"/>
      <c r="P21133"/>
      <c r="Q21133"/>
      <c r="R21133"/>
      <c r="S21133"/>
    </row>
    <row r="21134" spans="13:19" ht="13.95" customHeight="1">
      <c r="M21134"/>
      <c r="N21134"/>
      <c r="O21134"/>
      <c r="P21134"/>
      <c r="Q21134"/>
      <c r="R21134"/>
      <c r="S21134"/>
    </row>
    <row r="21135" spans="13:19" ht="13.95" customHeight="1">
      <c r="M21135"/>
      <c r="N21135"/>
      <c r="O21135"/>
      <c r="P21135"/>
      <c r="Q21135"/>
      <c r="R21135"/>
      <c r="S21135"/>
    </row>
    <row r="21136" spans="13:19" ht="13.95" customHeight="1">
      <c r="M21136"/>
      <c r="N21136"/>
      <c r="O21136"/>
      <c r="P21136"/>
      <c r="Q21136"/>
      <c r="R21136"/>
      <c r="S21136"/>
    </row>
    <row r="21137" spans="13:19" ht="13.95" customHeight="1">
      <c r="M21137"/>
      <c r="N21137"/>
      <c r="O21137"/>
      <c r="P21137"/>
      <c r="Q21137"/>
      <c r="R21137"/>
      <c r="S21137"/>
    </row>
    <row r="21138" spans="13:19" ht="13.95" customHeight="1">
      <c r="M21138"/>
      <c r="N21138"/>
      <c r="O21138"/>
      <c r="P21138"/>
      <c r="Q21138"/>
      <c r="R21138"/>
      <c r="S21138"/>
    </row>
    <row r="21139" spans="13:19" ht="13.95" customHeight="1">
      <c r="M21139"/>
      <c r="N21139"/>
      <c r="O21139"/>
      <c r="P21139"/>
      <c r="Q21139"/>
      <c r="R21139"/>
      <c r="S21139"/>
    </row>
    <row r="21140" spans="13:19" ht="13.95" customHeight="1">
      <c r="M21140"/>
      <c r="N21140"/>
      <c r="O21140"/>
      <c r="P21140"/>
      <c r="Q21140"/>
      <c r="R21140"/>
      <c r="S21140"/>
    </row>
    <row r="21141" spans="13:19" ht="13.95" customHeight="1">
      <c r="M21141"/>
      <c r="N21141"/>
      <c r="O21141"/>
      <c r="P21141"/>
      <c r="Q21141"/>
      <c r="R21141"/>
      <c r="S21141"/>
    </row>
    <row r="21142" spans="13:19" ht="13.95" customHeight="1">
      <c r="M21142"/>
      <c r="N21142"/>
      <c r="O21142"/>
      <c r="P21142"/>
      <c r="Q21142"/>
      <c r="R21142"/>
      <c r="S21142"/>
    </row>
    <row r="21143" spans="13:19" ht="13.95" customHeight="1">
      <c r="M21143"/>
      <c r="N21143"/>
      <c r="O21143"/>
      <c r="P21143"/>
      <c r="Q21143"/>
      <c r="R21143"/>
      <c r="S21143"/>
    </row>
    <row r="21144" spans="13:19" ht="13.95" customHeight="1">
      <c r="M21144"/>
      <c r="N21144"/>
      <c r="O21144"/>
      <c r="P21144"/>
      <c r="Q21144"/>
      <c r="R21144"/>
      <c r="S21144"/>
    </row>
    <row r="21145" spans="13:19" ht="13.95" customHeight="1">
      <c r="M21145"/>
      <c r="N21145"/>
      <c r="O21145"/>
      <c r="P21145"/>
      <c r="Q21145"/>
      <c r="R21145"/>
      <c r="S21145"/>
    </row>
    <row r="21146" spans="13:19" ht="13.95" customHeight="1">
      <c r="M21146"/>
      <c r="N21146"/>
      <c r="O21146"/>
      <c r="P21146"/>
      <c r="Q21146"/>
      <c r="R21146"/>
      <c r="S21146"/>
    </row>
    <row r="21147" spans="13:19" ht="13.95" customHeight="1">
      <c r="M21147"/>
      <c r="N21147"/>
      <c r="O21147"/>
      <c r="P21147"/>
      <c r="Q21147"/>
      <c r="R21147"/>
      <c r="S21147"/>
    </row>
    <row r="21148" spans="13:19" ht="13.95" customHeight="1">
      <c r="M21148"/>
      <c r="N21148"/>
      <c r="O21148"/>
      <c r="P21148"/>
      <c r="Q21148"/>
      <c r="R21148"/>
      <c r="S21148"/>
    </row>
    <row r="21149" spans="13:19" ht="13.95" customHeight="1">
      <c r="M21149"/>
      <c r="N21149"/>
      <c r="O21149"/>
      <c r="P21149"/>
      <c r="Q21149"/>
      <c r="R21149"/>
      <c r="S21149"/>
    </row>
    <row r="21150" spans="13:19" ht="13.95" customHeight="1">
      <c r="M21150"/>
      <c r="N21150"/>
      <c r="O21150"/>
      <c r="P21150"/>
      <c r="Q21150"/>
      <c r="R21150"/>
      <c r="S21150"/>
    </row>
    <row r="21151" spans="13:19" ht="13.95" customHeight="1">
      <c r="M21151"/>
      <c r="N21151"/>
      <c r="O21151"/>
      <c r="P21151"/>
      <c r="Q21151"/>
      <c r="R21151"/>
      <c r="S21151"/>
    </row>
    <row r="21152" spans="13:19" ht="13.95" customHeight="1">
      <c r="M21152"/>
      <c r="N21152"/>
      <c r="O21152"/>
      <c r="P21152"/>
      <c r="Q21152"/>
      <c r="R21152"/>
      <c r="S21152"/>
    </row>
    <row r="21153" spans="13:19" ht="13.95" customHeight="1">
      <c r="M21153"/>
      <c r="N21153"/>
      <c r="O21153"/>
      <c r="P21153"/>
      <c r="Q21153"/>
      <c r="R21153"/>
      <c r="S21153"/>
    </row>
    <row r="21154" spans="13:19" ht="13.95" customHeight="1">
      <c r="M21154"/>
      <c r="N21154"/>
      <c r="O21154"/>
      <c r="P21154"/>
      <c r="Q21154"/>
      <c r="R21154"/>
      <c r="S21154"/>
    </row>
    <row r="21155" spans="13:19" ht="13.95" customHeight="1">
      <c r="M21155"/>
      <c r="N21155"/>
      <c r="O21155"/>
      <c r="P21155"/>
      <c r="Q21155"/>
      <c r="R21155"/>
      <c r="S21155"/>
    </row>
    <row r="21156" spans="13:19" ht="13.95" customHeight="1">
      <c r="M21156"/>
      <c r="N21156"/>
      <c r="O21156"/>
      <c r="P21156"/>
      <c r="Q21156"/>
      <c r="R21156"/>
      <c r="S21156"/>
    </row>
    <row r="21157" spans="13:19" ht="13.95" customHeight="1">
      <c r="M21157"/>
      <c r="N21157"/>
      <c r="O21157"/>
      <c r="P21157"/>
      <c r="Q21157"/>
      <c r="R21157"/>
      <c r="S21157"/>
    </row>
    <row r="21158" spans="13:19" ht="13.95" customHeight="1">
      <c r="M21158"/>
      <c r="N21158"/>
      <c r="O21158"/>
      <c r="P21158"/>
      <c r="Q21158"/>
      <c r="R21158"/>
      <c r="S21158"/>
    </row>
    <row r="21159" spans="13:19" ht="13.95" customHeight="1">
      <c r="M21159"/>
      <c r="N21159"/>
      <c r="O21159"/>
      <c r="P21159"/>
      <c r="Q21159"/>
      <c r="R21159"/>
      <c r="S21159"/>
    </row>
    <row r="21160" spans="13:19" ht="13.95" customHeight="1">
      <c r="M21160"/>
      <c r="N21160"/>
      <c r="O21160"/>
      <c r="P21160"/>
      <c r="Q21160"/>
      <c r="R21160"/>
      <c r="S21160"/>
    </row>
    <row r="21161" spans="13:19" ht="13.95" customHeight="1">
      <c r="M21161"/>
      <c r="N21161"/>
      <c r="O21161"/>
      <c r="P21161"/>
      <c r="Q21161"/>
      <c r="R21161"/>
      <c r="S21161"/>
    </row>
    <row r="21162" spans="13:19" ht="13.95" customHeight="1">
      <c r="M21162"/>
      <c r="N21162"/>
      <c r="O21162"/>
      <c r="P21162"/>
      <c r="Q21162"/>
      <c r="R21162"/>
      <c r="S21162"/>
    </row>
    <row r="21163" spans="13:19" ht="13.95" customHeight="1">
      <c r="M21163"/>
      <c r="N21163"/>
      <c r="O21163"/>
      <c r="P21163"/>
      <c r="Q21163"/>
      <c r="R21163"/>
      <c r="S21163"/>
    </row>
    <row r="21164" spans="13:19" ht="13.95" customHeight="1">
      <c r="M21164"/>
      <c r="N21164"/>
      <c r="O21164"/>
      <c r="P21164"/>
      <c r="Q21164"/>
      <c r="R21164"/>
      <c r="S21164"/>
    </row>
    <row r="21165" spans="13:19" ht="13.95" customHeight="1">
      <c r="M21165"/>
      <c r="N21165"/>
      <c r="O21165"/>
      <c r="P21165"/>
      <c r="Q21165"/>
      <c r="R21165"/>
      <c r="S21165"/>
    </row>
    <row r="21166" spans="13:19" ht="13.95" customHeight="1">
      <c r="M21166"/>
      <c r="N21166"/>
      <c r="O21166"/>
      <c r="P21166"/>
      <c r="Q21166"/>
      <c r="R21166"/>
      <c r="S21166"/>
    </row>
    <row r="21167" spans="13:19" ht="13.95" customHeight="1">
      <c r="M21167"/>
      <c r="N21167"/>
      <c r="O21167"/>
      <c r="P21167"/>
      <c r="Q21167"/>
      <c r="R21167"/>
      <c r="S21167"/>
    </row>
    <row r="21168" spans="13:19" ht="13.95" customHeight="1">
      <c r="M21168"/>
      <c r="N21168"/>
      <c r="O21168"/>
      <c r="P21168"/>
      <c r="Q21168"/>
      <c r="R21168"/>
      <c r="S21168"/>
    </row>
    <row r="21169" spans="13:19" ht="13.95" customHeight="1">
      <c r="M21169"/>
      <c r="N21169"/>
      <c r="O21169"/>
      <c r="P21169"/>
      <c r="Q21169"/>
      <c r="R21169"/>
      <c r="S21169"/>
    </row>
    <row r="21170" spans="13:19" ht="13.95" customHeight="1">
      <c r="M21170"/>
      <c r="N21170"/>
      <c r="O21170"/>
      <c r="P21170"/>
      <c r="Q21170"/>
      <c r="R21170"/>
      <c r="S21170"/>
    </row>
    <row r="21171" spans="13:19" ht="13.95" customHeight="1">
      <c r="M21171"/>
      <c r="N21171"/>
      <c r="O21171"/>
      <c r="P21171"/>
      <c r="Q21171"/>
      <c r="R21171"/>
      <c r="S21171"/>
    </row>
    <row r="21172" spans="13:19" ht="13.95" customHeight="1">
      <c r="M21172"/>
      <c r="N21172"/>
      <c r="O21172"/>
      <c r="P21172"/>
      <c r="Q21172"/>
      <c r="R21172"/>
      <c r="S21172"/>
    </row>
    <row r="21173" spans="13:19" ht="13.95" customHeight="1">
      <c r="M21173"/>
      <c r="N21173"/>
      <c r="O21173"/>
      <c r="P21173"/>
      <c r="Q21173"/>
      <c r="R21173"/>
      <c r="S21173"/>
    </row>
    <row r="21174" spans="13:19" ht="13.95" customHeight="1">
      <c r="M21174"/>
      <c r="N21174"/>
      <c r="O21174"/>
      <c r="P21174"/>
      <c r="Q21174"/>
      <c r="R21174"/>
      <c r="S21174"/>
    </row>
    <row r="21175" spans="13:19" ht="13.95" customHeight="1">
      <c r="M21175"/>
      <c r="N21175"/>
      <c r="O21175"/>
      <c r="P21175"/>
      <c r="Q21175"/>
      <c r="R21175"/>
      <c r="S21175"/>
    </row>
    <row r="21176" spans="13:19" ht="13.95" customHeight="1">
      <c r="M21176"/>
      <c r="N21176"/>
      <c r="O21176"/>
      <c r="P21176"/>
      <c r="Q21176"/>
      <c r="R21176"/>
      <c r="S21176"/>
    </row>
    <row r="21177" spans="13:19" ht="13.95" customHeight="1">
      <c r="M21177"/>
      <c r="N21177"/>
      <c r="O21177"/>
      <c r="P21177"/>
      <c r="Q21177"/>
      <c r="R21177"/>
      <c r="S21177"/>
    </row>
    <row r="21178" spans="13:19" ht="13.95" customHeight="1">
      <c r="M21178"/>
      <c r="N21178"/>
      <c r="O21178"/>
      <c r="P21178"/>
      <c r="Q21178"/>
      <c r="R21178"/>
      <c r="S21178"/>
    </row>
    <row r="21179" spans="13:19" ht="13.95" customHeight="1">
      <c r="M21179"/>
      <c r="N21179"/>
      <c r="O21179"/>
      <c r="P21179"/>
      <c r="Q21179"/>
      <c r="R21179"/>
      <c r="S21179"/>
    </row>
    <row r="21180" spans="13:19" ht="13.95" customHeight="1">
      <c r="M21180"/>
      <c r="N21180"/>
      <c r="O21180"/>
      <c r="P21180"/>
      <c r="Q21180"/>
      <c r="R21180"/>
      <c r="S21180"/>
    </row>
    <row r="21181" spans="13:19" ht="13.95" customHeight="1">
      <c r="M21181"/>
      <c r="N21181"/>
      <c r="O21181"/>
      <c r="P21181"/>
      <c r="Q21181"/>
      <c r="R21181"/>
      <c r="S21181"/>
    </row>
    <row r="21182" spans="13:19" ht="13.95" customHeight="1">
      <c r="M21182"/>
      <c r="N21182"/>
      <c r="O21182"/>
      <c r="P21182"/>
      <c r="Q21182"/>
      <c r="R21182"/>
      <c r="S21182"/>
    </row>
    <row r="21183" spans="13:19" ht="13.95" customHeight="1">
      <c r="M21183"/>
      <c r="N21183"/>
      <c r="O21183"/>
      <c r="P21183"/>
      <c r="Q21183"/>
      <c r="R21183"/>
      <c r="S21183"/>
    </row>
    <row r="21184" spans="13:19" ht="13.95" customHeight="1">
      <c r="M21184"/>
      <c r="N21184"/>
      <c r="O21184"/>
      <c r="P21184"/>
      <c r="Q21184"/>
      <c r="R21184"/>
      <c r="S21184"/>
    </row>
    <row r="21185" spans="13:19" ht="13.95" customHeight="1">
      <c r="M21185"/>
      <c r="N21185"/>
      <c r="O21185"/>
      <c r="P21185"/>
      <c r="Q21185"/>
      <c r="R21185"/>
      <c r="S21185"/>
    </row>
    <row r="21186" spans="13:19" ht="13.95" customHeight="1">
      <c r="M21186"/>
      <c r="N21186"/>
      <c r="O21186"/>
      <c r="P21186"/>
      <c r="Q21186"/>
      <c r="R21186"/>
      <c r="S21186"/>
    </row>
    <row r="21187" spans="13:19" ht="13.95" customHeight="1">
      <c r="M21187"/>
      <c r="N21187"/>
      <c r="O21187"/>
      <c r="P21187"/>
      <c r="Q21187"/>
      <c r="R21187"/>
      <c r="S21187"/>
    </row>
    <row r="21188" spans="13:19" ht="13.95" customHeight="1">
      <c r="M21188"/>
      <c r="N21188"/>
      <c r="O21188"/>
      <c r="P21188"/>
      <c r="Q21188"/>
      <c r="R21188"/>
      <c r="S21188"/>
    </row>
    <row r="21189" spans="13:19" ht="13.95" customHeight="1">
      <c r="M21189"/>
      <c r="N21189"/>
      <c r="O21189"/>
      <c r="P21189"/>
      <c r="Q21189"/>
      <c r="R21189"/>
      <c r="S21189"/>
    </row>
    <row r="21190" spans="13:19" ht="13.95" customHeight="1">
      <c r="M21190"/>
      <c r="N21190"/>
      <c r="O21190"/>
      <c r="P21190"/>
      <c r="Q21190"/>
      <c r="R21190"/>
      <c r="S21190"/>
    </row>
    <row r="21191" spans="13:19" ht="13.95" customHeight="1">
      <c r="M21191"/>
      <c r="N21191"/>
      <c r="O21191"/>
      <c r="P21191"/>
      <c r="Q21191"/>
      <c r="R21191"/>
      <c r="S21191"/>
    </row>
    <row r="21192" spans="13:19" ht="13.95" customHeight="1">
      <c r="M21192"/>
      <c r="N21192"/>
      <c r="O21192"/>
      <c r="P21192"/>
      <c r="Q21192"/>
      <c r="R21192"/>
      <c r="S21192"/>
    </row>
    <row r="21193" spans="13:19" ht="13.95" customHeight="1">
      <c r="M21193"/>
      <c r="N21193"/>
      <c r="O21193"/>
      <c r="P21193"/>
      <c r="Q21193"/>
      <c r="R21193"/>
      <c r="S21193"/>
    </row>
    <row r="21194" spans="13:19" ht="13.95" customHeight="1">
      <c r="M21194"/>
      <c r="N21194"/>
      <c r="O21194"/>
      <c r="P21194"/>
      <c r="Q21194"/>
      <c r="R21194"/>
      <c r="S21194"/>
    </row>
    <row r="21195" spans="13:19" ht="13.95" customHeight="1">
      <c r="M21195"/>
      <c r="N21195"/>
      <c r="O21195"/>
      <c r="P21195"/>
      <c r="Q21195"/>
      <c r="R21195"/>
      <c r="S21195"/>
    </row>
    <row r="21196" spans="13:19" ht="13.95" customHeight="1">
      <c r="M21196"/>
      <c r="N21196"/>
      <c r="O21196"/>
      <c r="P21196"/>
      <c r="Q21196"/>
      <c r="R21196"/>
      <c r="S21196"/>
    </row>
    <row r="21197" spans="13:19" ht="13.95" customHeight="1">
      <c r="M21197"/>
      <c r="N21197"/>
      <c r="O21197"/>
      <c r="P21197"/>
      <c r="Q21197"/>
      <c r="R21197"/>
      <c r="S21197"/>
    </row>
    <row r="21198" spans="13:19" ht="13.95" customHeight="1">
      <c r="M21198"/>
      <c r="N21198"/>
      <c r="O21198"/>
      <c r="P21198"/>
      <c r="Q21198"/>
      <c r="R21198"/>
      <c r="S21198"/>
    </row>
    <row r="21199" spans="13:19" ht="13.95" customHeight="1">
      <c r="M21199"/>
      <c r="N21199"/>
      <c r="O21199"/>
      <c r="P21199"/>
      <c r="Q21199"/>
      <c r="R21199"/>
      <c r="S21199"/>
    </row>
    <row r="21200" spans="13:19" ht="13.95" customHeight="1">
      <c r="M21200"/>
      <c r="N21200"/>
      <c r="O21200"/>
      <c r="P21200"/>
      <c r="Q21200"/>
      <c r="R21200"/>
      <c r="S21200"/>
    </row>
    <row r="21201" spans="13:19" ht="13.95" customHeight="1">
      <c r="M21201"/>
      <c r="N21201"/>
      <c r="O21201"/>
      <c r="P21201"/>
      <c r="Q21201"/>
      <c r="R21201"/>
      <c r="S21201"/>
    </row>
    <row r="21202" spans="13:19" ht="13.95" customHeight="1">
      <c r="M21202"/>
      <c r="N21202"/>
      <c r="O21202"/>
      <c r="P21202"/>
      <c r="Q21202"/>
      <c r="R21202"/>
      <c r="S21202"/>
    </row>
    <row r="21203" spans="13:19" ht="13.95" customHeight="1">
      <c r="M21203"/>
      <c r="N21203"/>
      <c r="O21203"/>
      <c r="P21203"/>
      <c r="Q21203"/>
      <c r="R21203"/>
      <c r="S21203"/>
    </row>
    <row r="21204" spans="13:19" ht="13.95" customHeight="1">
      <c r="M21204"/>
      <c r="N21204"/>
      <c r="O21204"/>
      <c r="P21204"/>
      <c r="Q21204"/>
      <c r="R21204"/>
      <c r="S21204"/>
    </row>
    <row r="21205" spans="13:19" ht="13.95" customHeight="1">
      <c r="M21205"/>
      <c r="N21205"/>
      <c r="O21205"/>
      <c r="P21205"/>
      <c r="Q21205"/>
      <c r="R21205"/>
      <c r="S21205"/>
    </row>
    <row r="21206" spans="13:19" ht="13.95" customHeight="1">
      <c r="M21206"/>
      <c r="N21206"/>
      <c r="O21206"/>
      <c r="P21206"/>
      <c r="Q21206"/>
      <c r="R21206"/>
      <c r="S21206"/>
    </row>
    <row r="21207" spans="13:19" ht="13.95" customHeight="1">
      <c r="M21207"/>
      <c r="N21207"/>
      <c r="O21207"/>
      <c r="P21207"/>
      <c r="Q21207"/>
      <c r="R21207"/>
      <c r="S21207"/>
    </row>
    <row r="21208" spans="13:19" ht="13.95" customHeight="1">
      <c r="M21208"/>
      <c r="N21208"/>
      <c r="O21208"/>
      <c r="P21208"/>
      <c r="Q21208"/>
      <c r="R21208"/>
      <c r="S21208"/>
    </row>
    <row r="21209" spans="13:19" ht="13.95" customHeight="1">
      <c r="M21209"/>
      <c r="N21209"/>
      <c r="O21209"/>
      <c r="P21209"/>
      <c r="Q21209"/>
      <c r="R21209"/>
      <c r="S21209"/>
    </row>
    <row r="21210" spans="13:19" ht="13.95" customHeight="1">
      <c r="M21210"/>
      <c r="N21210"/>
      <c r="O21210"/>
      <c r="P21210"/>
      <c r="Q21210"/>
      <c r="R21210"/>
      <c r="S21210"/>
    </row>
    <row r="21211" spans="13:19" ht="13.95" customHeight="1">
      <c r="M21211"/>
      <c r="N21211"/>
      <c r="O21211"/>
      <c r="P21211"/>
      <c r="Q21211"/>
      <c r="R21211"/>
      <c r="S21211"/>
    </row>
    <row r="21212" spans="13:19" ht="13.95" customHeight="1">
      <c r="M21212"/>
      <c r="N21212"/>
      <c r="O21212"/>
      <c r="P21212"/>
      <c r="Q21212"/>
      <c r="R21212"/>
      <c r="S21212"/>
    </row>
    <row r="21213" spans="13:19" ht="13.95" customHeight="1">
      <c r="M21213"/>
      <c r="N21213"/>
      <c r="O21213"/>
      <c r="P21213"/>
      <c r="Q21213"/>
      <c r="R21213"/>
      <c r="S21213"/>
    </row>
    <row r="21214" spans="13:19" ht="13.95" customHeight="1">
      <c r="M21214"/>
      <c r="N21214"/>
      <c r="O21214"/>
      <c r="P21214"/>
      <c r="Q21214"/>
      <c r="R21214"/>
      <c r="S21214"/>
    </row>
    <row r="21215" spans="13:19" ht="13.95" customHeight="1">
      <c r="M21215"/>
      <c r="N21215"/>
      <c r="O21215"/>
      <c r="P21215"/>
      <c r="Q21215"/>
      <c r="R21215"/>
      <c r="S21215"/>
    </row>
    <row r="21216" spans="13:19" ht="13.95" customHeight="1">
      <c r="M21216"/>
      <c r="N21216"/>
      <c r="O21216"/>
      <c r="P21216"/>
      <c r="Q21216"/>
      <c r="R21216"/>
      <c r="S21216"/>
    </row>
    <row r="21217" spans="13:19" ht="13.95" customHeight="1">
      <c r="M21217"/>
      <c r="N21217"/>
      <c r="O21217"/>
      <c r="P21217"/>
      <c r="Q21217"/>
      <c r="R21217"/>
      <c r="S21217"/>
    </row>
    <row r="21218" spans="13:19" ht="13.95" customHeight="1">
      <c r="M21218"/>
      <c r="N21218"/>
      <c r="O21218"/>
      <c r="P21218"/>
      <c r="Q21218"/>
      <c r="R21218"/>
      <c r="S21218"/>
    </row>
    <row r="21219" spans="13:19" ht="13.95" customHeight="1">
      <c r="M21219"/>
      <c r="N21219"/>
      <c r="O21219"/>
      <c r="P21219"/>
      <c r="Q21219"/>
      <c r="R21219"/>
      <c r="S21219"/>
    </row>
    <row r="21220" spans="13:19" ht="13.95" customHeight="1">
      <c r="M21220"/>
      <c r="N21220"/>
      <c r="O21220"/>
      <c r="P21220"/>
      <c r="Q21220"/>
      <c r="R21220"/>
      <c r="S21220"/>
    </row>
    <row r="21221" spans="13:19" ht="13.95" customHeight="1">
      <c r="M21221"/>
      <c r="N21221"/>
      <c r="O21221"/>
      <c r="P21221"/>
      <c r="Q21221"/>
      <c r="R21221"/>
      <c r="S21221"/>
    </row>
    <row r="21222" spans="13:19" ht="13.95" customHeight="1">
      <c r="M21222"/>
      <c r="N21222"/>
      <c r="O21222"/>
      <c r="P21222"/>
      <c r="Q21222"/>
      <c r="R21222"/>
      <c r="S21222"/>
    </row>
    <row r="21223" spans="13:19" ht="13.95" customHeight="1">
      <c r="M21223"/>
      <c r="N21223"/>
      <c r="O21223"/>
      <c r="P21223"/>
      <c r="Q21223"/>
      <c r="R21223"/>
      <c r="S21223"/>
    </row>
    <row r="21224" spans="13:19" ht="13.95" customHeight="1">
      <c r="M21224"/>
      <c r="N21224"/>
      <c r="O21224"/>
      <c r="P21224"/>
      <c r="Q21224"/>
      <c r="R21224"/>
      <c r="S21224"/>
    </row>
    <row r="21225" spans="13:19" ht="13.95" customHeight="1">
      <c r="M21225"/>
      <c r="N21225"/>
      <c r="O21225"/>
      <c r="P21225"/>
      <c r="Q21225"/>
      <c r="R21225"/>
      <c r="S21225"/>
    </row>
    <row r="21226" spans="13:19" ht="13.95" customHeight="1">
      <c r="M21226"/>
      <c r="N21226"/>
      <c r="O21226"/>
      <c r="P21226"/>
      <c r="Q21226"/>
      <c r="R21226"/>
      <c r="S21226"/>
    </row>
    <row r="21227" spans="13:19" ht="13.95" customHeight="1">
      <c r="M21227"/>
      <c r="N21227"/>
      <c r="O21227"/>
      <c r="P21227"/>
      <c r="Q21227"/>
      <c r="R21227"/>
      <c r="S21227"/>
    </row>
    <row r="21228" spans="13:19" ht="13.95" customHeight="1">
      <c r="M21228"/>
      <c r="N21228"/>
      <c r="O21228"/>
      <c r="P21228"/>
      <c r="Q21228"/>
      <c r="R21228"/>
      <c r="S21228"/>
    </row>
    <row r="21229" spans="13:19" ht="13.95" customHeight="1">
      <c r="M21229"/>
      <c r="N21229"/>
      <c r="O21229"/>
      <c r="P21229"/>
      <c r="Q21229"/>
      <c r="R21229"/>
      <c r="S21229"/>
    </row>
    <row r="21230" spans="13:19" ht="13.95" customHeight="1">
      <c r="M21230"/>
      <c r="N21230"/>
      <c r="O21230"/>
      <c r="P21230"/>
      <c r="Q21230"/>
      <c r="R21230"/>
      <c r="S21230"/>
    </row>
    <row r="21231" spans="13:19" ht="13.95" customHeight="1">
      <c r="M21231"/>
      <c r="N21231"/>
      <c r="O21231"/>
      <c r="P21231"/>
      <c r="Q21231"/>
      <c r="R21231"/>
      <c r="S21231"/>
    </row>
    <row r="21232" spans="13:19" ht="13.95" customHeight="1">
      <c r="M21232"/>
      <c r="N21232"/>
      <c r="O21232"/>
      <c r="P21232"/>
      <c r="Q21232"/>
      <c r="R21232"/>
      <c r="S21232"/>
    </row>
    <row r="21233" spans="13:19" ht="13.95" customHeight="1">
      <c r="M21233"/>
      <c r="N21233"/>
      <c r="O21233"/>
      <c r="P21233"/>
      <c r="Q21233"/>
      <c r="R21233"/>
      <c r="S21233"/>
    </row>
    <row r="21234" spans="13:19" ht="13.95" customHeight="1">
      <c r="M21234"/>
      <c r="N21234"/>
      <c r="O21234"/>
      <c r="P21234"/>
      <c r="Q21234"/>
      <c r="R21234"/>
      <c r="S21234"/>
    </row>
    <row r="21235" spans="13:19" ht="13.95" customHeight="1">
      <c r="M21235"/>
      <c r="N21235"/>
      <c r="O21235"/>
      <c r="P21235"/>
      <c r="Q21235"/>
      <c r="R21235"/>
      <c r="S21235"/>
    </row>
    <row r="21236" spans="13:19" ht="13.95" customHeight="1">
      <c r="M21236"/>
      <c r="N21236"/>
      <c r="O21236"/>
      <c r="P21236"/>
      <c r="Q21236"/>
      <c r="R21236"/>
      <c r="S21236"/>
    </row>
    <row r="21237" spans="13:19" ht="13.95" customHeight="1">
      <c r="M21237"/>
      <c r="N21237"/>
      <c r="O21237"/>
      <c r="P21237"/>
      <c r="Q21237"/>
      <c r="R21237"/>
      <c r="S21237"/>
    </row>
    <row r="21238" spans="13:19" ht="13.95" customHeight="1">
      <c r="M21238"/>
      <c r="N21238"/>
      <c r="O21238"/>
      <c r="P21238"/>
      <c r="Q21238"/>
      <c r="R21238"/>
      <c r="S21238"/>
    </row>
    <row r="21239" spans="13:19" ht="13.95" customHeight="1">
      <c r="M21239"/>
      <c r="N21239"/>
      <c r="O21239"/>
      <c r="P21239"/>
      <c r="Q21239"/>
      <c r="R21239"/>
      <c r="S21239"/>
    </row>
    <row r="21240" spans="13:19" ht="13.95" customHeight="1">
      <c r="M21240"/>
      <c r="N21240"/>
      <c r="O21240"/>
      <c r="P21240"/>
      <c r="Q21240"/>
      <c r="R21240"/>
      <c r="S21240"/>
    </row>
    <row r="21241" spans="13:19" ht="13.95" customHeight="1">
      <c r="M21241"/>
      <c r="N21241"/>
      <c r="O21241"/>
      <c r="P21241"/>
      <c r="Q21241"/>
      <c r="R21241"/>
      <c r="S21241"/>
    </row>
    <row r="21242" spans="13:19" ht="13.95" customHeight="1">
      <c r="M21242"/>
      <c r="N21242"/>
      <c r="O21242"/>
      <c r="P21242"/>
      <c r="Q21242"/>
      <c r="R21242"/>
      <c r="S21242"/>
    </row>
    <row r="21243" spans="13:19" ht="13.95" customHeight="1">
      <c r="M21243"/>
      <c r="N21243"/>
      <c r="O21243"/>
      <c r="P21243"/>
      <c r="Q21243"/>
      <c r="R21243"/>
      <c r="S21243"/>
    </row>
    <row r="21244" spans="13:19" ht="13.95" customHeight="1">
      <c r="M21244"/>
      <c r="N21244"/>
      <c r="O21244"/>
      <c r="P21244"/>
      <c r="Q21244"/>
      <c r="R21244"/>
      <c r="S21244"/>
    </row>
    <row r="21245" spans="13:19" ht="13.95" customHeight="1">
      <c r="M21245"/>
      <c r="N21245"/>
      <c r="O21245"/>
      <c r="P21245"/>
      <c r="Q21245"/>
      <c r="R21245"/>
      <c r="S21245"/>
    </row>
    <row r="21246" spans="13:19" ht="13.95" customHeight="1">
      <c r="M21246"/>
      <c r="N21246"/>
      <c r="O21246"/>
      <c r="P21246"/>
      <c r="Q21246"/>
      <c r="R21246"/>
      <c r="S21246"/>
    </row>
    <row r="21247" spans="13:19" ht="13.95" customHeight="1">
      <c r="M21247"/>
      <c r="N21247"/>
      <c r="O21247"/>
      <c r="P21247"/>
      <c r="Q21247"/>
      <c r="R21247"/>
      <c r="S21247"/>
    </row>
    <row r="21248" spans="13:19" ht="13.95" customHeight="1">
      <c r="M21248"/>
      <c r="N21248"/>
      <c r="O21248"/>
      <c r="P21248"/>
      <c r="Q21248"/>
      <c r="R21248"/>
      <c r="S21248"/>
    </row>
    <row r="21249" spans="13:19" ht="13.95" customHeight="1">
      <c r="M21249"/>
      <c r="N21249"/>
      <c r="O21249"/>
      <c r="P21249"/>
      <c r="Q21249"/>
      <c r="R21249"/>
      <c r="S21249"/>
    </row>
    <row r="21250" spans="13:19" ht="13.95" customHeight="1">
      <c r="M21250"/>
      <c r="N21250"/>
      <c r="O21250"/>
      <c r="P21250"/>
      <c r="Q21250"/>
      <c r="R21250"/>
      <c r="S21250"/>
    </row>
    <row r="21251" spans="13:19" ht="13.95" customHeight="1">
      <c r="M21251"/>
      <c r="N21251"/>
      <c r="O21251"/>
      <c r="P21251"/>
      <c r="Q21251"/>
      <c r="R21251"/>
      <c r="S21251"/>
    </row>
    <row r="21252" spans="13:19" ht="13.95" customHeight="1">
      <c r="M21252"/>
      <c r="N21252"/>
      <c r="O21252"/>
      <c r="P21252"/>
      <c r="Q21252"/>
      <c r="R21252"/>
      <c r="S21252"/>
    </row>
    <row r="21253" spans="13:19" ht="13.95" customHeight="1">
      <c r="M21253"/>
      <c r="N21253"/>
      <c r="O21253"/>
      <c r="P21253"/>
      <c r="Q21253"/>
      <c r="R21253"/>
      <c r="S21253"/>
    </row>
    <row r="21254" spans="13:19" ht="13.95" customHeight="1">
      <c r="M21254"/>
      <c r="N21254"/>
      <c r="O21254"/>
      <c r="P21254"/>
      <c r="Q21254"/>
      <c r="R21254"/>
      <c r="S21254"/>
    </row>
    <row r="21255" spans="13:19" ht="13.95" customHeight="1">
      <c r="M21255"/>
      <c r="N21255"/>
      <c r="O21255"/>
      <c r="P21255"/>
      <c r="Q21255"/>
      <c r="R21255"/>
      <c r="S21255"/>
    </row>
    <row r="21256" spans="13:19" ht="13.95" customHeight="1">
      <c r="M21256"/>
      <c r="N21256"/>
      <c r="O21256"/>
      <c r="P21256"/>
      <c r="Q21256"/>
      <c r="R21256"/>
      <c r="S21256"/>
    </row>
    <row r="21257" spans="13:19" ht="13.95" customHeight="1">
      <c r="M21257"/>
      <c r="N21257"/>
      <c r="O21257"/>
      <c r="P21257"/>
      <c r="Q21257"/>
      <c r="R21257"/>
      <c r="S21257"/>
    </row>
    <row r="21258" spans="13:19" ht="13.95" customHeight="1">
      <c r="M21258"/>
      <c r="N21258"/>
      <c r="O21258"/>
      <c r="P21258"/>
      <c r="Q21258"/>
      <c r="R21258"/>
      <c r="S21258"/>
    </row>
    <row r="21259" spans="13:19" ht="13.95" customHeight="1">
      <c r="M21259"/>
      <c r="N21259"/>
      <c r="O21259"/>
      <c r="P21259"/>
      <c r="Q21259"/>
      <c r="R21259"/>
      <c r="S21259"/>
    </row>
    <row r="21260" spans="13:19" ht="13.95" customHeight="1">
      <c r="M21260"/>
      <c r="N21260"/>
      <c r="O21260"/>
      <c r="P21260"/>
      <c r="Q21260"/>
      <c r="R21260"/>
      <c r="S21260"/>
    </row>
    <row r="21261" spans="13:19" ht="13.95" customHeight="1">
      <c r="M21261"/>
      <c r="N21261"/>
      <c r="O21261"/>
      <c r="P21261"/>
      <c r="Q21261"/>
      <c r="R21261"/>
      <c r="S21261"/>
    </row>
    <row r="21262" spans="13:19" ht="13.95" customHeight="1">
      <c r="M21262"/>
      <c r="N21262"/>
      <c r="O21262"/>
      <c r="P21262"/>
      <c r="Q21262"/>
      <c r="R21262"/>
      <c r="S21262"/>
    </row>
    <row r="21263" spans="13:19" ht="13.95" customHeight="1">
      <c r="M21263"/>
      <c r="N21263"/>
      <c r="O21263"/>
      <c r="P21263"/>
      <c r="Q21263"/>
      <c r="R21263"/>
      <c r="S21263"/>
    </row>
    <row r="21264" spans="13:19" ht="13.95" customHeight="1">
      <c r="M21264"/>
      <c r="N21264"/>
      <c r="O21264"/>
      <c r="P21264"/>
      <c r="Q21264"/>
      <c r="R21264"/>
      <c r="S21264"/>
    </row>
    <row r="21265" spans="13:19" ht="13.95" customHeight="1">
      <c r="M21265"/>
      <c r="N21265"/>
      <c r="O21265"/>
      <c r="P21265"/>
      <c r="Q21265"/>
      <c r="R21265"/>
      <c r="S21265"/>
    </row>
    <row r="21266" spans="13:19" ht="13.95" customHeight="1">
      <c r="M21266"/>
      <c r="N21266"/>
      <c r="O21266"/>
      <c r="P21266"/>
      <c r="Q21266"/>
      <c r="R21266"/>
      <c r="S21266"/>
    </row>
    <row r="21267" spans="13:19" ht="13.95" customHeight="1">
      <c r="M21267"/>
      <c r="N21267"/>
      <c r="O21267"/>
      <c r="P21267"/>
      <c r="Q21267"/>
      <c r="R21267"/>
      <c r="S21267"/>
    </row>
    <row r="21268" spans="13:19" ht="13.95" customHeight="1">
      <c r="M21268"/>
      <c r="N21268"/>
      <c r="O21268"/>
      <c r="P21268"/>
      <c r="Q21268"/>
      <c r="R21268"/>
      <c r="S21268"/>
    </row>
    <row r="21269" spans="13:19" ht="13.95" customHeight="1">
      <c r="M21269"/>
      <c r="N21269"/>
      <c r="O21269"/>
      <c r="P21269"/>
      <c r="Q21269"/>
      <c r="R21269"/>
      <c r="S21269"/>
    </row>
    <row r="21270" spans="13:19" ht="13.95" customHeight="1">
      <c r="M21270"/>
      <c r="N21270"/>
      <c r="O21270"/>
      <c r="P21270"/>
      <c r="Q21270"/>
      <c r="R21270"/>
      <c r="S21270"/>
    </row>
    <row r="21271" spans="13:19" ht="13.95" customHeight="1">
      <c r="M21271"/>
      <c r="N21271"/>
      <c r="O21271"/>
      <c r="P21271"/>
      <c r="Q21271"/>
      <c r="R21271"/>
      <c r="S21271"/>
    </row>
    <row r="21272" spans="13:19" ht="13.95" customHeight="1">
      <c r="M21272"/>
      <c r="N21272"/>
      <c r="O21272"/>
      <c r="P21272"/>
      <c r="Q21272"/>
      <c r="R21272"/>
      <c r="S21272"/>
    </row>
    <row r="21273" spans="13:19" ht="13.95" customHeight="1">
      <c r="M21273"/>
      <c r="N21273"/>
      <c r="O21273"/>
      <c r="P21273"/>
      <c r="Q21273"/>
      <c r="R21273"/>
      <c r="S21273"/>
    </row>
    <row r="21274" spans="13:19" ht="13.95" customHeight="1">
      <c r="M21274"/>
      <c r="N21274"/>
      <c r="O21274"/>
      <c r="P21274"/>
      <c r="Q21274"/>
      <c r="R21274"/>
      <c r="S21274"/>
    </row>
    <row r="21275" spans="13:19" ht="13.95" customHeight="1">
      <c r="M21275"/>
      <c r="N21275"/>
      <c r="O21275"/>
      <c r="P21275"/>
      <c r="Q21275"/>
      <c r="R21275"/>
      <c r="S21275"/>
    </row>
    <row r="21276" spans="13:19" ht="13.95" customHeight="1">
      <c r="M21276"/>
      <c r="N21276"/>
      <c r="O21276"/>
      <c r="P21276"/>
      <c r="Q21276"/>
      <c r="R21276"/>
      <c r="S21276"/>
    </row>
    <row r="21277" spans="13:19" ht="13.95" customHeight="1">
      <c r="M21277"/>
      <c r="N21277"/>
      <c r="O21277"/>
      <c r="P21277"/>
      <c r="Q21277"/>
      <c r="R21277"/>
      <c r="S21277"/>
    </row>
    <row r="21278" spans="13:19" ht="13.95" customHeight="1">
      <c r="M21278"/>
      <c r="N21278"/>
      <c r="O21278"/>
      <c r="P21278"/>
      <c r="Q21278"/>
      <c r="R21278"/>
      <c r="S21278"/>
    </row>
    <row r="21279" spans="13:19" ht="13.95" customHeight="1">
      <c r="M21279"/>
      <c r="N21279"/>
      <c r="O21279"/>
      <c r="P21279"/>
      <c r="Q21279"/>
      <c r="R21279"/>
      <c r="S21279"/>
    </row>
    <row r="21280" spans="13:19" ht="13.95" customHeight="1">
      <c r="M21280"/>
      <c r="N21280"/>
      <c r="O21280"/>
      <c r="P21280"/>
      <c r="Q21280"/>
      <c r="R21280"/>
      <c r="S21280"/>
    </row>
    <row r="21281" spans="13:19" ht="13.95" customHeight="1">
      <c r="M21281"/>
      <c r="N21281"/>
      <c r="O21281"/>
      <c r="P21281"/>
      <c r="Q21281"/>
      <c r="R21281"/>
      <c r="S21281"/>
    </row>
    <row r="21282" spans="13:19" ht="13.95" customHeight="1">
      <c r="M21282"/>
      <c r="N21282"/>
      <c r="O21282"/>
      <c r="P21282"/>
      <c r="Q21282"/>
      <c r="R21282"/>
      <c r="S21282"/>
    </row>
    <row r="21283" spans="13:19" ht="13.95" customHeight="1">
      <c r="M21283"/>
      <c r="N21283"/>
      <c r="O21283"/>
      <c r="P21283"/>
      <c r="Q21283"/>
      <c r="R21283"/>
      <c r="S21283"/>
    </row>
    <row r="21284" spans="13:19" ht="13.95" customHeight="1">
      <c r="M21284"/>
      <c r="N21284"/>
      <c r="O21284"/>
      <c r="P21284"/>
      <c r="Q21284"/>
      <c r="R21284"/>
      <c r="S21284"/>
    </row>
    <row r="21285" spans="13:19" ht="13.95" customHeight="1">
      <c r="M21285"/>
      <c r="N21285"/>
      <c r="O21285"/>
      <c r="P21285"/>
      <c r="Q21285"/>
      <c r="R21285"/>
      <c r="S21285"/>
    </row>
    <row r="21286" spans="13:19" ht="13.95" customHeight="1">
      <c r="M21286"/>
      <c r="N21286"/>
      <c r="O21286"/>
      <c r="P21286"/>
      <c r="Q21286"/>
      <c r="R21286"/>
      <c r="S21286"/>
    </row>
    <row r="21287" spans="13:19" ht="13.95" customHeight="1">
      <c r="M21287"/>
      <c r="N21287"/>
      <c r="O21287"/>
      <c r="P21287"/>
      <c r="Q21287"/>
      <c r="R21287"/>
      <c r="S21287"/>
    </row>
    <row r="21288" spans="13:19" ht="13.95" customHeight="1">
      <c r="M21288"/>
      <c r="N21288"/>
      <c r="O21288"/>
      <c r="P21288"/>
      <c r="Q21288"/>
      <c r="R21288"/>
      <c r="S21288"/>
    </row>
    <row r="21289" spans="13:19" ht="13.95" customHeight="1">
      <c r="M21289"/>
      <c r="N21289"/>
      <c r="O21289"/>
      <c r="P21289"/>
      <c r="Q21289"/>
      <c r="R21289"/>
      <c r="S21289"/>
    </row>
    <row r="21290" spans="13:19" ht="13.95" customHeight="1">
      <c r="M21290"/>
      <c r="N21290"/>
      <c r="O21290"/>
      <c r="P21290"/>
      <c r="Q21290"/>
      <c r="R21290"/>
      <c r="S21290"/>
    </row>
    <row r="21291" spans="13:19" ht="13.95" customHeight="1">
      <c r="M21291"/>
      <c r="N21291"/>
      <c r="O21291"/>
      <c r="P21291"/>
      <c r="Q21291"/>
      <c r="R21291"/>
      <c r="S21291"/>
    </row>
    <row r="21292" spans="13:19" ht="13.95" customHeight="1">
      <c r="M21292"/>
      <c r="N21292"/>
      <c r="O21292"/>
      <c r="P21292"/>
      <c r="Q21292"/>
      <c r="R21292"/>
      <c r="S21292"/>
    </row>
    <row r="21293" spans="13:19" ht="13.95" customHeight="1">
      <c r="M21293"/>
      <c r="N21293"/>
      <c r="O21293"/>
      <c r="P21293"/>
      <c r="Q21293"/>
      <c r="R21293"/>
      <c r="S21293"/>
    </row>
    <row r="21294" spans="13:19" ht="13.95" customHeight="1">
      <c r="M21294"/>
      <c r="N21294"/>
      <c r="O21294"/>
      <c r="P21294"/>
      <c r="Q21294"/>
      <c r="R21294"/>
      <c r="S21294"/>
    </row>
    <row r="21295" spans="13:19" ht="13.95" customHeight="1">
      <c r="M21295"/>
      <c r="N21295"/>
      <c r="O21295"/>
      <c r="P21295"/>
      <c r="Q21295"/>
      <c r="R21295"/>
      <c r="S21295"/>
    </row>
    <row r="21296" spans="13:19" ht="13.95" customHeight="1">
      <c r="M21296"/>
      <c r="N21296"/>
      <c r="O21296"/>
      <c r="P21296"/>
      <c r="Q21296"/>
      <c r="R21296"/>
      <c r="S21296"/>
    </row>
    <row r="21297" spans="13:19" ht="13.95" customHeight="1">
      <c r="M21297"/>
      <c r="N21297"/>
      <c r="O21297"/>
      <c r="P21297"/>
      <c r="Q21297"/>
      <c r="R21297"/>
      <c r="S21297"/>
    </row>
    <row r="21298" spans="13:19" ht="13.95" customHeight="1">
      <c r="M21298"/>
      <c r="N21298"/>
      <c r="O21298"/>
      <c r="P21298"/>
      <c r="Q21298"/>
      <c r="R21298"/>
      <c r="S21298"/>
    </row>
    <row r="21299" spans="13:19" ht="13.95" customHeight="1">
      <c r="M21299"/>
      <c r="N21299"/>
      <c r="O21299"/>
      <c r="P21299"/>
      <c r="Q21299"/>
      <c r="R21299"/>
      <c r="S21299"/>
    </row>
    <row r="21300" spans="13:19" ht="13.95" customHeight="1">
      <c r="M21300"/>
      <c r="N21300"/>
      <c r="O21300"/>
      <c r="P21300"/>
      <c r="Q21300"/>
      <c r="R21300"/>
      <c r="S21300"/>
    </row>
    <row r="21301" spans="13:19" ht="13.95" customHeight="1">
      <c r="M21301"/>
      <c r="N21301"/>
      <c r="O21301"/>
      <c r="P21301"/>
      <c r="Q21301"/>
      <c r="R21301"/>
      <c r="S21301"/>
    </row>
    <row r="21302" spans="13:19" ht="13.95" customHeight="1">
      <c r="M21302"/>
      <c r="N21302"/>
      <c r="O21302"/>
      <c r="P21302"/>
      <c r="Q21302"/>
      <c r="R21302"/>
      <c r="S21302"/>
    </row>
    <row r="21303" spans="13:19" ht="13.95" customHeight="1">
      <c r="M21303"/>
      <c r="N21303"/>
      <c r="O21303"/>
      <c r="P21303"/>
      <c r="Q21303"/>
      <c r="R21303"/>
      <c r="S21303"/>
    </row>
    <row r="21304" spans="13:19" ht="13.95" customHeight="1">
      <c r="M21304"/>
      <c r="N21304"/>
      <c r="O21304"/>
      <c r="P21304"/>
      <c r="Q21304"/>
      <c r="R21304"/>
      <c r="S21304"/>
    </row>
    <row r="21305" spans="13:19" ht="13.95" customHeight="1">
      <c r="M21305"/>
      <c r="N21305"/>
      <c r="O21305"/>
      <c r="P21305"/>
      <c r="Q21305"/>
      <c r="R21305"/>
      <c r="S21305"/>
    </row>
    <row r="21306" spans="13:19" ht="13.95" customHeight="1">
      <c r="M21306"/>
      <c r="N21306"/>
      <c r="O21306"/>
      <c r="P21306"/>
      <c r="Q21306"/>
      <c r="R21306"/>
      <c r="S21306"/>
    </row>
    <row r="21307" spans="13:19" ht="13.95" customHeight="1">
      <c r="M21307"/>
      <c r="N21307"/>
      <c r="O21307"/>
      <c r="P21307"/>
      <c r="Q21307"/>
      <c r="R21307"/>
      <c r="S21307"/>
    </row>
    <row r="21308" spans="13:19" ht="13.95" customHeight="1">
      <c r="M21308"/>
      <c r="N21308"/>
      <c r="O21308"/>
      <c r="P21308"/>
      <c r="Q21308"/>
      <c r="R21308"/>
      <c r="S21308"/>
    </row>
    <row r="21309" spans="13:19" ht="13.95" customHeight="1">
      <c r="M21309"/>
      <c r="N21309"/>
      <c r="O21309"/>
      <c r="P21309"/>
      <c r="Q21309"/>
      <c r="R21309"/>
      <c r="S21309"/>
    </row>
    <row r="21310" spans="13:19" ht="13.95" customHeight="1">
      <c r="M21310"/>
      <c r="N21310"/>
      <c r="O21310"/>
      <c r="P21310"/>
      <c r="Q21310"/>
      <c r="R21310"/>
      <c r="S21310"/>
    </row>
    <row r="21311" spans="13:19" ht="13.95" customHeight="1">
      <c r="M21311"/>
      <c r="N21311"/>
      <c r="O21311"/>
      <c r="P21311"/>
      <c r="Q21311"/>
      <c r="R21311"/>
      <c r="S21311"/>
    </row>
    <row r="21312" spans="13:19" ht="13.95" customHeight="1">
      <c r="M21312"/>
      <c r="N21312"/>
      <c r="O21312"/>
      <c r="P21312"/>
      <c r="Q21312"/>
      <c r="R21312"/>
      <c r="S21312"/>
    </row>
    <row r="21313" spans="13:19" ht="13.95" customHeight="1">
      <c r="M21313"/>
      <c r="N21313"/>
      <c r="O21313"/>
      <c r="P21313"/>
      <c r="Q21313"/>
      <c r="R21313"/>
      <c r="S21313"/>
    </row>
    <row r="21314" spans="13:19" ht="13.95" customHeight="1">
      <c r="M21314"/>
      <c r="N21314"/>
      <c r="O21314"/>
      <c r="P21314"/>
      <c r="Q21314"/>
      <c r="R21314"/>
      <c r="S21314"/>
    </row>
    <row r="21315" spans="13:19" ht="13.95" customHeight="1">
      <c r="M21315"/>
      <c r="N21315"/>
      <c r="O21315"/>
      <c r="P21315"/>
      <c r="Q21315"/>
      <c r="R21315"/>
      <c r="S21315"/>
    </row>
    <row r="21316" spans="13:19" ht="13.95" customHeight="1">
      <c r="M21316"/>
      <c r="N21316"/>
      <c r="O21316"/>
      <c r="P21316"/>
      <c r="Q21316"/>
      <c r="R21316"/>
      <c r="S21316"/>
    </row>
    <row r="21317" spans="13:19" ht="13.95" customHeight="1">
      <c r="M21317"/>
      <c r="N21317"/>
      <c r="O21317"/>
      <c r="P21317"/>
      <c r="Q21317"/>
      <c r="R21317"/>
      <c r="S21317"/>
    </row>
    <row r="21318" spans="13:19" ht="13.95" customHeight="1">
      <c r="M21318"/>
      <c r="N21318"/>
      <c r="O21318"/>
      <c r="P21318"/>
      <c r="Q21318"/>
      <c r="R21318"/>
      <c r="S21318"/>
    </row>
    <row r="21319" spans="13:19" ht="13.95" customHeight="1">
      <c r="M21319"/>
      <c r="N21319"/>
      <c r="O21319"/>
      <c r="P21319"/>
      <c r="Q21319"/>
      <c r="R21319"/>
      <c r="S21319"/>
    </row>
    <row r="21320" spans="13:19" ht="13.95" customHeight="1">
      <c r="M21320"/>
      <c r="N21320"/>
      <c r="O21320"/>
      <c r="P21320"/>
      <c r="Q21320"/>
      <c r="R21320"/>
      <c r="S21320"/>
    </row>
    <row r="21321" spans="13:19" ht="13.95" customHeight="1">
      <c r="M21321"/>
      <c r="N21321"/>
      <c r="O21321"/>
      <c r="P21321"/>
      <c r="Q21321"/>
      <c r="R21321"/>
      <c r="S21321"/>
    </row>
    <row r="21322" spans="13:19" ht="13.95" customHeight="1">
      <c r="M21322"/>
      <c r="N21322"/>
      <c r="O21322"/>
      <c r="P21322"/>
      <c r="Q21322"/>
      <c r="R21322"/>
      <c r="S21322"/>
    </row>
    <row r="21323" spans="13:19" ht="13.95" customHeight="1">
      <c r="M21323"/>
      <c r="N21323"/>
      <c r="O21323"/>
      <c r="P21323"/>
      <c r="Q21323"/>
      <c r="R21323"/>
      <c r="S21323"/>
    </row>
    <row r="21324" spans="13:19" ht="13.95" customHeight="1">
      <c r="M21324"/>
      <c r="N21324"/>
      <c r="O21324"/>
      <c r="P21324"/>
      <c r="Q21324"/>
      <c r="R21324"/>
      <c r="S21324"/>
    </row>
    <row r="21325" spans="13:19" ht="13.95" customHeight="1">
      <c r="M21325"/>
      <c r="N21325"/>
      <c r="O21325"/>
      <c r="P21325"/>
      <c r="Q21325"/>
      <c r="R21325"/>
      <c r="S21325"/>
    </row>
    <row r="21326" spans="13:19" ht="13.95" customHeight="1">
      <c r="M21326"/>
      <c r="N21326"/>
      <c r="O21326"/>
      <c r="P21326"/>
      <c r="Q21326"/>
      <c r="R21326"/>
      <c r="S21326"/>
    </row>
    <row r="21327" spans="13:19" ht="13.95" customHeight="1">
      <c r="M21327"/>
      <c r="N21327"/>
      <c r="O21327"/>
      <c r="P21327"/>
      <c r="Q21327"/>
      <c r="R21327"/>
      <c r="S21327"/>
    </row>
    <row r="21328" spans="13:19" ht="13.95" customHeight="1">
      <c r="M21328"/>
      <c r="N21328"/>
      <c r="O21328"/>
      <c r="P21328"/>
      <c r="Q21328"/>
      <c r="R21328"/>
      <c r="S21328"/>
    </row>
    <row r="21329" spans="13:19" ht="13.95" customHeight="1">
      <c r="M21329"/>
      <c r="N21329"/>
      <c r="O21329"/>
      <c r="P21329"/>
      <c r="Q21329"/>
      <c r="R21329"/>
      <c r="S21329"/>
    </row>
    <row r="21330" spans="13:19" ht="13.95" customHeight="1">
      <c r="M21330"/>
      <c r="N21330"/>
      <c r="O21330"/>
      <c r="P21330"/>
      <c r="Q21330"/>
      <c r="R21330"/>
      <c r="S21330"/>
    </row>
    <row r="21331" spans="13:19" ht="13.95" customHeight="1">
      <c r="M21331"/>
      <c r="N21331"/>
      <c r="O21331"/>
      <c r="P21331"/>
      <c r="Q21331"/>
      <c r="R21331"/>
      <c r="S21331"/>
    </row>
    <row r="21332" spans="13:19" ht="13.95" customHeight="1">
      <c r="M21332"/>
      <c r="N21332"/>
      <c r="O21332"/>
      <c r="P21332"/>
      <c r="Q21332"/>
      <c r="R21332"/>
      <c r="S21332"/>
    </row>
    <row r="21333" spans="13:19" ht="13.95" customHeight="1">
      <c r="M21333"/>
      <c r="N21333"/>
      <c r="O21333"/>
      <c r="P21333"/>
      <c r="Q21333"/>
      <c r="R21333"/>
      <c r="S21333"/>
    </row>
    <row r="21334" spans="13:19" ht="13.95" customHeight="1">
      <c r="M21334"/>
      <c r="N21334"/>
      <c r="O21334"/>
      <c r="P21334"/>
      <c r="Q21334"/>
      <c r="R21334"/>
      <c r="S21334"/>
    </row>
    <row r="21335" spans="13:19" ht="13.95" customHeight="1">
      <c r="M21335"/>
      <c r="N21335"/>
      <c r="O21335"/>
      <c r="P21335"/>
      <c r="Q21335"/>
      <c r="R21335"/>
      <c r="S21335"/>
    </row>
    <row r="21336" spans="13:19" ht="13.95" customHeight="1">
      <c r="M21336"/>
      <c r="N21336"/>
      <c r="O21336"/>
      <c r="P21336"/>
      <c r="Q21336"/>
      <c r="R21336"/>
      <c r="S21336"/>
    </row>
    <row r="21337" spans="13:19" ht="13.95" customHeight="1">
      <c r="M21337"/>
      <c r="N21337"/>
      <c r="O21337"/>
      <c r="P21337"/>
      <c r="Q21337"/>
      <c r="R21337"/>
      <c r="S21337"/>
    </row>
    <row r="21338" spans="13:19" ht="13.95" customHeight="1">
      <c r="M21338"/>
      <c r="N21338"/>
      <c r="O21338"/>
      <c r="P21338"/>
      <c r="Q21338"/>
      <c r="R21338"/>
      <c r="S21338"/>
    </row>
    <row r="21339" spans="13:19" ht="13.95" customHeight="1">
      <c r="M21339"/>
      <c r="N21339"/>
      <c r="O21339"/>
      <c r="P21339"/>
      <c r="Q21339"/>
      <c r="R21339"/>
      <c r="S21339"/>
    </row>
    <row r="21340" spans="13:19" ht="13.95" customHeight="1">
      <c r="M21340"/>
      <c r="N21340"/>
      <c r="O21340"/>
      <c r="P21340"/>
      <c r="Q21340"/>
      <c r="R21340"/>
      <c r="S21340"/>
    </row>
    <row r="21341" spans="13:19" ht="13.95" customHeight="1">
      <c r="M21341"/>
      <c r="N21341"/>
      <c r="O21341"/>
      <c r="P21341"/>
      <c r="Q21341"/>
      <c r="R21341"/>
      <c r="S21341"/>
    </row>
    <row r="21342" spans="13:19" ht="13.95" customHeight="1">
      <c r="M21342"/>
      <c r="N21342"/>
      <c r="O21342"/>
      <c r="P21342"/>
      <c r="Q21342"/>
      <c r="R21342"/>
      <c r="S21342"/>
    </row>
    <row r="21343" spans="13:19" ht="13.95" customHeight="1">
      <c r="M21343"/>
      <c r="N21343"/>
      <c r="O21343"/>
      <c r="P21343"/>
      <c r="Q21343"/>
      <c r="R21343"/>
      <c r="S21343"/>
    </row>
    <row r="21344" spans="13:19" ht="13.95" customHeight="1">
      <c r="M21344"/>
      <c r="N21344"/>
      <c r="O21344"/>
      <c r="P21344"/>
      <c r="Q21344"/>
      <c r="R21344"/>
      <c r="S21344"/>
    </row>
    <row r="21345" spans="13:19" ht="13.95" customHeight="1">
      <c r="M21345"/>
      <c r="N21345"/>
      <c r="O21345"/>
      <c r="P21345"/>
      <c r="Q21345"/>
      <c r="R21345"/>
      <c r="S21345"/>
    </row>
    <row r="21346" spans="13:19" ht="13.95" customHeight="1">
      <c r="M21346"/>
      <c r="N21346"/>
      <c r="O21346"/>
      <c r="P21346"/>
      <c r="Q21346"/>
      <c r="R21346"/>
      <c r="S21346"/>
    </row>
    <row r="21347" spans="13:19" ht="13.95" customHeight="1">
      <c r="M21347"/>
      <c r="N21347"/>
      <c r="O21347"/>
      <c r="P21347"/>
      <c r="Q21347"/>
      <c r="R21347"/>
      <c r="S21347"/>
    </row>
    <row r="21348" spans="13:19" ht="13.95" customHeight="1">
      <c r="M21348"/>
      <c r="N21348"/>
      <c r="O21348"/>
      <c r="P21348"/>
      <c r="Q21348"/>
      <c r="R21348"/>
      <c r="S21348"/>
    </row>
    <row r="21349" spans="13:19" ht="13.95" customHeight="1">
      <c r="M21349"/>
      <c r="N21349"/>
      <c r="O21349"/>
      <c r="P21349"/>
      <c r="Q21349"/>
      <c r="R21349"/>
      <c r="S21349"/>
    </row>
    <row r="21350" spans="13:19" ht="13.95" customHeight="1">
      <c r="M21350"/>
      <c r="N21350"/>
      <c r="O21350"/>
      <c r="P21350"/>
      <c r="Q21350"/>
      <c r="R21350"/>
      <c r="S21350"/>
    </row>
    <row r="21351" spans="13:19" ht="13.95" customHeight="1">
      <c r="M21351"/>
      <c r="N21351"/>
      <c r="O21351"/>
      <c r="P21351"/>
      <c r="Q21351"/>
      <c r="R21351"/>
      <c r="S21351"/>
    </row>
    <row r="21352" spans="13:19" ht="13.95" customHeight="1">
      <c r="M21352"/>
      <c r="N21352"/>
      <c r="O21352"/>
      <c r="P21352"/>
      <c r="Q21352"/>
      <c r="R21352"/>
      <c r="S21352"/>
    </row>
    <row r="21353" spans="13:19" ht="13.95" customHeight="1">
      <c r="M21353"/>
      <c r="N21353"/>
      <c r="O21353"/>
      <c r="P21353"/>
      <c r="Q21353"/>
      <c r="R21353"/>
      <c r="S21353"/>
    </row>
    <row r="21354" spans="13:19" ht="13.95" customHeight="1">
      <c r="M21354"/>
      <c r="N21354"/>
      <c r="O21354"/>
      <c r="P21354"/>
      <c r="Q21354"/>
      <c r="R21354"/>
      <c r="S21354"/>
    </row>
    <row r="21355" spans="13:19" ht="13.95" customHeight="1">
      <c r="M21355"/>
      <c r="N21355"/>
      <c r="O21355"/>
      <c r="P21355"/>
      <c r="Q21355"/>
      <c r="R21355"/>
      <c r="S21355"/>
    </row>
    <row r="21356" spans="13:19" ht="13.95" customHeight="1">
      <c r="M21356"/>
      <c r="N21356"/>
      <c r="O21356"/>
      <c r="P21356"/>
      <c r="Q21356"/>
      <c r="R21356"/>
      <c r="S21356"/>
    </row>
    <row r="21357" spans="13:19" ht="13.95" customHeight="1">
      <c r="M21357"/>
      <c r="N21357"/>
      <c r="O21357"/>
      <c r="P21357"/>
      <c r="Q21357"/>
      <c r="R21357"/>
      <c r="S21357"/>
    </row>
    <row r="21358" spans="13:19" ht="13.95" customHeight="1">
      <c r="M21358"/>
      <c r="N21358"/>
      <c r="O21358"/>
      <c r="P21358"/>
      <c r="Q21358"/>
      <c r="R21358"/>
      <c r="S21358"/>
    </row>
    <row r="21359" spans="13:19" ht="13.95" customHeight="1">
      <c r="M21359"/>
      <c r="N21359"/>
      <c r="O21359"/>
      <c r="P21359"/>
      <c r="Q21359"/>
      <c r="R21359"/>
      <c r="S21359"/>
    </row>
    <row r="21360" spans="13:19" ht="13.95" customHeight="1">
      <c r="M21360"/>
      <c r="N21360"/>
      <c r="O21360"/>
      <c r="P21360"/>
      <c r="Q21360"/>
      <c r="R21360"/>
      <c r="S21360"/>
    </row>
    <row r="21361" spans="13:19" ht="13.95" customHeight="1">
      <c r="M21361"/>
      <c r="N21361"/>
      <c r="O21361"/>
      <c r="P21361"/>
      <c r="Q21361"/>
      <c r="R21361"/>
      <c r="S21361"/>
    </row>
    <row r="21362" spans="13:19" ht="13.95" customHeight="1">
      <c r="M21362"/>
      <c r="N21362"/>
      <c r="O21362"/>
      <c r="P21362"/>
      <c r="Q21362"/>
      <c r="R21362"/>
      <c r="S21362"/>
    </row>
    <row r="21363" spans="13:19" ht="13.95" customHeight="1">
      <c r="M21363"/>
      <c r="N21363"/>
      <c r="O21363"/>
      <c r="P21363"/>
      <c r="Q21363"/>
      <c r="R21363"/>
      <c r="S21363"/>
    </row>
    <row r="21364" spans="13:19" ht="13.95" customHeight="1">
      <c r="M21364"/>
      <c r="N21364"/>
      <c r="O21364"/>
      <c r="P21364"/>
      <c r="Q21364"/>
      <c r="R21364"/>
      <c r="S21364"/>
    </row>
    <row r="21365" spans="13:19" ht="13.95" customHeight="1">
      <c r="M21365"/>
      <c r="N21365"/>
      <c r="O21365"/>
      <c r="P21365"/>
      <c r="Q21365"/>
      <c r="R21365"/>
      <c r="S21365"/>
    </row>
    <row r="21366" spans="13:19" ht="13.95" customHeight="1">
      <c r="M21366"/>
      <c r="N21366"/>
      <c r="O21366"/>
      <c r="P21366"/>
      <c r="Q21366"/>
      <c r="R21366"/>
      <c r="S21366"/>
    </row>
    <row r="21367" spans="13:19" ht="13.95" customHeight="1">
      <c r="M21367"/>
      <c r="N21367"/>
      <c r="O21367"/>
      <c r="P21367"/>
      <c r="Q21367"/>
      <c r="R21367"/>
      <c r="S21367"/>
    </row>
    <row r="21368" spans="13:19" ht="13.95" customHeight="1">
      <c r="M21368"/>
      <c r="N21368"/>
      <c r="O21368"/>
      <c r="P21368"/>
      <c r="Q21368"/>
      <c r="R21368"/>
      <c r="S21368"/>
    </row>
    <row r="21369" spans="13:19" ht="13.95" customHeight="1">
      <c r="M21369"/>
      <c r="N21369"/>
      <c r="O21369"/>
      <c r="P21369"/>
      <c r="Q21369"/>
      <c r="R21369"/>
      <c r="S21369"/>
    </row>
    <row r="21370" spans="13:19" ht="13.95" customHeight="1">
      <c r="M21370"/>
      <c r="N21370"/>
      <c r="O21370"/>
      <c r="P21370"/>
      <c r="Q21370"/>
      <c r="R21370"/>
      <c r="S21370"/>
    </row>
    <row r="21371" spans="13:19" ht="13.95" customHeight="1">
      <c r="M21371"/>
      <c r="N21371"/>
      <c r="O21371"/>
      <c r="P21371"/>
      <c r="Q21371"/>
      <c r="R21371"/>
      <c r="S21371"/>
    </row>
    <row r="21372" spans="13:19" ht="13.95" customHeight="1">
      <c r="M21372"/>
      <c r="N21372"/>
      <c r="O21372"/>
      <c r="P21372"/>
      <c r="Q21372"/>
      <c r="R21372"/>
      <c r="S21372"/>
    </row>
    <row r="21373" spans="13:19" ht="13.95" customHeight="1">
      <c r="M21373"/>
      <c r="N21373"/>
      <c r="O21373"/>
      <c r="P21373"/>
      <c r="Q21373"/>
      <c r="R21373"/>
      <c r="S21373"/>
    </row>
    <row r="21374" spans="13:19" ht="13.95" customHeight="1">
      <c r="M21374"/>
      <c r="N21374"/>
      <c r="O21374"/>
      <c r="P21374"/>
      <c r="Q21374"/>
      <c r="R21374"/>
      <c r="S21374"/>
    </row>
    <row r="21375" spans="13:19" ht="13.95" customHeight="1">
      <c r="M21375"/>
      <c r="N21375"/>
      <c r="O21375"/>
      <c r="P21375"/>
      <c r="Q21375"/>
      <c r="R21375"/>
      <c r="S21375"/>
    </row>
    <row r="21376" spans="13:19" ht="13.95" customHeight="1">
      <c r="M21376"/>
      <c r="N21376"/>
      <c r="O21376"/>
      <c r="P21376"/>
      <c r="Q21376"/>
      <c r="R21376"/>
      <c r="S21376"/>
    </row>
    <row r="21377" spans="13:19" ht="13.95" customHeight="1">
      <c r="M21377"/>
      <c r="N21377"/>
      <c r="O21377"/>
      <c r="P21377"/>
      <c r="Q21377"/>
      <c r="R21377"/>
      <c r="S21377"/>
    </row>
    <row r="21378" spans="13:19" ht="13.95" customHeight="1">
      <c r="M21378"/>
      <c r="N21378"/>
      <c r="O21378"/>
      <c r="P21378"/>
      <c r="Q21378"/>
      <c r="R21378"/>
      <c r="S21378"/>
    </row>
    <row r="21379" spans="13:19" ht="13.95" customHeight="1">
      <c r="M21379"/>
      <c r="N21379"/>
      <c r="O21379"/>
      <c r="P21379"/>
      <c r="Q21379"/>
      <c r="R21379"/>
      <c r="S21379"/>
    </row>
    <row r="21380" spans="13:19" ht="13.95" customHeight="1">
      <c r="M21380"/>
      <c r="N21380"/>
      <c r="O21380"/>
      <c r="P21380"/>
      <c r="Q21380"/>
      <c r="R21380"/>
      <c r="S21380"/>
    </row>
    <row r="21381" spans="13:19" ht="13.95" customHeight="1">
      <c r="M21381"/>
      <c r="N21381"/>
      <c r="O21381"/>
      <c r="P21381"/>
      <c r="Q21381"/>
      <c r="R21381"/>
      <c r="S21381"/>
    </row>
    <row r="21382" spans="13:19" ht="13.95" customHeight="1">
      <c r="M21382"/>
      <c r="N21382"/>
      <c r="O21382"/>
      <c r="P21382"/>
      <c r="Q21382"/>
      <c r="R21382"/>
      <c r="S21382"/>
    </row>
    <row r="21383" spans="13:19" ht="13.95" customHeight="1">
      <c r="M21383"/>
      <c r="N21383"/>
      <c r="O21383"/>
      <c r="P21383"/>
      <c r="Q21383"/>
      <c r="R21383"/>
      <c r="S21383"/>
    </row>
    <row r="21384" spans="13:19" ht="13.95" customHeight="1">
      <c r="M21384"/>
      <c r="N21384"/>
      <c r="O21384"/>
      <c r="P21384"/>
      <c r="Q21384"/>
      <c r="R21384"/>
      <c r="S21384"/>
    </row>
    <row r="21385" spans="13:19" ht="13.95" customHeight="1">
      <c r="M21385"/>
      <c r="N21385"/>
      <c r="O21385"/>
      <c r="P21385"/>
      <c r="Q21385"/>
      <c r="R21385"/>
      <c r="S21385"/>
    </row>
    <row r="21386" spans="13:19" ht="13.95" customHeight="1">
      <c r="M21386"/>
      <c r="N21386"/>
      <c r="O21386"/>
      <c r="P21386"/>
      <c r="Q21386"/>
      <c r="R21386"/>
      <c r="S21386"/>
    </row>
    <row r="21387" spans="13:19" ht="13.95" customHeight="1">
      <c r="M21387"/>
      <c r="N21387"/>
      <c r="O21387"/>
      <c r="P21387"/>
      <c r="Q21387"/>
      <c r="R21387"/>
      <c r="S21387"/>
    </row>
    <row r="21388" spans="13:19" ht="13.95" customHeight="1">
      <c r="M21388"/>
      <c r="N21388"/>
      <c r="O21388"/>
      <c r="P21388"/>
      <c r="Q21388"/>
      <c r="R21388"/>
      <c r="S21388"/>
    </row>
    <row r="21389" spans="13:19" ht="13.95" customHeight="1">
      <c r="M21389"/>
      <c r="N21389"/>
      <c r="O21389"/>
      <c r="P21389"/>
      <c r="Q21389"/>
      <c r="R21389"/>
      <c r="S21389"/>
    </row>
    <row r="21390" spans="13:19" ht="13.95" customHeight="1">
      <c r="M21390"/>
      <c r="N21390"/>
      <c r="O21390"/>
      <c r="P21390"/>
      <c r="Q21390"/>
      <c r="R21390"/>
      <c r="S21390"/>
    </row>
    <row r="21391" spans="13:19" ht="13.95" customHeight="1">
      <c r="M21391"/>
      <c r="N21391"/>
      <c r="O21391"/>
      <c r="P21391"/>
      <c r="Q21391"/>
      <c r="R21391"/>
      <c r="S21391"/>
    </row>
    <row r="21392" spans="13:19" ht="13.95" customHeight="1">
      <c r="M21392"/>
      <c r="N21392"/>
      <c r="O21392"/>
      <c r="P21392"/>
      <c r="Q21392"/>
      <c r="R21392"/>
      <c r="S21392"/>
    </row>
    <row r="21393" spans="13:19" ht="13.95" customHeight="1">
      <c r="M21393"/>
      <c r="N21393"/>
      <c r="O21393"/>
      <c r="P21393"/>
      <c r="Q21393"/>
      <c r="R21393"/>
      <c r="S21393"/>
    </row>
    <row r="21394" spans="13:19" ht="13.95" customHeight="1">
      <c r="M21394"/>
      <c r="N21394"/>
      <c r="O21394"/>
      <c r="P21394"/>
      <c r="Q21394"/>
      <c r="R21394"/>
      <c r="S21394"/>
    </row>
    <row r="21395" spans="13:19" ht="13.95" customHeight="1">
      <c r="M21395"/>
      <c r="N21395"/>
      <c r="O21395"/>
      <c r="P21395"/>
      <c r="Q21395"/>
      <c r="R21395"/>
      <c r="S21395"/>
    </row>
    <row r="21396" spans="13:19" ht="13.95" customHeight="1">
      <c r="M21396"/>
      <c r="N21396"/>
      <c r="O21396"/>
      <c r="P21396"/>
      <c r="Q21396"/>
      <c r="R21396"/>
      <c r="S21396"/>
    </row>
    <row r="21397" spans="13:19" ht="13.95" customHeight="1">
      <c r="M21397"/>
      <c r="N21397"/>
      <c r="O21397"/>
      <c r="P21397"/>
      <c r="Q21397"/>
      <c r="R21397"/>
      <c r="S21397"/>
    </row>
    <row r="21398" spans="13:19" ht="13.95" customHeight="1">
      <c r="M21398"/>
      <c r="N21398"/>
      <c r="O21398"/>
      <c r="P21398"/>
      <c r="Q21398"/>
      <c r="R21398"/>
      <c r="S21398"/>
    </row>
    <row r="21399" spans="13:19" ht="13.95" customHeight="1">
      <c r="M21399"/>
      <c r="N21399"/>
      <c r="O21399"/>
      <c r="P21399"/>
      <c r="Q21399"/>
      <c r="R21399"/>
      <c r="S21399"/>
    </row>
    <row r="21400" spans="13:19" ht="13.95" customHeight="1">
      <c r="M21400"/>
      <c r="N21400"/>
      <c r="O21400"/>
      <c r="P21400"/>
      <c r="Q21400"/>
      <c r="R21400"/>
      <c r="S21400"/>
    </row>
    <row r="21401" spans="13:19" ht="13.95" customHeight="1">
      <c r="M21401"/>
      <c r="N21401"/>
      <c r="O21401"/>
      <c r="P21401"/>
      <c r="Q21401"/>
      <c r="R21401"/>
      <c r="S21401"/>
    </row>
    <row r="21402" spans="13:19" ht="13.95" customHeight="1">
      <c r="M21402"/>
      <c r="N21402"/>
      <c r="O21402"/>
      <c r="P21402"/>
      <c r="Q21402"/>
      <c r="R21402"/>
      <c r="S21402"/>
    </row>
    <row r="21403" spans="13:19" ht="13.95" customHeight="1">
      <c r="M21403"/>
      <c r="N21403"/>
      <c r="O21403"/>
      <c r="P21403"/>
      <c r="Q21403"/>
      <c r="R21403"/>
      <c r="S21403"/>
    </row>
    <row r="21404" spans="13:19" ht="13.95" customHeight="1">
      <c r="M21404"/>
      <c r="N21404"/>
      <c r="O21404"/>
      <c r="P21404"/>
      <c r="Q21404"/>
      <c r="R21404"/>
      <c r="S21404"/>
    </row>
    <row r="21405" spans="13:19" ht="13.95" customHeight="1">
      <c r="M21405"/>
      <c r="N21405"/>
      <c r="O21405"/>
      <c r="P21405"/>
      <c r="Q21405"/>
      <c r="R21405"/>
      <c r="S21405"/>
    </row>
    <row r="21406" spans="13:19" ht="13.95" customHeight="1">
      <c r="M21406"/>
      <c r="N21406"/>
      <c r="O21406"/>
      <c r="P21406"/>
      <c r="Q21406"/>
      <c r="R21406"/>
      <c r="S21406"/>
    </row>
    <row r="21407" spans="13:19" ht="13.95" customHeight="1">
      <c r="M21407"/>
      <c r="N21407"/>
      <c r="O21407"/>
      <c r="P21407"/>
      <c r="Q21407"/>
      <c r="R21407"/>
      <c r="S21407"/>
    </row>
    <row r="21408" spans="13:19" ht="13.95" customHeight="1">
      <c r="M21408"/>
      <c r="N21408"/>
      <c r="O21408"/>
      <c r="P21408"/>
      <c r="Q21408"/>
      <c r="R21408"/>
      <c r="S21408"/>
    </row>
    <row r="21409" spans="13:19" ht="13.95" customHeight="1">
      <c r="M21409"/>
      <c r="N21409"/>
      <c r="O21409"/>
      <c r="P21409"/>
      <c r="Q21409"/>
      <c r="R21409"/>
      <c r="S21409"/>
    </row>
    <row r="21410" spans="13:19" ht="13.95" customHeight="1">
      <c r="M21410"/>
      <c r="N21410"/>
      <c r="O21410"/>
      <c r="P21410"/>
      <c r="Q21410"/>
      <c r="R21410"/>
      <c r="S21410"/>
    </row>
    <row r="21411" spans="13:19" ht="13.95" customHeight="1">
      <c r="M21411"/>
      <c r="N21411"/>
      <c r="O21411"/>
      <c r="P21411"/>
      <c r="Q21411"/>
      <c r="R21411"/>
      <c r="S21411"/>
    </row>
    <row r="21412" spans="13:19" ht="13.95" customHeight="1">
      <c r="M21412"/>
      <c r="N21412"/>
      <c r="O21412"/>
      <c r="P21412"/>
      <c r="Q21412"/>
      <c r="R21412"/>
      <c r="S21412"/>
    </row>
    <row r="21413" spans="13:19" ht="13.95" customHeight="1">
      <c r="M21413"/>
      <c r="N21413"/>
      <c r="O21413"/>
      <c r="P21413"/>
      <c r="Q21413"/>
      <c r="R21413"/>
      <c r="S21413"/>
    </row>
    <row r="21414" spans="13:19" ht="13.95" customHeight="1">
      <c r="M21414"/>
      <c r="N21414"/>
      <c r="O21414"/>
      <c r="P21414"/>
      <c r="Q21414"/>
      <c r="R21414"/>
      <c r="S21414"/>
    </row>
    <row r="21415" spans="13:19" ht="13.95" customHeight="1">
      <c r="M21415"/>
      <c r="N21415"/>
      <c r="O21415"/>
      <c r="P21415"/>
      <c r="Q21415"/>
      <c r="R21415"/>
      <c r="S21415"/>
    </row>
    <row r="21416" spans="13:19" ht="13.95" customHeight="1">
      <c r="M21416"/>
      <c r="N21416"/>
      <c r="O21416"/>
      <c r="P21416"/>
      <c r="Q21416"/>
      <c r="R21416"/>
      <c r="S21416"/>
    </row>
    <row r="21417" spans="13:19" ht="13.95" customHeight="1">
      <c r="M21417"/>
      <c r="N21417"/>
      <c r="O21417"/>
      <c r="P21417"/>
      <c r="Q21417"/>
      <c r="R21417"/>
      <c r="S21417"/>
    </row>
    <row r="21418" spans="13:19" ht="13.95" customHeight="1">
      <c r="M21418"/>
      <c r="N21418"/>
      <c r="O21418"/>
      <c r="P21418"/>
      <c r="Q21418"/>
      <c r="R21418"/>
      <c r="S21418"/>
    </row>
    <row r="21419" spans="13:19" ht="13.95" customHeight="1">
      <c r="M21419"/>
      <c r="N21419"/>
      <c r="O21419"/>
      <c r="P21419"/>
      <c r="Q21419"/>
      <c r="R21419"/>
      <c r="S21419"/>
    </row>
    <row r="21420" spans="13:19" ht="13.95" customHeight="1">
      <c r="M21420"/>
      <c r="N21420"/>
      <c r="O21420"/>
      <c r="P21420"/>
      <c r="Q21420"/>
      <c r="R21420"/>
      <c r="S21420"/>
    </row>
    <row r="21421" spans="13:19" ht="13.95" customHeight="1">
      <c r="M21421"/>
      <c r="N21421"/>
      <c r="O21421"/>
      <c r="P21421"/>
      <c r="Q21421"/>
      <c r="R21421"/>
      <c r="S21421"/>
    </row>
    <row r="21422" spans="13:19" ht="13.95" customHeight="1">
      <c r="M21422"/>
      <c r="N21422"/>
      <c r="O21422"/>
      <c r="P21422"/>
      <c r="Q21422"/>
      <c r="R21422"/>
      <c r="S21422"/>
    </row>
    <row r="21423" spans="13:19" ht="13.95" customHeight="1">
      <c r="M21423"/>
      <c r="N21423"/>
      <c r="O21423"/>
      <c r="P21423"/>
      <c r="Q21423"/>
      <c r="R21423"/>
      <c r="S21423"/>
    </row>
    <row r="21424" spans="13:19" ht="13.95" customHeight="1">
      <c r="M21424"/>
      <c r="N21424"/>
      <c r="O21424"/>
      <c r="P21424"/>
      <c r="Q21424"/>
      <c r="R21424"/>
      <c r="S21424"/>
    </row>
    <row r="21425" spans="13:19" ht="13.95" customHeight="1">
      <c r="M21425"/>
      <c r="N21425"/>
      <c r="O21425"/>
      <c r="P21425"/>
      <c r="Q21425"/>
      <c r="R21425"/>
      <c r="S21425"/>
    </row>
    <row r="21426" spans="13:19" ht="13.95" customHeight="1">
      <c r="M21426"/>
      <c r="N21426"/>
      <c r="O21426"/>
      <c r="P21426"/>
      <c r="Q21426"/>
      <c r="R21426"/>
      <c r="S21426"/>
    </row>
    <row r="21427" spans="13:19" ht="13.95" customHeight="1">
      <c r="M21427"/>
      <c r="N21427"/>
      <c r="O21427"/>
      <c r="P21427"/>
      <c r="Q21427"/>
      <c r="R21427"/>
      <c r="S21427"/>
    </row>
    <row r="21428" spans="13:19" ht="13.95" customHeight="1">
      <c r="M21428"/>
      <c r="N21428"/>
      <c r="O21428"/>
      <c r="P21428"/>
      <c r="Q21428"/>
      <c r="R21428"/>
      <c r="S21428"/>
    </row>
    <row r="21429" spans="13:19" ht="13.95" customHeight="1">
      <c r="M21429"/>
      <c r="N21429"/>
      <c r="O21429"/>
      <c r="P21429"/>
      <c r="Q21429"/>
      <c r="R21429"/>
      <c r="S21429"/>
    </row>
    <row r="21430" spans="13:19" ht="13.95" customHeight="1">
      <c r="M21430"/>
      <c r="N21430"/>
      <c r="O21430"/>
      <c r="P21430"/>
      <c r="Q21430"/>
      <c r="R21430"/>
      <c r="S21430"/>
    </row>
    <row r="21431" spans="13:19" ht="13.95" customHeight="1">
      <c r="M21431"/>
      <c r="N21431"/>
      <c r="O21431"/>
      <c r="P21431"/>
      <c r="Q21431"/>
      <c r="R21431"/>
      <c r="S21431"/>
    </row>
    <row r="21432" spans="13:19" ht="13.95" customHeight="1">
      <c r="M21432"/>
      <c r="N21432"/>
      <c r="O21432"/>
      <c r="P21432"/>
      <c r="Q21432"/>
      <c r="R21432"/>
      <c r="S21432"/>
    </row>
    <row r="21433" spans="13:19" ht="13.95" customHeight="1">
      <c r="M21433"/>
      <c r="N21433"/>
      <c r="O21433"/>
      <c r="P21433"/>
      <c r="Q21433"/>
      <c r="R21433"/>
      <c r="S21433"/>
    </row>
    <row r="21434" spans="13:19" ht="13.95" customHeight="1">
      <c r="M21434"/>
      <c r="N21434"/>
      <c r="O21434"/>
      <c r="P21434"/>
      <c r="Q21434"/>
      <c r="R21434"/>
      <c r="S21434"/>
    </row>
    <row r="21435" spans="13:19" ht="13.95" customHeight="1">
      <c r="M21435"/>
      <c r="N21435"/>
      <c r="O21435"/>
      <c r="P21435"/>
      <c r="Q21435"/>
      <c r="R21435"/>
      <c r="S21435"/>
    </row>
    <row r="21436" spans="13:19" ht="13.95" customHeight="1">
      <c r="M21436"/>
      <c r="N21436"/>
      <c r="O21436"/>
      <c r="P21436"/>
      <c r="Q21436"/>
      <c r="R21436"/>
      <c r="S21436"/>
    </row>
    <row r="21437" spans="13:19" ht="13.95" customHeight="1">
      <c r="M21437"/>
      <c r="N21437"/>
      <c r="O21437"/>
      <c r="P21437"/>
      <c r="Q21437"/>
      <c r="R21437"/>
      <c r="S21437"/>
    </row>
    <row r="21438" spans="13:19" ht="13.95" customHeight="1">
      <c r="M21438"/>
      <c r="N21438"/>
      <c r="O21438"/>
      <c r="P21438"/>
      <c r="Q21438"/>
      <c r="R21438"/>
      <c r="S21438"/>
    </row>
    <row r="21439" spans="13:19" ht="13.95" customHeight="1">
      <c r="M21439"/>
      <c r="N21439"/>
      <c r="O21439"/>
      <c r="P21439"/>
      <c r="Q21439"/>
      <c r="R21439"/>
      <c r="S21439"/>
    </row>
    <row r="21440" spans="13:19" ht="13.95" customHeight="1">
      <c r="M21440"/>
      <c r="N21440"/>
      <c r="O21440"/>
      <c r="P21440"/>
      <c r="Q21440"/>
      <c r="R21440"/>
      <c r="S21440"/>
    </row>
    <row r="21441" spans="13:19" ht="13.95" customHeight="1">
      <c r="M21441"/>
      <c r="N21441"/>
      <c r="O21441"/>
      <c r="P21441"/>
      <c r="Q21441"/>
      <c r="R21441"/>
      <c r="S21441"/>
    </row>
    <row r="21442" spans="13:19" ht="13.95" customHeight="1">
      <c r="M21442"/>
      <c r="N21442"/>
      <c r="O21442"/>
      <c r="P21442"/>
      <c r="Q21442"/>
      <c r="R21442"/>
      <c r="S21442"/>
    </row>
    <row r="21443" spans="13:19" ht="13.95" customHeight="1">
      <c r="M21443"/>
      <c r="N21443"/>
      <c r="O21443"/>
      <c r="P21443"/>
      <c r="Q21443"/>
      <c r="R21443"/>
      <c r="S21443"/>
    </row>
    <row r="21444" spans="13:19" ht="13.95" customHeight="1">
      <c r="M21444"/>
      <c r="N21444"/>
      <c r="O21444"/>
      <c r="P21444"/>
      <c r="Q21444"/>
      <c r="R21444"/>
      <c r="S21444"/>
    </row>
    <row r="21445" spans="13:19" ht="13.95" customHeight="1">
      <c r="M21445"/>
      <c r="N21445"/>
      <c r="O21445"/>
      <c r="P21445"/>
      <c r="Q21445"/>
      <c r="R21445"/>
      <c r="S21445"/>
    </row>
    <row r="21446" spans="13:19" ht="13.95" customHeight="1">
      <c r="M21446"/>
      <c r="N21446"/>
      <c r="O21446"/>
      <c r="P21446"/>
      <c r="Q21446"/>
      <c r="R21446"/>
      <c r="S21446"/>
    </row>
    <row r="21447" spans="13:19" ht="13.95" customHeight="1">
      <c r="M21447"/>
      <c r="N21447"/>
      <c r="O21447"/>
      <c r="P21447"/>
      <c r="Q21447"/>
      <c r="R21447"/>
      <c r="S21447"/>
    </row>
    <row r="21448" spans="13:19" ht="13.95" customHeight="1">
      <c r="M21448"/>
      <c r="N21448"/>
      <c r="O21448"/>
      <c r="P21448"/>
      <c r="Q21448"/>
      <c r="R21448"/>
      <c r="S21448"/>
    </row>
    <row r="21449" spans="13:19" ht="13.95" customHeight="1">
      <c r="M21449"/>
      <c r="N21449"/>
      <c r="O21449"/>
      <c r="P21449"/>
      <c r="Q21449"/>
      <c r="R21449"/>
      <c r="S21449"/>
    </row>
    <row r="21450" spans="13:19" ht="13.95" customHeight="1">
      <c r="M21450"/>
      <c r="N21450"/>
      <c r="O21450"/>
      <c r="P21450"/>
      <c r="Q21450"/>
      <c r="R21450"/>
      <c r="S21450"/>
    </row>
    <row r="21451" spans="13:19" ht="13.95" customHeight="1">
      <c r="M21451"/>
      <c r="N21451"/>
      <c r="O21451"/>
      <c r="P21451"/>
      <c r="Q21451"/>
      <c r="R21451"/>
      <c r="S21451"/>
    </row>
    <row r="21452" spans="13:19" ht="13.95" customHeight="1">
      <c r="M21452"/>
      <c r="N21452"/>
      <c r="O21452"/>
      <c r="P21452"/>
      <c r="Q21452"/>
      <c r="R21452"/>
      <c r="S21452"/>
    </row>
    <row r="21453" spans="13:19" ht="13.95" customHeight="1">
      <c r="M21453"/>
      <c r="N21453"/>
      <c r="O21453"/>
      <c r="P21453"/>
      <c r="Q21453"/>
      <c r="R21453"/>
      <c r="S21453"/>
    </row>
    <row r="21454" spans="13:19" ht="13.95" customHeight="1">
      <c r="M21454"/>
      <c r="N21454"/>
      <c r="O21454"/>
      <c r="P21454"/>
      <c r="Q21454"/>
      <c r="R21454"/>
      <c r="S21454"/>
    </row>
    <row r="21455" spans="13:19" ht="13.95" customHeight="1">
      <c r="M21455"/>
      <c r="N21455"/>
      <c r="O21455"/>
      <c r="P21455"/>
      <c r="Q21455"/>
      <c r="R21455"/>
      <c r="S21455"/>
    </row>
    <row r="21456" spans="13:19" ht="13.95" customHeight="1">
      <c r="M21456"/>
      <c r="N21456"/>
      <c r="O21456"/>
      <c r="P21456"/>
      <c r="Q21456"/>
      <c r="R21456"/>
      <c r="S21456"/>
    </row>
    <row r="21457" spans="13:19" ht="13.95" customHeight="1">
      <c r="M21457"/>
      <c r="N21457"/>
      <c r="O21457"/>
      <c r="P21457"/>
      <c r="Q21457"/>
      <c r="R21457"/>
      <c r="S21457"/>
    </row>
    <row r="21458" spans="13:19" ht="13.95" customHeight="1">
      <c r="M21458"/>
      <c r="N21458"/>
      <c r="O21458"/>
      <c r="P21458"/>
      <c r="Q21458"/>
      <c r="R21458"/>
      <c r="S21458"/>
    </row>
    <row r="21459" spans="13:19" ht="13.95" customHeight="1">
      <c r="M21459"/>
      <c r="N21459"/>
      <c r="O21459"/>
      <c r="P21459"/>
      <c r="Q21459"/>
      <c r="R21459"/>
      <c r="S21459"/>
    </row>
    <row r="21460" spans="13:19" ht="13.95" customHeight="1">
      <c r="M21460"/>
      <c r="N21460"/>
      <c r="O21460"/>
      <c r="P21460"/>
      <c r="Q21460"/>
      <c r="R21460"/>
      <c r="S21460"/>
    </row>
    <row r="21461" spans="13:19" ht="13.95" customHeight="1">
      <c r="M21461"/>
      <c r="N21461"/>
      <c r="O21461"/>
      <c r="P21461"/>
      <c r="Q21461"/>
      <c r="R21461"/>
      <c r="S21461"/>
    </row>
    <row r="21462" spans="13:19" ht="13.95" customHeight="1">
      <c r="M21462"/>
      <c r="N21462"/>
      <c r="O21462"/>
      <c r="P21462"/>
      <c r="Q21462"/>
      <c r="R21462"/>
      <c r="S21462"/>
    </row>
    <row r="21463" spans="13:19" ht="13.95" customHeight="1">
      <c r="M21463"/>
      <c r="N21463"/>
      <c r="O21463"/>
      <c r="P21463"/>
      <c r="Q21463"/>
      <c r="R21463"/>
      <c r="S21463"/>
    </row>
    <row r="21464" spans="13:19" ht="13.95" customHeight="1">
      <c r="M21464"/>
      <c r="N21464"/>
      <c r="O21464"/>
      <c r="P21464"/>
      <c r="Q21464"/>
      <c r="R21464"/>
      <c r="S21464"/>
    </row>
    <row r="21465" spans="13:19" ht="13.95" customHeight="1">
      <c r="M21465"/>
      <c r="N21465"/>
      <c r="O21465"/>
      <c r="P21465"/>
      <c r="Q21465"/>
      <c r="R21465"/>
      <c r="S21465"/>
    </row>
    <row r="21466" spans="13:19" ht="13.95" customHeight="1">
      <c r="M21466"/>
      <c r="N21466"/>
      <c r="O21466"/>
      <c r="P21466"/>
      <c r="Q21466"/>
      <c r="R21466"/>
      <c r="S21466"/>
    </row>
    <row r="21467" spans="13:19" ht="13.95" customHeight="1">
      <c r="M21467"/>
      <c r="N21467"/>
      <c r="O21467"/>
      <c r="P21467"/>
      <c r="Q21467"/>
      <c r="R21467"/>
      <c r="S21467"/>
    </row>
    <row r="21468" spans="13:19" ht="13.95" customHeight="1">
      <c r="M21468"/>
      <c r="N21468"/>
      <c r="O21468"/>
      <c r="P21468"/>
      <c r="Q21468"/>
      <c r="R21468"/>
      <c r="S21468"/>
    </row>
    <row r="21469" spans="13:19" ht="13.95" customHeight="1">
      <c r="M21469"/>
      <c r="N21469"/>
      <c r="O21469"/>
      <c r="P21469"/>
      <c r="Q21469"/>
      <c r="R21469"/>
      <c r="S21469"/>
    </row>
    <row r="21470" spans="13:19" ht="13.95" customHeight="1">
      <c r="M21470"/>
      <c r="N21470"/>
      <c r="O21470"/>
      <c r="P21470"/>
      <c r="Q21470"/>
      <c r="R21470"/>
      <c r="S21470"/>
    </row>
    <row r="21471" spans="13:19" ht="13.95" customHeight="1">
      <c r="M21471"/>
      <c r="N21471"/>
      <c r="O21471"/>
      <c r="P21471"/>
      <c r="Q21471"/>
      <c r="R21471"/>
      <c r="S21471"/>
    </row>
    <row r="21472" spans="13:19" ht="13.95" customHeight="1">
      <c r="M21472"/>
      <c r="N21472"/>
      <c r="O21472"/>
      <c r="P21472"/>
      <c r="Q21472"/>
      <c r="R21472"/>
      <c r="S21472"/>
    </row>
    <row r="21473" spans="13:19" ht="13.95" customHeight="1">
      <c r="M21473"/>
      <c r="N21473"/>
      <c r="O21473"/>
      <c r="P21473"/>
      <c r="Q21473"/>
      <c r="R21473"/>
      <c r="S21473"/>
    </row>
    <row r="21474" spans="13:19" ht="13.95" customHeight="1">
      <c r="M21474"/>
      <c r="N21474"/>
      <c r="O21474"/>
      <c r="P21474"/>
      <c r="Q21474"/>
      <c r="R21474"/>
      <c r="S21474"/>
    </row>
    <row r="21475" spans="13:19" ht="13.95" customHeight="1">
      <c r="M21475"/>
      <c r="N21475"/>
      <c r="O21475"/>
      <c r="P21475"/>
      <c r="Q21475"/>
      <c r="R21475"/>
      <c r="S21475"/>
    </row>
    <row r="21476" spans="13:19" ht="13.95" customHeight="1">
      <c r="M21476"/>
      <c r="N21476"/>
      <c r="O21476"/>
      <c r="P21476"/>
      <c r="Q21476"/>
      <c r="R21476"/>
      <c r="S21476"/>
    </row>
    <row r="21477" spans="13:19" ht="13.95" customHeight="1">
      <c r="M21477"/>
      <c r="N21477"/>
      <c r="O21477"/>
      <c r="P21477"/>
      <c r="Q21477"/>
      <c r="R21477"/>
      <c r="S21477"/>
    </row>
    <row r="21478" spans="13:19" ht="13.95" customHeight="1">
      <c r="M21478"/>
      <c r="N21478"/>
      <c r="O21478"/>
      <c r="P21478"/>
      <c r="Q21478"/>
      <c r="R21478"/>
      <c r="S21478"/>
    </row>
    <row r="21479" spans="13:19" ht="13.95" customHeight="1">
      <c r="M21479"/>
      <c r="N21479"/>
      <c r="O21479"/>
      <c r="P21479"/>
      <c r="Q21479"/>
      <c r="R21479"/>
      <c r="S21479"/>
    </row>
    <row r="21480" spans="13:19" ht="13.95" customHeight="1">
      <c r="M21480"/>
      <c r="N21480"/>
      <c r="O21480"/>
      <c r="P21480"/>
      <c r="Q21480"/>
      <c r="R21480"/>
      <c r="S21480"/>
    </row>
    <row r="21481" spans="13:19" ht="13.95" customHeight="1">
      <c r="M21481"/>
      <c r="N21481"/>
      <c r="O21481"/>
      <c r="P21481"/>
      <c r="Q21481"/>
      <c r="R21481"/>
      <c r="S21481"/>
    </row>
    <row r="21482" spans="13:19" ht="13.95" customHeight="1">
      <c r="M21482"/>
      <c r="N21482"/>
      <c r="O21482"/>
      <c r="P21482"/>
      <c r="Q21482"/>
      <c r="R21482"/>
      <c r="S21482"/>
    </row>
    <row r="21483" spans="13:19" ht="13.95" customHeight="1">
      <c r="M21483"/>
      <c r="N21483"/>
      <c r="O21483"/>
      <c r="P21483"/>
      <c r="Q21483"/>
      <c r="R21483"/>
      <c r="S21483"/>
    </row>
    <row r="21484" spans="13:19" ht="13.95" customHeight="1">
      <c r="M21484"/>
      <c r="N21484"/>
      <c r="O21484"/>
      <c r="P21484"/>
      <c r="Q21484"/>
      <c r="R21484"/>
      <c r="S21484"/>
    </row>
    <row r="21485" spans="13:19" ht="13.95" customHeight="1">
      <c r="M21485"/>
      <c r="N21485"/>
      <c r="O21485"/>
      <c r="P21485"/>
      <c r="Q21485"/>
      <c r="R21485"/>
      <c r="S21485"/>
    </row>
    <row r="21486" spans="13:19" ht="13.95" customHeight="1">
      <c r="M21486"/>
      <c r="N21486"/>
      <c r="O21486"/>
      <c r="P21486"/>
      <c r="Q21486"/>
      <c r="R21486"/>
      <c r="S21486"/>
    </row>
    <row r="21487" spans="13:19" ht="13.95" customHeight="1">
      <c r="M21487"/>
      <c r="N21487"/>
      <c r="O21487"/>
      <c r="P21487"/>
      <c r="Q21487"/>
      <c r="R21487"/>
      <c r="S21487"/>
    </row>
    <row r="21488" spans="13:19" ht="13.95" customHeight="1">
      <c r="M21488"/>
      <c r="N21488"/>
      <c r="O21488"/>
      <c r="P21488"/>
      <c r="Q21488"/>
      <c r="R21488"/>
      <c r="S21488"/>
    </row>
    <row r="21489" spans="13:19" ht="13.95" customHeight="1">
      <c r="M21489"/>
      <c r="N21489"/>
      <c r="O21489"/>
      <c r="P21489"/>
      <c r="Q21489"/>
      <c r="R21489"/>
      <c r="S21489"/>
    </row>
    <row r="21490" spans="13:19" ht="13.95" customHeight="1">
      <c r="M21490"/>
      <c r="N21490"/>
      <c r="O21490"/>
      <c r="P21490"/>
      <c r="Q21490"/>
      <c r="R21490"/>
      <c r="S21490"/>
    </row>
    <row r="21491" spans="13:19" ht="13.95" customHeight="1">
      <c r="M21491"/>
      <c r="N21491"/>
      <c r="O21491"/>
      <c r="P21491"/>
      <c r="Q21491"/>
      <c r="R21491"/>
      <c r="S21491"/>
    </row>
    <row r="21492" spans="13:19" ht="13.95" customHeight="1">
      <c r="M21492"/>
      <c r="N21492"/>
      <c r="O21492"/>
      <c r="P21492"/>
      <c r="Q21492"/>
      <c r="R21492"/>
      <c r="S21492"/>
    </row>
    <row r="21493" spans="13:19" ht="13.95" customHeight="1">
      <c r="M21493"/>
      <c r="N21493"/>
      <c r="O21493"/>
      <c r="P21493"/>
      <c r="Q21493"/>
      <c r="R21493"/>
      <c r="S21493"/>
    </row>
    <row r="21494" spans="13:19" ht="13.95" customHeight="1">
      <c r="M21494"/>
      <c r="N21494"/>
      <c r="O21494"/>
      <c r="P21494"/>
      <c r="Q21494"/>
      <c r="R21494"/>
      <c r="S21494"/>
    </row>
    <row r="21495" spans="13:19" ht="13.95" customHeight="1">
      <c r="M21495"/>
      <c r="N21495"/>
      <c r="O21495"/>
      <c r="P21495"/>
      <c r="Q21495"/>
      <c r="R21495"/>
      <c r="S21495"/>
    </row>
    <row r="21496" spans="13:19" ht="13.95" customHeight="1">
      <c r="M21496"/>
      <c r="N21496"/>
      <c r="O21496"/>
      <c r="P21496"/>
      <c r="Q21496"/>
      <c r="R21496"/>
      <c r="S21496"/>
    </row>
    <row r="21497" spans="13:19" ht="13.95" customHeight="1">
      <c r="M21497"/>
      <c r="N21497"/>
      <c r="O21497"/>
      <c r="P21497"/>
      <c r="Q21497"/>
      <c r="R21497"/>
      <c r="S21497"/>
    </row>
    <row r="21498" spans="13:19" ht="13.95" customHeight="1">
      <c r="M21498"/>
      <c r="N21498"/>
      <c r="O21498"/>
      <c r="P21498"/>
      <c r="Q21498"/>
      <c r="R21498"/>
      <c r="S21498"/>
    </row>
    <row r="21499" spans="13:19" ht="13.95" customHeight="1">
      <c r="M21499"/>
      <c r="N21499"/>
      <c r="O21499"/>
      <c r="P21499"/>
      <c r="Q21499"/>
      <c r="R21499"/>
      <c r="S21499"/>
    </row>
    <row r="21500" spans="13:19" ht="13.95" customHeight="1">
      <c r="M21500"/>
      <c r="N21500"/>
      <c r="O21500"/>
      <c r="P21500"/>
      <c r="Q21500"/>
      <c r="R21500"/>
      <c r="S21500"/>
    </row>
    <row r="21501" spans="13:19" ht="13.95" customHeight="1">
      <c r="M21501"/>
      <c r="N21501"/>
      <c r="O21501"/>
      <c r="P21501"/>
      <c r="Q21501"/>
      <c r="R21501"/>
      <c r="S21501"/>
    </row>
    <row r="21502" spans="13:19" ht="13.95" customHeight="1">
      <c r="M21502"/>
      <c r="N21502"/>
      <c r="O21502"/>
      <c r="P21502"/>
      <c r="Q21502"/>
      <c r="R21502"/>
      <c r="S21502"/>
    </row>
    <row r="21503" spans="13:19" ht="13.95" customHeight="1">
      <c r="M21503"/>
      <c r="N21503"/>
      <c r="O21503"/>
      <c r="P21503"/>
      <c r="Q21503"/>
      <c r="R21503"/>
      <c r="S21503"/>
    </row>
    <row r="21504" spans="13:19" ht="13.95" customHeight="1">
      <c r="M21504"/>
      <c r="N21504"/>
      <c r="O21504"/>
      <c r="P21504"/>
      <c r="Q21504"/>
      <c r="R21504"/>
      <c r="S21504"/>
    </row>
    <row r="21505" spans="13:19" ht="13.95" customHeight="1">
      <c r="M21505"/>
      <c r="N21505"/>
      <c r="O21505"/>
      <c r="P21505"/>
      <c r="Q21505"/>
      <c r="R21505"/>
      <c r="S21505"/>
    </row>
    <row r="21506" spans="13:19" ht="13.95" customHeight="1">
      <c r="M21506"/>
      <c r="N21506"/>
      <c r="O21506"/>
      <c r="P21506"/>
      <c r="Q21506"/>
      <c r="R21506"/>
      <c r="S21506"/>
    </row>
    <row r="21507" spans="13:19" ht="13.95" customHeight="1">
      <c r="M21507"/>
      <c r="N21507"/>
      <c r="O21507"/>
      <c r="P21507"/>
      <c r="Q21507"/>
      <c r="R21507"/>
      <c r="S21507"/>
    </row>
    <row r="21508" spans="13:19" ht="13.95" customHeight="1">
      <c r="M21508"/>
      <c r="N21508"/>
      <c r="O21508"/>
      <c r="P21508"/>
      <c r="Q21508"/>
      <c r="R21508"/>
      <c r="S21508"/>
    </row>
    <row r="21509" spans="13:19" ht="13.95" customHeight="1">
      <c r="M21509"/>
      <c r="N21509"/>
      <c r="O21509"/>
      <c r="P21509"/>
      <c r="Q21509"/>
      <c r="R21509"/>
      <c r="S21509"/>
    </row>
    <row r="21510" spans="13:19" ht="13.95" customHeight="1">
      <c r="M21510"/>
      <c r="N21510"/>
      <c r="O21510"/>
      <c r="P21510"/>
      <c r="Q21510"/>
      <c r="R21510"/>
      <c r="S21510"/>
    </row>
    <row r="21511" spans="13:19" ht="13.95" customHeight="1">
      <c r="M21511"/>
      <c r="N21511"/>
      <c r="O21511"/>
      <c r="P21511"/>
      <c r="Q21511"/>
      <c r="R21511"/>
      <c r="S21511"/>
    </row>
    <row r="21512" spans="13:19" ht="13.95" customHeight="1">
      <c r="M21512"/>
      <c r="N21512"/>
      <c r="O21512"/>
      <c r="P21512"/>
      <c r="Q21512"/>
      <c r="R21512"/>
      <c r="S21512"/>
    </row>
    <row r="21513" spans="13:19" ht="13.95" customHeight="1">
      <c r="M21513"/>
      <c r="N21513"/>
      <c r="O21513"/>
      <c r="P21513"/>
      <c r="Q21513"/>
      <c r="R21513"/>
      <c r="S21513"/>
    </row>
    <row r="21514" spans="13:19" ht="13.95" customHeight="1">
      <c r="M21514"/>
      <c r="N21514"/>
      <c r="O21514"/>
      <c r="P21514"/>
      <c r="Q21514"/>
      <c r="R21514"/>
      <c r="S21514"/>
    </row>
    <row r="21515" spans="13:19" ht="13.95" customHeight="1">
      <c r="M21515"/>
      <c r="N21515"/>
      <c r="O21515"/>
      <c r="P21515"/>
      <c r="Q21515"/>
      <c r="R21515"/>
      <c r="S21515"/>
    </row>
    <row r="21516" spans="13:19" ht="13.95" customHeight="1">
      <c r="M21516"/>
      <c r="N21516"/>
      <c r="O21516"/>
      <c r="P21516"/>
      <c r="Q21516"/>
      <c r="R21516"/>
      <c r="S21516"/>
    </row>
    <row r="21517" spans="13:19" ht="13.95" customHeight="1">
      <c r="M21517"/>
      <c r="N21517"/>
      <c r="O21517"/>
      <c r="P21517"/>
      <c r="Q21517"/>
      <c r="R21517"/>
      <c r="S21517"/>
    </row>
    <row r="21518" spans="13:19" ht="13.95" customHeight="1">
      <c r="M21518"/>
      <c r="N21518"/>
      <c r="O21518"/>
      <c r="P21518"/>
      <c r="Q21518"/>
      <c r="R21518"/>
      <c r="S21518"/>
    </row>
    <row r="21519" spans="13:19" ht="13.95" customHeight="1">
      <c r="M21519"/>
      <c r="N21519"/>
      <c r="O21519"/>
      <c r="P21519"/>
      <c r="Q21519"/>
      <c r="R21519"/>
      <c r="S21519"/>
    </row>
    <row r="21520" spans="13:19" ht="13.95" customHeight="1">
      <c r="M21520"/>
      <c r="N21520"/>
      <c r="O21520"/>
      <c r="P21520"/>
      <c r="Q21520"/>
      <c r="R21520"/>
      <c r="S21520"/>
    </row>
    <row r="21521" spans="13:19" ht="13.95" customHeight="1">
      <c r="M21521"/>
      <c r="N21521"/>
      <c r="O21521"/>
      <c r="P21521"/>
      <c r="Q21521"/>
      <c r="R21521"/>
      <c r="S21521"/>
    </row>
    <row r="21522" spans="13:19" ht="13.95" customHeight="1">
      <c r="M21522"/>
      <c r="N21522"/>
      <c r="O21522"/>
      <c r="P21522"/>
      <c r="Q21522"/>
      <c r="R21522"/>
      <c r="S21522"/>
    </row>
    <row r="21523" spans="13:19" ht="13.95" customHeight="1">
      <c r="M21523"/>
      <c r="N21523"/>
      <c r="O21523"/>
      <c r="P21523"/>
      <c r="Q21523"/>
      <c r="R21523"/>
      <c r="S21523"/>
    </row>
    <row r="21524" spans="13:19" ht="13.95" customHeight="1">
      <c r="M21524"/>
      <c r="N21524"/>
      <c r="O21524"/>
      <c r="P21524"/>
      <c r="Q21524"/>
      <c r="R21524"/>
      <c r="S21524"/>
    </row>
    <row r="21525" spans="13:19" ht="13.95" customHeight="1">
      <c r="M21525"/>
      <c r="N21525"/>
      <c r="O21525"/>
      <c r="P21525"/>
      <c r="Q21525"/>
      <c r="R21525"/>
      <c r="S21525"/>
    </row>
    <row r="21526" spans="13:19" ht="13.95" customHeight="1">
      <c r="M21526"/>
      <c r="N21526"/>
      <c r="O21526"/>
      <c r="P21526"/>
      <c r="Q21526"/>
      <c r="R21526"/>
      <c r="S21526"/>
    </row>
    <row r="21527" spans="13:19" ht="13.95" customHeight="1">
      <c r="M21527"/>
      <c r="N21527"/>
      <c r="O21527"/>
      <c r="P21527"/>
      <c r="Q21527"/>
      <c r="R21527"/>
      <c r="S21527"/>
    </row>
    <row r="21528" spans="13:19" ht="13.95" customHeight="1">
      <c r="M21528"/>
      <c r="N21528"/>
      <c r="O21528"/>
      <c r="P21528"/>
      <c r="Q21528"/>
      <c r="R21528"/>
      <c r="S21528"/>
    </row>
    <row r="21529" spans="13:19" ht="13.95" customHeight="1">
      <c r="M21529"/>
      <c r="N21529"/>
      <c r="O21529"/>
      <c r="P21529"/>
      <c r="Q21529"/>
      <c r="R21529"/>
      <c r="S21529"/>
    </row>
    <row r="21530" spans="13:19" ht="13.95" customHeight="1">
      <c r="M21530"/>
      <c r="N21530"/>
      <c r="O21530"/>
      <c r="P21530"/>
      <c r="Q21530"/>
      <c r="R21530"/>
      <c r="S21530"/>
    </row>
    <row r="21531" spans="13:19" ht="13.95" customHeight="1">
      <c r="M21531"/>
      <c r="N21531"/>
      <c r="O21531"/>
      <c r="P21531"/>
      <c r="Q21531"/>
      <c r="R21531"/>
      <c r="S21531"/>
    </row>
    <row r="21532" spans="13:19" ht="13.95" customHeight="1">
      <c r="M21532"/>
      <c r="N21532"/>
      <c r="O21532"/>
      <c r="P21532"/>
      <c r="Q21532"/>
      <c r="R21532"/>
      <c r="S21532"/>
    </row>
    <row r="21533" spans="13:19" ht="13.95" customHeight="1">
      <c r="M21533"/>
      <c r="N21533"/>
      <c r="O21533"/>
      <c r="P21533"/>
      <c r="Q21533"/>
      <c r="R21533"/>
      <c r="S21533"/>
    </row>
    <row r="21534" spans="13:19" ht="13.95" customHeight="1">
      <c r="M21534"/>
      <c r="N21534"/>
      <c r="O21534"/>
      <c r="P21534"/>
      <c r="Q21534"/>
      <c r="R21534"/>
      <c r="S21534"/>
    </row>
    <row r="21535" spans="13:19" ht="13.95" customHeight="1">
      <c r="M21535"/>
      <c r="N21535"/>
      <c r="O21535"/>
      <c r="P21535"/>
      <c r="Q21535"/>
      <c r="R21535"/>
      <c r="S21535"/>
    </row>
    <row r="21536" spans="13:19" ht="13.95" customHeight="1">
      <c r="M21536"/>
      <c r="N21536"/>
      <c r="O21536"/>
      <c r="P21536"/>
      <c r="Q21536"/>
      <c r="R21536"/>
      <c r="S21536"/>
    </row>
    <row r="21537" spans="13:19" ht="13.95" customHeight="1">
      <c r="M21537"/>
      <c r="N21537"/>
      <c r="O21537"/>
      <c r="P21537"/>
      <c r="Q21537"/>
      <c r="R21537"/>
      <c r="S21537"/>
    </row>
    <row r="21538" spans="13:19" ht="13.95" customHeight="1">
      <c r="M21538"/>
      <c r="N21538"/>
      <c r="O21538"/>
      <c r="P21538"/>
      <c r="Q21538"/>
      <c r="R21538"/>
      <c r="S21538"/>
    </row>
    <row r="21539" spans="13:19" ht="13.95" customHeight="1">
      <c r="M21539"/>
      <c r="N21539"/>
      <c r="O21539"/>
      <c r="P21539"/>
      <c r="Q21539"/>
      <c r="R21539"/>
      <c r="S21539"/>
    </row>
    <row r="21540" spans="13:19" ht="13.95" customHeight="1">
      <c r="M21540"/>
      <c r="N21540"/>
      <c r="O21540"/>
      <c r="P21540"/>
      <c r="Q21540"/>
      <c r="R21540"/>
      <c r="S21540"/>
    </row>
    <row r="21541" spans="13:19" ht="13.95" customHeight="1">
      <c r="M21541"/>
      <c r="N21541"/>
      <c r="O21541"/>
      <c r="P21541"/>
      <c r="Q21541"/>
      <c r="R21541"/>
      <c r="S21541"/>
    </row>
    <row r="21542" spans="13:19" ht="13.95" customHeight="1">
      <c r="M21542"/>
      <c r="N21542"/>
      <c r="O21542"/>
      <c r="P21542"/>
      <c r="Q21542"/>
      <c r="R21542"/>
      <c r="S21542"/>
    </row>
    <row r="21543" spans="13:19" ht="13.95" customHeight="1">
      <c r="M21543"/>
      <c r="N21543"/>
      <c r="O21543"/>
      <c r="P21543"/>
      <c r="Q21543"/>
      <c r="R21543"/>
      <c r="S21543"/>
    </row>
    <row r="21544" spans="13:19" ht="13.95" customHeight="1">
      <c r="M21544"/>
      <c r="N21544"/>
      <c r="O21544"/>
      <c r="P21544"/>
      <c r="Q21544"/>
      <c r="R21544"/>
      <c r="S21544"/>
    </row>
    <row r="21545" spans="13:19" ht="13.95" customHeight="1">
      <c r="M21545"/>
      <c r="N21545"/>
      <c r="O21545"/>
      <c r="P21545"/>
      <c r="Q21545"/>
      <c r="R21545"/>
      <c r="S21545"/>
    </row>
    <row r="21546" spans="13:19" ht="13.95" customHeight="1">
      <c r="M21546"/>
      <c r="N21546"/>
      <c r="O21546"/>
      <c r="P21546"/>
      <c r="Q21546"/>
      <c r="R21546"/>
      <c r="S21546"/>
    </row>
    <row r="21547" spans="13:19" ht="13.95" customHeight="1">
      <c r="M21547"/>
      <c r="N21547"/>
      <c r="O21547"/>
      <c r="P21547"/>
      <c r="Q21547"/>
      <c r="R21547"/>
      <c r="S21547"/>
    </row>
    <row r="21548" spans="13:19" ht="13.95" customHeight="1">
      <c r="M21548"/>
      <c r="N21548"/>
      <c r="O21548"/>
      <c r="P21548"/>
      <c r="Q21548"/>
      <c r="R21548"/>
      <c r="S21548"/>
    </row>
    <row r="21549" spans="13:19" ht="13.95" customHeight="1">
      <c r="M21549"/>
      <c r="N21549"/>
      <c r="O21549"/>
      <c r="P21549"/>
      <c r="Q21549"/>
      <c r="R21549"/>
      <c r="S21549"/>
    </row>
    <row r="21550" spans="13:19" ht="13.95" customHeight="1">
      <c r="M21550"/>
      <c r="N21550"/>
      <c r="O21550"/>
      <c r="P21550"/>
      <c r="Q21550"/>
      <c r="R21550"/>
      <c r="S21550"/>
    </row>
    <row r="21551" spans="13:19" ht="13.95" customHeight="1">
      <c r="M21551"/>
      <c r="N21551"/>
      <c r="O21551"/>
      <c r="P21551"/>
      <c r="Q21551"/>
      <c r="R21551"/>
      <c r="S21551"/>
    </row>
    <row r="21552" spans="13:19" ht="13.95" customHeight="1">
      <c r="M21552"/>
      <c r="N21552"/>
      <c r="O21552"/>
      <c r="P21552"/>
      <c r="Q21552"/>
      <c r="R21552"/>
      <c r="S21552"/>
    </row>
    <row r="21553" spans="13:19" ht="13.95" customHeight="1">
      <c r="M21553"/>
      <c r="N21553"/>
      <c r="O21553"/>
      <c r="P21553"/>
      <c r="Q21553"/>
      <c r="R21553"/>
      <c r="S21553"/>
    </row>
    <row r="21554" spans="13:19" ht="13.95" customHeight="1">
      <c r="M21554"/>
      <c r="N21554"/>
      <c r="O21554"/>
      <c r="P21554"/>
      <c r="Q21554"/>
      <c r="R21554"/>
      <c r="S21554"/>
    </row>
    <row r="21555" spans="13:19" ht="13.95" customHeight="1">
      <c r="M21555"/>
      <c r="N21555"/>
      <c r="O21555"/>
      <c r="P21555"/>
      <c r="Q21555"/>
      <c r="R21555"/>
      <c r="S21555"/>
    </row>
    <row r="21556" spans="13:19" ht="13.95" customHeight="1">
      <c r="M21556"/>
      <c r="N21556"/>
      <c r="O21556"/>
      <c r="P21556"/>
      <c r="Q21556"/>
      <c r="R21556"/>
      <c r="S21556"/>
    </row>
    <row r="21557" spans="13:19" ht="13.95" customHeight="1">
      <c r="M21557"/>
      <c r="N21557"/>
      <c r="O21557"/>
      <c r="P21557"/>
      <c r="Q21557"/>
      <c r="R21557"/>
      <c r="S21557"/>
    </row>
    <row r="21558" spans="13:19" ht="13.95" customHeight="1">
      <c r="M21558"/>
      <c r="N21558"/>
      <c r="O21558"/>
      <c r="P21558"/>
      <c r="Q21558"/>
      <c r="R21558"/>
      <c r="S21558"/>
    </row>
    <row r="21559" spans="13:19" ht="13.95" customHeight="1">
      <c r="M21559"/>
      <c r="N21559"/>
      <c r="O21559"/>
      <c r="P21559"/>
      <c r="Q21559"/>
      <c r="R21559"/>
      <c r="S21559"/>
    </row>
    <row r="21560" spans="13:19" ht="13.95" customHeight="1">
      <c r="M21560"/>
      <c r="N21560"/>
      <c r="O21560"/>
      <c r="P21560"/>
      <c r="Q21560"/>
      <c r="R21560"/>
      <c r="S21560"/>
    </row>
    <row r="21561" spans="13:19" ht="13.95" customHeight="1">
      <c r="M21561"/>
      <c r="N21561"/>
      <c r="O21561"/>
      <c r="P21561"/>
      <c r="Q21561"/>
      <c r="R21561"/>
      <c r="S21561"/>
    </row>
    <row r="21562" spans="13:19" ht="13.95" customHeight="1">
      <c r="M21562"/>
      <c r="N21562"/>
      <c r="O21562"/>
      <c r="P21562"/>
      <c r="Q21562"/>
      <c r="R21562"/>
      <c r="S21562"/>
    </row>
    <row r="21563" spans="13:19" ht="13.95" customHeight="1">
      <c r="M21563"/>
      <c r="N21563"/>
      <c r="O21563"/>
      <c r="P21563"/>
      <c r="Q21563"/>
      <c r="R21563"/>
      <c r="S21563"/>
    </row>
    <row r="21564" spans="13:19" ht="13.95" customHeight="1">
      <c r="M21564"/>
      <c r="N21564"/>
      <c r="O21564"/>
      <c r="P21564"/>
      <c r="Q21564"/>
      <c r="R21564"/>
      <c r="S21564"/>
    </row>
    <row r="21565" spans="13:19" ht="13.95" customHeight="1">
      <c r="M21565"/>
      <c r="N21565"/>
      <c r="O21565"/>
      <c r="P21565"/>
      <c r="Q21565"/>
      <c r="R21565"/>
      <c r="S21565"/>
    </row>
    <row r="21566" spans="13:19" ht="13.95" customHeight="1">
      <c r="M21566"/>
      <c r="N21566"/>
      <c r="O21566"/>
      <c r="P21566"/>
      <c r="Q21566"/>
      <c r="R21566"/>
      <c r="S21566"/>
    </row>
    <row r="21567" spans="13:19" ht="13.95" customHeight="1">
      <c r="M21567"/>
      <c r="N21567"/>
      <c r="O21567"/>
      <c r="P21567"/>
      <c r="Q21567"/>
      <c r="R21567"/>
      <c r="S21567"/>
    </row>
    <row r="21568" spans="13:19" ht="13.95" customHeight="1">
      <c r="M21568"/>
      <c r="N21568"/>
      <c r="O21568"/>
      <c r="P21568"/>
      <c r="Q21568"/>
      <c r="R21568"/>
      <c r="S21568"/>
    </row>
    <row r="21569" spans="13:19" ht="13.95" customHeight="1">
      <c r="M21569"/>
      <c r="N21569"/>
      <c r="O21569"/>
      <c r="P21569"/>
      <c r="Q21569"/>
      <c r="R21569"/>
      <c r="S21569"/>
    </row>
    <row r="21570" spans="13:19" ht="13.95" customHeight="1">
      <c r="M21570"/>
      <c r="N21570"/>
      <c r="O21570"/>
      <c r="P21570"/>
      <c r="Q21570"/>
      <c r="R21570"/>
      <c r="S21570"/>
    </row>
    <row r="21571" spans="13:19" ht="13.95" customHeight="1">
      <c r="M21571"/>
      <c r="N21571"/>
      <c r="O21571"/>
      <c r="P21571"/>
      <c r="Q21571"/>
      <c r="R21571"/>
      <c r="S21571"/>
    </row>
    <row r="21572" spans="13:19" ht="13.95" customHeight="1">
      <c r="M21572"/>
      <c r="N21572"/>
      <c r="O21572"/>
      <c r="P21572"/>
      <c r="Q21572"/>
      <c r="R21572"/>
      <c r="S21572"/>
    </row>
    <row r="21573" spans="13:19" ht="13.95" customHeight="1">
      <c r="M21573"/>
      <c r="N21573"/>
      <c r="O21573"/>
      <c r="P21573"/>
      <c r="Q21573"/>
      <c r="R21573"/>
      <c r="S21573"/>
    </row>
    <row r="21574" spans="13:19" ht="13.95" customHeight="1">
      <c r="M21574"/>
      <c r="N21574"/>
      <c r="O21574"/>
      <c r="P21574"/>
      <c r="Q21574"/>
      <c r="R21574"/>
      <c r="S21574"/>
    </row>
    <row r="21575" spans="13:19" ht="13.95" customHeight="1">
      <c r="M21575"/>
      <c r="N21575"/>
      <c r="O21575"/>
      <c r="P21575"/>
      <c r="Q21575"/>
      <c r="R21575"/>
      <c r="S21575"/>
    </row>
    <row r="21576" spans="13:19" ht="13.95" customHeight="1">
      <c r="M21576"/>
      <c r="N21576"/>
      <c r="O21576"/>
      <c r="P21576"/>
      <c r="Q21576"/>
      <c r="R21576"/>
      <c r="S21576"/>
    </row>
    <row r="21577" spans="13:19" ht="13.95" customHeight="1">
      <c r="M21577"/>
      <c r="N21577"/>
      <c r="O21577"/>
      <c r="P21577"/>
      <c r="Q21577"/>
      <c r="R21577"/>
      <c r="S21577"/>
    </row>
    <row r="21578" spans="13:19" ht="13.95" customHeight="1">
      <c r="M21578"/>
      <c r="N21578"/>
      <c r="O21578"/>
      <c r="P21578"/>
      <c r="Q21578"/>
      <c r="R21578"/>
      <c r="S21578"/>
    </row>
    <row r="21579" spans="13:19" ht="13.95" customHeight="1">
      <c r="M21579"/>
      <c r="N21579"/>
      <c r="O21579"/>
      <c r="P21579"/>
      <c r="Q21579"/>
      <c r="R21579"/>
      <c r="S21579"/>
    </row>
    <row r="21580" spans="13:19" ht="13.95" customHeight="1">
      <c r="M21580"/>
      <c r="N21580"/>
      <c r="O21580"/>
      <c r="P21580"/>
      <c r="Q21580"/>
      <c r="R21580"/>
      <c r="S21580"/>
    </row>
    <row r="21581" spans="13:19" ht="13.95" customHeight="1">
      <c r="M21581"/>
      <c r="N21581"/>
      <c r="O21581"/>
      <c r="P21581"/>
      <c r="Q21581"/>
      <c r="R21581"/>
      <c r="S21581"/>
    </row>
    <row r="21582" spans="13:19" ht="13.95" customHeight="1">
      <c r="M21582"/>
      <c r="N21582"/>
      <c r="O21582"/>
      <c r="P21582"/>
      <c r="Q21582"/>
      <c r="R21582"/>
      <c r="S21582"/>
    </row>
    <row r="21583" spans="13:19" ht="13.95" customHeight="1">
      <c r="M21583"/>
      <c r="N21583"/>
      <c r="O21583"/>
      <c r="P21583"/>
      <c r="Q21583"/>
      <c r="R21583"/>
      <c r="S21583"/>
    </row>
    <row r="21584" spans="13:19" ht="13.95" customHeight="1">
      <c r="M21584"/>
      <c r="N21584"/>
      <c r="O21584"/>
      <c r="P21584"/>
      <c r="Q21584"/>
      <c r="R21584"/>
      <c r="S21584"/>
    </row>
    <row r="21585" spans="13:19" ht="13.95" customHeight="1">
      <c r="M21585"/>
      <c r="N21585"/>
      <c r="O21585"/>
      <c r="P21585"/>
      <c r="Q21585"/>
      <c r="R21585"/>
      <c r="S21585"/>
    </row>
    <row r="21586" spans="13:19" ht="13.95" customHeight="1">
      <c r="M21586"/>
      <c r="N21586"/>
      <c r="O21586"/>
      <c r="P21586"/>
      <c r="Q21586"/>
      <c r="R21586"/>
      <c r="S21586"/>
    </row>
    <row r="21587" spans="13:19" ht="13.95" customHeight="1">
      <c r="M21587"/>
      <c r="N21587"/>
      <c r="O21587"/>
      <c r="P21587"/>
      <c r="Q21587"/>
      <c r="R21587"/>
      <c r="S21587"/>
    </row>
    <row r="21588" spans="13:19" ht="13.95" customHeight="1">
      <c r="M21588"/>
      <c r="N21588"/>
      <c r="O21588"/>
      <c r="P21588"/>
      <c r="Q21588"/>
      <c r="R21588"/>
      <c r="S21588"/>
    </row>
    <row r="21589" spans="13:19" ht="13.95" customHeight="1">
      <c r="M21589"/>
      <c r="N21589"/>
      <c r="O21589"/>
      <c r="P21589"/>
      <c r="Q21589"/>
      <c r="R21589"/>
      <c r="S21589"/>
    </row>
    <row r="21590" spans="13:19" ht="13.95" customHeight="1">
      <c r="M21590"/>
      <c r="N21590"/>
      <c r="O21590"/>
      <c r="P21590"/>
      <c r="Q21590"/>
      <c r="R21590"/>
      <c r="S21590"/>
    </row>
    <row r="21591" spans="13:19" ht="13.95" customHeight="1">
      <c r="M21591"/>
      <c r="N21591"/>
      <c r="O21591"/>
      <c r="P21591"/>
      <c r="Q21591"/>
      <c r="R21591"/>
      <c r="S21591"/>
    </row>
    <row r="21592" spans="13:19" ht="13.95" customHeight="1">
      <c r="M21592"/>
      <c r="N21592"/>
      <c r="O21592"/>
      <c r="P21592"/>
      <c r="Q21592"/>
      <c r="R21592"/>
      <c r="S21592"/>
    </row>
    <row r="21593" spans="13:19" ht="13.95" customHeight="1">
      <c r="M21593"/>
      <c r="N21593"/>
      <c r="O21593"/>
      <c r="P21593"/>
      <c r="Q21593"/>
      <c r="R21593"/>
      <c r="S21593"/>
    </row>
    <row r="21594" spans="13:19" ht="13.95" customHeight="1">
      <c r="M21594"/>
      <c r="N21594"/>
      <c r="O21594"/>
      <c r="P21594"/>
      <c r="Q21594"/>
      <c r="R21594"/>
      <c r="S21594"/>
    </row>
    <row r="21595" spans="13:19" ht="13.95" customHeight="1">
      <c r="M21595"/>
      <c r="N21595"/>
      <c r="O21595"/>
      <c r="P21595"/>
      <c r="Q21595"/>
      <c r="R21595"/>
      <c r="S21595"/>
    </row>
    <row r="21596" spans="13:19" ht="13.95" customHeight="1">
      <c r="M21596"/>
      <c r="N21596"/>
      <c r="O21596"/>
      <c r="P21596"/>
      <c r="Q21596"/>
      <c r="R21596"/>
      <c r="S21596"/>
    </row>
    <row r="21597" spans="13:19" ht="13.95" customHeight="1">
      <c r="M21597"/>
      <c r="N21597"/>
      <c r="O21597"/>
      <c r="P21597"/>
      <c r="Q21597"/>
      <c r="R21597"/>
      <c r="S21597"/>
    </row>
    <row r="21598" spans="13:19" ht="13.95" customHeight="1">
      <c r="M21598"/>
      <c r="N21598"/>
      <c r="O21598"/>
      <c r="P21598"/>
      <c r="Q21598"/>
      <c r="R21598"/>
      <c r="S21598"/>
    </row>
    <row r="21599" spans="13:19" ht="13.95" customHeight="1">
      <c r="M21599"/>
      <c r="N21599"/>
      <c r="O21599"/>
      <c r="P21599"/>
      <c r="Q21599"/>
      <c r="R21599"/>
      <c r="S21599"/>
    </row>
    <row r="21600" spans="13:19" ht="13.95" customHeight="1">
      <c r="M21600"/>
      <c r="N21600"/>
      <c r="O21600"/>
      <c r="P21600"/>
      <c r="Q21600"/>
      <c r="R21600"/>
      <c r="S21600"/>
    </row>
    <row r="21601" spans="13:19" ht="13.95" customHeight="1">
      <c r="M21601"/>
      <c r="N21601"/>
      <c r="O21601"/>
      <c r="P21601"/>
      <c r="Q21601"/>
      <c r="R21601"/>
      <c r="S21601"/>
    </row>
    <row r="21602" spans="13:19" ht="13.95" customHeight="1">
      <c r="M21602"/>
      <c r="N21602"/>
      <c r="O21602"/>
      <c r="P21602"/>
      <c r="Q21602"/>
      <c r="R21602"/>
      <c r="S21602"/>
    </row>
    <row r="21603" spans="13:19" ht="13.95" customHeight="1">
      <c r="M21603"/>
      <c r="N21603"/>
      <c r="O21603"/>
      <c r="P21603"/>
      <c r="Q21603"/>
      <c r="R21603"/>
      <c r="S21603"/>
    </row>
    <row r="21604" spans="13:19" ht="13.95" customHeight="1">
      <c r="M21604"/>
      <c r="N21604"/>
      <c r="O21604"/>
      <c r="P21604"/>
      <c r="Q21604"/>
      <c r="R21604"/>
      <c r="S21604"/>
    </row>
    <row r="21605" spans="13:19" ht="13.95" customHeight="1">
      <c r="M21605"/>
      <c r="N21605"/>
      <c r="O21605"/>
      <c r="P21605"/>
      <c r="Q21605"/>
      <c r="R21605"/>
      <c r="S21605"/>
    </row>
    <row r="21606" spans="13:19" ht="13.95" customHeight="1">
      <c r="M21606"/>
      <c r="N21606"/>
      <c r="O21606"/>
      <c r="P21606"/>
      <c r="Q21606"/>
      <c r="R21606"/>
      <c r="S21606"/>
    </row>
    <row r="21607" spans="13:19" ht="13.95" customHeight="1">
      <c r="M21607"/>
      <c r="N21607"/>
      <c r="O21607"/>
      <c r="P21607"/>
      <c r="Q21607"/>
      <c r="R21607"/>
      <c r="S21607"/>
    </row>
    <row r="21608" spans="13:19" ht="13.95" customHeight="1">
      <c r="M21608"/>
      <c r="N21608"/>
      <c r="O21608"/>
      <c r="P21608"/>
      <c r="Q21608"/>
      <c r="R21608"/>
      <c r="S21608"/>
    </row>
    <row r="21609" spans="13:19" ht="13.95" customHeight="1">
      <c r="M21609"/>
      <c r="N21609"/>
      <c r="O21609"/>
      <c r="P21609"/>
      <c r="Q21609"/>
      <c r="R21609"/>
      <c r="S21609"/>
    </row>
    <row r="21610" spans="13:19" ht="13.95" customHeight="1">
      <c r="M21610"/>
      <c r="N21610"/>
      <c r="O21610"/>
      <c r="P21610"/>
      <c r="Q21610"/>
      <c r="R21610"/>
      <c r="S21610"/>
    </row>
    <row r="21611" spans="13:19" ht="13.95" customHeight="1">
      <c r="M21611"/>
      <c r="N21611"/>
      <c r="O21611"/>
      <c r="P21611"/>
      <c r="Q21611"/>
      <c r="R21611"/>
      <c r="S21611"/>
    </row>
    <row r="21612" spans="13:19" ht="13.95" customHeight="1">
      <c r="M21612"/>
      <c r="N21612"/>
      <c r="O21612"/>
      <c r="P21612"/>
      <c r="Q21612"/>
      <c r="R21612"/>
      <c r="S21612"/>
    </row>
    <row r="21613" spans="13:19" ht="13.95" customHeight="1">
      <c r="M21613"/>
      <c r="N21613"/>
      <c r="O21613"/>
      <c r="P21613"/>
      <c r="Q21613"/>
      <c r="R21613"/>
      <c r="S21613"/>
    </row>
    <row r="21614" spans="13:19" ht="13.95" customHeight="1">
      <c r="M21614"/>
      <c r="N21614"/>
      <c r="O21614"/>
      <c r="P21614"/>
      <c r="Q21614"/>
      <c r="R21614"/>
      <c r="S21614"/>
    </row>
    <row r="21615" spans="13:19" ht="13.95" customHeight="1">
      <c r="M21615"/>
      <c r="N21615"/>
      <c r="O21615"/>
      <c r="P21615"/>
      <c r="Q21615"/>
      <c r="R21615"/>
      <c r="S21615"/>
    </row>
    <row r="21616" spans="13:19" ht="13.95" customHeight="1">
      <c r="M21616"/>
      <c r="N21616"/>
      <c r="O21616"/>
      <c r="P21616"/>
      <c r="Q21616"/>
      <c r="R21616"/>
      <c r="S21616"/>
    </row>
    <row r="21617" spans="13:19" ht="13.95" customHeight="1">
      <c r="M21617"/>
      <c r="N21617"/>
      <c r="O21617"/>
      <c r="P21617"/>
      <c r="Q21617"/>
      <c r="R21617"/>
      <c r="S21617"/>
    </row>
    <row r="21618" spans="13:19" ht="13.95" customHeight="1">
      <c r="M21618"/>
      <c r="N21618"/>
      <c r="O21618"/>
      <c r="P21618"/>
      <c r="Q21618"/>
      <c r="R21618"/>
      <c r="S21618"/>
    </row>
    <row r="21619" spans="13:19" ht="13.95" customHeight="1">
      <c r="M21619"/>
      <c r="N21619"/>
      <c r="O21619"/>
      <c r="P21619"/>
      <c r="Q21619"/>
      <c r="R21619"/>
      <c r="S21619"/>
    </row>
    <row r="21620" spans="13:19" ht="13.95" customHeight="1">
      <c r="M21620"/>
      <c r="N21620"/>
      <c r="O21620"/>
      <c r="P21620"/>
      <c r="Q21620"/>
      <c r="R21620"/>
      <c r="S21620"/>
    </row>
    <row r="21621" spans="13:19" ht="13.95" customHeight="1">
      <c r="M21621"/>
      <c r="N21621"/>
      <c r="O21621"/>
      <c r="P21621"/>
      <c r="Q21621"/>
      <c r="R21621"/>
      <c r="S21621"/>
    </row>
    <row r="21622" spans="13:19" ht="13.95" customHeight="1">
      <c r="M21622"/>
      <c r="N21622"/>
      <c r="O21622"/>
      <c r="P21622"/>
      <c r="Q21622"/>
      <c r="R21622"/>
      <c r="S21622"/>
    </row>
    <row r="21623" spans="13:19" ht="13.95" customHeight="1">
      <c r="M21623"/>
      <c r="N21623"/>
      <c r="O21623"/>
      <c r="P21623"/>
      <c r="Q21623"/>
      <c r="R21623"/>
      <c r="S21623"/>
    </row>
    <row r="21624" spans="13:19" ht="13.95" customHeight="1">
      <c r="M21624"/>
      <c r="N21624"/>
      <c r="O21624"/>
      <c r="P21624"/>
      <c r="Q21624"/>
      <c r="R21624"/>
      <c r="S21624"/>
    </row>
    <row r="21625" spans="13:19" ht="13.95" customHeight="1">
      <c r="M21625"/>
      <c r="N21625"/>
      <c r="O21625"/>
      <c r="P21625"/>
      <c r="Q21625"/>
      <c r="R21625"/>
      <c r="S21625"/>
    </row>
    <row r="21626" spans="13:19" ht="13.95" customHeight="1">
      <c r="M21626"/>
      <c r="N21626"/>
      <c r="O21626"/>
      <c r="P21626"/>
      <c r="Q21626"/>
      <c r="R21626"/>
      <c r="S21626"/>
    </row>
    <row r="21627" spans="13:19" ht="13.95" customHeight="1">
      <c r="M21627"/>
      <c r="N21627"/>
      <c r="O21627"/>
      <c r="P21627"/>
      <c r="Q21627"/>
      <c r="R21627"/>
      <c r="S21627"/>
    </row>
    <row r="21628" spans="13:19" ht="13.95" customHeight="1">
      <c r="M21628"/>
      <c r="N21628"/>
      <c r="O21628"/>
      <c r="P21628"/>
      <c r="Q21628"/>
      <c r="R21628"/>
      <c r="S21628"/>
    </row>
    <row r="21629" spans="13:19" ht="13.95" customHeight="1">
      <c r="M21629"/>
      <c r="N21629"/>
      <c r="O21629"/>
      <c r="P21629"/>
      <c r="Q21629"/>
      <c r="R21629"/>
      <c r="S21629"/>
    </row>
    <row r="21630" spans="13:19" ht="13.95" customHeight="1">
      <c r="M21630"/>
      <c r="N21630"/>
      <c r="O21630"/>
      <c r="P21630"/>
      <c r="Q21630"/>
      <c r="R21630"/>
      <c r="S21630"/>
    </row>
    <row r="21631" spans="13:19" ht="13.95" customHeight="1">
      <c r="M21631"/>
      <c r="N21631"/>
      <c r="O21631"/>
      <c r="P21631"/>
      <c r="Q21631"/>
      <c r="R21631"/>
      <c r="S21631"/>
    </row>
    <row r="21632" spans="13:19" ht="13.95" customHeight="1">
      <c r="M21632"/>
      <c r="N21632"/>
      <c r="O21632"/>
      <c r="P21632"/>
      <c r="Q21632"/>
      <c r="R21632"/>
      <c r="S21632"/>
    </row>
    <row r="21633" spans="13:19" ht="13.95" customHeight="1">
      <c r="M21633"/>
      <c r="N21633"/>
      <c r="O21633"/>
      <c r="P21633"/>
      <c r="Q21633"/>
      <c r="R21633"/>
      <c r="S21633"/>
    </row>
    <row r="21634" spans="13:19" ht="13.95" customHeight="1">
      <c r="M21634"/>
      <c r="N21634"/>
      <c r="O21634"/>
      <c r="P21634"/>
      <c r="Q21634"/>
      <c r="R21634"/>
      <c r="S21634"/>
    </row>
    <row r="21635" spans="13:19" ht="13.95" customHeight="1">
      <c r="M21635"/>
      <c r="N21635"/>
      <c r="O21635"/>
      <c r="P21635"/>
      <c r="Q21635"/>
      <c r="R21635"/>
      <c r="S21635"/>
    </row>
    <row r="21636" spans="13:19" ht="13.95" customHeight="1">
      <c r="M21636"/>
      <c r="N21636"/>
      <c r="O21636"/>
      <c r="P21636"/>
      <c r="Q21636"/>
      <c r="R21636"/>
      <c r="S21636"/>
    </row>
    <row r="21637" spans="13:19" ht="13.95" customHeight="1">
      <c r="M21637"/>
      <c r="N21637"/>
      <c r="O21637"/>
      <c r="P21637"/>
      <c r="Q21637"/>
      <c r="R21637"/>
      <c r="S21637"/>
    </row>
    <row r="21638" spans="13:19" ht="13.95" customHeight="1">
      <c r="M21638"/>
      <c r="N21638"/>
      <c r="O21638"/>
      <c r="P21638"/>
      <c r="Q21638"/>
      <c r="R21638"/>
      <c r="S21638"/>
    </row>
    <row r="21639" spans="13:19" ht="13.95" customHeight="1">
      <c r="M21639"/>
      <c r="N21639"/>
      <c r="O21639"/>
      <c r="P21639"/>
      <c r="Q21639"/>
      <c r="R21639"/>
      <c r="S21639"/>
    </row>
    <row r="21640" spans="13:19" ht="13.95" customHeight="1">
      <c r="M21640"/>
      <c r="N21640"/>
      <c r="O21640"/>
      <c r="P21640"/>
      <c r="Q21640"/>
      <c r="R21640"/>
      <c r="S21640"/>
    </row>
    <row r="21641" spans="13:19" ht="13.95" customHeight="1">
      <c r="M21641"/>
      <c r="N21641"/>
      <c r="O21641"/>
      <c r="P21641"/>
      <c r="Q21641"/>
      <c r="R21641"/>
      <c r="S21641"/>
    </row>
    <row r="21642" spans="13:19" ht="13.95" customHeight="1">
      <c r="M21642"/>
      <c r="N21642"/>
      <c r="O21642"/>
      <c r="P21642"/>
      <c r="Q21642"/>
      <c r="R21642"/>
      <c r="S21642"/>
    </row>
    <row r="21643" spans="13:19" ht="13.95" customHeight="1">
      <c r="M21643"/>
      <c r="N21643"/>
      <c r="O21643"/>
      <c r="P21643"/>
      <c r="Q21643"/>
      <c r="R21643"/>
      <c r="S21643"/>
    </row>
    <row r="21644" spans="13:19" ht="13.95" customHeight="1">
      <c r="M21644"/>
      <c r="N21644"/>
      <c r="O21644"/>
      <c r="P21644"/>
      <c r="Q21644"/>
      <c r="R21644"/>
      <c r="S21644"/>
    </row>
    <row r="21645" spans="13:19" ht="13.95" customHeight="1">
      <c r="M21645"/>
      <c r="N21645"/>
      <c r="O21645"/>
      <c r="P21645"/>
      <c r="Q21645"/>
      <c r="R21645"/>
      <c r="S21645"/>
    </row>
    <row r="21646" spans="13:19" ht="13.95" customHeight="1">
      <c r="M21646"/>
      <c r="N21646"/>
      <c r="O21646"/>
      <c r="P21646"/>
      <c r="Q21646"/>
      <c r="R21646"/>
      <c r="S21646"/>
    </row>
    <row r="21647" spans="13:19" ht="13.95" customHeight="1">
      <c r="M21647"/>
      <c r="N21647"/>
      <c r="O21647"/>
      <c r="P21647"/>
      <c r="Q21647"/>
      <c r="R21647"/>
      <c r="S21647"/>
    </row>
    <row r="21648" spans="13:19" ht="13.95" customHeight="1">
      <c r="M21648"/>
      <c r="N21648"/>
      <c r="O21648"/>
      <c r="P21648"/>
      <c r="Q21648"/>
      <c r="R21648"/>
      <c r="S21648"/>
    </row>
    <row r="21649" spans="13:19" ht="13.95" customHeight="1">
      <c r="M21649"/>
      <c r="N21649"/>
      <c r="O21649"/>
      <c r="P21649"/>
      <c r="Q21649"/>
      <c r="R21649"/>
      <c r="S21649"/>
    </row>
    <row r="21650" spans="13:19" ht="13.95" customHeight="1">
      <c r="M21650"/>
      <c r="N21650"/>
      <c r="O21650"/>
      <c r="P21650"/>
      <c r="Q21650"/>
      <c r="R21650"/>
      <c r="S21650"/>
    </row>
    <row r="21651" spans="13:19" ht="13.95" customHeight="1">
      <c r="M21651"/>
      <c r="N21651"/>
      <c r="O21651"/>
      <c r="P21651"/>
      <c r="Q21651"/>
      <c r="R21651"/>
      <c r="S21651"/>
    </row>
    <row r="21652" spans="13:19" ht="13.95" customHeight="1">
      <c r="M21652"/>
      <c r="N21652"/>
      <c r="O21652"/>
      <c r="P21652"/>
      <c r="Q21652"/>
      <c r="R21652"/>
      <c r="S21652"/>
    </row>
    <row r="21653" spans="13:19" ht="13.95" customHeight="1">
      <c r="M21653"/>
      <c r="N21653"/>
      <c r="O21653"/>
      <c r="P21653"/>
      <c r="Q21653"/>
      <c r="R21653"/>
      <c r="S21653"/>
    </row>
    <row r="21654" spans="13:19" ht="13.95" customHeight="1">
      <c r="M21654"/>
      <c r="N21654"/>
      <c r="O21654"/>
      <c r="P21654"/>
      <c r="Q21654"/>
      <c r="R21654"/>
      <c r="S21654"/>
    </row>
    <row r="21655" spans="13:19" ht="13.95" customHeight="1">
      <c r="M21655"/>
      <c r="N21655"/>
      <c r="O21655"/>
      <c r="P21655"/>
      <c r="Q21655"/>
      <c r="R21655"/>
      <c r="S21655"/>
    </row>
    <row r="21656" spans="13:19" ht="13.95" customHeight="1">
      <c r="M21656"/>
      <c r="N21656"/>
      <c r="O21656"/>
      <c r="P21656"/>
      <c r="Q21656"/>
      <c r="R21656"/>
      <c r="S21656"/>
    </row>
    <row r="21657" spans="13:19" ht="13.95" customHeight="1">
      <c r="M21657"/>
      <c r="N21657"/>
      <c r="O21657"/>
      <c r="P21657"/>
      <c r="Q21657"/>
      <c r="R21657"/>
      <c r="S21657"/>
    </row>
    <row r="21658" spans="13:19" ht="13.95" customHeight="1">
      <c r="M21658"/>
      <c r="N21658"/>
      <c r="O21658"/>
      <c r="P21658"/>
      <c r="Q21658"/>
      <c r="R21658"/>
      <c r="S21658"/>
    </row>
    <row r="21659" spans="13:19" ht="13.95" customHeight="1">
      <c r="M21659"/>
      <c r="N21659"/>
      <c r="O21659"/>
      <c r="P21659"/>
      <c r="Q21659"/>
      <c r="R21659"/>
      <c r="S21659"/>
    </row>
    <row r="21660" spans="13:19" ht="13.95" customHeight="1">
      <c r="M21660"/>
      <c r="N21660"/>
      <c r="O21660"/>
      <c r="P21660"/>
      <c r="Q21660"/>
      <c r="R21660"/>
      <c r="S21660"/>
    </row>
    <row r="21661" spans="13:19" ht="13.95" customHeight="1">
      <c r="M21661"/>
      <c r="N21661"/>
      <c r="O21661"/>
      <c r="P21661"/>
      <c r="Q21661"/>
      <c r="R21661"/>
      <c r="S21661"/>
    </row>
    <row r="21662" spans="13:19" ht="13.95" customHeight="1">
      <c r="M21662"/>
      <c r="N21662"/>
      <c r="O21662"/>
      <c r="P21662"/>
      <c r="Q21662"/>
      <c r="R21662"/>
      <c r="S21662"/>
    </row>
    <row r="21663" spans="13:19" ht="13.95" customHeight="1">
      <c r="M21663"/>
      <c r="N21663"/>
      <c r="O21663"/>
      <c r="P21663"/>
      <c r="Q21663"/>
      <c r="R21663"/>
      <c r="S21663"/>
    </row>
    <row r="21664" spans="13:19" ht="13.95" customHeight="1">
      <c r="M21664"/>
      <c r="N21664"/>
      <c r="O21664"/>
      <c r="P21664"/>
      <c r="Q21664"/>
      <c r="R21664"/>
      <c r="S21664"/>
    </row>
    <row r="21665" spans="13:19" ht="13.95" customHeight="1">
      <c r="M21665"/>
      <c r="N21665"/>
      <c r="O21665"/>
      <c r="P21665"/>
      <c r="Q21665"/>
      <c r="R21665"/>
      <c r="S21665"/>
    </row>
    <row r="21666" spans="13:19" ht="13.95" customHeight="1">
      <c r="M21666"/>
      <c r="N21666"/>
      <c r="O21666"/>
      <c r="P21666"/>
      <c r="Q21666"/>
      <c r="R21666"/>
      <c r="S21666"/>
    </row>
    <row r="21667" spans="13:19" ht="13.95" customHeight="1">
      <c r="M21667"/>
      <c r="N21667"/>
      <c r="O21667"/>
      <c r="P21667"/>
      <c r="Q21667"/>
      <c r="R21667"/>
      <c r="S21667"/>
    </row>
    <row r="21668" spans="13:19" ht="13.95" customHeight="1">
      <c r="M21668"/>
      <c r="N21668"/>
      <c r="O21668"/>
      <c r="P21668"/>
      <c r="Q21668"/>
      <c r="R21668"/>
      <c r="S21668"/>
    </row>
    <row r="21669" spans="13:19" ht="13.95" customHeight="1">
      <c r="M21669"/>
      <c r="N21669"/>
      <c r="O21669"/>
      <c r="P21669"/>
      <c r="Q21669"/>
      <c r="R21669"/>
      <c r="S21669"/>
    </row>
    <row r="21670" spans="13:19" ht="13.95" customHeight="1">
      <c r="M21670"/>
      <c r="N21670"/>
      <c r="O21670"/>
      <c r="P21670"/>
      <c r="Q21670"/>
      <c r="R21670"/>
      <c r="S21670"/>
    </row>
    <row r="21671" spans="13:19" ht="13.95" customHeight="1">
      <c r="M21671"/>
      <c r="N21671"/>
      <c r="O21671"/>
      <c r="P21671"/>
      <c r="Q21671"/>
      <c r="R21671"/>
      <c r="S21671"/>
    </row>
    <row r="21672" spans="13:19" ht="13.95" customHeight="1">
      <c r="M21672"/>
      <c r="N21672"/>
      <c r="O21672"/>
      <c r="P21672"/>
      <c r="Q21672"/>
      <c r="R21672"/>
      <c r="S21672"/>
    </row>
    <row r="21673" spans="13:19" ht="13.95" customHeight="1">
      <c r="M21673"/>
      <c r="N21673"/>
      <c r="O21673"/>
      <c r="P21673"/>
      <c r="Q21673"/>
      <c r="R21673"/>
      <c r="S21673"/>
    </row>
    <row r="21674" spans="13:19" ht="13.95" customHeight="1">
      <c r="M21674"/>
      <c r="N21674"/>
      <c r="O21674"/>
      <c r="P21674"/>
      <c r="Q21674"/>
      <c r="R21674"/>
      <c r="S21674"/>
    </row>
    <row r="21675" spans="13:19" ht="13.95" customHeight="1">
      <c r="M21675"/>
      <c r="N21675"/>
      <c r="O21675"/>
      <c r="P21675"/>
      <c r="Q21675"/>
      <c r="R21675"/>
      <c r="S21675"/>
    </row>
    <row r="21676" spans="13:19" ht="13.95" customHeight="1">
      <c r="M21676"/>
      <c r="N21676"/>
      <c r="O21676"/>
      <c r="P21676"/>
      <c r="Q21676"/>
      <c r="R21676"/>
      <c r="S21676"/>
    </row>
    <row r="21677" spans="13:19" ht="13.95" customHeight="1">
      <c r="M21677"/>
      <c r="N21677"/>
      <c r="O21677"/>
      <c r="P21677"/>
      <c r="Q21677"/>
      <c r="R21677"/>
      <c r="S21677"/>
    </row>
    <row r="21678" spans="13:19" ht="13.95" customHeight="1">
      <c r="M21678"/>
      <c r="N21678"/>
      <c r="O21678"/>
      <c r="P21678"/>
      <c r="Q21678"/>
      <c r="R21678"/>
      <c r="S21678"/>
    </row>
    <row r="21679" spans="13:19" ht="13.95" customHeight="1">
      <c r="M21679"/>
      <c r="N21679"/>
      <c r="O21679"/>
      <c r="P21679"/>
      <c r="Q21679"/>
      <c r="R21679"/>
      <c r="S21679"/>
    </row>
    <row r="21680" spans="13:19" ht="13.95" customHeight="1">
      <c r="M21680"/>
      <c r="N21680"/>
      <c r="O21680"/>
      <c r="P21680"/>
      <c r="Q21680"/>
      <c r="R21680"/>
      <c r="S21680"/>
    </row>
    <row r="21681" spans="13:19" ht="13.95" customHeight="1">
      <c r="M21681"/>
      <c r="N21681"/>
      <c r="O21681"/>
      <c r="P21681"/>
      <c r="Q21681"/>
      <c r="R21681"/>
      <c r="S21681"/>
    </row>
    <row r="21682" spans="13:19" ht="13.95" customHeight="1">
      <c r="M21682"/>
      <c r="N21682"/>
      <c r="O21682"/>
      <c r="P21682"/>
      <c r="Q21682"/>
      <c r="R21682"/>
      <c r="S21682"/>
    </row>
    <row r="21683" spans="13:19" ht="13.95" customHeight="1">
      <c r="M21683"/>
      <c r="N21683"/>
      <c r="O21683"/>
      <c r="P21683"/>
      <c r="Q21683"/>
      <c r="R21683"/>
      <c r="S21683"/>
    </row>
    <row r="21684" spans="13:19" ht="13.95" customHeight="1">
      <c r="M21684"/>
      <c r="N21684"/>
      <c r="O21684"/>
      <c r="P21684"/>
      <c r="Q21684"/>
      <c r="R21684"/>
      <c r="S21684"/>
    </row>
    <row r="21685" spans="13:19" ht="13.95" customHeight="1">
      <c r="M21685"/>
      <c r="N21685"/>
      <c r="O21685"/>
      <c r="P21685"/>
      <c r="Q21685"/>
      <c r="R21685"/>
      <c r="S21685"/>
    </row>
    <row r="21686" spans="13:19" ht="13.95" customHeight="1">
      <c r="M21686"/>
      <c r="N21686"/>
      <c r="O21686"/>
      <c r="P21686"/>
      <c r="Q21686"/>
      <c r="R21686"/>
      <c r="S21686"/>
    </row>
    <row r="21687" spans="13:19" ht="13.95" customHeight="1">
      <c r="M21687"/>
      <c r="N21687"/>
      <c r="O21687"/>
      <c r="P21687"/>
      <c r="Q21687"/>
      <c r="R21687"/>
      <c r="S21687"/>
    </row>
    <row r="21688" spans="13:19" ht="13.95" customHeight="1">
      <c r="M21688"/>
      <c r="N21688"/>
      <c r="O21688"/>
      <c r="P21688"/>
      <c r="Q21688"/>
      <c r="R21688"/>
      <c r="S21688"/>
    </row>
    <row r="21689" spans="13:19" ht="13.95" customHeight="1">
      <c r="M21689"/>
      <c r="N21689"/>
      <c r="O21689"/>
      <c r="P21689"/>
      <c r="Q21689"/>
      <c r="R21689"/>
      <c r="S21689"/>
    </row>
    <row r="21690" spans="13:19" ht="13.95" customHeight="1">
      <c r="M21690"/>
      <c r="N21690"/>
      <c r="O21690"/>
      <c r="P21690"/>
      <c r="Q21690"/>
      <c r="R21690"/>
      <c r="S21690"/>
    </row>
    <row r="21691" spans="13:19" ht="13.95" customHeight="1">
      <c r="M21691"/>
      <c r="N21691"/>
      <c r="O21691"/>
      <c r="P21691"/>
      <c r="Q21691"/>
      <c r="R21691"/>
      <c r="S21691"/>
    </row>
    <row r="21692" spans="13:19" ht="13.95" customHeight="1">
      <c r="M21692"/>
      <c r="N21692"/>
      <c r="O21692"/>
      <c r="P21692"/>
      <c r="Q21692"/>
      <c r="R21692"/>
      <c r="S21692"/>
    </row>
    <row r="21693" spans="13:19" ht="13.95" customHeight="1">
      <c r="M21693"/>
      <c r="N21693"/>
      <c r="O21693"/>
      <c r="P21693"/>
      <c r="Q21693"/>
      <c r="R21693"/>
      <c r="S21693"/>
    </row>
    <row r="21694" spans="13:19" ht="13.95" customHeight="1">
      <c r="M21694"/>
      <c r="N21694"/>
      <c r="O21694"/>
      <c r="P21694"/>
      <c r="Q21694"/>
      <c r="R21694"/>
      <c r="S21694"/>
    </row>
    <row r="21695" spans="13:19" ht="13.95" customHeight="1">
      <c r="M21695"/>
      <c r="N21695"/>
      <c r="O21695"/>
      <c r="P21695"/>
      <c r="Q21695"/>
      <c r="R21695"/>
      <c r="S21695"/>
    </row>
    <row r="21696" spans="13:19" ht="13.95" customHeight="1">
      <c r="M21696"/>
      <c r="N21696"/>
      <c r="O21696"/>
      <c r="P21696"/>
      <c r="Q21696"/>
      <c r="R21696"/>
      <c r="S21696"/>
    </row>
    <row r="21697" spans="13:19" ht="13.95" customHeight="1">
      <c r="M21697"/>
      <c r="N21697"/>
      <c r="O21697"/>
      <c r="P21697"/>
      <c r="Q21697"/>
      <c r="R21697"/>
      <c r="S21697"/>
    </row>
    <row r="21698" spans="13:19" ht="13.95" customHeight="1">
      <c r="M21698"/>
      <c r="N21698"/>
      <c r="O21698"/>
      <c r="P21698"/>
      <c r="Q21698"/>
      <c r="R21698"/>
      <c r="S21698"/>
    </row>
    <row r="21699" spans="13:19" ht="13.95" customHeight="1">
      <c r="M21699"/>
      <c r="N21699"/>
      <c r="O21699"/>
      <c r="P21699"/>
      <c r="Q21699"/>
      <c r="R21699"/>
      <c r="S21699"/>
    </row>
    <row r="21700" spans="13:19" ht="13.95" customHeight="1">
      <c r="M21700"/>
      <c r="N21700"/>
      <c r="O21700"/>
      <c r="P21700"/>
      <c r="Q21700"/>
      <c r="R21700"/>
      <c r="S21700"/>
    </row>
    <row r="21701" spans="13:19" ht="13.95" customHeight="1">
      <c r="M21701"/>
      <c r="N21701"/>
      <c r="O21701"/>
      <c r="P21701"/>
      <c r="Q21701"/>
      <c r="R21701"/>
      <c r="S21701"/>
    </row>
    <row r="21702" spans="13:19" ht="13.95" customHeight="1">
      <c r="M21702"/>
      <c r="N21702"/>
      <c r="O21702"/>
      <c r="P21702"/>
      <c r="Q21702"/>
      <c r="R21702"/>
      <c r="S21702"/>
    </row>
    <row r="21703" spans="13:19" ht="13.95" customHeight="1">
      <c r="M21703"/>
      <c r="N21703"/>
      <c r="O21703"/>
      <c r="P21703"/>
      <c r="Q21703"/>
      <c r="R21703"/>
      <c r="S21703"/>
    </row>
    <row r="21704" spans="13:19" ht="13.95" customHeight="1">
      <c r="M21704"/>
      <c r="N21704"/>
      <c r="O21704"/>
      <c r="P21704"/>
      <c r="Q21704"/>
      <c r="R21704"/>
      <c r="S21704"/>
    </row>
    <row r="21705" spans="13:19" ht="13.95" customHeight="1">
      <c r="M21705"/>
      <c r="N21705"/>
      <c r="O21705"/>
      <c r="P21705"/>
      <c r="Q21705"/>
      <c r="R21705"/>
      <c r="S21705"/>
    </row>
    <row r="21706" spans="13:19" ht="13.95" customHeight="1">
      <c r="M21706"/>
      <c r="N21706"/>
      <c r="O21706"/>
      <c r="P21706"/>
      <c r="Q21706"/>
      <c r="R21706"/>
      <c r="S21706"/>
    </row>
    <row r="21707" spans="13:19" ht="13.95" customHeight="1">
      <c r="M21707"/>
      <c r="N21707"/>
      <c r="O21707"/>
      <c r="P21707"/>
      <c r="Q21707"/>
      <c r="R21707"/>
      <c r="S21707"/>
    </row>
    <row r="21708" spans="13:19" ht="13.95" customHeight="1">
      <c r="M21708"/>
      <c r="N21708"/>
      <c r="O21708"/>
      <c r="P21708"/>
      <c r="Q21708"/>
      <c r="R21708"/>
      <c r="S21708"/>
    </row>
    <row r="21709" spans="13:19" ht="13.95" customHeight="1">
      <c r="M21709"/>
      <c r="N21709"/>
      <c r="O21709"/>
      <c r="P21709"/>
      <c r="Q21709"/>
      <c r="R21709"/>
      <c r="S21709"/>
    </row>
    <row r="21710" spans="13:19" ht="13.95" customHeight="1">
      <c r="M21710"/>
      <c r="N21710"/>
      <c r="O21710"/>
      <c r="P21710"/>
      <c r="Q21710"/>
      <c r="R21710"/>
      <c r="S21710"/>
    </row>
    <row r="21711" spans="13:19" ht="13.95" customHeight="1">
      <c r="M21711"/>
      <c r="N21711"/>
      <c r="O21711"/>
      <c r="P21711"/>
      <c r="Q21711"/>
      <c r="R21711"/>
      <c r="S21711"/>
    </row>
    <row r="21712" spans="13:19" ht="13.95" customHeight="1">
      <c r="M21712"/>
      <c r="N21712"/>
      <c r="O21712"/>
      <c r="P21712"/>
      <c r="Q21712"/>
      <c r="R21712"/>
      <c r="S21712"/>
    </row>
    <row r="21713" spans="13:19" ht="13.95" customHeight="1">
      <c r="M21713"/>
      <c r="N21713"/>
      <c r="O21713"/>
      <c r="P21713"/>
      <c r="Q21713"/>
      <c r="R21713"/>
      <c r="S21713"/>
    </row>
    <row r="21714" spans="13:19" ht="13.95" customHeight="1">
      <c r="M21714"/>
      <c r="N21714"/>
      <c r="O21714"/>
      <c r="P21714"/>
      <c r="Q21714"/>
      <c r="R21714"/>
      <c r="S21714"/>
    </row>
    <row r="21715" spans="13:19" ht="13.95" customHeight="1">
      <c r="M21715"/>
      <c r="N21715"/>
      <c r="O21715"/>
      <c r="P21715"/>
      <c r="Q21715"/>
      <c r="R21715"/>
      <c r="S21715"/>
    </row>
    <row r="21716" spans="13:19" ht="13.95" customHeight="1">
      <c r="M21716"/>
      <c r="N21716"/>
      <c r="O21716"/>
      <c r="P21716"/>
      <c r="Q21716"/>
      <c r="R21716"/>
      <c r="S21716"/>
    </row>
    <row r="21717" spans="13:19" ht="13.95" customHeight="1">
      <c r="M21717"/>
      <c r="N21717"/>
      <c r="O21717"/>
      <c r="P21717"/>
      <c r="Q21717"/>
      <c r="R21717"/>
      <c r="S21717"/>
    </row>
    <row r="21718" spans="13:19" ht="13.95" customHeight="1">
      <c r="M21718"/>
      <c r="N21718"/>
      <c r="O21718"/>
      <c r="P21718"/>
      <c r="Q21718"/>
      <c r="R21718"/>
      <c r="S21718"/>
    </row>
    <row r="21719" spans="13:19" ht="13.95" customHeight="1">
      <c r="M21719"/>
      <c r="N21719"/>
      <c r="O21719"/>
      <c r="P21719"/>
      <c r="Q21719"/>
      <c r="R21719"/>
      <c r="S21719"/>
    </row>
    <row r="21720" spans="13:19" ht="13.95" customHeight="1">
      <c r="M21720"/>
      <c r="N21720"/>
      <c r="O21720"/>
      <c r="P21720"/>
      <c r="Q21720"/>
      <c r="R21720"/>
      <c r="S21720"/>
    </row>
    <row r="21721" spans="13:19" ht="13.95" customHeight="1">
      <c r="M21721"/>
      <c r="N21721"/>
      <c r="O21721"/>
      <c r="P21721"/>
      <c r="Q21721"/>
      <c r="R21721"/>
      <c r="S21721"/>
    </row>
    <row r="21722" spans="13:19" ht="13.95" customHeight="1">
      <c r="M21722"/>
      <c r="N21722"/>
      <c r="O21722"/>
      <c r="P21722"/>
      <c r="Q21722"/>
      <c r="R21722"/>
      <c r="S21722"/>
    </row>
    <row r="21723" spans="13:19" ht="13.95" customHeight="1">
      <c r="M21723"/>
      <c r="N21723"/>
      <c r="O21723"/>
      <c r="P21723"/>
      <c r="Q21723"/>
      <c r="R21723"/>
      <c r="S21723"/>
    </row>
    <row r="21724" spans="13:19" ht="13.95" customHeight="1">
      <c r="M21724"/>
      <c r="N21724"/>
      <c r="O21724"/>
      <c r="P21724"/>
      <c r="Q21724"/>
      <c r="R21724"/>
      <c r="S21724"/>
    </row>
    <row r="21725" spans="13:19" ht="13.95" customHeight="1">
      <c r="M21725"/>
      <c r="N21725"/>
      <c r="O21725"/>
      <c r="P21725"/>
      <c r="Q21725"/>
      <c r="R21725"/>
      <c r="S21725"/>
    </row>
    <row r="21726" spans="13:19" ht="13.95" customHeight="1">
      <c r="M21726"/>
      <c r="N21726"/>
      <c r="O21726"/>
      <c r="P21726"/>
      <c r="Q21726"/>
      <c r="R21726"/>
      <c r="S21726"/>
    </row>
    <row r="21727" spans="13:19" ht="13.95" customHeight="1">
      <c r="M21727"/>
      <c r="N21727"/>
      <c r="O21727"/>
      <c r="P21727"/>
      <c r="Q21727"/>
      <c r="R21727"/>
      <c r="S21727"/>
    </row>
    <row r="21728" spans="13:19" ht="13.95" customHeight="1">
      <c r="M21728"/>
      <c r="N21728"/>
      <c r="O21728"/>
      <c r="P21728"/>
      <c r="Q21728"/>
      <c r="R21728"/>
      <c r="S21728"/>
    </row>
    <row r="21729" spans="13:19" ht="13.95" customHeight="1">
      <c r="M21729"/>
      <c r="N21729"/>
      <c r="O21729"/>
      <c r="P21729"/>
      <c r="Q21729"/>
      <c r="R21729"/>
      <c r="S21729"/>
    </row>
    <row r="21730" spans="13:19" ht="13.95" customHeight="1">
      <c r="M21730"/>
      <c r="N21730"/>
      <c r="O21730"/>
      <c r="P21730"/>
      <c r="Q21730"/>
      <c r="R21730"/>
      <c r="S21730"/>
    </row>
    <row r="21731" spans="13:19" ht="13.95" customHeight="1">
      <c r="M21731"/>
      <c r="N21731"/>
      <c r="O21731"/>
      <c r="P21731"/>
      <c r="Q21731"/>
      <c r="R21731"/>
      <c r="S21731"/>
    </row>
    <row r="21732" spans="13:19" ht="13.95" customHeight="1">
      <c r="M21732"/>
      <c r="N21732"/>
      <c r="O21732"/>
      <c r="P21732"/>
      <c r="Q21732"/>
      <c r="R21732"/>
      <c r="S21732"/>
    </row>
    <row r="21733" spans="13:19" ht="13.95" customHeight="1">
      <c r="M21733"/>
      <c r="N21733"/>
      <c r="O21733"/>
      <c r="P21733"/>
      <c r="Q21733"/>
      <c r="R21733"/>
      <c r="S21733"/>
    </row>
    <row r="21734" spans="13:19" ht="13.95" customHeight="1">
      <c r="M21734"/>
      <c r="N21734"/>
      <c r="O21734"/>
      <c r="P21734"/>
      <c r="Q21734"/>
      <c r="R21734"/>
      <c r="S21734"/>
    </row>
    <row r="21735" spans="13:19" ht="13.95" customHeight="1">
      <c r="M21735"/>
      <c r="N21735"/>
      <c r="O21735"/>
      <c r="P21735"/>
      <c r="Q21735"/>
      <c r="R21735"/>
      <c r="S21735"/>
    </row>
    <row r="21736" spans="13:19" ht="13.95" customHeight="1">
      <c r="M21736"/>
      <c r="N21736"/>
      <c r="O21736"/>
      <c r="P21736"/>
      <c r="Q21736"/>
      <c r="R21736"/>
      <c r="S21736"/>
    </row>
    <row r="21737" spans="13:19" ht="13.95" customHeight="1">
      <c r="M21737"/>
      <c r="N21737"/>
      <c r="O21737"/>
      <c r="P21737"/>
      <c r="Q21737"/>
      <c r="R21737"/>
      <c r="S21737"/>
    </row>
    <row r="21738" spans="13:19" ht="13.95" customHeight="1">
      <c r="M21738"/>
      <c r="N21738"/>
      <c r="O21738"/>
      <c r="P21738"/>
      <c r="Q21738"/>
      <c r="R21738"/>
      <c r="S21738"/>
    </row>
    <row r="21739" spans="13:19" ht="13.95" customHeight="1">
      <c r="M21739"/>
      <c r="N21739"/>
      <c r="O21739"/>
      <c r="P21739"/>
      <c r="Q21739"/>
      <c r="R21739"/>
      <c r="S21739"/>
    </row>
    <row r="21740" spans="13:19" ht="13.95" customHeight="1">
      <c r="M21740"/>
      <c r="N21740"/>
      <c r="O21740"/>
      <c r="P21740"/>
      <c r="Q21740"/>
      <c r="R21740"/>
      <c r="S21740"/>
    </row>
    <row r="21741" spans="13:19" ht="13.95" customHeight="1">
      <c r="M21741"/>
      <c r="N21741"/>
      <c r="O21741"/>
      <c r="P21741"/>
      <c r="Q21741"/>
      <c r="R21741"/>
      <c r="S21741"/>
    </row>
    <row r="21742" spans="13:19" ht="13.95" customHeight="1">
      <c r="M21742"/>
      <c r="N21742"/>
      <c r="O21742"/>
      <c r="P21742"/>
      <c r="Q21742"/>
      <c r="R21742"/>
      <c r="S21742"/>
    </row>
    <row r="21743" spans="13:19" ht="13.95" customHeight="1">
      <c r="M21743"/>
      <c r="N21743"/>
      <c r="O21743"/>
      <c r="P21743"/>
      <c r="Q21743"/>
      <c r="R21743"/>
      <c r="S21743"/>
    </row>
    <row r="21744" spans="13:19" ht="13.95" customHeight="1">
      <c r="M21744"/>
      <c r="N21744"/>
      <c r="O21744"/>
      <c r="P21744"/>
      <c r="Q21744"/>
      <c r="R21744"/>
      <c r="S21744"/>
    </row>
    <row r="21745" spans="13:19" ht="13.95" customHeight="1">
      <c r="M21745"/>
      <c r="N21745"/>
      <c r="O21745"/>
      <c r="P21745"/>
      <c r="Q21745"/>
      <c r="R21745"/>
      <c r="S21745"/>
    </row>
    <row r="21746" spans="13:19" ht="13.95" customHeight="1">
      <c r="M21746"/>
      <c r="N21746"/>
      <c r="O21746"/>
      <c r="P21746"/>
      <c r="Q21746"/>
      <c r="R21746"/>
      <c r="S21746"/>
    </row>
    <row r="21747" spans="13:19" ht="13.95" customHeight="1">
      <c r="M21747"/>
      <c r="N21747"/>
      <c r="O21747"/>
      <c r="P21747"/>
      <c r="Q21747"/>
      <c r="R21747"/>
      <c r="S21747"/>
    </row>
    <row r="21748" spans="13:19" ht="13.95" customHeight="1">
      <c r="M21748"/>
      <c r="N21748"/>
      <c r="O21748"/>
      <c r="P21748"/>
      <c r="Q21748"/>
      <c r="R21748"/>
      <c r="S21748"/>
    </row>
    <row r="21749" spans="13:19" ht="13.95" customHeight="1">
      <c r="M21749"/>
      <c r="N21749"/>
      <c r="O21749"/>
      <c r="P21749"/>
      <c r="Q21749"/>
      <c r="R21749"/>
      <c r="S21749"/>
    </row>
    <row r="21750" spans="13:19" ht="13.95" customHeight="1">
      <c r="M21750"/>
      <c r="N21750"/>
      <c r="O21750"/>
      <c r="P21750"/>
      <c r="Q21750"/>
      <c r="R21750"/>
      <c r="S21750"/>
    </row>
    <row r="21751" spans="13:19" ht="13.95" customHeight="1">
      <c r="M21751"/>
      <c r="N21751"/>
      <c r="O21751"/>
      <c r="P21751"/>
      <c r="Q21751"/>
      <c r="R21751"/>
      <c r="S21751"/>
    </row>
    <row r="21752" spans="13:19" ht="13.95" customHeight="1">
      <c r="M21752"/>
      <c r="N21752"/>
      <c r="O21752"/>
      <c r="P21752"/>
      <c r="Q21752"/>
      <c r="R21752"/>
      <c r="S21752"/>
    </row>
    <row r="21753" spans="13:19" ht="13.95" customHeight="1">
      <c r="M21753"/>
      <c r="N21753"/>
      <c r="O21753"/>
      <c r="P21753"/>
      <c r="Q21753"/>
      <c r="R21753"/>
      <c r="S21753"/>
    </row>
    <row r="21754" spans="13:19" ht="13.95" customHeight="1">
      <c r="M21754"/>
      <c r="N21754"/>
      <c r="O21754"/>
      <c r="P21754"/>
      <c r="Q21754"/>
      <c r="R21754"/>
      <c r="S21754"/>
    </row>
    <row r="21755" spans="13:19" ht="13.95" customHeight="1">
      <c r="M21755"/>
      <c r="N21755"/>
      <c r="O21755"/>
      <c r="P21755"/>
      <c r="Q21755"/>
      <c r="R21755"/>
      <c r="S21755"/>
    </row>
    <row r="21756" spans="13:19" ht="13.95" customHeight="1">
      <c r="M21756"/>
      <c r="N21756"/>
      <c r="O21756"/>
      <c r="P21756"/>
      <c r="Q21756"/>
      <c r="R21756"/>
      <c r="S21756"/>
    </row>
    <row r="21757" spans="13:19" ht="13.95" customHeight="1">
      <c r="M21757"/>
      <c r="N21757"/>
      <c r="O21757"/>
      <c r="P21757"/>
      <c r="Q21757"/>
      <c r="R21757"/>
      <c r="S21757"/>
    </row>
    <row r="21758" spans="13:19" ht="13.95" customHeight="1">
      <c r="M21758"/>
      <c r="N21758"/>
      <c r="O21758"/>
      <c r="P21758"/>
      <c r="Q21758"/>
      <c r="R21758"/>
      <c r="S21758"/>
    </row>
    <row r="21759" spans="13:19" ht="13.95" customHeight="1">
      <c r="M21759"/>
      <c r="N21759"/>
      <c r="O21759"/>
      <c r="P21759"/>
      <c r="Q21759"/>
      <c r="R21759"/>
      <c r="S21759"/>
    </row>
    <row r="21760" spans="13:19" ht="13.95" customHeight="1">
      <c r="M21760"/>
      <c r="N21760"/>
      <c r="O21760"/>
      <c r="P21760"/>
      <c r="Q21760"/>
      <c r="R21760"/>
      <c r="S21760"/>
    </row>
    <row r="21761" spans="13:19" ht="13.95" customHeight="1">
      <c r="M21761"/>
      <c r="N21761"/>
      <c r="O21761"/>
      <c r="P21761"/>
      <c r="Q21761"/>
      <c r="R21761"/>
      <c r="S21761"/>
    </row>
    <row r="21762" spans="13:19" ht="13.95" customHeight="1">
      <c r="M21762"/>
      <c r="N21762"/>
      <c r="O21762"/>
      <c r="P21762"/>
      <c r="Q21762"/>
      <c r="R21762"/>
      <c r="S21762"/>
    </row>
    <row r="21763" spans="13:19" ht="13.95" customHeight="1">
      <c r="M21763"/>
      <c r="N21763"/>
      <c r="O21763"/>
      <c r="P21763"/>
      <c r="Q21763"/>
      <c r="R21763"/>
      <c r="S21763"/>
    </row>
    <row r="21764" spans="13:19" ht="13.95" customHeight="1">
      <c r="M21764"/>
      <c r="N21764"/>
      <c r="O21764"/>
      <c r="P21764"/>
      <c r="Q21764"/>
      <c r="R21764"/>
      <c r="S21764"/>
    </row>
    <row r="21765" spans="13:19" ht="13.95" customHeight="1">
      <c r="M21765"/>
      <c r="N21765"/>
      <c r="O21765"/>
      <c r="P21765"/>
      <c r="Q21765"/>
      <c r="R21765"/>
      <c r="S21765"/>
    </row>
    <row r="21766" spans="13:19" ht="13.95" customHeight="1">
      <c r="M21766"/>
      <c r="N21766"/>
      <c r="O21766"/>
      <c r="P21766"/>
      <c r="Q21766"/>
      <c r="R21766"/>
      <c r="S21766"/>
    </row>
    <row r="21767" spans="13:19" ht="13.95" customHeight="1">
      <c r="M21767"/>
      <c r="N21767"/>
      <c r="O21767"/>
      <c r="P21767"/>
      <c r="Q21767"/>
      <c r="R21767"/>
      <c r="S21767"/>
    </row>
    <row r="21768" spans="13:19" ht="13.95" customHeight="1">
      <c r="M21768"/>
      <c r="N21768"/>
      <c r="O21768"/>
      <c r="P21768"/>
      <c r="Q21768"/>
      <c r="R21768"/>
      <c r="S21768"/>
    </row>
    <row r="21769" spans="13:19" ht="13.95" customHeight="1">
      <c r="M21769"/>
      <c r="N21769"/>
      <c r="O21769"/>
      <c r="P21769"/>
      <c r="Q21769"/>
      <c r="R21769"/>
      <c r="S21769"/>
    </row>
    <row r="21770" spans="13:19" ht="13.95" customHeight="1">
      <c r="M21770"/>
      <c r="N21770"/>
      <c r="O21770"/>
      <c r="P21770"/>
      <c r="Q21770"/>
      <c r="R21770"/>
      <c r="S21770"/>
    </row>
    <row r="21771" spans="13:19" ht="13.95" customHeight="1">
      <c r="M21771"/>
      <c r="N21771"/>
      <c r="O21771"/>
      <c r="P21771"/>
      <c r="Q21771"/>
      <c r="R21771"/>
      <c r="S21771"/>
    </row>
    <row r="21772" spans="13:19" ht="13.95" customHeight="1">
      <c r="M21772"/>
      <c r="N21772"/>
      <c r="O21772"/>
      <c r="P21772"/>
      <c r="Q21772"/>
      <c r="R21772"/>
      <c r="S21772"/>
    </row>
    <row r="21773" spans="13:19" ht="13.95" customHeight="1">
      <c r="M21773"/>
      <c r="N21773"/>
      <c r="O21773"/>
      <c r="P21773"/>
      <c r="Q21773"/>
      <c r="R21773"/>
      <c r="S21773"/>
    </row>
    <row r="21774" spans="13:19" ht="13.95" customHeight="1">
      <c r="M21774"/>
      <c r="N21774"/>
      <c r="O21774"/>
      <c r="P21774"/>
      <c r="Q21774"/>
      <c r="R21774"/>
      <c r="S21774"/>
    </row>
    <row r="21775" spans="13:19" ht="13.95" customHeight="1">
      <c r="M21775"/>
      <c r="N21775"/>
      <c r="O21775"/>
      <c r="P21775"/>
      <c r="Q21775"/>
      <c r="R21775"/>
      <c r="S21775"/>
    </row>
    <row r="21776" spans="13:19" ht="13.95" customHeight="1">
      <c r="M21776"/>
      <c r="N21776"/>
      <c r="O21776"/>
      <c r="P21776"/>
      <c r="Q21776"/>
      <c r="R21776"/>
      <c r="S21776"/>
    </row>
    <row r="21777" spans="13:19" ht="13.95" customHeight="1">
      <c r="M21777"/>
      <c r="N21777"/>
      <c r="O21777"/>
      <c r="P21777"/>
      <c r="Q21777"/>
      <c r="R21777"/>
      <c r="S21777"/>
    </row>
    <row r="21778" spans="13:19" ht="13.95" customHeight="1">
      <c r="M21778"/>
      <c r="N21778"/>
      <c r="O21778"/>
      <c r="P21778"/>
      <c r="Q21778"/>
      <c r="R21778"/>
      <c r="S21778"/>
    </row>
    <row r="21779" spans="13:19" ht="13.95" customHeight="1">
      <c r="M21779"/>
      <c r="N21779"/>
      <c r="O21779"/>
      <c r="P21779"/>
      <c r="Q21779"/>
      <c r="R21779"/>
      <c r="S21779"/>
    </row>
    <row r="21780" spans="13:19" ht="13.95" customHeight="1">
      <c r="M21780"/>
      <c r="N21780"/>
      <c r="O21780"/>
      <c r="P21780"/>
      <c r="Q21780"/>
      <c r="R21780"/>
      <c r="S21780"/>
    </row>
    <row r="21781" spans="13:19" ht="13.95" customHeight="1">
      <c r="M21781"/>
      <c r="N21781"/>
      <c r="O21781"/>
      <c r="P21781"/>
      <c r="Q21781"/>
      <c r="R21781"/>
      <c r="S21781"/>
    </row>
    <row r="21782" spans="13:19" ht="13.95" customHeight="1">
      <c r="M21782"/>
      <c r="N21782"/>
      <c r="O21782"/>
      <c r="P21782"/>
      <c r="Q21782"/>
      <c r="R21782"/>
      <c r="S21782"/>
    </row>
    <row r="21783" spans="13:19" ht="13.95" customHeight="1">
      <c r="M21783"/>
      <c r="N21783"/>
      <c r="O21783"/>
      <c r="P21783"/>
      <c r="Q21783"/>
      <c r="R21783"/>
      <c r="S21783"/>
    </row>
    <row r="21784" spans="13:19" ht="13.95" customHeight="1">
      <c r="M21784"/>
      <c r="N21784"/>
      <c r="O21784"/>
      <c r="P21784"/>
      <c r="Q21784"/>
      <c r="R21784"/>
      <c r="S21784"/>
    </row>
    <row r="21785" spans="13:19" ht="13.95" customHeight="1">
      <c r="M21785"/>
      <c r="N21785"/>
      <c r="O21785"/>
      <c r="P21785"/>
      <c r="Q21785"/>
      <c r="R21785"/>
      <c r="S21785"/>
    </row>
    <row r="21786" spans="13:19" ht="13.95" customHeight="1">
      <c r="M21786"/>
      <c r="N21786"/>
      <c r="O21786"/>
      <c r="P21786"/>
      <c r="Q21786"/>
      <c r="R21786"/>
      <c r="S21786"/>
    </row>
    <row r="21787" spans="13:19" ht="13.95" customHeight="1">
      <c r="M21787"/>
      <c r="N21787"/>
      <c r="O21787"/>
      <c r="P21787"/>
      <c r="Q21787"/>
      <c r="R21787"/>
      <c r="S21787"/>
    </row>
    <row r="21788" spans="13:19" ht="13.95" customHeight="1">
      <c r="M21788"/>
      <c r="N21788"/>
      <c r="O21788"/>
      <c r="P21788"/>
      <c r="Q21788"/>
      <c r="R21788"/>
      <c r="S21788"/>
    </row>
    <row r="21789" spans="13:19" ht="13.95" customHeight="1">
      <c r="M21789"/>
      <c r="N21789"/>
      <c r="O21789"/>
      <c r="P21789"/>
      <c r="Q21789"/>
      <c r="R21789"/>
      <c r="S21789"/>
    </row>
    <row r="21790" spans="13:19" ht="13.95" customHeight="1">
      <c r="M21790"/>
      <c r="N21790"/>
      <c r="O21790"/>
      <c r="P21790"/>
      <c r="Q21790"/>
      <c r="R21790"/>
      <c r="S21790"/>
    </row>
    <row r="21791" spans="13:19" ht="13.95" customHeight="1">
      <c r="M21791"/>
      <c r="N21791"/>
      <c r="O21791"/>
      <c r="P21791"/>
      <c r="Q21791"/>
      <c r="R21791"/>
      <c r="S21791"/>
    </row>
    <row r="21792" spans="13:19" ht="13.95" customHeight="1">
      <c r="M21792"/>
      <c r="N21792"/>
      <c r="O21792"/>
      <c r="P21792"/>
      <c r="Q21792"/>
      <c r="R21792"/>
      <c r="S21792"/>
    </row>
    <row r="21793" spans="13:19" ht="13.95" customHeight="1">
      <c r="M21793"/>
      <c r="N21793"/>
      <c r="O21793"/>
      <c r="P21793"/>
      <c r="Q21793"/>
      <c r="R21793"/>
      <c r="S21793"/>
    </row>
    <row r="21794" spans="13:19" ht="13.95" customHeight="1">
      <c r="M21794"/>
      <c r="N21794"/>
      <c r="O21794"/>
      <c r="P21794"/>
      <c r="Q21794"/>
      <c r="R21794"/>
      <c r="S21794"/>
    </row>
    <row r="21795" spans="13:19" ht="13.95" customHeight="1">
      <c r="M21795"/>
      <c r="N21795"/>
      <c r="O21795"/>
      <c r="P21795"/>
      <c r="Q21795"/>
      <c r="R21795"/>
      <c r="S21795"/>
    </row>
    <row r="21796" spans="13:19" ht="13.95" customHeight="1">
      <c r="M21796"/>
      <c r="N21796"/>
      <c r="O21796"/>
      <c r="P21796"/>
      <c r="Q21796"/>
      <c r="R21796"/>
      <c r="S21796"/>
    </row>
    <row r="21797" spans="13:19" ht="13.95" customHeight="1">
      <c r="M21797"/>
      <c r="N21797"/>
      <c r="O21797"/>
      <c r="P21797"/>
      <c r="Q21797"/>
      <c r="R21797"/>
      <c r="S21797"/>
    </row>
    <row r="21798" spans="13:19" ht="13.95" customHeight="1">
      <c r="M21798"/>
      <c r="N21798"/>
      <c r="O21798"/>
      <c r="P21798"/>
      <c r="Q21798"/>
      <c r="R21798"/>
      <c r="S21798"/>
    </row>
    <row r="21799" spans="13:19" ht="13.95" customHeight="1">
      <c r="M21799"/>
      <c r="N21799"/>
      <c r="O21799"/>
      <c r="P21799"/>
      <c r="Q21799"/>
      <c r="R21799"/>
      <c r="S21799"/>
    </row>
    <row r="21800" spans="13:19" ht="13.95" customHeight="1">
      <c r="M21800"/>
      <c r="N21800"/>
      <c r="O21800"/>
      <c r="P21800"/>
      <c r="Q21800"/>
      <c r="R21800"/>
      <c r="S21800"/>
    </row>
    <row r="21801" spans="13:19" ht="13.95" customHeight="1">
      <c r="M21801"/>
      <c r="N21801"/>
      <c r="O21801"/>
      <c r="P21801"/>
      <c r="Q21801"/>
      <c r="R21801"/>
      <c r="S21801"/>
    </row>
    <row r="21802" spans="13:19" ht="13.95" customHeight="1">
      <c r="M21802"/>
      <c r="N21802"/>
      <c r="O21802"/>
      <c r="P21802"/>
      <c r="Q21802"/>
      <c r="R21802"/>
      <c r="S21802"/>
    </row>
    <row r="21803" spans="13:19" ht="13.95" customHeight="1">
      <c r="M21803"/>
      <c r="N21803"/>
      <c r="O21803"/>
      <c r="P21803"/>
      <c r="Q21803"/>
      <c r="R21803"/>
      <c r="S21803"/>
    </row>
    <row r="21804" spans="13:19" ht="13.95" customHeight="1">
      <c r="M21804"/>
      <c r="N21804"/>
      <c r="O21804"/>
      <c r="P21804"/>
      <c r="Q21804"/>
      <c r="R21804"/>
      <c r="S21804"/>
    </row>
    <row r="21805" spans="13:19" ht="13.95" customHeight="1">
      <c r="M21805"/>
      <c r="N21805"/>
      <c r="O21805"/>
      <c r="P21805"/>
      <c r="Q21805"/>
      <c r="R21805"/>
      <c r="S21805"/>
    </row>
    <row r="21806" spans="13:19" ht="13.95" customHeight="1">
      <c r="M21806"/>
      <c r="N21806"/>
      <c r="O21806"/>
      <c r="P21806"/>
      <c r="Q21806"/>
      <c r="R21806"/>
      <c r="S21806"/>
    </row>
    <row r="21807" spans="13:19" ht="13.95" customHeight="1">
      <c r="M21807"/>
      <c r="N21807"/>
      <c r="O21807"/>
      <c r="P21807"/>
      <c r="Q21807"/>
      <c r="R21807"/>
      <c r="S21807"/>
    </row>
    <row r="21808" spans="13:19" ht="13.95" customHeight="1">
      <c r="M21808"/>
      <c r="N21808"/>
      <c r="O21808"/>
      <c r="P21808"/>
      <c r="Q21808"/>
      <c r="R21808"/>
      <c r="S21808"/>
    </row>
    <row r="21809" spans="13:19" ht="13.95" customHeight="1">
      <c r="M21809"/>
      <c r="N21809"/>
      <c r="O21809"/>
      <c r="P21809"/>
      <c r="Q21809"/>
      <c r="R21809"/>
      <c r="S21809"/>
    </row>
    <row r="21810" spans="13:19" ht="13.95" customHeight="1">
      <c r="M21810"/>
      <c r="N21810"/>
      <c r="O21810"/>
      <c r="P21810"/>
      <c r="Q21810"/>
      <c r="R21810"/>
      <c r="S21810"/>
    </row>
    <row r="21811" spans="13:19" ht="13.95" customHeight="1">
      <c r="M21811"/>
      <c r="N21811"/>
      <c r="O21811"/>
      <c r="P21811"/>
      <c r="Q21811"/>
      <c r="R21811"/>
      <c r="S21811"/>
    </row>
    <row r="21812" spans="13:19" ht="13.95" customHeight="1">
      <c r="M21812"/>
      <c r="N21812"/>
      <c r="O21812"/>
      <c r="P21812"/>
      <c r="Q21812"/>
      <c r="R21812"/>
      <c r="S21812"/>
    </row>
    <row r="21813" spans="13:19" ht="13.95" customHeight="1">
      <c r="M21813"/>
      <c r="N21813"/>
      <c r="O21813"/>
      <c r="P21813"/>
      <c r="Q21813"/>
      <c r="R21813"/>
      <c r="S21813"/>
    </row>
    <row r="21814" spans="13:19" ht="13.95" customHeight="1">
      <c r="M21814"/>
      <c r="N21814"/>
      <c r="O21814"/>
      <c r="P21814"/>
      <c r="Q21814"/>
      <c r="R21814"/>
      <c r="S21814"/>
    </row>
    <row r="21815" spans="13:19" ht="13.95" customHeight="1">
      <c r="M21815"/>
      <c r="N21815"/>
      <c r="O21815"/>
      <c r="P21815"/>
      <c r="Q21815"/>
      <c r="R21815"/>
      <c r="S21815"/>
    </row>
    <row r="21816" spans="13:19" ht="13.95" customHeight="1">
      <c r="M21816"/>
      <c r="N21816"/>
      <c r="O21816"/>
      <c r="P21816"/>
      <c r="Q21816"/>
      <c r="R21816"/>
      <c r="S21816"/>
    </row>
    <row r="21817" spans="13:19" ht="13.95" customHeight="1">
      <c r="M21817"/>
      <c r="N21817"/>
      <c r="O21817"/>
      <c r="P21817"/>
      <c r="Q21817"/>
      <c r="R21817"/>
      <c r="S21817"/>
    </row>
    <row r="21818" spans="13:19" ht="13.95" customHeight="1">
      <c r="M21818"/>
      <c r="N21818"/>
      <c r="O21818"/>
      <c r="P21818"/>
      <c r="Q21818"/>
      <c r="R21818"/>
      <c r="S21818"/>
    </row>
    <row r="21819" spans="13:19" ht="13.95" customHeight="1">
      <c r="M21819"/>
      <c r="N21819"/>
      <c r="O21819"/>
      <c r="P21819"/>
      <c r="Q21819"/>
      <c r="R21819"/>
      <c r="S21819"/>
    </row>
    <row r="21820" spans="13:19" ht="13.95" customHeight="1">
      <c r="M21820"/>
      <c r="N21820"/>
      <c r="O21820"/>
      <c r="P21820"/>
      <c r="Q21820"/>
      <c r="R21820"/>
      <c r="S21820"/>
    </row>
    <row r="21821" spans="13:19" ht="13.95" customHeight="1">
      <c r="M21821"/>
      <c r="N21821"/>
      <c r="O21821"/>
      <c r="P21821"/>
      <c r="Q21821"/>
      <c r="R21821"/>
      <c r="S21821"/>
    </row>
    <row r="21822" spans="13:19" ht="13.95" customHeight="1">
      <c r="M21822"/>
      <c r="N21822"/>
      <c r="O21822"/>
      <c r="P21822"/>
      <c r="Q21822"/>
      <c r="R21822"/>
      <c r="S21822"/>
    </row>
    <row r="21823" spans="13:19" ht="13.95" customHeight="1">
      <c r="M21823"/>
      <c r="N21823"/>
      <c r="O21823"/>
      <c r="P21823"/>
      <c r="Q21823"/>
      <c r="R21823"/>
      <c r="S21823"/>
    </row>
    <row r="21824" spans="13:19" ht="13.95" customHeight="1">
      <c r="M21824"/>
      <c r="N21824"/>
      <c r="O21824"/>
      <c r="P21824"/>
      <c r="Q21824"/>
      <c r="R21824"/>
      <c r="S21824"/>
    </row>
    <row r="21825" spans="13:19" ht="13.95" customHeight="1">
      <c r="M21825"/>
      <c r="N21825"/>
      <c r="O21825"/>
      <c r="P21825"/>
      <c r="Q21825"/>
      <c r="R21825"/>
      <c r="S21825"/>
    </row>
    <row r="21826" spans="13:19" ht="13.95" customHeight="1">
      <c r="M21826"/>
      <c r="N21826"/>
      <c r="O21826"/>
      <c r="P21826"/>
      <c r="Q21826"/>
      <c r="R21826"/>
      <c r="S21826"/>
    </row>
    <row r="21827" spans="13:19" ht="13.95" customHeight="1">
      <c r="M21827"/>
      <c r="N21827"/>
      <c r="O21827"/>
      <c r="P21827"/>
      <c r="Q21827"/>
      <c r="R21827"/>
      <c r="S21827"/>
    </row>
    <row r="21828" spans="13:19" ht="13.95" customHeight="1">
      <c r="M21828"/>
      <c r="N21828"/>
      <c r="O21828"/>
      <c r="P21828"/>
      <c r="Q21828"/>
      <c r="R21828"/>
      <c r="S21828"/>
    </row>
    <row r="21829" spans="13:19" ht="13.95" customHeight="1">
      <c r="M21829"/>
      <c r="N21829"/>
      <c r="O21829"/>
      <c r="P21829"/>
      <c r="Q21829"/>
      <c r="R21829"/>
      <c r="S21829"/>
    </row>
    <row r="21830" spans="13:19" ht="13.95" customHeight="1">
      <c r="M21830"/>
      <c r="N21830"/>
      <c r="O21830"/>
      <c r="P21830"/>
      <c r="Q21830"/>
      <c r="R21830"/>
      <c r="S21830"/>
    </row>
    <row r="21831" spans="13:19" ht="13.95" customHeight="1">
      <c r="M21831"/>
      <c r="N21831"/>
      <c r="O21831"/>
      <c r="P21831"/>
      <c r="Q21831"/>
      <c r="R21831"/>
      <c r="S21831"/>
    </row>
    <row r="21832" spans="13:19" ht="13.95" customHeight="1">
      <c r="M21832"/>
      <c r="N21832"/>
      <c r="O21832"/>
      <c r="P21832"/>
      <c r="Q21832"/>
      <c r="R21832"/>
      <c r="S21832"/>
    </row>
    <row r="21833" spans="13:19" ht="13.95" customHeight="1">
      <c r="M21833"/>
      <c r="N21833"/>
      <c r="O21833"/>
      <c r="P21833"/>
      <c r="Q21833"/>
      <c r="R21833"/>
      <c r="S21833"/>
    </row>
    <row r="21834" spans="13:19" ht="13.95" customHeight="1">
      <c r="M21834"/>
      <c r="N21834"/>
      <c r="O21834"/>
      <c r="P21834"/>
      <c r="Q21834"/>
      <c r="R21834"/>
      <c r="S21834"/>
    </row>
    <row r="21835" spans="13:19" ht="13.95" customHeight="1">
      <c r="M21835"/>
      <c r="N21835"/>
      <c r="O21835"/>
      <c r="P21835"/>
      <c r="Q21835"/>
      <c r="R21835"/>
      <c r="S21835"/>
    </row>
    <row r="21836" spans="13:19" ht="13.95" customHeight="1">
      <c r="M21836"/>
      <c r="N21836"/>
      <c r="O21836"/>
      <c r="P21836"/>
      <c r="Q21836"/>
      <c r="R21836"/>
      <c r="S21836"/>
    </row>
    <row r="21837" spans="13:19" ht="13.95" customHeight="1">
      <c r="M21837"/>
      <c r="N21837"/>
      <c r="O21837"/>
      <c r="P21837"/>
      <c r="Q21837"/>
      <c r="R21837"/>
      <c r="S21837"/>
    </row>
    <row r="21838" spans="13:19" ht="13.95" customHeight="1">
      <c r="M21838"/>
      <c r="N21838"/>
      <c r="O21838"/>
      <c r="P21838"/>
      <c r="Q21838"/>
      <c r="R21838"/>
      <c r="S21838"/>
    </row>
    <row r="21839" spans="13:19" ht="13.95" customHeight="1">
      <c r="M21839"/>
      <c r="N21839"/>
      <c r="O21839"/>
      <c r="P21839"/>
      <c r="Q21839"/>
      <c r="R21839"/>
      <c r="S21839"/>
    </row>
    <row r="21840" spans="13:19" ht="13.95" customHeight="1">
      <c r="M21840"/>
      <c r="N21840"/>
      <c r="O21840"/>
      <c r="P21840"/>
      <c r="Q21840"/>
      <c r="R21840"/>
      <c r="S21840"/>
    </row>
    <row r="21841" spans="13:19" ht="13.95" customHeight="1">
      <c r="M21841"/>
      <c r="N21841"/>
      <c r="O21841"/>
      <c r="P21841"/>
      <c r="Q21841"/>
      <c r="R21841"/>
      <c r="S21841"/>
    </row>
    <row r="21842" spans="13:19" ht="13.95" customHeight="1">
      <c r="M21842"/>
      <c r="N21842"/>
      <c r="O21842"/>
      <c r="P21842"/>
      <c r="Q21842"/>
      <c r="R21842"/>
      <c r="S21842"/>
    </row>
    <row r="21843" spans="13:19" ht="13.95" customHeight="1">
      <c r="M21843"/>
      <c r="N21843"/>
      <c r="O21843"/>
      <c r="P21843"/>
      <c r="Q21843"/>
      <c r="R21843"/>
      <c r="S21843"/>
    </row>
    <row r="21844" spans="13:19" ht="13.95" customHeight="1">
      <c r="M21844"/>
      <c r="N21844"/>
      <c r="O21844"/>
      <c r="P21844"/>
      <c r="Q21844"/>
      <c r="R21844"/>
      <c r="S21844"/>
    </row>
    <row r="21845" spans="13:19" ht="13.95" customHeight="1">
      <c r="M21845"/>
      <c r="N21845"/>
      <c r="O21845"/>
      <c r="P21845"/>
      <c r="Q21845"/>
      <c r="R21845"/>
      <c r="S21845"/>
    </row>
    <row r="21846" spans="13:19" ht="13.95" customHeight="1">
      <c r="M21846"/>
      <c r="N21846"/>
      <c r="O21846"/>
      <c r="P21846"/>
      <c r="Q21846"/>
      <c r="R21846"/>
      <c r="S21846"/>
    </row>
    <row r="21847" spans="13:19" ht="13.95" customHeight="1">
      <c r="M21847"/>
      <c r="N21847"/>
      <c r="O21847"/>
      <c r="P21847"/>
      <c r="Q21847"/>
      <c r="R21847"/>
      <c r="S21847"/>
    </row>
    <row r="21848" spans="13:19" ht="13.95" customHeight="1">
      <c r="M21848"/>
      <c r="N21848"/>
      <c r="O21848"/>
      <c r="P21848"/>
      <c r="Q21848"/>
      <c r="R21848"/>
      <c r="S21848"/>
    </row>
    <row r="21849" spans="13:19" ht="13.95" customHeight="1">
      <c r="M21849"/>
      <c r="N21849"/>
      <c r="O21849"/>
      <c r="P21849"/>
      <c r="Q21849"/>
      <c r="R21849"/>
      <c r="S21849"/>
    </row>
    <row r="21850" spans="13:19" ht="13.95" customHeight="1">
      <c r="M21850"/>
      <c r="N21850"/>
      <c r="O21850"/>
      <c r="P21850"/>
      <c r="Q21850"/>
      <c r="R21850"/>
      <c r="S21850"/>
    </row>
    <row r="21851" spans="13:19" ht="13.95" customHeight="1">
      <c r="M21851"/>
      <c r="N21851"/>
      <c r="O21851"/>
      <c r="P21851"/>
      <c r="Q21851"/>
      <c r="R21851"/>
      <c r="S21851"/>
    </row>
    <row r="21852" spans="13:19" ht="13.95" customHeight="1">
      <c r="M21852"/>
      <c r="N21852"/>
      <c r="O21852"/>
      <c r="P21852"/>
      <c r="Q21852"/>
      <c r="R21852"/>
      <c r="S21852"/>
    </row>
    <row r="21853" spans="13:19" ht="13.95" customHeight="1">
      <c r="M21853"/>
      <c r="N21853"/>
      <c r="O21853"/>
      <c r="P21853"/>
      <c r="Q21853"/>
      <c r="R21853"/>
      <c r="S21853"/>
    </row>
    <row r="21854" spans="13:19" ht="13.95" customHeight="1">
      <c r="M21854"/>
      <c r="N21854"/>
      <c r="O21854"/>
      <c r="P21854"/>
      <c r="Q21854"/>
      <c r="R21854"/>
      <c r="S21854"/>
    </row>
    <row r="21855" spans="13:19" ht="13.95" customHeight="1">
      <c r="M21855"/>
      <c r="N21855"/>
      <c r="O21855"/>
      <c r="P21855"/>
      <c r="Q21855"/>
      <c r="R21855"/>
      <c r="S21855"/>
    </row>
    <row r="21856" spans="13:19" ht="13.95" customHeight="1">
      <c r="M21856"/>
      <c r="N21856"/>
      <c r="O21856"/>
      <c r="P21856"/>
      <c r="Q21856"/>
      <c r="R21856"/>
      <c r="S21856"/>
    </row>
    <row r="21857" spans="13:19" ht="13.95" customHeight="1">
      <c r="M21857"/>
      <c r="N21857"/>
      <c r="O21857"/>
      <c r="P21857"/>
      <c r="Q21857"/>
      <c r="R21857"/>
      <c r="S21857"/>
    </row>
    <row r="21858" spans="13:19" ht="13.95" customHeight="1">
      <c r="M21858"/>
      <c r="N21858"/>
      <c r="O21858"/>
      <c r="P21858"/>
      <c r="Q21858"/>
      <c r="R21858"/>
      <c r="S21858"/>
    </row>
    <row r="21859" spans="13:19" ht="13.95" customHeight="1">
      <c r="M21859"/>
      <c r="N21859"/>
      <c r="O21859"/>
      <c r="P21859"/>
      <c r="Q21859"/>
      <c r="R21859"/>
      <c r="S21859"/>
    </row>
    <row r="21860" spans="13:19" ht="13.95" customHeight="1">
      <c r="M21860"/>
      <c r="N21860"/>
      <c r="O21860"/>
      <c r="P21860"/>
      <c r="Q21860"/>
      <c r="R21860"/>
      <c r="S21860"/>
    </row>
    <row r="21861" spans="13:19" ht="13.95" customHeight="1">
      <c r="M21861"/>
      <c r="N21861"/>
      <c r="O21861"/>
      <c r="P21861"/>
      <c r="Q21861"/>
      <c r="R21861"/>
      <c r="S21861"/>
    </row>
    <row r="21862" spans="13:19" ht="13.95" customHeight="1">
      <c r="M21862"/>
      <c r="N21862"/>
      <c r="O21862"/>
      <c r="P21862"/>
      <c r="Q21862"/>
      <c r="R21862"/>
      <c r="S21862"/>
    </row>
    <row r="21863" spans="13:19" ht="13.95" customHeight="1">
      <c r="M21863"/>
      <c r="N21863"/>
      <c r="O21863"/>
      <c r="P21863"/>
      <c r="Q21863"/>
      <c r="R21863"/>
      <c r="S21863"/>
    </row>
    <row r="21864" spans="13:19" ht="13.95" customHeight="1">
      <c r="M21864"/>
      <c r="N21864"/>
      <c r="O21864"/>
      <c r="P21864"/>
      <c r="Q21864"/>
      <c r="R21864"/>
      <c r="S21864"/>
    </row>
    <row r="21865" spans="13:19" ht="13.95" customHeight="1">
      <c r="M21865"/>
      <c r="N21865"/>
      <c r="O21865"/>
      <c r="P21865"/>
      <c r="Q21865"/>
      <c r="R21865"/>
      <c r="S21865"/>
    </row>
    <row r="21866" spans="13:19" ht="13.95" customHeight="1">
      <c r="M21866"/>
      <c r="N21866"/>
      <c r="O21866"/>
      <c r="P21866"/>
      <c r="Q21866"/>
      <c r="R21866"/>
      <c r="S21866"/>
    </row>
    <row r="21867" spans="13:19" ht="13.95" customHeight="1">
      <c r="M21867"/>
      <c r="N21867"/>
      <c r="O21867"/>
      <c r="P21867"/>
      <c r="Q21867"/>
      <c r="R21867"/>
      <c r="S21867"/>
    </row>
    <row r="21868" spans="13:19" ht="13.95" customHeight="1">
      <c r="M21868"/>
      <c r="N21868"/>
      <c r="O21868"/>
      <c r="P21868"/>
      <c r="Q21868"/>
      <c r="R21868"/>
      <c r="S21868"/>
    </row>
    <row r="21869" spans="13:19" ht="13.95" customHeight="1">
      <c r="M21869"/>
      <c r="N21869"/>
      <c r="O21869"/>
      <c r="P21869"/>
      <c r="Q21869"/>
      <c r="R21869"/>
      <c r="S21869"/>
    </row>
    <row r="21870" spans="13:19" ht="13.95" customHeight="1">
      <c r="M21870"/>
      <c r="N21870"/>
      <c r="O21870"/>
      <c r="P21870"/>
      <c r="Q21870"/>
      <c r="R21870"/>
      <c r="S21870"/>
    </row>
    <row r="21871" spans="13:19" ht="13.95" customHeight="1">
      <c r="M21871"/>
      <c r="N21871"/>
      <c r="O21871"/>
      <c r="P21871"/>
      <c r="Q21871"/>
      <c r="R21871"/>
      <c r="S21871"/>
    </row>
    <row r="21872" spans="13:19" ht="13.95" customHeight="1">
      <c r="M21872"/>
      <c r="N21872"/>
      <c r="O21872"/>
      <c r="P21872"/>
      <c r="Q21872"/>
      <c r="R21872"/>
      <c r="S21872"/>
    </row>
    <row r="21873" spans="13:19" ht="13.95" customHeight="1">
      <c r="M21873"/>
      <c r="N21873"/>
      <c r="O21873"/>
      <c r="P21873"/>
      <c r="Q21873"/>
      <c r="R21873"/>
      <c r="S21873"/>
    </row>
    <row r="21874" spans="13:19" ht="13.95" customHeight="1">
      <c r="M21874"/>
      <c r="N21874"/>
      <c r="O21874"/>
      <c r="P21874"/>
      <c r="Q21874"/>
      <c r="R21874"/>
      <c r="S21874"/>
    </row>
    <row r="21875" spans="13:19" ht="13.95" customHeight="1">
      <c r="M21875"/>
      <c r="N21875"/>
      <c r="O21875"/>
      <c r="P21875"/>
      <c r="Q21875"/>
      <c r="R21875"/>
      <c r="S21875"/>
    </row>
    <row r="21876" spans="13:19" ht="13.95" customHeight="1">
      <c r="M21876"/>
      <c r="N21876"/>
      <c r="O21876"/>
      <c r="P21876"/>
      <c r="Q21876"/>
      <c r="R21876"/>
      <c r="S21876"/>
    </row>
    <row r="21877" spans="13:19" ht="13.95" customHeight="1">
      <c r="M21877"/>
      <c r="N21877"/>
      <c r="O21877"/>
      <c r="P21877"/>
      <c r="Q21877"/>
      <c r="R21877"/>
      <c r="S21877"/>
    </row>
    <row r="21878" spans="13:19" ht="13.95" customHeight="1">
      <c r="M21878"/>
      <c r="N21878"/>
      <c r="O21878"/>
      <c r="P21878"/>
      <c r="Q21878"/>
      <c r="R21878"/>
      <c r="S21878"/>
    </row>
    <row r="21879" spans="13:19" ht="13.95" customHeight="1">
      <c r="M21879"/>
      <c r="N21879"/>
      <c r="O21879"/>
      <c r="P21879"/>
      <c r="Q21879"/>
      <c r="R21879"/>
      <c r="S21879"/>
    </row>
    <row r="21880" spans="13:19" ht="13.95" customHeight="1">
      <c r="M21880"/>
      <c r="N21880"/>
      <c r="O21880"/>
      <c r="P21880"/>
      <c r="Q21880"/>
      <c r="R21880"/>
      <c r="S21880"/>
    </row>
    <row r="21881" spans="13:19" ht="13.95" customHeight="1">
      <c r="M21881"/>
      <c r="N21881"/>
      <c r="O21881"/>
      <c r="P21881"/>
      <c r="Q21881"/>
      <c r="R21881"/>
      <c r="S21881"/>
    </row>
    <row r="21882" spans="13:19" ht="13.95" customHeight="1">
      <c r="M21882"/>
      <c r="N21882"/>
      <c r="O21882"/>
      <c r="P21882"/>
      <c r="Q21882"/>
      <c r="R21882"/>
      <c r="S21882"/>
    </row>
    <row r="21883" spans="13:19" ht="13.95" customHeight="1">
      <c r="M21883"/>
      <c r="N21883"/>
      <c r="O21883"/>
      <c r="P21883"/>
      <c r="Q21883"/>
      <c r="R21883"/>
      <c r="S21883"/>
    </row>
    <row r="21884" spans="13:19" ht="13.95" customHeight="1">
      <c r="M21884"/>
      <c r="N21884"/>
      <c r="O21884"/>
      <c r="P21884"/>
      <c r="Q21884"/>
      <c r="R21884"/>
      <c r="S21884"/>
    </row>
    <row r="21885" spans="13:19" ht="13.95" customHeight="1">
      <c r="M21885"/>
      <c r="N21885"/>
      <c r="O21885"/>
      <c r="P21885"/>
      <c r="Q21885"/>
      <c r="R21885"/>
      <c r="S21885"/>
    </row>
    <row r="21886" spans="13:19" ht="13.95" customHeight="1">
      <c r="M21886"/>
      <c r="N21886"/>
      <c r="O21886"/>
      <c r="P21886"/>
      <c r="Q21886"/>
      <c r="R21886"/>
      <c r="S21886"/>
    </row>
    <row r="21887" spans="13:19" ht="13.95" customHeight="1">
      <c r="M21887"/>
      <c r="N21887"/>
      <c r="O21887"/>
      <c r="P21887"/>
      <c r="Q21887"/>
      <c r="R21887"/>
      <c r="S21887"/>
    </row>
    <row r="21888" spans="13:19" ht="13.95" customHeight="1">
      <c r="M21888"/>
      <c r="N21888"/>
      <c r="O21888"/>
      <c r="P21888"/>
      <c r="Q21888"/>
      <c r="R21888"/>
      <c r="S21888"/>
    </row>
    <row r="21889" spans="13:19" ht="13.95" customHeight="1">
      <c r="M21889"/>
      <c r="N21889"/>
      <c r="O21889"/>
      <c r="P21889"/>
      <c r="Q21889"/>
      <c r="R21889"/>
      <c r="S21889"/>
    </row>
    <row r="21890" spans="13:19" ht="13.95" customHeight="1">
      <c r="M21890"/>
      <c r="N21890"/>
      <c r="O21890"/>
      <c r="P21890"/>
      <c r="Q21890"/>
      <c r="R21890"/>
      <c r="S21890"/>
    </row>
    <row r="21891" spans="13:19" ht="13.95" customHeight="1">
      <c r="M21891"/>
      <c r="N21891"/>
      <c r="O21891"/>
      <c r="P21891"/>
      <c r="Q21891"/>
      <c r="R21891"/>
      <c r="S21891"/>
    </row>
    <row r="21892" spans="13:19" ht="13.95" customHeight="1">
      <c r="M21892"/>
      <c r="N21892"/>
      <c r="O21892"/>
      <c r="P21892"/>
      <c r="Q21892"/>
      <c r="R21892"/>
      <c r="S21892"/>
    </row>
    <row r="21893" spans="13:19" ht="13.95" customHeight="1">
      <c r="M21893"/>
      <c r="N21893"/>
      <c r="O21893"/>
      <c r="P21893"/>
      <c r="Q21893"/>
      <c r="R21893"/>
      <c r="S21893"/>
    </row>
    <row r="21894" spans="13:19" ht="13.95" customHeight="1">
      <c r="M21894"/>
      <c r="N21894"/>
      <c r="O21894"/>
      <c r="P21894"/>
      <c r="Q21894"/>
      <c r="R21894"/>
      <c r="S21894"/>
    </row>
    <row r="21895" spans="13:19" ht="13.95" customHeight="1">
      <c r="M21895"/>
      <c r="N21895"/>
      <c r="O21895"/>
      <c r="P21895"/>
      <c r="Q21895"/>
      <c r="R21895"/>
      <c r="S21895"/>
    </row>
    <row r="21896" spans="13:19" ht="13.95" customHeight="1">
      <c r="M21896"/>
      <c r="N21896"/>
      <c r="O21896"/>
      <c r="P21896"/>
      <c r="Q21896"/>
      <c r="R21896"/>
      <c r="S21896"/>
    </row>
    <row r="21897" spans="13:19" ht="13.95" customHeight="1">
      <c r="M21897"/>
      <c r="N21897"/>
      <c r="O21897"/>
      <c r="P21897"/>
      <c r="Q21897"/>
      <c r="R21897"/>
      <c r="S21897"/>
    </row>
    <row r="21898" spans="13:19" ht="13.95" customHeight="1">
      <c r="M21898"/>
      <c r="N21898"/>
      <c r="O21898"/>
      <c r="P21898"/>
      <c r="Q21898"/>
      <c r="R21898"/>
      <c r="S21898"/>
    </row>
    <row r="21899" spans="13:19" ht="13.95" customHeight="1">
      <c r="M21899"/>
      <c r="N21899"/>
      <c r="O21899"/>
      <c r="P21899"/>
      <c r="Q21899"/>
      <c r="R21899"/>
      <c r="S21899"/>
    </row>
    <row r="21900" spans="13:19" ht="13.95" customHeight="1">
      <c r="M21900"/>
      <c r="N21900"/>
      <c r="O21900"/>
      <c r="P21900"/>
      <c r="Q21900"/>
      <c r="R21900"/>
      <c r="S21900"/>
    </row>
    <row r="21901" spans="13:19" ht="13.95" customHeight="1">
      <c r="M21901"/>
      <c r="N21901"/>
      <c r="O21901"/>
      <c r="P21901"/>
      <c r="Q21901"/>
      <c r="R21901"/>
      <c r="S21901"/>
    </row>
    <row r="21902" spans="13:19" ht="13.95" customHeight="1">
      <c r="M21902"/>
      <c r="N21902"/>
      <c r="O21902"/>
      <c r="P21902"/>
      <c r="Q21902"/>
      <c r="R21902"/>
      <c r="S21902"/>
    </row>
    <row r="21903" spans="13:19" ht="13.95" customHeight="1">
      <c r="M21903"/>
      <c r="N21903"/>
      <c r="O21903"/>
      <c r="P21903"/>
      <c r="Q21903"/>
      <c r="R21903"/>
      <c r="S21903"/>
    </row>
    <row r="21904" spans="13:19" ht="13.95" customHeight="1">
      <c r="M21904"/>
      <c r="N21904"/>
      <c r="O21904"/>
      <c r="P21904"/>
      <c r="Q21904"/>
      <c r="R21904"/>
      <c r="S21904"/>
    </row>
    <row r="21905" spans="13:19" ht="13.95" customHeight="1">
      <c r="M21905"/>
      <c r="N21905"/>
      <c r="O21905"/>
      <c r="P21905"/>
      <c r="Q21905"/>
      <c r="R21905"/>
      <c r="S21905"/>
    </row>
    <row r="21906" spans="13:19" ht="13.95" customHeight="1">
      <c r="M21906"/>
      <c r="N21906"/>
      <c r="O21906"/>
      <c r="P21906"/>
      <c r="Q21906"/>
      <c r="R21906"/>
      <c r="S21906"/>
    </row>
    <row r="21907" spans="13:19" ht="13.95" customHeight="1">
      <c r="M21907"/>
      <c r="N21907"/>
      <c r="O21907"/>
      <c r="P21907"/>
      <c r="Q21907"/>
      <c r="R21907"/>
      <c r="S21907"/>
    </row>
    <row r="21908" spans="13:19" ht="13.95" customHeight="1">
      <c r="M21908"/>
      <c r="N21908"/>
      <c r="O21908"/>
      <c r="P21908"/>
      <c r="Q21908"/>
      <c r="R21908"/>
      <c r="S21908"/>
    </row>
    <row r="21909" spans="13:19" ht="13.95" customHeight="1">
      <c r="M21909"/>
      <c r="N21909"/>
      <c r="O21909"/>
      <c r="P21909"/>
      <c r="Q21909"/>
      <c r="R21909"/>
      <c r="S21909"/>
    </row>
    <row r="21910" spans="13:19" ht="13.95" customHeight="1">
      <c r="M21910"/>
      <c r="N21910"/>
      <c r="O21910"/>
      <c r="P21910"/>
      <c r="Q21910"/>
      <c r="R21910"/>
      <c r="S21910"/>
    </row>
    <row r="21911" spans="13:19" ht="13.95" customHeight="1">
      <c r="M21911"/>
      <c r="N21911"/>
      <c r="O21911"/>
      <c r="P21911"/>
      <c r="Q21911"/>
      <c r="R21911"/>
      <c r="S21911"/>
    </row>
    <row r="21912" spans="13:19" ht="13.95" customHeight="1">
      <c r="M21912"/>
      <c r="N21912"/>
      <c r="O21912"/>
      <c r="P21912"/>
      <c r="Q21912"/>
      <c r="R21912"/>
      <c r="S21912"/>
    </row>
    <row r="21913" spans="13:19" ht="13.95" customHeight="1">
      <c r="M21913"/>
      <c r="N21913"/>
      <c r="O21913"/>
      <c r="P21913"/>
      <c r="Q21913"/>
      <c r="R21913"/>
      <c r="S21913"/>
    </row>
    <row r="21914" spans="13:19" ht="13.95" customHeight="1">
      <c r="M21914"/>
      <c r="N21914"/>
      <c r="O21914"/>
      <c r="P21914"/>
      <c r="Q21914"/>
      <c r="R21914"/>
      <c r="S21914"/>
    </row>
    <row r="21915" spans="13:19" ht="13.95" customHeight="1">
      <c r="M21915"/>
      <c r="N21915"/>
      <c r="O21915"/>
      <c r="P21915"/>
      <c r="Q21915"/>
      <c r="R21915"/>
      <c r="S21915"/>
    </row>
    <row r="21916" spans="13:19" ht="13.95" customHeight="1">
      <c r="M21916"/>
      <c r="N21916"/>
      <c r="O21916"/>
      <c r="P21916"/>
      <c r="Q21916"/>
      <c r="R21916"/>
      <c r="S21916"/>
    </row>
    <row r="21917" spans="13:19" ht="13.95" customHeight="1">
      <c r="M21917"/>
      <c r="N21917"/>
      <c r="O21917"/>
      <c r="P21917"/>
      <c r="Q21917"/>
      <c r="R21917"/>
      <c r="S21917"/>
    </row>
    <row r="21918" spans="13:19" ht="13.95" customHeight="1">
      <c r="M21918"/>
      <c r="N21918"/>
      <c r="O21918"/>
      <c r="P21918"/>
      <c r="Q21918"/>
      <c r="R21918"/>
      <c r="S21918"/>
    </row>
    <row r="21919" spans="13:19" ht="13.95" customHeight="1">
      <c r="M21919"/>
      <c r="N21919"/>
      <c r="O21919"/>
      <c r="P21919"/>
      <c r="Q21919"/>
      <c r="R21919"/>
      <c r="S21919"/>
    </row>
    <row r="21920" spans="13:19" ht="13.95" customHeight="1">
      <c r="M21920"/>
      <c r="N21920"/>
      <c r="O21920"/>
      <c r="P21920"/>
      <c r="Q21920"/>
      <c r="R21920"/>
      <c r="S21920"/>
    </row>
    <row r="21921" spans="13:19" ht="13.95" customHeight="1">
      <c r="M21921"/>
      <c r="N21921"/>
      <c r="O21921"/>
      <c r="P21921"/>
      <c r="Q21921"/>
      <c r="R21921"/>
      <c r="S21921"/>
    </row>
    <row r="21922" spans="13:19" ht="13.95" customHeight="1">
      <c r="M21922"/>
      <c r="N21922"/>
      <c r="O21922"/>
      <c r="P21922"/>
      <c r="Q21922"/>
      <c r="R21922"/>
      <c r="S21922"/>
    </row>
    <row r="21923" spans="13:19" ht="13.95" customHeight="1">
      <c r="M21923"/>
      <c r="N21923"/>
      <c r="O21923"/>
      <c r="P21923"/>
      <c r="Q21923"/>
      <c r="R21923"/>
      <c r="S21923"/>
    </row>
    <row r="21924" spans="13:19" ht="13.95" customHeight="1">
      <c r="M21924"/>
      <c r="N21924"/>
      <c r="O21924"/>
      <c r="P21924"/>
      <c r="Q21924"/>
      <c r="R21924"/>
      <c r="S21924"/>
    </row>
    <row r="21925" spans="13:19" ht="13.95" customHeight="1">
      <c r="M21925"/>
      <c r="N21925"/>
      <c r="O21925"/>
      <c r="P21925"/>
      <c r="Q21925"/>
      <c r="R21925"/>
      <c r="S21925"/>
    </row>
    <row r="21926" spans="13:19" ht="13.95" customHeight="1">
      <c r="M21926"/>
      <c r="N21926"/>
      <c r="O21926"/>
      <c r="P21926"/>
      <c r="Q21926"/>
      <c r="R21926"/>
      <c r="S21926"/>
    </row>
    <row r="21927" spans="13:19" ht="13.95" customHeight="1">
      <c r="M21927"/>
      <c r="N21927"/>
      <c r="O21927"/>
      <c r="P21927"/>
      <c r="Q21927"/>
      <c r="R21927"/>
      <c r="S21927"/>
    </row>
    <row r="21928" spans="13:19" ht="13.95" customHeight="1">
      <c r="M21928"/>
      <c r="N21928"/>
      <c r="O21928"/>
      <c r="P21928"/>
      <c r="Q21928"/>
      <c r="R21928"/>
      <c r="S21928"/>
    </row>
    <row r="21929" spans="13:19" ht="13.95" customHeight="1">
      <c r="M21929"/>
      <c r="N21929"/>
      <c r="O21929"/>
      <c r="P21929"/>
      <c r="Q21929"/>
      <c r="R21929"/>
      <c r="S21929"/>
    </row>
    <row r="21930" spans="13:19" ht="13.95" customHeight="1">
      <c r="M21930"/>
      <c r="N21930"/>
      <c r="O21930"/>
      <c r="P21930"/>
      <c r="Q21930"/>
      <c r="R21930"/>
      <c r="S21930"/>
    </row>
    <row r="21931" spans="13:19" ht="13.95" customHeight="1">
      <c r="M21931"/>
      <c r="N21931"/>
      <c r="O21931"/>
      <c r="P21931"/>
      <c r="Q21931"/>
      <c r="R21931"/>
      <c r="S21931"/>
    </row>
    <row r="21932" spans="13:19" ht="13.95" customHeight="1">
      <c r="M21932"/>
      <c r="N21932"/>
      <c r="O21932"/>
      <c r="P21932"/>
      <c r="Q21932"/>
      <c r="R21932"/>
      <c r="S21932"/>
    </row>
    <row r="21933" spans="13:19" ht="13.95" customHeight="1">
      <c r="M21933"/>
      <c r="N21933"/>
      <c r="O21933"/>
      <c r="P21933"/>
      <c r="Q21933"/>
      <c r="R21933"/>
      <c r="S21933"/>
    </row>
    <row r="21934" spans="13:19" ht="13.95" customHeight="1">
      <c r="M21934"/>
      <c r="N21934"/>
      <c r="O21934"/>
      <c r="P21934"/>
      <c r="Q21934"/>
      <c r="R21934"/>
      <c r="S21934"/>
    </row>
    <row r="21935" spans="13:19" ht="13.95" customHeight="1">
      <c r="M21935"/>
      <c r="N21935"/>
      <c r="O21935"/>
      <c r="P21935"/>
      <c r="Q21935"/>
      <c r="R21935"/>
      <c r="S21935"/>
    </row>
    <row r="21936" spans="13:19" ht="13.95" customHeight="1">
      <c r="M21936"/>
      <c r="N21936"/>
      <c r="O21936"/>
      <c r="P21936"/>
      <c r="Q21936"/>
      <c r="R21936"/>
      <c r="S21936"/>
    </row>
    <row r="21937" spans="13:19" ht="13.95" customHeight="1">
      <c r="M21937"/>
      <c r="N21937"/>
      <c r="O21937"/>
      <c r="P21937"/>
      <c r="Q21937"/>
      <c r="R21937"/>
      <c r="S21937"/>
    </row>
    <row r="21938" spans="13:19" ht="13.95" customHeight="1">
      <c r="M21938"/>
      <c r="N21938"/>
      <c r="O21938"/>
      <c r="P21938"/>
      <c r="Q21938"/>
      <c r="R21938"/>
      <c r="S21938"/>
    </row>
    <row r="21939" spans="13:19" ht="13.95" customHeight="1">
      <c r="M21939"/>
      <c r="N21939"/>
      <c r="O21939"/>
      <c r="P21939"/>
      <c r="Q21939"/>
      <c r="R21939"/>
      <c r="S21939"/>
    </row>
    <row r="21940" spans="13:19" ht="13.95" customHeight="1">
      <c r="M21940"/>
      <c r="N21940"/>
      <c r="O21940"/>
      <c r="P21940"/>
      <c r="Q21940"/>
      <c r="R21940"/>
      <c r="S21940"/>
    </row>
    <row r="21941" spans="13:19" ht="13.95" customHeight="1">
      <c r="M21941"/>
      <c r="N21941"/>
      <c r="O21941"/>
      <c r="P21941"/>
      <c r="Q21941"/>
      <c r="R21941"/>
      <c r="S21941"/>
    </row>
    <row r="21942" spans="13:19" ht="13.95" customHeight="1">
      <c r="M21942"/>
      <c r="N21942"/>
      <c r="O21942"/>
      <c r="P21942"/>
      <c r="Q21942"/>
      <c r="R21942"/>
      <c r="S21942"/>
    </row>
    <row r="21943" spans="13:19" ht="13.95" customHeight="1">
      <c r="M21943"/>
      <c r="N21943"/>
      <c r="O21943"/>
      <c r="P21943"/>
      <c r="Q21943"/>
      <c r="R21943"/>
      <c r="S21943"/>
    </row>
    <row r="21944" spans="13:19" ht="13.95" customHeight="1">
      <c r="M21944"/>
      <c r="N21944"/>
      <c r="O21944"/>
      <c r="P21944"/>
      <c r="Q21944"/>
      <c r="R21944"/>
      <c r="S21944"/>
    </row>
    <row r="21945" spans="13:19" ht="13.95" customHeight="1">
      <c r="M21945"/>
      <c r="N21945"/>
      <c r="O21945"/>
      <c r="P21945"/>
      <c r="Q21945"/>
      <c r="R21945"/>
      <c r="S21945"/>
    </row>
    <row r="21946" spans="13:19" ht="13.95" customHeight="1">
      <c r="M21946"/>
      <c r="N21946"/>
      <c r="O21946"/>
      <c r="P21946"/>
      <c r="Q21946"/>
      <c r="R21946"/>
      <c r="S21946"/>
    </row>
    <row r="21947" spans="13:19" ht="13.95" customHeight="1">
      <c r="M21947"/>
      <c r="N21947"/>
      <c r="O21947"/>
      <c r="P21947"/>
      <c r="Q21947"/>
      <c r="R21947"/>
      <c r="S21947"/>
    </row>
    <row r="21948" spans="13:19" ht="13.95" customHeight="1">
      <c r="M21948"/>
      <c r="N21948"/>
      <c r="O21948"/>
      <c r="P21948"/>
      <c r="Q21948"/>
      <c r="R21948"/>
      <c r="S21948"/>
    </row>
    <row r="21949" spans="13:19" ht="13.95" customHeight="1">
      <c r="M21949"/>
      <c r="N21949"/>
      <c r="O21949"/>
      <c r="P21949"/>
      <c r="Q21949"/>
      <c r="R21949"/>
      <c r="S21949"/>
    </row>
    <row r="21950" spans="13:19" ht="13.95" customHeight="1">
      <c r="M21950"/>
      <c r="N21950"/>
      <c r="O21950"/>
      <c r="P21950"/>
      <c r="Q21950"/>
      <c r="R21950"/>
      <c r="S21950"/>
    </row>
    <row r="21951" spans="13:19" ht="13.95" customHeight="1">
      <c r="M21951"/>
      <c r="N21951"/>
      <c r="O21951"/>
      <c r="P21951"/>
      <c r="Q21951"/>
      <c r="R21951"/>
      <c r="S21951"/>
    </row>
    <row r="21952" spans="13:19" ht="13.95" customHeight="1">
      <c r="M21952"/>
      <c r="N21952"/>
      <c r="O21952"/>
      <c r="P21952"/>
      <c r="Q21952"/>
      <c r="R21952"/>
      <c r="S21952"/>
    </row>
    <row r="21953" spans="13:19" ht="13.95" customHeight="1">
      <c r="M21953"/>
      <c r="N21953"/>
      <c r="O21953"/>
      <c r="P21953"/>
      <c r="Q21953"/>
      <c r="R21953"/>
      <c r="S21953"/>
    </row>
    <row r="21954" spans="13:19" ht="13.95" customHeight="1">
      <c r="M21954"/>
      <c r="N21954"/>
      <c r="O21954"/>
      <c r="P21954"/>
      <c r="Q21954"/>
      <c r="R21954"/>
      <c r="S21954"/>
    </row>
    <row r="21955" spans="13:19" ht="13.95" customHeight="1">
      <c r="M21955"/>
      <c r="N21955"/>
      <c r="O21955"/>
      <c r="P21955"/>
      <c r="Q21955"/>
      <c r="R21955"/>
      <c r="S21955"/>
    </row>
    <row r="21956" spans="13:19" ht="13.95" customHeight="1">
      <c r="M21956"/>
      <c r="N21956"/>
      <c r="O21956"/>
      <c r="P21956"/>
      <c r="Q21956"/>
      <c r="R21956"/>
      <c r="S21956"/>
    </row>
    <row r="21957" spans="13:19" ht="13.95" customHeight="1">
      <c r="M21957"/>
      <c r="N21957"/>
      <c r="O21957"/>
      <c r="P21957"/>
      <c r="Q21957"/>
      <c r="R21957"/>
      <c r="S21957"/>
    </row>
    <row r="21958" spans="13:19" ht="13.95" customHeight="1">
      <c r="M21958"/>
      <c r="N21958"/>
      <c r="O21958"/>
      <c r="P21958"/>
      <c r="Q21958"/>
      <c r="R21958"/>
      <c r="S21958"/>
    </row>
    <row r="21959" spans="13:19" ht="13.95" customHeight="1">
      <c r="M21959"/>
      <c r="N21959"/>
      <c r="O21959"/>
      <c r="P21959"/>
      <c r="Q21959"/>
      <c r="R21959"/>
      <c r="S21959"/>
    </row>
    <row r="21960" spans="13:19" ht="13.95" customHeight="1">
      <c r="M21960"/>
      <c r="N21960"/>
      <c r="O21960"/>
      <c r="P21960"/>
      <c r="Q21960"/>
      <c r="R21960"/>
      <c r="S21960"/>
    </row>
    <row r="21961" spans="13:19" ht="13.95" customHeight="1">
      <c r="M21961"/>
      <c r="N21961"/>
      <c r="O21961"/>
      <c r="P21961"/>
      <c r="Q21961"/>
      <c r="R21961"/>
      <c r="S21961"/>
    </row>
    <row r="21962" spans="13:19" ht="13.95" customHeight="1">
      <c r="M21962"/>
      <c r="N21962"/>
      <c r="O21962"/>
      <c r="P21962"/>
      <c r="Q21962"/>
      <c r="R21962"/>
      <c r="S21962"/>
    </row>
    <row r="21963" spans="13:19" ht="13.95" customHeight="1">
      <c r="M21963"/>
      <c r="N21963"/>
      <c r="O21963"/>
      <c r="P21963"/>
      <c r="Q21963"/>
      <c r="R21963"/>
      <c r="S21963"/>
    </row>
    <row r="21964" spans="13:19" ht="13.95" customHeight="1">
      <c r="M21964"/>
      <c r="N21964"/>
      <c r="O21964"/>
      <c r="P21964"/>
      <c r="Q21964"/>
      <c r="R21964"/>
      <c r="S21964"/>
    </row>
    <row r="21965" spans="13:19" ht="13.95" customHeight="1">
      <c r="M21965"/>
      <c r="N21965"/>
      <c r="O21965"/>
      <c r="P21965"/>
      <c r="Q21965"/>
      <c r="R21965"/>
      <c r="S21965"/>
    </row>
    <row r="21966" spans="13:19" ht="13.95" customHeight="1">
      <c r="M21966"/>
      <c r="N21966"/>
      <c r="O21966"/>
      <c r="P21966"/>
      <c r="Q21966"/>
      <c r="R21966"/>
      <c r="S21966"/>
    </row>
    <row r="21967" spans="13:19" ht="13.95" customHeight="1">
      <c r="M21967"/>
      <c r="N21967"/>
      <c r="O21967"/>
      <c r="P21967"/>
      <c r="Q21967"/>
      <c r="R21967"/>
      <c r="S21967"/>
    </row>
    <row r="21968" spans="13:19" ht="13.95" customHeight="1">
      <c r="M21968"/>
      <c r="N21968"/>
      <c r="O21968"/>
      <c r="P21968"/>
      <c r="Q21968"/>
      <c r="R21968"/>
      <c r="S21968"/>
    </row>
    <row r="21969" spans="13:19" ht="13.95" customHeight="1">
      <c r="M21969"/>
      <c r="N21969"/>
      <c r="O21969"/>
      <c r="P21969"/>
      <c r="Q21969"/>
      <c r="R21969"/>
      <c r="S21969"/>
    </row>
    <row r="21970" spans="13:19" ht="13.95" customHeight="1">
      <c r="M21970"/>
      <c r="N21970"/>
      <c r="O21970"/>
      <c r="P21970"/>
      <c r="Q21970"/>
      <c r="R21970"/>
      <c r="S21970"/>
    </row>
    <row r="21971" spans="13:19" ht="13.95" customHeight="1">
      <c r="M21971"/>
      <c r="N21971"/>
      <c r="O21971"/>
      <c r="P21971"/>
      <c r="Q21971"/>
      <c r="R21971"/>
      <c r="S21971"/>
    </row>
    <row r="21972" spans="13:19" ht="13.95" customHeight="1">
      <c r="M21972"/>
      <c r="N21972"/>
      <c r="O21972"/>
      <c r="P21972"/>
      <c r="Q21972"/>
      <c r="R21972"/>
      <c r="S21972"/>
    </row>
    <row r="21973" spans="13:19" ht="13.95" customHeight="1">
      <c r="M21973"/>
      <c r="N21973"/>
      <c r="O21973"/>
      <c r="P21973"/>
      <c r="Q21973"/>
      <c r="R21973"/>
      <c r="S21973"/>
    </row>
    <row r="21974" spans="13:19" ht="13.95" customHeight="1">
      <c r="M21974"/>
      <c r="N21974"/>
      <c r="O21974"/>
      <c r="P21974"/>
      <c r="Q21974"/>
      <c r="R21974"/>
      <c r="S21974"/>
    </row>
    <row r="21975" spans="13:19" ht="13.95" customHeight="1">
      <c r="M21975"/>
      <c r="N21975"/>
      <c r="O21975"/>
      <c r="P21975"/>
      <c r="Q21975"/>
      <c r="R21975"/>
      <c r="S21975"/>
    </row>
    <row r="21976" spans="13:19" ht="13.95" customHeight="1">
      <c r="M21976"/>
      <c r="N21976"/>
      <c r="O21976"/>
      <c r="P21976"/>
      <c r="Q21976"/>
      <c r="R21976"/>
      <c r="S21976"/>
    </row>
    <row r="21977" spans="13:19" ht="13.95" customHeight="1">
      <c r="M21977"/>
      <c r="N21977"/>
      <c r="O21977"/>
      <c r="P21977"/>
      <c r="Q21977"/>
      <c r="R21977"/>
      <c r="S21977"/>
    </row>
    <row r="21978" spans="13:19" ht="13.95" customHeight="1">
      <c r="M21978"/>
      <c r="N21978"/>
      <c r="O21978"/>
      <c r="P21978"/>
      <c r="Q21978"/>
      <c r="R21978"/>
      <c r="S21978"/>
    </row>
    <row r="21979" spans="13:19" ht="13.95" customHeight="1">
      <c r="M21979"/>
      <c r="N21979"/>
      <c r="O21979"/>
      <c r="P21979"/>
      <c r="Q21979"/>
      <c r="R21979"/>
      <c r="S21979"/>
    </row>
    <row r="21980" spans="13:19" ht="13.95" customHeight="1">
      <c r="M21980"/>
      <c r="N21980"/>
      <c r="O21980"/>
      <c r="P21980"/>
      <c r="Q21980"/>
      <c r="R21980"/>
      <c r="S21980"/>
    </row>
    <row r="21981" spans="13:19" ht="13.95" customHeight="1">
      <c r="M21981"/>
      <c r="N21981"/>
      <c r="O21981"/>
      <c r="P21981"/>
      <c r="Q21981"/>
      <c r="R21981"/>
      <c r="S21981"/>
    </row>
    <row r="21982" spans="13:19" ht="13.95" customHeight="1">
      <c r="M21982"/>
      <c r="N21982"/>
      <c r="O21982"/>
      <c r="P21982"/>
      <c r="Q21982"/>
      <c r="R21982"/>
      <c r="S21982"/>
    </row>
    <row r="21983" spans="13:19" ht="13.95" customHeight="1">
      <c r="M21983"/>
      <c r="N21983"/>
      <c r="O21983"/>
      <c r="P21983"/>
      <c r="Q21983"/>
      <c r="R21983"/>
      <c r="S21983"/>
    </row>
    <row r="21984" spans="13:19" ht="13.95" customHeight="1">
      <c r="M21984"/>
      <c r="N21984"/>
      <c r="O21984"/>
      <c r="P21984"/>
      <c r="Q21984"/>
      <c r="R21984"/>
      <c r="S21984"/>
    </row>
    <row r="21985" spans="13:19" ht="13.95" customHeight="1">
      <c r="M21985"/>
      <c r="N21985"/>
      <c r="O21985"/>
      <c r="P21985"/>
      <c r="Q21985"/>
      <c r="R21985"/>
      <c r="S21985"/>
    </row>
    <row r="21986" spans="13:19" ht="13.95" customHeight="1">
      <c r="M21986"/>
      <c r="N21986"/>
      <c r="O21986"/>
      <c r="P21986"/>
      <c r="Q21986"/>
      <c r="R21986"/>
      <c r="S21986"/>
    </row>
    <row r="21987" spans="13:19" ht="13.95" customHeight="1">
      <c r="M21987"/>
      <c r="N21987"/>
      <c r="O21987"/>
      <c r="P21987"/>
      <c r="Q21987"/>
      <c r="R21987"/>
      <c r="S21987"/>
    </row>
    <row r="21988" spans="13:19" ht="13.95" customHeight="1">
      <c r="M21988"/>
      <c r="N21988"/>
      <c r="O21988"/>
      <c r="P21988"/>
      <c r="Q21988"/>
      <c r="R21988"/>
      <c r="S21988"/>
    </row>
    <row r="21989" spans="13:19" ht="13.95" customHeight="1">
      <c r="M21989"/>
      <c r="N21989"/>
      <c r="O21989"/>
      <c r="P21989"/>
      <c r="Q21989"/>
      <c r="R21989"/>
      <c r="S21989"/>
    </row>
    <row r="21990" spans="13:19" ht="13.95" customHeight="1">
      <c r="M21990"/>
      <c r="N21990"/>
      <c r="O21990"/>
      <c r="P21990"/>
      <c r="Q21990"/>
      <c r="R21990"/>
      <c r="S21990"/>
    </row>
    <row r="21991" spans="13:19" ht="13.95" customHeight="1">
      <c r="M21991"/>
      <c r="N21991"/>
      <c r="O21991"/>
      <c r="P21991"/>
      <c r="Q21991"/>
      <c r="R21991"/>
      <c r="S21991"/>
    </row>
    <row r="21992" spans="13:19" ht="13.95" customHeight="1">
      <c r="M21992"/>
      <c r="N21992"/>
      <c r="O21992"/>
      <c r="P21992"/>
      <c r="Q21992"/>
      <c r="R21992"/>
      <c r="S21992"/>
    </row>
    <row r="21993" spans="13:19" ht="13.95" customHeight="1">
      <c r="M21993"/>
      <c r="N21993"/>
      <c r="O21993"/>
      <c r="P21993"/>
      <c r="Q21993"/>
      <c r="R21993"/>
      <c r="S21993"/>
    </row>
    <row r="21994" spans="13:19" ht="13.95" customHeight="1">
      <c r="M21994"/>
      <c r="N21994"/>
      <c r="O21994"/>
      <c r="P21994"/>
      <c r="Q21994"/>
      <c r="R21994"/>
      <c r="S21994"/>
    </row>
    <row r="21995" spans="13:19" ht="13.95" customHeight="1">
      <c r="M21995"/>
      <c r="N21995"/>
      <c r="O21995"/>
      <c r="P21995"/>
      <c r="Q21995"/>
      <c r="R21995"/>
      <c r="S21995"/>
    </row>
    <row r="21996" spans="13:19" ht="13.95" customHeight="1">
      <c r="M21996"/>
      <c r="N21996"/>
      <c r="O21996"/>
      <c r="P21996"/>
      <c r="Q21996"/>
      <c r="R21996"/>
      <c r="S21996"/>
    </row>
    <row r="21997" spans="13:19" ht="13.95" customHeight="1">
      <c r="M21997"/>
      <c r="N21997"/>
      <c r="O21997"/>
      <c r="P21997"/>
      <c r="Q21997"/>
      <c r="R21997"/>
      <c r="S21997"/>
    </row>
    <row r="21998" spans="13:19" ht="13.95" customHeight="1">
      <c r="M21998"/>
      <c r="N21998"/>
      <c r="O21998"/>
      <c r="P21998"/>
      <c r="Q21998"/>
      <c r="R21998"/>
      <c r="S21998"/>
    </row>
    <row r="21999" spans="13:19" ht="13.95" customHeight="1">
      <c r="M21999"/>
      <c r="N21999"/>
      <c r="O21999"/>
      <c r="P21999"/>
      <c r="Q21999"/>
      <c r="R21999"/>
      <c r="S21999"/>
    </row>
    <row r="22000" spans="13:19" ht="13.95" customHeight="1">
      <c r="M22000"/>
      <c r="N22000"/>
      <c r="O22000"/>
      <c r="P22000"/>
      <c r="Q22000"/>
      <c r="R22000"/>
      <c r="S22000"/>
    </row>
    <row r="22001" spans="13:19" ht="13.95" customHeight="1">
      <c r="M22001"/>
      <c r="N22001"/>
      <c r="O22001"/>
      <c r="P22001"/>
      <c r="Q22001"/>
      <c r="R22001"/>
      <c r="S22001"/>
    </row>
    <row r="22002" spans="13:19" ht="13.95" customHeight="1">
      <c r="M22002"/>
      <c r="N22002"/>
      <c r="O22002"/>
      <c r="P22002"/>
      <c r="Q22002"/>
      <c r="R22002"/>
      <c r="S22002"/>
    </row>
    <row r="22003" spans="13:19" ht="13.95" customHeight="1">
      <c r="M22003"/>
      <c r="N22003"/>
      <c r="O22003"/>
      <c r="P22003"/>
      <c r="Q22003"/>
      <c r="R22003"/>
      <c r="S22003"/>
    </row>
    <row r="22004" spans="13:19" ht="13.95" customHeight="1">
      <c r="M22004"/>
      <c r="N22004"/>
      <c r="O22004"/>
      <c r="P22004"/>
      <c r="Q22004"/>
      <c r="R22004"/>
      <c r="S22004"/>
    </row>
    <row r="22005" spans="13:19" ht="13.95" customHeight="1">
      <c r="M22005"/>
      <c r="N22005"/>
      <c r="O22005"/>
      <c r="P22005"/>
      <c r="Q22005"/>
      <c r="R22005"/>
      <c r="S22005"/>
    </row>
    <row r="22006" spans="13:19" ht="13.95" customHeight="1">
      <c r="M22006"/>
      <c r="N22006"/>
      <c r="O22006"/>
      <c r="P22006"/>
      <c r="Q22006"/>
      <c r="R22006"/>
      <c r="S22006"/>
    </row>
    <row r="22007" spans="13:19" ht="13.95" customHeight="1">
      <c r="M22007"/>
      <c r="N22007"/>
      <c r="O22007"/>
      <c r="P22007"/>
      <c r="Q22007"/>
      <c r="R22007"/>
      <c r="S22007"/>
    </row>
    <row r="22008" spans="13:19" ht="13.95" customHeight="1">
      <c r="M22008"/>
      <c r="N22008"/>
      <c r="O22008"/>
      <c r="P22008"/>
      <c r="Q22008"/>
      <c r="R22008"/>
      <c r="S22008"/>
    </row>
    <row r="22009" spans="13:19" ht="13.95" customHeight="1">
      <c r="M22009"/>
      <c r="N22009"/>
      <c r="O22009"/>
      <c r="P22009"/>
      <c r="Q22009"/>
      <c r="R22009"/>
      <c r="S22009"/>
    </row>
    <row r="22010" spans="13:19" ht="13.95" customHeight="1">
      <c r="M22010"/>
      <c r="N22010"/>
      <c r="O22010"/>
      <c r="P22010"/>
      <c r="Q22010"/>
      <c r="R22010"/>
      <c r="S22010"/>
    </row>
    <row r="22011" spans="13:19" ht="13.95" customHeight="1">
      <c r="M22011"/>
      <c r="N22011"/>
      <c r="O22011"/>
      <c r="P22011"/>
      <c r="Q22011"/>
      <c r="R22011"/>
      <c r="S22011"/>
    </row>
    <row r="22012" spans="13:19" ht="13.95" customHeight="1">
      <c r="M22012"/>
      <c r="N22012"/>
      <c r="O22012"/>
      <c r="P22012"/>
      <c r="Q22012"/>
      <c r="R22012"/>
      <c r="S22012"/>
    </row>
    <row r="22013" spans="13:19" ht="13.95" customHeight="1">
      <c r="M22013"/>
      <c r="N22013"/>
      <c r="O22013"/>
      <c r="P22013"/>
      <c r="Q22013"/>
      <c r="R22013"/>
      <c r="S22013"/>
    </row>
    <row r="22014" spans="13:19" ht="13.95" customHeight="1">
      <c r="M22014"/>
      <c r="N22014"/>
      <c r="O22014"/>
      <c r="P22014"/>
      <c r="Q22014"/>
      <c r="R22014"/>
      <c r="S22014"/>
    </row>
    <row r="22015" spans="13:19" ht="13.95" customHeight="1">
      <c r="M22015"/>
      <c r="N22015"/>
      <c r="O22015"/>
      <c r="P22015"/>
      <c r="Q22015"/>
      <c r="R22015"/>
      <c r="S22015"/>
    </row>
    <row r="22016" spans="13:19" ht="13.95" customHeight="1">
      <c r="M22016"/>
      <c r="N22016"/>
      <c r="O22016"/>
      <c r="P22016"/>
      <c r="Q22016"/>
      <c r="R22016"/>
      <c r="S22016"/>
    </row>
    <row r="22017" spans="13:19" ht="13.95" customHeight="1">
      <c r="M22017"/>
      <c r="N22017"/>
      <c r="O22017"/>
      <c r="P22017"/>
      <c r="Q22017"/>
      <c r="R22017"/>
      <c r="S22017"/>
    </row>
    <row r="22018" spans="13:19" ht="13.95" customHeight="1">
      <c r="M22018"/>
      <c r="N22018"/>
      <c r="O22018"/>
      <c r="P22018"/>
      <c r="Q22018"/>
      <c r="R22018"/>
      <c r="S22018"/>
    </row>
    <row r="22019" spans="13:19" ht="13.95" customHeight="1">
      <c r="M22019"/>
      <c r="N22019"/>
      <c r="O22019"/>
      <c r="P22019"/>
      <c r="Q22019"/>
      <c r="R22019"/>
      <c r="S22019"/>
    </row>
    <row r="22020" spans="13:19" ht="13.95" customHeight="1">
      <c r="M22020"/>
      <c r="N22020"/>
      <c r="O22020"/>
      <c r="P22020"/>
      <c r="Q22020"/>
      <c r="R22020"/>
      <c r="S22020"/>
    </row>
    <row r="22021" spans="13:19" ht="13.95" customHeight="1">
      <c r="M22021"/>
      <c r="N22021"/>
      <c r="O22021"/>
      <c r="P22021"/>
      <c r="Q22021"/>
      <c r="R22021"/>
      <c r="S22021"/>
    </row>
    <row r="22022" spans="13:19" ht="13.95" customHeight="1">
      <c r="M22022"/>
      <c r="N22022"/>
      <c r="O22022"/>
      <c r="P22022"/>
      <c r="Q22022"/>
      <c r="R22022"/>
      <c r="S22022"/>
    </row>
    <row r="22023" spans="13:19" ht="13.95" customHeight="1">
      <c r="M22023"/>
      <c r="N22023"/>
      <c r="O22023"/>
      <c r="P22023"/>
      <c r="Q22023"/>
      <c r="R22023"/>
      <c r="S22023"/>
    </row>
    <row r="22024" spans="13:19" ht="13.95" customHeight="1">
      <c r="M22024"/>
      <c r="N22024"/>
      <c r="O22024"/>
      <c r="P22024"/>
      <c r="Q22024"/>
      <c r="R22024"/>
      <c r="S22024"/>
    </row>
    <row r="22025" spans="13:19" ht="13.95" customHeight="1">
      <c r="M22025"/>
      <c r="N22025"/>
      <c r="O22025"/>
      <c r="P22025"/>
      <c r="Q22025"/>
      <c r="R22025"/>
      <c r="S22025"/>
    </row>
    <row r="22026" spans="13:19" ht="13.95" customHeight="1">
      <c r="M22026"/>
      <c r="N22026"/>
      <c r="O22026"/>
      <c r="P22026"/>
      <c r="Q22026"/>
      <c r="R22026"/>
      <c r="S22026"/>
    </row>
    <row r="22027" spans="13:19" ht="13.95" customHeight="1">
      <c r="M22027"/>
      <c r="N22027"/>
      <c r="O22027"/>
      <c r="P22027"/>
      <c r="Q22027"/>
      <c r="R22027"/>
      <c r="S22027"/>
    </row>
    <row r="22028" spans="13:19" ht="13.95" customHeight="1">
      <c r="M22028"/>
      <c r="N22028"/>
      <c r="O22028"/>
      <c r="P22028"/>
      <c r="Q22028"/>
      <c r="R22028"/>
      <c r="S22028"/>
    </row>
    <row r="22029" spans="13:19" ht="13.95" customHeight="1">
      <c r="M22029"/>
      <c r="N22029"/>
      <c r="O22029"/>
      <c r="P22029"/>
      <c r="Q22029"/>
      <c r="R22029"/>
      <c r="S22029"/>
    </row>
    <row r="22030" spans="13:19" ht="13.95" customHeight="1">
      <c r="M22030"/>
      <c r="N22030"/>
      <c r="O22030"/>
      <c r="P22030"/>
      <c r="Q22030"/>
      <c r="R22030"/>
      <c r="S22030"/>
    </row>
    <row r="22031" spans="13:19" ht="13.95" customHeight="1">
      <c r="M22031"/>
      <c r="N22031"/>
      <c r="O22031"/>
      <c r="P22031"/>
      <c r="Q22031"/>
      <c r="R22031"/>
      <c r="S22031"/>
    </row>
    <row r="22032" spans="13:19" ht="13.95" customHeight="1">
      <c r="M22032"/>
      <c r="N22032"/>
      <c r="O22032"/>
      <c r="P22032"/>
      <c r="Q22032"/>
      <c r="R22032"/>
      <c r="S22032"/>
    </row>
    <row r="22033" spans="13:19" ht="13.95" customHeight="1">
      <c r="M22033"/>
      <c r="N22033"/>
      <c r="O22033"/>
      <c r="P22033"/>
      <c r="Q22033"/>
      <c r="R22033"/>
      <c r="S22033"/>
    </row>
    <row r="22034" spans="13:19" ht="13.95" customHeight="1">
      <c r="M22034"/>
      <c r="N22034"/>
      <c r="O22034"/>
      <c r="P22034"/>
      <c r="Q22034"/>
      <c r="R22034"/>
      <c r="S22034"/>
    </row>
    <row r="22035" spans="13:19" ht="13.95" customHeight="1">
      <c r="M22035"/>
      <c r="N22035"/>
      <c r="O22035"/>
      <c r="P22035"/>
      <c r="Q22035"/>
      <c r="R22035"/>
      <c r="S22035"/>
    </row>
    <row r="22036" spans="13:19" ht="13.95" customHeight="1">
      <c r="M22036"/>
      <c r="N22036"/>
      <c r="O22036"/>
      <c r="P22036"/>
      <c r="Q22036"/>
      <c r="R22036"/>
      <c r="S22036"/>
    </row>
    <row r="22037" spans="13:19" ht="13.95" customHeight="1">
      <c r="M22037"/>
      <c r="N22037"/>
      <c r="O22037"/>
      <c r="P22037"/>
      <c r="Q22037"/>
      <c r="R22037"/>
      <c r="S22037"/>
    </row>
    <row r="22038" spans="13:19" ht="13.95" customHeight="1">
      <c r="M22038"/>
      <c r="N22038"/>
      <c r="O22038"/>
      <c r="P22038"/>
      <c r="Q22038"/>
      <c r="R22038"/>
      <c r="S22038"/>
    </row>
    <row r="22039" spans="13:19" ht="13.95" customHeight="1">
      <c r="M22039"/>
      <c r="N22039"/>
      <c r="O22039"/>
      <c r="P22039"/>
      <c r="Q22039"/>
      <c r="R22039"/>
      <c r="S22039"/>
    </row>
    <row r="22040" spans="13:19" ht="13.95" customHeight="1">
      <c r="M22040"/>
      <c r="N22040"/>
      <c r="O22040"/>
      <c r="P22040"/>
      <c r="Q22040"/>
      <c r="R22040"/>
      <c r="S22040"/>
    </row>
    <row r="22041" spans="13:19" ht="13.95" customHeight="1">
      <c r="M22041"/>
      <c r="N22041"/>
      <c r="O22041"/>
      <c r="P22041"/>
      <c r="Q22041"/>
      <c r="R22041"/>
      <c r="S22041"/>
    </row>
    <row r="22042" spans="13:19" ht="13.95" customHeight="1">
      <c r="M22042"/>
      <c r="N22042"/>
      <c r="O22042"/>
      <c r="P22042"/>
      <c r="Q22042"/>
      <c r="R22042"/>
      <c r="S22042"/>
    </row>
    <row r="22043" spans="13:19" ht="13.95" customHeight="1">
      <c r="M22043"/>
      <c r="N22043"/>
      <c r="O22043"/>
      <c r="P22043"/>
      <c r="Q22043"/>
      <c r="R22043"/>
      <c r="S22043"/>
    </row>
    <row r="22044" spans="13:19" ht="13.95" customHeight="1">
      <c r="M22044"/>
      <c r="N22044"/>
      <c r="O22044"/>
      <c r="P22044"/>
      <c r="Q22044"/>
      <c r="R22044"/>
      <c r="S22044"/>
    </row>
    <row r="22045" spans="13:19" ht="13.95" customHeight="1">
      <c r="M22045"/>
      <c r="N22045"/>
      <c r="O22045"/>
      <c r="P22045"/>
      <c r="Q22045"/>
      <c r="R22045"/>
      <c r="S22045"/>
    </row>
    <row r="22046" spans="13:19" ht="13.95" customHeight="1">
      <c r="M22046"/>
      <c r="N22046"/>
      <c r="O22046"/>
      <c r="P22046"/>
      <c r="Q22046"/>
      <c r="R22046"/>
      <c r="S22046"/>
    </row>
    <row r="22047" spans="13:19" ht="13.95" customHeight="1">
      <c r="M22047"/>
      <c r="N22047"/>
      <c r="O22047"/>
      <c r="P22047"/>
      <c r="Q22047"/>
      <c r="R22047"/>
      <c r="S22047"/>
    </row>
    <row r="22048" spans="13:19" ht="13.95" customHeight="1">
      <c r="M22048"/>
      <c r="N22048"/>
      <c r="O22048"/>
      <c r="P22048"/>
      <c r="Q22048"/>
      <c r="R22048"/>
      <c r="S22048"/>
    </row>
    <row r="22049" spans="13:19" ht="13.95" customHeight="1">
      <c r="M22049"/>
      <c r="N22049"/>
      <c r="O22049"/>
      <c r="P22049"/>
      <c r="Q22049"/>
      <c r="R22049"/>
      <c r="S22049"/>
    </row>
    <row r="22050" spans="13:19" ht="13.95" customHeight="1">
      <c r="M22050"/>
      <c r="N22050"/>
      <c r="O22050"/>
      <c r="P22050"/>
      <c r="Q22050"/>
      <c r="R22050"/>
      <c r="S22050"/>
    </row>
    <row r="22051" spans="13:19" ht="13.95" customHeight="1">
      <c r="M22051"/>
      <c r="N22051"/>
      <c r="O22051"/>
      <c r="P22051"/>
      <c r="Q22051"/>
      <c r="R22051"/>
      <c r="S22051"/>
    </row>
    <row r="22052" spans="13:19" ht="13.95" customHeight="1">
      <c r="M22052"/>
      <c r="N22052"/>
      <c r="O22052"/>
      <c r="P22052"/>
      <c r="Q22052"/>
      <c r="R22052"/>
      <c r="S22052"/>
    </row>
    <row r="22053" spans="13:19" ht="13.95" customHeight="1">
      <c r="M22053"/>
      <c r="N22053"/>
      <c r="O22053"/>
      <c r="P22053"/>
      <c r="Q22053"/>
      <c r="R22053"/>
      <c r="S22053"/>
    </row>
    <row r="22054" spans="13:19" ht="13.95" customHeight="1">
      <c r="M22054"/>
      <c r="N22054"/>
      <c r="O22054"/>
      <c r="P22054"/>
      <c r="Q22054"/>
      <c r="R22054"/>
      <c r="S22054"/>
    </row>
    <row r="22055" spans="13:19" ht="13.95" customHeight="1">
      <c r="M22055"/>
      <c r="N22055"/>
      <c r="O22055"/>
      <c r="P22055"/>
      <c r="Q22055"/>
      <c r="R22055"/>
      <c r="S22055"/>
    </row>
    <row r="22056" spans="13:19" ht="13.95" customHeight="1">
      <c r="M22056"/>
      <c r="N22056"/>
      <c r="O22056"/>
      <c r="P22056"/>
      <c r="Q22056"/>
      <c r="R22056"/>
      <c r="S22056"/>
    </row>
    <row r="22057" spans="13:19" ht="13.95" customHeight="1">
      <c r="M22057"/>
      <c r="N22057"/>
      <c r="O22057"/>
      <c r="P22057"/>
      <c r="Q22057"/>
      <c r="R22057"/>
      <c r="S22057"/>
    </row>
    <row r="22058" spans="13:19" ht="13.95" customHeight="1">
      <c r="M22058"/>
      <c r="N22058"/>
      <c r="O22058"/>
      <c r="P22058"/>
      <c r="Q22058"/>
      <c r="R22058"/>
      <c r="S22058"/>
    </row>
    <row r="22059" spans="13:19" ht="13.95" customHeight="1">
      <c r="M22059"/>
      <c r="N22059"/>
      <c r="O22059"/>
      <c r="P22059"/>
      <c r="Q22059"/>
      <c r="R22059"/>
      <c r="S22059"/>
    </row>
    <row r="22060" spans="13:19" ht="13.95" customHeight="1">
      <c r="M22060"/>
      <c r="N22060"/>
      <c r="O22060"/>
      <c r="P22060"/>
      <c r="Q22060"/>
      <c r="R22060"/>
      <c r="S22060"/>
    </row>
    <row r="22061" spans="13:19" ht="13.95" customHeight="1">
      <c r="M22061"/>
      <c r="N22061"/>
      <c r="O22061"/>
      <c r="P22061"/>
      <c r="Q22061"/>
      <c r="R22061"/>
      <c r="S22061"/>
    </row>
    <row r="22062" spans="13:19" ht="13.95" customHeight="1">
      <c r="M22062"/>
      <c r="N22062"/>
      <c r="O22062"/>
      <c r="P22062"/>
      <c r="Q22062"/>
      <c r="R22062"/>
      <c r="S22062"/>
    </row>
    <row r="22063" spans="13:19" ht="13.95" customHeight="1">
      <c r="M22063"/>
      <c r="N22063"/>
      <c r="O22063"/>
      <c r="P22063"/>
      <c r="Q22063"/>
      <c r="R22063"/>
      <c r="S22063"/>
    </row>
    <row r="22064" spans="13:19" ht="13.95" customHeight="1">
      <c r="M22064"/>
      <c r="N22064"/>
      <c r="O22064"/>
      <c r="P22064"/>
      <c r="Q22064"/>
      <c r="R22064"/>
      <c r="S22064"/>
    </row>
    <row r="22065" spans="13:19" ht="13.95" customHeight="1">
      <c r="M22065"/>
      <c r="N22065"/>
      <c r="O22065"/>
      <c r="P22065"/>
      <c r="Q22065"/>
      <c r="R22065"/>
      <c r="S22065"/>
    </row>
    <row r="22066" spans="13:19" ht="13.95" customHeight="1">
      <c r="M22066"/>
      <c r="N22066"/>
      <c r="O22066"/>
      <c r="P22066"/>
      <c r="Q22066"/>
      <c r="R22066"/>
      <c r="S22066"/>
    </row>
    <row r="22067" spans="13:19" ht="13.95" customHeight="1">
      <c r="M22067"/>
      <c r="N22067"/>
      <c r="O22067"/>
      <c r="P22067"/>
      <c r="Q22067"/>
      <c r="R22067"/>
      <c r="S22067"/>
    </row>
    <row r="22068" spans="13:19" ht="13.95" customHeight="1">
      <c r="M22068"/>
      <c r="N22068"/>
      <c r="O22068"/>
      <c r="P22068"/>
      <c r="Q22068"/>
      <c r="R22068"/>
      <c r="S22068"/>
    </row>
    <row r="22069" spans="13:19" ht="13.95" customHeight="1">
      <c r="M22069"/>
      <c r="N22069"/>
      <c r="O22069"/>
      <c r="P22069"/>
      <c r="Q22069"/>
      <c r="R22069"/>
      <c r="S22069"/>
    </row>
    <row r="22070" spans="13:19" ht="13.95" customHeight="1">
      <c r="M22070"/>
      <c r="N22070"/>
      <c r="O22070"/>
      <c r="P22070"/>
      <c r="Q22070"/>
      <c r="R22070"/>
      <c r="S22070"/>
    </row>
    <row r="22071" spans="13:19" ht="13.95" customHeight="1">
      <c r="M22071"/>
      <c r="N22071"/>
      <c r="O22071"/>
      <c r="P22071"/>
      <c r="Q22071"/>
      <c r="R22071"/>
      <c r="S22071"/>
    </row>
    <row r="22072" spans="13:19" ht="13.95" customHeight="1">
      <c r="M22072"/>
      <c r="N22072"/>
      <c r="O22072"/>
      <c r="P22072"/>
      <c r="Q22072"/>
      <c r="R22072"/>
      <c r="S22072"/>
    </row>
    <row r="22073" spans="13:19" ht="13.95" customHeight="1">
      <c r="M22073"/>
      <c r="N22073"/>
      <c r="O22073"/>
      <c r="P22073"/>
      <c r="Q22073"/>
      <c r="R22073"/>
      <c r="S22073"/>
    </row>
    <row r="22074" spans="13:19" ht="13.95" customHeight="1">
      <c r="M22074"/>
      <c r="N22074"/>
      <c r="O22074"/>
      <c r="P22074"/>
      <c r="Q22074"/>
      <c r="R22074"/>
      <c r="S22074"/>
    </row>
    <row r="22075" spans="13:19" ht="13.95" customHeight="1">
      <c r="M22075"/>
      <c r="N22075"/>
      <c r="O22075"/>
      <c r="P22075"/>
      <c r="Q22075"/>
      <c r="R22075"/>
      <c r="S22075"/>
    </row>
    <row r="22076" spans="13:19" ht="13.95" customHeight="1">
      <c r="M22076"/>
      <c r="N22076"/>
      <c r="O22076"/>
      <c r="P22076"/>
      <c r="Q22076"/>
      <c r="R22076"/>
      <c r="S22076"/>
    </row>
    <row r="22077" spans="13:19" ht="13.95" customHeight="1">
      <c r="M22077"/>
      <c r="N22077"/>
      <c r="O22077"/>
      <c r="P22077"/>
      <c r="Q22077"/>
      <c r="R22077"/>
      <c r="S22077"/>
    </row>
    <row r="22078" spans="13:19" ht="13.95" customHeight="1">
      <c r="M22078"/>
      <c r="N22078"/>
      <c r="O22078"/>
      <c r="P22078"/>
      <c r="Q22078"/>
      <c r="R22078"/>
      <c r="S22078"/>
    </row>
    <row r="22079" spans="13:19" ht="13.95" customHeight="1">
      <c r="M22079"/>
      <c r="N22079"/>
      <c r="O22079"/>
      <c r="P22079"/>
      <c r="Q22079"/>
      <c r="R22079"/>
      <c r="S22079"/>
    </row>
    <row r="22080" spans="13:19" ht="13.95" customHeight="1">
      <c r="M22080"/>
      <c r="N22080"/>
      <c r="O22080"/>
      <c r="P22080"/>
      <c r="Q22080"/>
      <c r="R22080"/>
      <c r="S22080"/>
    </row>
    <row r="22081" spans="13:19" ht="13.95" customHeight="1">
      <c r="M22081"/>
      <c r="N22081"/>
      <c r="O22081"/>
      <c r="P22081"/>
      <c r="Q22081"/>
      <c r="R22081"/>
      <c r="S22081"/>
    </row>
    <row r="22082" spans="13:19" ht="13.95" customHeight="1">
      <c r="M22082"/>
      <c r="N22082"/>
      <c r="O22082"/>
      <c r="P22082"/>
      <c r="Q22082"/>
      <c r="R22082"/>
      <c r="S22082"/>
    </row>
    <row r="22083" spans="13:19" ht="13.95" customHeight="1">
      <c r="M22083"/>
      <c r="N22083"/>
      <c r="O22083"/>
      <c r="P22083"/>
      <c r="Q22083"/>
      <c r="R22083"/>
      <c r="S22083"/>
    </row>
    <row r="22084" spans="13:19" ht="13.95" customHeight="1">
      <c r="M22084"/>
      <c r="N22084"/>
      <c r="O22084"/>
      <c r="P22084"/>
      <c r="Q22084"/>
      <c r="R22084"/>
      <c r="S22084"/>
    </row>
    <row r="22085" spans="13:19" ht="13.95" customHeight="1">
      <c r="M22085"/>
      <c r="N22085"/>
      <c r="O22085"/>
      <c r="P22085"/>
      <c r="Q22085"/>
      <c r="R22085"/>
      <c r="S22085"/>
    </row>
    <row r="22086" spans="13:19" ht="13.95" customHeight="1">
      <c r="M22086"/>
      <c r="N22086"/>
      <c r="O22086"/>
      <c r="P22086"/>
      <c r="Q22086"/>
      <c r="R22086"/>
      <c r="S22086"/>
    </row>
    <row r="22087" spans="13:19" ht="13.95" customHeight="1">
      <c r="M22087"/>
      <c r="N22087"/>
      <c r="O22087"/>
      <c r="P22087"/>
      <c r="Q22087"/>
      <c r="R22087"/>
      <c r="S22087"/>
    </row>
    <row r="22088" spans="13:19" ht="13.95" customHeight="1">
      <c r="M22088"/>
      <c r="N22088"/>
      <c r="O22088"/>
      <c r="P22088"/>
      <c r="Q22088"/>
      <c r="R22088"/>
      <c r="S22088"/>
    </row>
    <row r="22089" spans="13:19" ht="13.95" customHeight="1">
      <c r="M22089"/>
      <c r="N22089"/>
      <c r="O22089"/>
      <c r="P22089"/>
      <c r="Q22089"/>
      <c r="R22089"/>
      <c r="S22089"/>
    </row>
    <row r="22090" spans="13:19" ht="13.95" customHeight="1">
      <c r="M22090"/>
      <c r="N22090"/>
      <c r="O22090"/>
      <c r="P22090"/>
      <c r="Q22090"/>
      <c r="R22090"/>
      <c r="S22090"/>
    </row>
    <row r="22091" spans="13:19" ht="13.95" customHeight="1">
      <c r="M22091"/>
      <c r="N22091"/>
      <c r="O22091"/>
      <c r="P22091"/>
      <c r="Q22091"/>
      <c r="R22091"/>
      <c r="S22091"/>
    </row>
    <row r="22092" spans="13:19" ht="13.95" customHeight="1">
      <c r="M22092"/>
      <c r="N22092"/>
      <c r="O22092"/>
      <c r="P22092"/>
      <c r="Q22092"/>
      <c r="R22092"/>
      <c r="S22092"/>
    </row>
    <row r="22093" spans="13:19" ht="13.95" customHeight="1">
      <c r="M22093"/>
      <c r="N22093"/>
      <c r="O22093"/>
      <c r="P22093"/>
      <c r="Q22093"/>
      <c r="R22093"/>
      <c r="S22093"/>
    </row>
    <row r="22094" spans="13:19" ht="13.95" customHeight="1">
      <c r="M22094"/>
      <c r="N22094"/>
      <c r="O22094"/>
      <c r="P22094"/>
      <c r="Q22094"/>
      <c r="R22094"/>
      <c r="S22094"/>
    </row>
    <row r="22095" spans="13:19" ht="13.95" customHeight="1">
      <c r="M22095"/>
      <c r="N22095"/>
      <c r="O22095"/>
      <c r="P22095"/>
      <c r="Q22095"/>
      <c r="R22095"/>
      <c r="S22095"/>
    </row>
    <row r="22096" spans="13:19" ht="13.95" customHeight="1">
      <c r="M22096"/>
      <c r="N22096"/>
      <c r="O22096"/>
      <c r="P22096"/>
      <c r="Q22096"/>
      <c r="R22096"/>
      <c r="S22096"/>
    </row>
    <row r="22097" spans="13:19" ht="13.95" customHeight="1">
      <c r="M22097"/>
      <c r="N22097"/>
      <c r="O22097"/>
      <c r="P22097"/>
      <c r="Q22097"/>
      <c r="R22097"/>
      <c r="S22097"/>
    </row>
    <row r="22098" spans="13:19" ht="13.95" customHeight="1">
      <c r="M22098"/>
      <c r="N22098"/>
      <c r="O22098"/>
      <c r="P22098"/>
      <c r="Q22098"/>
      <c r="R22098"/>
      <c r="S22098"/>
    </row>
    <row r="22099" spans="13:19" ht="13.95" customHeight="1">
      <c r="M22099"/>
      <c r="N22099"/>
      <c r="O22099"/>
      <c r="P22099"/>
      <c r="Q22099"/>
      <c r="R22099"/>
      <c r="S22099"/>
    </row>
    <row r="22100" spans="13:19" ht="13.95" customHeight="1">
      <c r="M22100"/>
      <c r="N22100"/>
      <c r="O22100"/>
      <c r="P22100"/>
      <c r="Q22100"/>
      <c r="R22100"/>
      <c r="S22100"/>
    </row>
    <row r="22101" spans="13:19" ht="13.95" customHeight="1">
      <c r="M22101"/>
      <c r="N22101"/>
      <c r="O22101"/>
      <c r="P22101"/>
      <c r="Q22101"/>
      <c r="R22101"/>
      <c r="S22101"/>
    </row>
    <row r="22102" spans="13:19" ht="13.95" customHeight="1">
      <c r="M22102"/>
      <c r="N22102"/>
      <c r="O22102"/>
      <c r="P22102"/>
      <c r="Q22102"/>
      <c r="R22102"/>
      <c r="S22102"/>
    </row>
    <row r="22103" spans="13:19" ht="13.95" customHeight="1">
      <c r="M22103"/>
      <c r="N22103"/>
      <c r="O22103"/>
      <c r="P22103"/>
      <c r="Q22103"/>
      <c r="R22103"/>
      <c r="S22103"/>
    </row>
    <row r="22104" spans="13:19" ht="13.95" customHeight="1">
      <c r="M22104"/>
      <c r="N22104"/>
      <c r="O22104"/>
      <c r="P22104"/>
      <c r="Q22104"/>
      <c r="R22104"/>
      <c r="S22104"/>
    </row>
    <row r="22105" spans="13:19" ht="13.95" customHeight="1">
      <c r="M22105"/>
      <c r="N22105"/>
      <c r="O22105"/>
      <c r="P22105"/>
      <c r="Q22105"/>
      <c r="R22105"/>
      <c r="S22105"/>
    </row>
    <row r="22106" spans="13:19" ht="13.95" customHeight="1">
      <c r="M22106"/>
      <c r="N22106"/>
      <c r="O22106"/>
      <c r="P22106"/>
      <c r="Q22106"/>
      <c r="R22106"/>
      <c r="S22106"/>
    </row>
    <row r="22107" spans="13:19" ht="13.95" customHeight="1">
      <c r="M22107"/>
      <c r="N22107"/>
      <c r="O22107"/>
      <c r="P22107"/>
      <c r="Q22107"/>
      <c r="R22107"/>
      <c r="S22107"/>
    </row>
    <row r="22108" spans="13:19" ht="13.95" customHeight="1">
      <c r="M22108"/>
      <c r="N22108"/>
      <c r="O22108"/>
      <c r="P22108"/>
      <c r="Q22108"/>
      <c r="R22108"/>
      <c r="S22108"/>
    </row>
    <row r="22109" spans="13:19" ht="13.95" customHeight="1">
      <c r="M22109"/>
      <c r="N22109"/>
      <c r="O22109"/>
      <c r="P22109"/>
      <c r="Q22109"/>
      <c r="R22109"/>
      <c r="S22109"/>
    </row>
    <row r="22110" spans="13:19" ht="13.95" customHeight="1">
      <c r="M22110"/>
      <c r="N22110"/>
      <c r="O22110"/>
      <c r="P22110"/>
      <c r="Q22110"/>
      <c r="R22110"/>
      <c r="S22110"/>
    </row>
    <row r="22111" spans="13:19" ht="13.95" customHeight="1">
      <c r="M22111"/>
      <c r="N22111"/>
      <c r="O22111"/>
      <c r="P22111"/>
      <c r="Q22111"/>
      <c r="R22111"/>
      <c r="S22111"/>
    </row>
    <row r="22112" spans="13:19" ht="13.95" customHeight="1">
      <c r="M22112"/>
      <c r="N22112"/>
      <c r="O22112"/>
      <c r="P22112"/>
      <c r="Q22112"/>
      <c r="R22112"/>
      <c r="S22112"/>
    </row>
    <row r="22113" spans="13:19" ht="13.95" customHeight="1">
      <c r="M22113"/>
      <c r="N22113"/>
      <c r="O22113"/>
      <c r="P22113"/>
      <c r="Q22113"/>
      <c r="R22113"/>
      <c r="S22113"/>
    </row>
    <row r="22114" spans="13:19" ht="13.95" customHeight="1">
      <c r="M22114"/>
      <c r="N22114"/>
      <c r="O22114"/>
      <c r="P22114"/>
      <c r="Q22114"/>
      <c r="R22114"/>
      <c r="S22114"/>
    </row>
    <row r="22115" spans="13:19" ht="13.95" customHeight="1">
      <c r="M22115"/>
      <c r="N22115"/>
      <c r="O22115"/>
      <c r="P22115"/>
      <c r="Q22115"/>
      <c r="R22115"/>
      <c r="S22115"/>
    </row>
    <row r="22116" spans="13:19" ht="13.95" customHeight="1">
      <c r="M22116"/>
      <c r="N22116"/>
      <c r="O22116"/>
      <c r="P22116"/>
      <c r="Q22116"/>
      <c r="R22116"/>
      <c r="S22116"/>
    </row>
    <row r="22117" spans="13:19" ht="13.95" customHeight="1">
      <c r="M22117"/>
      <c r="N22117"/>
      <c r="O22117"/>
      <c r="P22117"/>
      <c r="Q22117"/>
      <c r="R22117"/>
      <c r="S22117"/>
    </row>
    <row r="22118" spans="13:19" ht="13.95" customHeight="1">
      <c r="M22118"/>
      <c r="N22118"/>
      <c r="O22118"/>
      <c r="P22118"/>
      <c r="Q22118"/>
      <c r="R22118"/>
      <c r="S22118"/>
    </row>
    <row r="22119" spans="13:19" ht="13.95" customHeight="1">
      <c r="M22119"/>
      <c r="N22119"/>
      <c r="O22119"/>
      <c r="P22119"/>
      <c r="Q22119"/>
      <c r="R22119"/>
      <c r="S22119"/>
    </row>
    <row r="22120" spans="13:19" ht="13.95" customHeight="1">
      <c r="M22120"/>
      <c r="N22120"/>
      <c r="O22120"/>
      <c r="P22120"/>
      <c r="Q22120"/>
      <c r="R22120"/>
      <c r="S22120"/>
    </row>
    <row r="22121" spans="13:19" ht="13.95" customHeight="1">
      <c r="M22121"/>
      <c r="N22121"/>
      <c r="O22121"/>
      <c r="P22121"/>
      <c r="Q22121"/>
      <c r="R22121"/>
      <c r="S22121"/>
    </row>
    <row r="22122" spans="13:19" ht="13.95" customHeight="1">
      <c r="M22122"/>
      <c r="N22122"/>
      <c r="O22122"/>
      <c r="P22122"/>
      <c r="Q22122"/>
      <c r="R22122"/>
      <c r="S22122"/>
    </row>
    <row r="22123" spans="13:19" ht="13.95" customHeight="1">
      <c r="M22123"/>
      <c r="N22123"/>
      <c r="O22123"/>
      <c r="P22123"/>
      <c r="Q22123"/>
      <c r="R22123"/>
      <c r="S22123"/>
    </row>
    <row r="22124" spans="13:19" ht="13.95" customHeight="1">
      <c r="M22124"/>
      <c r="N22124"/>
      <c r="O22124"/>
      <c r="P22124"/>
      <c r="Q22124"/>
      <c r="R22124"/>
      <c r="S22124"/>
    </row>
    <row r="22125" spans="13:19" ht="13.95" customHeight="1">
      <c r="M22125"/>
      <c r="N22125"/>
      <c r="O22125"/>
      <c r="P22125"/>
      <c r="Q22125"/>
      <c r="R22125"/>
      <c r="S22125"/>
    </row>
    <row r="22126" spans="13:19" ht="13.95" customHeight="1">
      <c r="M22126"/>
      <c r="N22126"/>
      <c r="O22126"/>
      <c r="P22126"/>
      <c r="Q22126"/>
      <c r="R22126"/>
      <c r="S22126"/>
    </row>
    <row r="22127" spans="13:19" ht="13.95" customHeight="1">
      <c r="M22127"/>
      <c r="N22127"/>
      <c r="O22127"/>
      <c r="P22127"/>
      <c r="Q22127"/>
      <c r="R22127"/>
      <c r="S22127"/>
    </row>
    <row r="22128" spans="13:19" ht="13.95" customHeight="1">
      <c r="M22128"/>
      <c r="N22128"/>
      <c r="O22128"/>
      <c r="P22128"/>
      <c r="Q22128"/>
      <c r="R22128"/>
      <c r="S22128"/>
    </row>
    <row r="22129" spans="13:19" ht="13.95" customHeight="1">
      <c r="M22129"/>
      <c r="N22129"/>
      <c r="O22129"/>
      <c r="P22129"/>
      <c r="Q22129"/>
      <c r="R22129"/>
      <c r="S22129"/>
    </row>
    <row r="22130" spans="13:19" ht="13.95" customHeight="1">
      <c r="M22130"/>
      <c r="N22130"/>
      <c r="O22130"/>
      <c r="P22130"/>
      <c r="Q22130"/>
      <c r="R22130"/>
      <c r="S22130"/>
    </row>
    <row r="22131" spans="13:19" ht="13.95" customHeight="1">
      <c r="M22131"/>
      <c r="N22131"/>
      <c r="O22131"/>
      <c r="P22131"/>
      <c r="Q22131"/>
      <c r="R22131"/>
      <c r="S22131"/>
    </row>
    <row r="22132" spans="13:19" ht="13.95" customHeight="1">
      <c r="M22132"/>
      <c r="N22132"/>
      <c r="O22132"/>
      <c r="P22132"/>
      <c r="Q22132"/>
      <c r="R22132"/>
      <c r="S22132"/>
    </row>
    <row r="22133" spans="13:19" ht="13.95" customHeight="1">
      <c r="M22133"/>
      <c r="N22133"/>
      <c r="O22133"/>
      <c r="P22133"/>
      <c r="Q22133"/>
      <c r="R22133"/>
      <c r="S22133"/>
    </row>
    <row r="22134" spans="13:19" ht="13.95" customHeight="1">
      <c r="M22134"/>
      <c r="N22134"/>
      <c r="O22134"/>
      <c r="P22134"/>
      <c r="Q22134"/>
      <c r="R22134"/>
      <c r="S22134"/>
    </row>
    <row r="22135" spans="13:19" ht="13.95" customHeight="1">
      <c r="M22135"/>
      <c r="N22135"/>
      <c r="O22135"/>
      <c r="P22135"/>
      <c r="Q22135"/>
      <c r="R22135"/>
      <c r="S22135"/>
    </row>
    <row r="22136" spans="13:19" ht="13.95" customHeight="1">
      <c r="M22136"/>
      <c r="N22136"/>
      <c r="O22136"/>
      <c r="P22136"/>
      <c r="Q22136"/>
      <c r="R22136"/>
      <c r="S22136"/>
    </row>
    <row r="22137" spans="13:19" ht="13.95" customHeight="1">
      <c r="M22137"/>
      <c r="N22137"/>
      <c r="O22137"/>
      <c r="P22137"/>
      <c r="Q22137"/>
      <c r="R22137"/>
      <c r="S22137"/>
    </row>
    <row r="22138" spans="13:19" ht="13.95" customHeight="1">
      <c r="M22138"/>
      <c r="N22138"/>
      <c r="O22138"/>
      <c r="P22138"/>
      <c r="Q22138"/>
      <c r="R22138"/>
      <c r="S22138"/>
    </row>
    <row r="22139" spans="13:19" ht="13.95" customHeight="1">
      <c r="M22139"/>
      <c r="N22139"/>
      <c r="O22139"/>
      <c r="P22139"/>
      <c r="Q22139"/>
      <c r="R22139"/>
      <c r="S22139"/>
    </row>
    <row r="22140" spans="13:19" ht="13.95" customHeight="1">
      <c r="M22140"/>
      <c r="N22140"/>
      <c r="O22140"/>
      <c r="P22140"/>
      <c r="Q22140"/>
      <c r="R22140"/>
      <c r="S22140"/>
    </row>
    <row r="22141" spans="13:19" ht="13.95" customHeight="1">
      <c r="M22141"/>
      <c r="N22141"/>
      <c r="O22141"/>
      <c r="P22141"/>
      <c r="Q22141"/>
      <c r="R22141"/>
      <c r="S22141"/>
    </row>
    <row r="22142" spans="13:19" ht="13.95" customHeight="1">
      <c r="M22142"/>
      <c r="N22142"/>
      <c r="O22142"/>
      <c r="P22142"/>
      <c r="Q22142"/>
      <c r="R22142"/>
      <c r="S22142"/>
    </row>
    <row r="22143" spans="13:19" ht="13.95" customHeight="1">
      <c r="M22143"/>
      <c r="N22143"/>
      <c r="O22143"/>
      <c r="P22143"/>
      <c r="Q22143"/>
      <c r="R22143"/>
      <c r="S22143"/>
    </row>
    <row r="22144" spans="13:19" ht="13.95" customHeight="1">
      <c r="M22144"/>
      <c r="N22144"/>
      <c r="O22144"/>
      <c r="P22144"/>
      <c r="Q22144"/>
      <c r="R22144"/>
      <c r="S22144"/>
    </row>
    <row r="22145" spans="13:19" ht="13.95" customHeight="1">
      <c r="M22145"/>
      <c r="N22145"/>
      <c r="O22145"/>
      <c r="P22145"/>
      <c r="Q22145"/>
      <c r="R22145"/>
      <c r="S22145"/>
    </row>
    <row r="22146" spans="13:19" ht="13.95" customHeight="1">
      <c r="M22146"/>
      <c r="N22146"/>
      <c r="O22146"/>
      <c r="P22146"/>
      <c r="Q22146"/>
      <c r="R22146"/>
      <c r="S22146"/>
    </row>
    <row r="22147" spans="13:19" ht="13.95" customHeight="1">
      <c r="M22147"/>
      <c r="N22147"/>
      <c r="O22147"/>
      <c r="P22147"/>
      <c r="Q22147"/>
      <c r="R22147"/>
      <c r="S22147"/>
    </row>
    <row r="22148" spans="13:19" ht="13.95" customHeight="1">
      <c r="M22148"/>
      <c r="N22148"/>
      <c r="O22148"/>
      <c r="P22148"/>
      <c r="Q22148"/>
      <c r="R22148"/>
      <c r="S22148"/>
    </row>
    <row r="22149" spans="13:19" ht="13.95" customHeight="1">
      <c r="M22149"/>
      <c r="N22149"/>
      <c r="O22149"/>
      <c r="P22149"/>
      <c r="Q22149"/>
      <c r="R22149"/>
      <c r="S22149"/>
    </row>
    <row r="22150" spans="13:19" ht="13.95" customHeight="1">
      <c r="M22150"/>
      <c r="N22150"/>
      <c r="O22150"/>
      <c r="P22150"/>
      <c r="Q22150"/>
      <c r="R22150"/>
      <c r="S22150"/>
    </row>
    <row r="22151" spans="13:19" ht="13.95" customHeight="1">
      <c r="M22151"/>
      <c r="N22151"/>
      <c r="O22151"/>
      <c r="P22151"/>
      <c r="Q22151"/>
      <c r="R22151"/>
      <c r="S22151"/>
    </row>
    <row r="22152" spans="13:19" ht="13.95" customHeight="1">
      <c r="M22152"/>
      <c r="N22152"/>
      <c r="O22152"/>
      <c r="P22152"/>
      <c r="Q22152"/>
      <c r="R22152"/>
      <c r="S22152"/>
    </row>
    <row r="22153" spans="13:19" ht="13.95" customHeight="1">
      <c r="M22153"/>
      <c r="N22153"/>
      <c r="O22153"/>
      <c r="P22153"/>
      <c r="Q22153"/>
      <c r="R22153"/>
      <c r="S22153"/>
    </row>
    <row r="22154" spans="13:19" ht="13.95" customHeight="1">
      <c r="M22154"/>
      <c r="N22154"/>
      <c r="O22154"/>
      <c r="P22154"/>
      <c r="Q22154"/>
      <c r="R22154"/>
      <c r="S22154"/>
    </row>
    <row r="22155" spans="13:19" ht="13.95" customHeight="1">
      <c r="M22155"/>
      <c r="N22155"/>
      <c r="O22155"/>
      <c r="P22155"/>
      <c r="Q22155"/>
      <c r="R22155"/>
      <c r="S22155"/>
    </row>
    <row r="22156" spans="13:19" ht="13.95" customHeight="1">
      <c r="M22156"/>
      <c r="N22156"/>
      <c r="O22156"/>
      <c r="P22156"/>
      <c r="Q22156"/>
      <c r="R22156"/>
      <c r="S22156"/>
    </row>
    <row r="22157" spans="13:19" ht="13.95" customHeight="1">
      <c r="M22157"/>
      <c r="N22157"/>
      <c r="O22157"/>
      <c r="P22157"/>
      <c r="Q22157"/>
      <c r="R22157"/>
      <c r="S22157"/>
    </row>
    <row r="22158" spans="13:19" ht="13.95" customHeight="1">
      <c r="M22158"/>
      <c r="N22158"/>
      <c r="O22158"/>
      <c r="P22158"/>
      <c r="Q22158"/>
      <c r="R22158"/>
      <c r="S22158"/>
    </row>
    <row r="22159" spans="13:19" ht="13.95" customHeight="1">
      <c r="M22159"/>
      <c r="N22159"/>
      <c r="O22159"/>
      <c r="P22159"/>
      <c r="Q22159"/>
      <c r="R22159"/>
      <c r="S22159"/>
    </row>
    <row r="22160" spans="13:19" ht="13.95" customHeight="1">
      <c r="M22160"/>
      <c r="N22160"/>
      <c r="O22160"/>
      <c r="P22160"/>
      <c r="Q22160"/>
      <c r="R22160"/>
      <c r="S22160"/>
    </row>
    <row r="22161" spans="13:19" ht="13.95" customHeight="1">
      <c r="M22161"/>
      <c r="N22161"/>
      <c r="O22161"/>
      <c r="P22161"/>
      <c r="Q22161"/>
      <c r="R22161"/>
      <c r="S22161"/>
    </row>
    <row r="22162" spans="13:19" ht="13.95" customHeight="1">
      <c r="M22162"/>
      <c r="N22162"/>
      <c r="O22162"/>
      <c r="P22162"/>
      <c r="Q22162"/>
      <c r="R22162"/>
      <c r="S22162"/>
    </row>
    <row r="22163" spans="13:19" ht="13.95" customHeight="1">
      <c r="M22163"/>
      <c r="N22163"/>
      <c r="O22163"/>
      <c r="P22163"/>
      <c r="Q22163"/>
      <c r="R22163"/>
      <c r="S22163"/>
    </row>
    <row r="22164" spans="13:19" ht="13.95" customHeight="1">
      <c r="M22164"/>
      <c r="N22164"/>
      <c r="O22164"/>
      <c r="P22164"/>
      <c r="Q22164"/>
      <c r="R22164"/>
      <c r="S22164"/>
    </row>
    <row r="22165" spans="13:19" ht="13.95" customHeight="1">
      <c r="M22165"/>
      <c r="N22165"/>
      <c r="O22165"/>
      <c r="P22165"/>
      <c r="Q22165"/>
      <c r="R22165"/>
      <c r="S22165"/>
    </row>
    <row r="22166" spans="13:19" ht="13.95" customHeight="1">
      <c r="M22166"/>
      <c r="N22166"/>
      <c r="O22166"/>
      <c r="P22166"/>
      <c r="Q22166"/>
      <c r="R22166"/>
      <c r="S22166"/>
    </row>
    <row r="22167" spans="13:19" ht="13.95" customHeight="1">
      <c r="M22167"/>
      <c r="N22167"/>
      <c r="O22167"/>
      <c r="P22167"/>
      <c r="Q22167"/>
      <c r="R22167"/>
      <c r="S22167"/>
    </row>
    <row r="22168" spans="13:19" ht="13.95" customHeight="1">
      <c r="M22168"/>
      <c r="N22168"/>
      <c r="O22168"/>
      <c r="P22168"/>
      <c r="Q22168"/>
      <c r="R22168"/>
      <c r="S22168"/>
    </row>
    <row r="22169" spans="13:19" ht="13.95" customHeight="1">
      <c r="M22169"/>
      <c r="N22169"/>
      <c r="O22169"/>
      <c r="P22169"/>
      <c r="Q22169"/>
      <c r="R22169"/>
      <c r="S22169"/>
    </row>
    <row r="22170" spans="13:19" ht="13.95" customHeight="1">
      <c r="M22170"/>
      <c r="N22170"/>
      <c r="O22170"/>
      <c r="P22170"/>
      <c r="Q22170"/>
      <c r="R22170"/>
      <c r="S22170"/>
    </row>
    <row r="22171" spans="13:19" ht="13.95" customHeight="1">
      <c r="M22171"/>
      <c r="N22171"/>
      <c r="O22171"/>
      <c r="P22171"/>
      <c r="Q22171"/>
      <c r="R22171"/>
      <c r="S22171"/>
    </row>
    <row r="22172" spans="13:19" ht="13.95" customHeight="1">
      <c r="M22172"/>
      <c r="N22172"/>
      <c r="O22172"/>
      <c r="P22172"/>
      <c r="Q22172"/>
      <c r="R22172"/>
      <c r="S22172"/>
    </row>
    <row r="22173" spans="13:19" ht="13.95" customHeight="1">
      <c r="M22173"/>
      <c r="N22173"/>
      <c r="O22173"/>
      <c r="P22173"/>
      <c r="Q22173"/>
      <c r="R22173"/>
      <c r="S22173"/>
    </row>
    <row r="22174" spans="13:19" ht="13.95" customHeight="1">
      <c r="M22174"/>
      <c r="N22174"/>
      <c r="O22174"/>
      <c r="P22174"/>
      <c r="Q22174"/>
      <c r="R22174"/>
      <c r="S22174"/>
    </row>
    <row r="22175" spans="13:19" ht="13.95" customHeight="1">
      <c r="M22175"/>
      <c r="N22175"/>
      <c r="O22175"/>
      <c r="P22175"/>
      <c r="Q22175"/>
      <c r="R22175"/>
      <c r="S22175"/>
    </row>
    <row r="22176" spans="13:19" ht="13.95" customHeight="1">
      <c r="M22176"/>
      <c r="N22176"/>
      <c r="O22176"/>
      <c r="P22176"/>
      <c r="Q22176"/>
      <c r="R22176"/>
      <c r="S22176"/>
    </row>
    <row r="22177" spans="13:19" ht="13.95" customHeight="1">
      <c r="M22177"/>
      <c r="N22177"/>
      <c r="O22177"/>
      <c r="P22177"/>
      <c r="Q22177"/>
      <c r="R22177"/>
      <c r="S22177"/>
    </row>
    <row r="22178" spans="13:19" ht="13.95" customHeight="1">
      <c r="M22178"/>
      <c r="N22178"/>
      <c r="O22178"/>
      <c r="P22178"/>
      <c r="Q22178"/>
      <c r="R22178"/>
      <c r="S22178"/>
    </row>
    <row r="22179" spans="13:19" ht="13.95" customHeight="1">
      <c r="M22179"/>
      <c r="N22179"/>
      <c r="O22179"/>
      <c r="P22179"/>
      <c r="Q22179"/>
      <c r="R22179"/>
      <c r="S22179"/>
    </row>
    <row r="22180" spans="13:19" ht="13.95" customHeight="1">
      <c r="M22180"/>
      <c r="N22180"/>
      <c r="O22180"/>
      <c r="P22180"/>
      <c r="Q22180"/>
      <c r="R22180"/>
      <c r="S22180"/>
    </row>
    <row r="22181" spans="13:19" ht="13.95" customHeight="1">
      <c r="M22181"/>
      <c r="N22181"/>
      <c r="O22181"/>
      <c r="P22181"/>
      <c r="Q22181"/>
      <c r="R22181"/>
      <c r="S22181"/>
    </row>
    <row r="22182" spans="13:19" ht="13.95" customHeight="1">
      <c r="M22182"/>
      <c r="N22182"/>
      <c r="O22182"/>
      <c r="P22182"/>
      <c r="Q22182"/>
      <c r="R22182"/>
      <c r="S22182"/>
    </row>
    <row r="22183" spans="13:19" ht="13.95" customHeight="1">
      <c r="M22183"/>
      <c r="N22183"/>
      <c r="O22183"/>
      <c r="P22183"/>
      <c r="Q22183"/>
      <c r="R22183"/>
      <c r="S22183"/>
    </row>
    <row r="22184" spans="13:19" ht="13.95" customHeight="1">
      <c r="M22184"/>
      <c r="N22184"/>
      <c r="O22184"/>
      <c r="P22184"/>
      <c r="Q22184"/>
      <c r="R22184"/>
      <c r="S22184"/>
    </row>
    <row r="22185" spans="13:19" ht="13.95" customHeight="1">
      <c r="M22185"/>
      <c r="N22185"/>
      <c r="O22185"/>
      <c r="P22185"/>
      <c r="Q22185"/>
      <c r="R22185"/>
      <c r="S22185"/>
    </row>
    <row r="22186" spans="13:19" ht="13.95" customHeight="1">
      <c r="M22186"/>
      <c r="N22186"/>
      <c r="O22186"/>
      <c r="P22186"/>
      <c r="Q22186"/>
      <c r="R22186"/>
      <c r="S22186"/>
    </row>
    <row r="22187" spans="13:19" ht="13.95" customHeight="1">
      <c r="M22187"/>
      <c r="N22187"/>
      <c r="O22187"/>
      <c r="P22187"/>
      <c r="Q22187"/>
      <c r="R22187"/>
      <c r="S22187"/>
    </row>
    <row r="22188" spans="13:19" ht="13.95" customHeight="1">
      <c r="M22188"/>
      <c r="N22188"/>
      <c r="O22188"/>
      <c r="P22188"/>
      <c r="Q22188"/>
      <c r="R22188"/>
      <c r="S22188"/>
    </row>
    <row r="22189" spans="13:19" ht="13.95" customHeight="1">
      <c r="M22189"/>
      <c r="N22189"/>
      <c r="O22189"/>
      <c r="P22189"/>
      <c r="Q22189"/>
      <c r="R22189"/>
      <c r="S22189"/>
    </row>
    <row r="22190" spans="13:19" ht="13.95" customHeight="1">
      <c r="M22190"/>
      <c r="N22190"/>
      <c r="O22190"/>
      <c r="P22190"/>
      <c r="Q22190"/>
      <c r="R22190"/>
      <c r="S22190"/>
    </row>
    <row r="22191" spans="13:19" ht="13.95" customHeight="1">
      <c r="M22191"/>
      <c r="N22191"/>
      <c r="O22191"/>
      <c r="P22191"/>
      <c r="Q22191"/>
      <c r="R22191"/>
      <c r="S22191"/>
    </row>
    <row r="22192" spans="13:19" ht="13.95" customHeight="1">
      <c r="M22192"/>
      <c r="N22192"/>
      <c r="O22192"/>
      <c r="P22192"/>
      <c r="Q22192"/>
      <c r="R22192"/>
      <c r="S22192"/>
    </row>
    <row r="22193" spans="13:19" ht="13.95" customHeight="1">
      <c r="M22193"/>
      <c r="N22193"/>
      <c r="O22193"/>
      <c r="P22193"/>
      <c r="Q22193"/>
      <c r="R22193"/>
      <c r="S22193"/>
    </row>
    <row r="22194" spans="13:19" ht="13.95" customHeight="1">
      <c r="M22194"/>
      <c r="N22194"/>
      <c r="O22194"/>
      <c r="P22194"/>
      <c r="Q22194"/>
      <c r="R22194"/>
      <c r="S22194"/>
    </row>
    <row r="22195" spans="13:19" ht="13.95" customHeight="1">
      <c r="M22195"/>
      <c r="N22195"/>
      <c r="O22195"/>
      <c r="P22195"/>
      <c r="Q22195"/>
      <c r="R22195"/>
      <c r="S22195"/>
    </row>
    <row r="22196" spans="13:19" ht="13.95" customHeight="1">
      <c r="M22196"/>
      <c r="N22196"/>
      <c r="O22196"/>
      <c r="P22196"/>
      <c r="Q22196"/>
      <c r="R22196"/>
      <c r="S22196"/>
    </row>
    <row r="22197" spans="13:19" ht="13.95" customHeight="1">
      <c r="M22197"/>
      <c r="N22197"/>
      <c r="O22197"/>
      <c r="P22197"/>
      <c r="Q22197"/>
      <c r="R22197"/>
      <c r="S22197"/>
    </row>
    <row r="22198" spans="13:19" ht="13.95" customHeight="1">
      <c r="M22198"/>
      <c r="N22198"/>
      <c r="O22198"/>
      <c r="P22198"/>
      <c r="Q22198"/>
      <c r="R22198"/>
      <c r="S22198"/>
    </row>
    <row r="22199" spans="13:19" ht="13.95" customHeight="1">
      <c r="M22199"/>
      <c r="N22199"/>
      <c r="O22199"/>
      <c r="P22199"/>
      <c r="Q22199"/>
      <c r="R22199"/>
      <c r="S22199"/>
    </row>
    <row r="22200" spans="13:19" ht="13.95" customHeight="1">
      <c r="M22200"/>
      <c r="N22200"/>
      <c r="O22200"/>
      <c r="P22200"/>
      <c r="Q22200"/>
      <c r="R22200"/>
      <c r="S22200"/>
    </row>
    <row r="22201" spans="13:19" ht="13.95" customHeight="1">
      <c r="M22201"/>
      <c r="N22201"/>
      <c r="O22201"/>
      <c r="P22201"/>
      <c r="Q22201"/>
      <c r="R22201"/>
      <c r="S22201"/>
    </row>
    <row r="22202" spans="13:19" ht="13.95" customHeight="1">
      <c r="M22202"/>
      <c r="N22202"/>
      <c r="O22202"/>
      <c r="P22202"/>
      <c r="Q22202"/>
      <c r="R22202"/>
      <c r="S22202"/>
    </row>
    <row r="22203" spans="13:19" ht="13.95" customHeight="1">
      <c r="M22203"/>
      <c r="N22203"/>
      <c r="O22203"/>
      <c r="P22203"/>
      <c r="Q22203"/>
      <c r="R22203"/>
      <c r="S22203"/>
    </row>
    <row r="22204" spans="13:19" ht="13.95" customHeight="1">
      <c r="M22204"/>
      <c r="N22204"/>
      <c r="O22204"/>
      <c r="P22204"/>
      <c r="Q22204"/>
      <c r="R22204"/>
      <c r="S22204"/>
    </row>
    <row r="22205" spans="13:19" ht="13.95" customHeight="1">
      <c r="M22205"/>
      <c r="N22205"/>
      <c r="O22205"/>
      <c r="P22205"/>
      <c r="Q22205"/>
      <c r="R22205"/>
      <c r="S22205"/>
    </row>
    <row r="22206" spans="13:19" ht="13.95" customHeight="1">
      <c r="M22206"/>
      <c r="N22206"/>
      <c r="O22206"/>
      <c r="P22206"/>
      <c r="Q22206"/>
      <c r="R22206"/>
      <c r="S22206"/>
    </row>
    <row r="22207" spans="13:19" ht="13.95" customHeight="1">
      <c r="M22207"/>
      <c r="N22207"/>
      <c r="O22207"/>
      <c r="P22207"/>
      <c r="Q22207"/>
      <c r="R22207"/>
      <c r="S22207"/>
    </row>
    <row r="22208" spans="13:19" ht="13.95" customHeight="1">
      <c r="M22208"/>
      <c r="N22208"/>
      <c r="O22208"/>
      <c r="P22208"/>
      <c r="Q22208"/>
      <c r="R22208"/>
      <c r="S22208"/>
    </row>
    <row r="22209" spans="13:19" ht="13.95" customHeight="1">
      <c r="M22209"/>
      <c r="N22209"/>
      <c r="O22209"/>
      <c r="P22209"/>
      <c r="Q22209"/>
      <c r="R22209"/>
      <c r="S22209"/>
    </row>
    <row r="22210" spans="13:19" ht="13.95" customHeight="1">
      <c r="M22210"/>
      <c r="N22210"/>
      <c r="O22210"/>
      <c r="P22210"/>
      <c r="Q22210"/>
      <c r="R22210"/>
      <c r="S22210"/>
    </row>
    <row r="22211" spans="13:19" ht="13.95" customHeight="1">
      <c r="M22211"/>
      <c r="N22211"/>
      <c r="O22211"/>
      <c r="P22211"/>
      <c r="Q22211"/>
      <c r="R22211"/>
      <c r="S22211"/>
    </row>
    <row r="22212" spans="13:19" ht="13.95" customHeight="1">
      <c r="M22212"/>
      <c r="N22212"/>
      <c r="O22212"/>
      <c r="P22212"/>
      <c r="Q22212"/>
      <c r="R22212"/>
      <c r="S22212"/>
    </row>
    <row r="22213" spans="13:19" ht="13.95" customHeight="1">
      <c r="M22213"/>
      <c r="N22213"/>
      <c r="O22213"/>
      <c r="P22213"/>
      <c r="Q22213"/>
      <c r="R22213"/>
      <c r="S22213"/>
    </row>
    <row r="22214" spans="13:19" ht="13.95" customHeight="1">
      <c r="M22214"/>
      <c r="N22214"/>
      <c r="O22214"/>
      <c r="P22214"/>
      <c r="Q22214"/>
      <c r="R22214"/>
      <c r="S22214"/>
    </row>
    <row r="22215" spans="13:19" ht="13.95" customHeight="1">
      <c r="M22215"/>
      <c r="N22215"/>
      <c r="O22215"/>
      <c r="P22215"/>
      <c r="Q22215"/>
      <c r="R22215"/>
      <c r="S22215"/>
    </row>
    <row r="22216" spans="13:19" ht="13.95" customHeight="1">
      <c r="M22216"/>
      <c r="N22216"/>
      <c r="O22216"/>
      <c r="P22216"/>
      <c r="Q22216"/>
      <c r="R22216"/>
      <c r="S22216"/>
    </row>
    <row r="22217" spans="13:19" ht="13.95" customHeight="1">
      <c r="M22217"/>
      <c r="N22217"/>
      <c r="O22217"/>
      <c r="P22217"/>
      <c r="Q22217"/>
      <c r="R22217"/>
      <c r="S22217"/>
    </row>
    <row r="22218" spans="13:19" ht="13.95" customHeight="1">
      <c r="M22218"/>
      <c r="N22218"/>
      <c r="O22218"/>
      <c r="P22218"/>
      <c r="Q22218"/>
      <c r="R22218"/>
      <c r="S22218"/>
    </row>
    <row r="22219" spans="13:19" ht="13.95" customHeight="1">
      <c r="M22219"/>
      <c r="N22219"/>
      <c r="O22219"/>
      <c r="P22219"/>
      <c r="Q22219"/>
      <c r="R22219"/>
      <c r="S22219"/>
    </row>
    <row r="22220" spans="13:19" ht="13.95" customHeight="1">
      <c r="M22220"/>
      <c r="N22220"/>
      <c r="O22220"/>
      <c r="P22220"/>
      <c r="Q22220"/>
      <c r="R22220"/>
      <c r="S22220"/>
    </row>
    <row r="22221" spans="13:19" ht="13.95" customHeight="1">
      <c r="M22221"/>
      <c r="N22221"/>
      <c r="O22221"/>
      <c r="P22221"/>
      <c r="Q22221"/>
      <c r="R22221"/>
      <c r="S22221"/>
    </row>
    <row r="22222" spans="13:19" ht="13.95" customHeight="1">
      <c r="M22222"/>
      <c r="N22222"/>
      <c r="O22222"/>
      <c r="P22222"/>
      <c r="Q22222"/>
      <c r="R22222"/>
      <c r="S22222"/>
    </row>
    <row r="22223" spans="13:19" ht="13.95" customHeight="1">
      <c r="M22223"/>
      <c r="N22223"/>
      <c r="O22223"/>
      <c r="P22223"/>
      <c r="Q22223"/>
      <c r="R22223"/>
      <c r="S22223"/>
    </row>
    <row r="22224" spans="13:19" ht="13.95" customHeight="1">
      <c r="M22224"/>
      <c r="N22224"/>
      <c r="O22224"/>
      <c r="P22224"/>
      <c r="Q22224"/>
      <c r="R22224"/>
      <c r="S22224"/>
    </row>
    <row r="22225" spans="13:19" ht="13.95" customHeight="1">
      <c r="M22225"/>
      <c r="N22225"/>
      <c r="O22225"/>
      <c r="P22225"/>
      <c r="Q22225"/>
      <c r="R22225"/>
      <c r="S22225"/>
    </row>
    <row r="22226" spans="13:19" ht="13.95" customHeight="1">
      <c r="M22226"/>
      <c r="N22226"/>
      <c r="O22226"/>
      <c r="P22226"/>
      <c r="Q22226"/>
      <c r="R22226"/>
      <c r="S22226"/>
    </row>
    <row r="22227" spans="13:19" ht="13.95" customHeight="1">
      <c r="M22227"/>
      <c r="N22227"/>
      <c r="O22227"/>
      <c r="P22227"/>
      <c r="Q22227"/>
      <c r="R22227"/>
      <c r="S22227"/>
    </row>
    <row r="22228" spans="13:19" ht="13.95" customHeight="1">
      <c r="M22228"/>
      <c r="N22228"/>
      <c r="O22228"/>
      <c r="P22228"/>
      <c r="Q22228"/>
      <c r="R22228"/>
      <c r="S22228"/>
    </row>
    <row r="22229" spans="13:19" ht="13.95" customHeight="1">
      <c r="M22229"/>
      <c r="N22229"/>
      <c r="O22229"/>
      <c r="P22229"/>
      <c r="Q22229"/>
      <c r="R22229"/>
      <c r="S22229"/>
    </row>
    <row r="22230" spans="13:19" ht="13.95" customHeight="1">
      <c r="M22230"/>
      <c r="N22230"/>
      <c r="O22230"/>
      <c r="P22230"/>
      <c r="Q22230"/>
      <c r="R22230"/>
      <c r="S22230"/>
    </row>
    <row r="22231" spans="13:19" ht="13.95" customHeight="1">
      <c r="M22231"/>
      <c r="N22231"/>
      <c r="O22231"/>
      <c r="P22231"/>
      <c r="Q22231"/>
      <c r="R22231"/>
      <c r="S22231"/>
    </row>
    <row r="22232" spans="13:19" ht="13.95" customHeight="1">
      <c r="M22232"/>
      <c r="N22232"/>
      <c r="O22232"/>
      <c r="P22232"/>
      <c r="Q22232"/>
      <c r="R22232"/>
      <c r="S22232"/>
    </row>
    <row r="22233" spans="13:19" ht="13.95" customHeight="1">
      <c r="M22233"/>
      <c r="N22233"/>
      <c r="O22233"/>
      <c r="P22233"/>
      <c r="Q22233"/>
      <c r="R22233"/>
      <c r="S22233"/>
    </row>
    <row r="22234" spans="13:19" ht="13.95" customHeight="1">
      <c r="M22234"/>
      <c r="N22234"/>
      <c r="O22234"/>
      <c r="P22234"/>
      <c r="Q22234"/>
      <c r="R22234"/>
      <c r="S22234"/>
    </row>
    <row r="22235" spans="13:19" ht="13.95" customHeight="1">
      <c r="M22235"/>
      <c r="N22235"/>
      <c r="O22235"/>
      <c r="P22235"/>
      <c r="Q22235"/>
      <c r="R22235"/>
      <c r="S22235"/>
    </row>
    <row r="22236" spans="13:19" ht="13.95" customHeight="1">
      <c r="M22236"/>
      <c r="N22236"/>
      <c r="O22236"/>
      <c r="P22236"/>
      <c r="Q22236"/>
      <c r="R22236"/>
      <c r="S22236"/>
    </row>
    <row r="22237" spans="13:19" ht="13.95" customHeight="1">
      <c r="M22237"/>
      <c r="N22237"/>
      <c r="O22237"/>
      <c r="P22237"/>
      <c r="Q22237"/>
      <c r="R22237"/>
      <c r="S22237"/>
    </row>
    <row r="22238" spans="13:19" ht="13.95" customHeight="1">
      <c r="M22238"/>
      <c r="N22238"/>
      <c r="O22238"/>
      <c r="P22238"/>
      <c r="Q22238"/>
      <c r="R22238"/>
      <c r="S22238"/>
    </row>
    <row r="22239" spans="13:19" ht="13.95" customHeight="1">
      <c r="M22239"/>
      <c r="N22239"/>
      <c r="O22239"/>
      <c r="P22239"/>
      <c r="Q22239"/>
      <c r="R22239"/>
      <c r="S22239"/>
    </row>
    <row r="22240" spans="13:19" ht="13.95" customHeight="1">
      <c r="M22240"/>
      <c r="N22240"/>
      <c r="O22240"/>
      <c r="P22240"/>
      <c r="Q22240"/>
      <c r="R22240"/>
      <c r="S22240"/>
    </row>
    <row r="22241" spans="13:19" ht="13.95" customHeight="1">
      <c r="M22241"/>
      <c r="N22241"/>
      <c r="O22241"/>
      <c r="P22241"/>
      <c r="Q22241"/>
      <c r="R22241"/>
      <c r="S22241"/>
    </row>
    <row r="22242" spans="13:19" ht="13.95" customHeight="1">
      <c r="M22242"/>
      <c r="N22242"/>
      <c r="O22242"/>
      <c r="P22242"/>
      <c r="Q22242"/>
      <c r="R22242"/>
      <c r="S22242"/>
    </row>
    <row r="22243" spans="13:19" ht="13.95" customHeight="1">
      <c r="M22243"/>
      <c r="N22243"/>
      <c r="O22243"/>
      <c r="P22243"/>
      <c r="Q22243"/>
      <c r="R22243"/>
      <c r="S22243"/>
    </row>
    <row r="22244" spans="13:19" ht="13.95" customHeight="1">
      <c r="M22244"/>
      <c r="N22244"/>
      <c r="O22244"/>
      <c r="P22244"/>
      <c r="Q22244"/>
      <c r="R22244"/>
      <c r="S22244"/>
    </row>
    <row r="22245" spans="13:19" ht="13.95" customHeight="1">
      <c r="M22245"/>
      <c r="N22245"/>
      <c r="O22245"/>
      <c r="P22245"/>
      <c r="Q22245"/>
      <c r="R22245"/>
      <c r="S22245"/>
    </row>
    <row r="22246" spans="13:19" ht="13.95" customHeight="1">
      <c r="M22246"/>
      <c r="N22246"/>
      <c r="O22246"/>
      <c r="P22246"/>
      <c r="Q22246"/>
      <c r="R22246"/>
      <c r="S22246"/>
    </row>
    <row r="22247" spans="13:19" ht="13.95" customHeight="1">
      <c r="M22247"/>
      <c r="N22247"/>
      <c r="O22247"/>
      <c r="P22247"/>
      <c r="Q22247"/>
      <c r="R22247"/>
      <c r="S22247"/>
    </row>
    <row r="22248" spans="13:19" ht="13.95" customHeight="1">
      <c r="M22248"/>
      <c r="N22248"/>
      <c r="O22248"/>
      <c r="P22248"/>
      <c r="Q22248"/>
      <c r="R22248"/>
      <c r="S22248"/>
    </row>
    <row r="22249" spans="13:19" ht="13.95" customHeight="1">
      <c r="M22249"/>
      <c r="N22249"/>
      <c r="O22249"/>
      <c r="P22249"/>
      <c r="Q22249"/>
      <c r="R22249"/>
      <c r="S22249"/>
    </row>
    <row r="22250" spans="13:19" ht="13.95" customHeight="1">
      <c r="M22250"/>
      <c r="N22250"/>
      <c r="O22250"/>
      <c r="P22250"/>
      <c r="Q22250"/>
      <c r="R22250"/>
      <c r="S22250"/>
    </row>
    <row r="22251" spans="13:19" ht="13.95" customHeight="1">
      <c r="M22251"/>
      <c r="N22251"/>
      <c r="O22251"/>
      <c r="P22251"/>
      <c r="Q22251"/>
      <c r="R22251"/>
      <c r="S22251"/>
    </row>
    <row r="22252" spans="13:19" ht="13.95" customHeight="1">
      <c r="M22252"/>
      <c r="N22252"/>
      <c r="O22252"/>
      <c r="P22252"/>
      <c r="Q22252"/>
      <c r="R22252"/>
      <c r="S22252"/>
    </row>
    <row r="22253" spans="13:19" ht="13.95" customHeight="1">
      <c r="M22253"/>
      <c r="N22253"/>
      <c r="O22253"/>
      <c r="P22253"/>
      <c r="Q22253"/>
      <c r="R22253"/>
      <c r="S22253"/>
    </row>
    <row r="22254" spans="13:19" ht="13.95" customHeight="1">
      <c r="M22254"/>
      <c r="N22254"/>
      <c r="O22254"/>
      <c r="P22254"/>
      <c r="Q22254"/>
      <c r="R22254"/>
      <c r="S22254"/>
    </row>
    <row r="22255" spans="13:19" ht="13.95" customHeight="1">
      <c r="M22255"/>
      <c r="N22255"/>
      <c r="O22255"/>
      <c r="P22255"/>
      <c r="Q22255"/>
      <c r="R22255"/>
      <c r="S22255"/>
    </row>
    <row r="22256" spans="13:19" ht="13.95" customHeight="1">
      <c r="M22256"/>
      <c r="N22256"/>
      <c r="O22256"/>
      <c r="P22256"/>
      <c r="Q22256"/>
      <c r="R22256"/>
      <c r="S22256"/>
    </row>
    <row r="22257" spans="13:19" ht="13.95" customHeight="1">
      <c r="M22257"/>
      <c r="N22257"/>
      <c r="O22257"/>
      <c r="P22257"/>
      <c r="Q22257"/>
      <c r="R22257"/>
      <c r="S22257"/>
    </row>
    <row r="22258" spans="13:19" ht="13.95" customHeight="1">
      <c r="M22258"/>
      <c r="N22258"/>
      <c r="O22258"/>
      <c r="P22258"/>
      <c r="Q22258"/>
      <c r="R22258"/>
      <c r="S22258"/>
    </row>
    <row r="22259" spans="13:19" ht="13.95" customHeight="1">
      <c r="M22259"/>
      <c r="N22259"/>
      <c r="O22259"/>
      <c r="P22259"/>
      <c r="Q22259"/>
      <c r="R22259"/>
      <c r="S22259"/>
    </row>
    <row r="22260" spans="13:19" ht="13.95" customHeight="1">
      <c r="M22260"/>
      <c r="N22260"/>
      <c r="O22260"/>
      <c r="P22260"/>
      <c r="Q22260"/>
      <c r="R22260"/>
      <c r="S22260"/>
    </row>
    <row r="22261" spans="13:19" ht="13.95" customHeight="1">
      <c r="M22261"/>
      <c r="N22261"/>
      <c r="O22261"/>
      <c r="P22261"/>
      <c r="Q22261"/>
      <c r="R22261"/>
      <c r="S22261"/>
    </row>
    <row r="22262" spans="13:19" ht="13.95" customHeight="1">
      <c r="M22262"/>
      <c r="N22262"/>
      <c r="O22262"/>
      <c r="P22262"/>
      <c r="Q22262"/>
      <c r="R22262"/>
      <c r="S22262"/>
    </row>
    <row r="22263" spans="13:19" ht="13.95" customHeight="1">
      <c r="M22263"/>
      <c r="N22263"/>
      <c r="O22263"/>
      <c r="P22263"/>
      <c r="Q22263"/>
      <c r="R22263"/>
      <c r="S22263"/>
    </row>
    <row r="22264" spans="13:19" ht="13.95" customHeight="1">
      <c r="M22264"/>
      <c r="N22264"/>
      <c r="O22264"/>
      <c r="P22264"/>
      <c r="Q22264"/>
      <c r="R22264"/>
      <c r="S22264"/>
    </row>
    <row r="22265" spans="13:19" ht="13.95" customHeight="1">
      <c r="M22265"/>
      <c r="N22265"/>
      <c r="O22265"/>
      <c r="P22265"/>
      <c r="Q22265"/>
      <c r="R22265"/>
      <c r="S22265"/>
    </row>
    <row r="22266" spans="13:19" ht="13.95" customHeight="1">
      <c r="M22266"/>
      <c r="N22266"/>
      <c r="O22266"/>
      <c r="P22266"/>
      <c r="Q22266"/>
      <c r="R22266"/>
      <c r="S22266"/>
    </row>
    <row r="22267" spans="13:19" ht="13.95" customHeight="1">
      <c r="M22267"/>
      <c r="N22267"/>
      <c r="O22267"/>
      <c r="P22267"/>
      <c r="Q22267"/>
      <c r="R22267"/>
      <c r="S22267"/>
    </row>
    <row r="22268" spans="13:19" ht="13.95" customHeight="1">
      <c r="M22268"/>
      <c r="N22268"/>
      <c r="O22268"/>
      <c r="P22268"/>
      <c r="Q22268"/>
      <c r="R22268"/>
      <c r="S22268"/>
    </row>
    <row r="22269" spans="13:19" ht="13.95" customHeight="1">
      <c r="M22269"/>
      <c r="N22269"/>
      <c r="O22269"/>
      <c r="P22269"/>
      <c r="Q22269"/>
      <c r="R22269"/>
      <c r="S22269"/>
    </row>
    <row r="22270" spans="13:19" ht="13.95" customHeight="1">
      <c r="M22270"/>
      <c r="N22270"/>
      <c r="O22270"/>
      <c r="P22270"/>
      <c r="Q22270"/>
      <c r="R22270"/>
      <c r="S22270"/>
    </row>
    <row r="22271" spans="13:19" ht="13.95" customHeight="1">
      <c r="M22271"/>
      <c r="N22271"/>
      <c r="O22271"/>
      <c r="P22271"/>
      <c r="Q22271"/>
      <c r="R22271"/>
      <c r="S22271"/>
    </row>
    <row r="22272" spans="13:19" ht="13.95" customHeight="1">
      <c r="M22272"/>
      <c r="N22272"/>
      <c r="O22272"/>
      <c r="P22272"/>
      <c r="Q22272"/>
      <c r="R22272"/>
      <c r="S22272"/>
    </row>
    <row r="22273" spans="13:19" ht="13.95" customHeight="1">
      <c r="M22273"/>
      <c r="N22273"/>
      <c r="O22273"/>
      <c r="P22273"/>
      <c r="Q22273"/>
      <c r="R22273"/>
      <c r="S22273"/>
    </row>
    <row r="22274" spans="13:19" ht="13.95" customHeight="1">
      <c r="M22274"/>
      <c r="N22274"/>
      <c r="O22274"/>
      <c r="P22274"/>
      <c r="Q22274"/>
      <c r="R22274"/>
      <c r="S22274"/>
    </row>
    <row r="22275" spans="13:19" ht="13.95" customHeight="1">
      <c r="M22275"/>
      <c r="N22275"/>
      <c r="O22275"/>
      <c r="P22275"/>
      <c r="Q22275"/>
      <c r="R22275"/>
      <c r="S22275"/>
    </row>
    <row r="22276" spans="13:19" ht="13.95" customHeight="1">
      <c r="M22276"/>
      <c r="N22276"/>
      <c r="O22276"/>
      <c r="P22276"/>
      <c r="Q22276"/>
      <c r="R22276"/>
      <c r="S22276"/>
    </row>
    <row r="22277" spans="13:19" ht="13.95" customHeight="1">
      <c r="M22277"/>
      <c r="N22277"/>
      <c r="O22277"/>
      <c r="P22277"/>
      <c r="Q22277"/>
      <c r="R22277"/>
      <c r="S22277"/>
    </row>
    <row r="22278" spans="13:19" ht="13.95" customHeight="1">
      <c r="M22278"/>
      <c r="N22278"/>
      <c r="O22278"/>
      <c r="P22278"/>
      <c r="Q22278"/>
      <c r="R22278"/>
      <c r="S22278"/>
    </row>
    <row r="22279" spans="13:19" ht="13.95" customHeight="1">
      <c r="M22279"/>
      <c r="N22279"/>
      <c r="O22279"/>
      <c r="P22279"/>
      <c r="Q22279"/>
      <c r="R22279"/>
      <c r="S22279"/>
    </row>
    <row r="22280" spans="13:19" ht="13.95" customHeight="1">
      <c r="M22280"/>
      <c r="N22280"/>
      <c r="O22280"/>
      <c r="P22280"/>
      <c r="Q22280"/>
      <c r="R22280"/>
      <c r="S22280"/>
    </row>
    <row r="22281" spans="13:19" ht="13.95" customHeight="1">
      <c r="M22281"/>
      <c r="N22281"/>
      <c r="O22281"/>
      <c r="P22281"/>
      <c r="Q22281"/>
      <c r="R22281"/>
      <c r="S22281"/>
    </row>
    <row r="22282" spans="13:19" ht="13.95" customHeight="1">
      <c r="M22282"/>
      <c r="N22282"/>
      <c r="O22282"/>
      <c r="P22282"/>
      <c r="Q22282"/>
      <c r="R22282"/>
      <c r="S22282"/>
    </row>
    <row r="22283" spans="13:19" ht="13.95" customHeight="1">
      <c r="M22283"/>
      <c r="N22283"/>
      <c r="O22283"/>
      <c r="P22283"/>
      <c r="Q22283"/>
      <c r="R22283"/>
      <c r="S22283"/>
    </row>
    <row r="22284" spans="13:19" ht="13.95" customHeight="1">
      <c r="M22284"/>
      <c r="N22284"/>
      <c r="O22284"/>
      <c r="P22284"/>
      <c r="Q22284"/>
      <c r="R22284"/>
      <c r="S22284"/>
    </row>
    <row r="22285" spans="13:19" ht="13.95" customHeight="1">
      <c r="M22285"/>
      <c r="N22285"/>
      <c r="O22285"/>
      <c r="P22285"/>
      <c r="Q22285"/>
      <c r="R22285"/>
      <c r="S22285"/>
    </row>
    <row r="22286" spans="13:19" ht="13.95" customHeight="1">
      <c r="M22286"/>
      <c r="N22286"/>
      <c r="O22286"/>
      <c r="P22286"/>
      <c r="Q22286"/>
      <c r="R22286"/>
      <c r="S22286"/>
    </row>
    <row r="22287" spans="13:19" ht="13.95" customHeight="1">
      <c r="M22287"/>
      <c r="N22287"/>
      <c r="O22287"/>
      <c r="P22287"/>
      <c r="Q22287"/>
      <c r="R22287"/>
      <c r="S22287"/>
    </row>
    <row r="22288" spans="13:19" ht="13.95" customHeight="1">
      <c r="M22288"/>
      <c r="N22288"/>
      <c r="O22288"/>
      <c r="P22288"/>
      <c r="Q22288"/>
      <c r="R22288"/>
      <c r="S22288"/>
    </row>
    <row r="22289" spans="13:19" ht="13.95" customHeight="1">
      <c r="M22289"/>
      <c r="N22289"/>
      <c r="O22289"/>
      <c r="P22289"/>
      <c r="Q22289"/>
      <c r="R22289"/>
      <c r="S22289"/>
    </row>
    <row r="22290" spans="13:19" ht="13.95" customHeight="1">
      <c r="M22290"/>
      <c r="N22290"/>
      <c r="O22290"/>
      <c r="P22290"/>
      <c r="Q22290"/>
      <c r="R22290"/>
      <c r="S22290"/>
    </row>
    <row r="22291" spans="13:19" ht="13.95" customHeight="1">
      <c r="M22291"/>
      <c r="N22291"/>
      <c r="O22291"/>
      <c r="P22291"/>
      <c r="Q22291"/>
      <c r="R22291"/>
      <c r="S22291"/>
    </row>
    <row r="22292" spans="13:19" ht="13.95" customHeight="1">
      <c r="M22292"/>
      <c r="N22292"/>
      <c r="O22292"/>
      <c r="P22292"/>
      <c r="Q22292"/>
      <c r="R22292"/>
      <c r="S22292"/>
    </row>
    <row r="22293" spans="13:19" ht="13.95" customHeight="1">
      <c r="M22293"/>
      <c r="N22293"/>
      <c r="O22293"/>
      <c r="P22293"/>
      <c r="Q22293"/>
      <c r="R22293"/>
      <c r="S22293"/>
    </row>
    <row r="22294" spans="13:19" ht="13.95" customHeight="1">
      <c r="M22294"/>
      <c r="N22294"/>
      <c r="O22294"/>
      <c r="P22294"/>
      <c r="Q22294"/>
      <c r="R22294"/>
      <c r="S22294"/>
    </row>
    <row r="22295" spans="13:19" ht="13.95" customHeight="1">
      <c r="M22295"/>
      <c r="N22295"/>
      <c r="O22295"/>
      <c r="P22295"/>
      <c r="Q22295"/>
      <c r="R22295"/>
      <c r="S22295"/>
    </row>
    <row r="22296" spans="13:19" ht="13.95" customHeight="1">
      <c r="M22296"/>
      <c r="N22296"/>
      <c r="O22296"/>
      <c r="P22296"/>
      <c r="Q22296"/>
      <c r="R22296"/>
      <c r="S22296"/>
    </row>
    <row r="22297" spans="13:19" ht="13.95" customHeight="1">
      <c r="M22297"/>
      <c r="N22297"/>
      <c r="O22297"/>
      <c r="P22297"/>
      <c r="Q22297"/>
      <c r="R22297"/>
      <c r="S22297"/>
    </row>
    <row r="22298" spans="13:19" ht="13.95" customHeight="1">
      <c r="M22298"/>
      <c r="N22298"/>
      <c r="O22298"/>
      <c r="P22298"/>
      <c r="Q22298"/>
      <c r="R22298"/>
      <c r="S22298"/>
    </row>
    <row r="22299" spans="13:19" ht="13.95" customHeight="1">
      <c r="M22299"/>
      <c r="N22299"/>
      <c r="O22299"/>
      <c r="P22299"/>
      <c r="Q22299"/>
      <c r="R22299"/>
      <c r="S22299"/>
    </row>
    <row r="22300" spans="13:19" ht="13.95" customHeight="1">
      <c r="M22300"/>
      <c r="N22300"/>
      <c r="O22300"/>
      <c r="P22300"/>
      <c r="Q22300"/>
      <c r="R22300"/>
      <c r="S22300"/>
    </row>
    <row r="22301" spans="13:19" ht="13.95" customHeight="1">
      <c r="M22301"/>
      <c r="N22301"/>
      <c r="O22301"/>
      <c r="P22301"/>
      <c r="Q22301"/>
      <c r="R22301"/>
      <c r="S22301"/>
    </row>
    <row r="22302" spans="13:19" ht="13.95" customHeight="1">
      <c r="M22302"/>
      <c r="N22302"/>
      <c r="O22302"/>
      <c r="P22302"/>
      <c r="Q22302"/>
      <c r="R22302"/>
      <c r="S22302"/>
    </row>
    <row r="22303" spans="13:19" ht="13.95" customHeight="1">
      <c r="M22303"/>
      <c r="N22303"/>
      <c r="O22303"/>
      <c r="P22303"/>
      <c r="Q22303"/>
      <c r="R22303"/>
      <c r="S22303"/>
    </row>
    <row r="22304" spans="13:19" ht="13.95" customHeight="1">
      <c r="M22304"/>
      <c r="N22304"/>
      <c r="O22304"/>
      <c r="P22304"/>
      <c r="Q22304"/>
      <c r="R22304"/>
      <c r="S22304"/>
    </row>
    <row r="22305" spans="13:19" ht="13.95" customHeight="1">
      <c r="M22305"/>
      <c r="N22305"/>
      <c r="O22305"/>
      <c r="P22305"/>
      <c r="Q22305"/>
      <c r="R22305"/>
      <c r="S22305"/>
    </row>
    <row r="22306" spans="13:19" ht="13.95" customHeight="1">
      <c r="M22306"/>
      <c r="N22306"/>
      <c r="O22306"/>
      <c r="P22306"/>
      <c r="Q22306"/>
      <c r="R22306"/>
      <c r="S22306"/>
    </row>
    <row r="22307" spans="13:19" ht="13.95" customHeight="1">
      <c r="M22307"/>
      <c r="N22307"/>
      <c r="O22307"/>
      <c r="P22307"/>
      <c r="Q22307"/>
      <c r="R22307"/>
      <c r="S22307"/>
    </row>
    <row r="22308" spans="13:19" ht="13.95" customHeight="1">
      <c r="M22308"/>
      <c r="N22308"/>
      <c r="O22308"/>
      <c r="P22308"/>
      <c r="Q22308"/>
      <c r="R22308"/>
      <c r="S22308"/>
    </row>
    <row r="22309" spans="13:19" ht="13.95" customHeight="1">
      <c r="M22309"/>
      <c r="N22309"/>
      <c r="O22309"/>
      <c r="P22309"/>
      <c r="Q22309"/>
      <c r="R22309"/>
      <c r="S22309"/>
    </row>
    <row r="22310" spans="13:19" ht="13.95" customHeight="1">
      <c r="M22310"/>
      <c r="N22310"/>
      <c r="O22310"/>
      <c r="P22310"/>
      <c r="Q22310"/>
      <c r="R22310"/>
      <c r="S22310"/>
    </row>
    <row r="22311" spans="13:19" ht="13.95" customHeight="1">
      <c r="M22311"/>
      <c r="N22311"/>
      <c r="O22311"/>
      <c r="P22311"/>
      <c r="Q22311"/>
      <c r="R22311"/>
      <c r="S22311"/>
    </row>
    <row r="22312" spans="13:19" ht="13.95" customHeight="1">
      <c r="M22312"/>
      <c r="N22312"/>
      <c r="O22312"/>
      <c r="P22312"/>
      <c r="Q22312"/>
      <c r="R22312"/>
      <c r="S22312"/>
    </row>
    <row r="22313" spans="13:19" ht="13.95" customHeight="1">
      <c r="M22313"/>
      <c r="N22313"/>
      <c r="O22313"/>
      <c r="P22313"/>
      <c r="Q22313"/>
      <c r="R22313"/>
      <c r="S22313"/>
    </row>
    <row r="22314" spans="13:19" ht="13.95" customHeight="1">
      <c r="M22314"/>
      <c r="N22314"/>
      <c r="O22314"/>
      <c r="P22314"/>
      <c r="Q22314"/>
      <c r="R22314"/>
      <c r="S22314"/>
    </row>
    <row r="22315" spans="13:19" ht="13.95" customHeight="1">
      <c r="M22315"/>
      <c r="N22315"/>
      <c r="O22315"/>
      <c r="P22315"/>
      <c r="Q22315"/>
      <c r="R22315"/>
      <c r="S22315"/>
    </row>
    <row r="22316" spans="13:19" ht="13.95" customHeight="1">
      <c r="M22316"/>
      <c r="N22316"/>
      <c r="O22316"/>
      <c r="P22316"/>
      <c r="Q22316"/>
      <c r="R22316"/>
      <c r="S22316"/>
    </row>
    <row r="22317" spans="13:19" ht="13.95" customHeight="1">
      <c r="M22317"/>
      <c r="N22317"/>
      <c r="O22317"/>
      <c r="P22317"/>
      <c r="Q22317"/>
      <c r="R22317"/>
      <c r="S22317"/>
    </row>
    <row r="22318" spans="13:19" ht="13.95" customHeight="1">
      <c r="M22318"/>
      <c r="N22318"/>
      <c r="O22318"/>
      <c r="P22318"/>
      <c r="Q22318"/>
      <c r="R22318"/>
      <c r="S22318"/>
    </row>
    <row r="22319" spans="13:19" ht="13.95" customHeight="1">
      <c r="M22319"/>
      <c r="N22319"/>
      <c r="O22319"/>
      <c r="P22319"/>
      <c r="Q22319"/>
      <c r="R22319"/>
      <c r="S22319"/>
    </row>
    <row r="22320" spans="13:19" ht="13.95" customHeight="1">
      <c r="M22320"/>
      <c r="N22320"/>
      <c r="O22320"/>
      <c r="P22320"/>
      <c r="Q22320"/>
      <c r="R22320"/>
      <c r="S22320"/>
    </row>
    <row r="22321" spans="13:19" ht="13.95" customHeight="1">
      <c r="M22321"/>
      <c r="N22321"/>
      <c r="O22321"/>
      <c r="P22321"/>
      <c r="Q22321"/>
      <c r="R22321"/>
      <c r="S22321"/>
    </row>
    <row r="22322" spans="13:19" ht="13.95" customHeight="1">
      <c r="M22322"/>
      <c r="N22322"/>
      <c r="O22322"/>
      <c r="P22322"/>
      <c r="Q22322"/>
      <c r="R22322"/>
      <c r="S22322"/>
    </row>
    <row r="22323" spans="13:19" ht="13.95" customHeight="1">
      <c r="M22323"/>
      <c r="N22323"/>
      <c r="O22323"/>
      <c r="P22323"/>
      <c r="Q22323"/>
      <c r="R22323"/>
      <c r="S22323"/>
    </row>
    <row r="22324" spans="13:19" ht="13.95" customHeight="1">
      <c r="M22324"/>
      <c r="N22324"/>
      <c r="O22324"/>
      <c r="P22324"/>
      <c r="Q22324"/>
      <c r="R22324"/>
      <c r="S22324"/>
    </row>
    <row r="22325" spans="13:19" ht="13.95" customHeight="1">
      <c r="M22325"/>
      <c r="N22325"/>
      <c r="O22325"/>
      <c r="P22325"/>
      <c r="Q22325"/>
      <c r="R22325"/>
      <c r="S22325"/>
    </row>
    <row r="22326" spans="13:19" ht="13.95" customHeight="1">
      <c r="M22326"/>
      <c r="N22326"/>
      <c r="O22326"/>
      <c r="P22326"/>
      <c r="Q22326"/>
      <c r="R22326"/>
      <c r="S22326"/>
    </row>
    <row r="22327" spans="13:19" ht="13.95" customHeight="1">
      <c r="M22327"/>
      <c r="N22327"/>
      <c r="O22327"/>
      <c r="P22327"/>
      <c r="Q22327"/>
      <c r="R22327"/>
      <c r="S22327"/>
    </row>
    <row r="22328" spans="13:19" ht="13.95" customHeight="1">
      <c r="M22328"/>
      <c r="N22328"/>
      <c r="O22328"/>
      <c r="P22328"/>
      <c r="Q22328"/>
      <c r="R22328"/>
      <c r="S22328"/>
    </row>
    <row r="22329" spans="13:19" ht="13.95" customHeight="1">
      <c r="M22329"/>
      <c r="N22329"/>
      <c r="O22329"/>
      <c r="P22329"/>
      <c r="Q22329"/>
      <c r="R22329"/>
      <c r="S22329"/>
    </row>
    <row r="22330" spans="13:19" ht="13.95" customHeight="1">
      <c r="M22330"/>
      <c r="N22330"/>
      <c r="O22330"/>
      <c r="P22330"/>
      <c r="Q22330"/>
      <c r="R22330"/>
      <c r="S22330"/>
    </row>
    <row r="22331" spans="13:19" ht="13.95" customHeight="1">
      <c r="M22331"/>
      <c r="N22331"/>
      <c r="O22331"/>
      <c r="P22331"/>
      <c r="Q22331"/>
      <c r="R22331"/>
      <c r="S22331"/>
    </row>
    <row r="22332" spans="13:19" ht="13.95" customHeight="1">
      <c r="M22332"/>
      <c r="N22332"/>
      <c r="O22332"/>
      <c r="P22332"/>
      <c r="Q22332"/>
      <c r="R22332"/>
      <c r="S22332"/>
    </row>
    <row r="22333" spans="13:19" ht="13.95" customHeight="1">
      <c r="M22333"/>
      <c r="N22333"/>
      <c r="O22333"/>
      <c r="P22333"/>
      <c r="Q22333"/>
      <c r="R22333"/>
      <c r="S22333"/>
    </row>
    <row r="22334" spans="13:19" ht="13.95" customHeight="1">
      <c r="M22334"/>
      <c r="N22334"/>
      <c r="O22334"/>
      <c r="P22334"/>
      <c r="Q22334"/>
      <c r="R22334"/>
      <c r="S22334"/>
    </row>
    <row r="22335" spans="13:19" ht="13.95" customHeight="1">
      <c r="M22335"/>
      <c r="N22335"/>
      <c r="O22335"/>
      <c r="P22335"/>
      <c r="Q22335"/>
      <c r="R22335"/>
      <c r="S22335"/>
    </row>
    <row r="22336" spans="13:19" ht="13.95" customHeight="1">
      <c r="M22336"/>
      <c r="N22336"/>
      <c r="O22336"/>
      <c r="P22336"/>
      <c r="Q22336"/>
      <c r="R22336"/>
      <c r="S22336"/>
    </row>
    <row r="22337" spans="13:19" ht="13.95" customHeight="1">
      <c r="M22337"/>
      <c r="N22337"/>
      <c r="O22337"/>
      <c r="P22337"/>
      <c r="Q22337"/>
      <c r="R22337"/>
      <c r="S22337"/>
    </row>
    <row r="22338" spans="13:19" ht="13.95" customHeight="1">
      <c r="M22338"/>
      <c r="N22338"/>
      <c r="O22338"/>
      <c r="P22338"/>
      <c r="Q22338"/>
      <c r="R22338"/>
      <c r="S22338"/>
    </row>
    <row r="22339" spans="13:19" ht="13.95" customHeight="1">
      <c r="M22339"/>
      <c r="N22339"/>
      <c r="O22339"/>
      <c r="P22339"/>
      <c r="Q22339"/>
      <c r="R22339"/>
      <c r="S22339"/>
    </row>
    <row r="22340" spans="13:19" ht="13.95" customHeight="1">
      <c r="M22340"/>
      <c r="N22340"/>
      <c r="O22340"/>
      <c r="P22340"/>
      <c r="Q22340"/>
      <c r="R22340"/>
      <c r="S22340"/>
    </row>
    <row r="22341" spans="13:19" ht="13.95" customHeight="1">
      <c r="M22341"/>
      <c r="N22341"/>
      <c r="O22341"/>
      <c r="P22341"/>
      <c r="Q22341"/>
      <c r="R22341"/>
      <c r="S22341"/>
    </row>
    <row r="22342" spans="13:19" ht="13.95" customHeight="1">
      <c r="M22342"/>
      <c r="N22342"/>
      <c r="O22342"/>
      <c r="P22342"/>
      <c r="Q22342"/>
      <c r="R22342"/>
      <c r="S22342"/>
    </row>
    <row r="22343" spans="13:19" ht="13.95" customHeight="1">
      <c r="M22343"/>
      <c r="N22343"/>
      <c r="O22343"/>
      <c r="P22343"/>
      <c r="Q22343"/>
      <c r="R22343"/>
      <c r="S22343"/>
    </row>
    <row r="22344" spans="13:19" ht="13.95" customHeight="1">
      <c r="M22344"/>
      <c r="N22344"/>
      <c r="O22344"/>
      <c r="P22344"/>
      <c r="Q22344"/>
      <c r="R22344"/>
      <c r="S22344"/>
    </row>
    <row r="22345" spans="13:19" ht="13.95" customHeight="1">
      <c r="M22345"/>
      <c r="N22345"/>
      <c r="O22345"/>
      <c r="P22345"/>
      <c r="Q22345"/>
      <c r="R22345"/>
      <c r="S22345"/>
    </row>
    <row r="22346" spans="13:19" ht="13.95" customHeight="1">
      <c r="M22346"/>
      <c r="N22346"/>
      <c r="O22346"/>
      <c r="P22346"/>
      <c r="Q22346"/>
      <c r="R22346"/>
      <c r="S22346"/>
    </row>
    <row r="22347" spans="13:19" ht="13.95" customHeight="1">
      <c r="M22347"/>
      <c r="N22347"/>
      <c r="O22347"/>
      <c r="P22347"/>
      <c r="Q22347"/>
      <c r="R22347"/>
      <c r="S22347"/>
    </row>
    <row r="22348" spans="13:19" ht="13.95" customHeight="1">
      <c r="M22348"/>
      <c r="N22348"/>
      <c r="O22348"/>
      <c r="P22348"/>
      <c r="Q22348"/>
      <c r="R22348"/>
      <c r="S22348"/>
    </row>
    <row r="22349" spans="13:19" ht="13.95" customHeight="1">
      <c r="M22349"/>
      <c r="N22349"/>
      <c r="O22349"/>
      <c r="P22349"/>
      <c r="Q22349"/>
      <c r="R22349"/>
      <c r="S22349"/>
    </row>
    <row r="22350" spans="13:19" ht="13.95" customHeight="1">
      <c r="M22350"/>
      <c r="N22350"/>
      <c r="O22350"/>
      <c r="P22350"/>
      <c r="Q22350"/>
      <c r="R22350"/>
      <c r="S22350"/>
    </row>
    <row r="22351" spans="13:19" ht="13.95" customHeight="1">
      <c r="M22351"/>
      <c r="N22351"/>
      <c r="O22351"/>
      <c r="P22351"/>
      <c r="Q22351"/>
      <c r="R22351"/>
      <c r="S22351"/>
    </row>
    <row r="22352" spans="13:19" ht="13.95" customHeight="1">
      <c r="M22352"/>
      <c r="N22352"/>
      <c r="O22352"/>
      <c r="P22352"/>
      <c r="Q22352"/>
      <c r="R22352"/>
      <c r="S22352"/>
    </row>
    <row r="22353" spans="13:19" ht="13.95" customHeight="1">
      <c r="M22353"/>
      <c r="N22353"/>
      <c r="O22353"/>
      <c r="P22353"/>
      <c r="Q22353"/>
      <c r="R22353"/>
      <c r="S22353"/>
    </row>
    <row r="22354" spans="13:19" ht="13.95" customHeight="1">
      <c r="M22354"/>
      <c r="N22354"/>
      <c r="O22354"/>
      <c r="P22354"/>
      <c r="Q22354"/>
      <c r="R22354"/>
      <c r="S22354"/>
    </row>
    <row r="22355" spans="13:19" ht="13.95" customHeight="1">
      <c r="M22355"/>
      <c r="N22355"/>
      <c r="O22355"/>
      <c r="P22355"/>
      <c r="Q22355"/>
      <c r="R22355"/>
      <c r="S22355"/>
    </row>
    <row r="22356" spans="13:19" ht="13.95" customHeight="1">
      <c r="M22356"/>
      <c r="N22356"/>
      <c r="O22356"/>
      <c r="P22356"/>
      <c r="Q22356"/>
      <c r="R22356"/>
      <c r="S22356"/>
    </row>
    <row r="22357" spans="13:19" ht="13.95" customHeight="1">
      <c r="M22357"/>
      <c r="N22357"/>
      <c r="O22357"/>
      <c r="P22357"/>
      <c r="Q22357"/>
      <c r="R22357"/>
      <c r="S22357"/>
    </row>
    <row r="22358" spans="13:19" ht="13.95" customHeight="1">
      <c r="M22358"/>
      <c r="N22358"/>
      <c r="O22358"/>
      <c r="P22358"/>
      <c r="Q22358"/>
      <c r="R22358"/>
      <c r="S22358"/>
    </row>
    <row r="22359" spans="13:19" ht="13.95" customHeight="1">
      <c r="M22359"/>
      <c r="N22359"/>
      <c r="O22359"/>
      <c r="P22359"/>
      <c r="Q22359"/>
      <c r="R22359"/>
      <c r="S22359"/>
    </row>
    <row r="22360" spans="13:19" ht="13.95" customHeight="1">
      <c r="M22360"/>
      <c r="N22360"/>
      <c r="O22360"/>
      <c r="P22360"/>
      <c r="Q22360"/>
      <c r="R22360"/>
      <c r="S22360"/>
    </row>
    <row r="22361" spans="13:19" ht="13.95" customHeight="1">
      <c r="M22361"/>
      <c r="N22361"/>
      <c r="O22361"/>
      <c r="P22361"/>
      <c r="Q22361"/>
      <c r="R22361"/>
      <c r="S22361"/>
    </row>
    <row r="22362" spans="13:19" ht="13.95" customHeight="1">
      <c r="M22362"/>
      <c r="N22362"/>
      <c r="O22362"/>
      <c r="P22362"/>
      <c r="Q22362"/>
      <c r="R22362"/>
      <c r="S22362"/>
    </row>
    <row r="22363" spans="13:19" ht="13.95" customHeight="1">
      <c r="M22363"/>
      <c r="N22363"/>
      <c r="O22363"/>
      <c r="P22363"/>
      <c r="Q22363"/>
      <c r="R22363"/>
      <c r="S22363"/>
    </row>
    <row r="22364" spans="13:19" ht="13.95" customHeight="1">
      <c r="M22364"/>
      <c r="N22364"/>
      <c r="O22364"/>
      <c r="P22364"/>
      <c r="Q22364"/>
      <c r="R22364"/>
      <c r="S22364"/>
    </row>
    <row r="22365" spans="13:19" ht="13.95" customHeight="1">
      <c r="M22365"/>
      <c r="N22365"/>
      <c r="O22365"/>
      <c r="P22365"/>
      <c r="Q22365"/>
      <c r="R22365"/>
      <c r="S22365"/>
    </row>
    <row r="22366" spans="13:19" ht="13.95" customHeight="1">
      <c r="M22366"/>
      <c r="N22366"/>
      <c r="O22366"/>
      <c r="P22366"/>
      <c r="Q22366"/>
      <c r="R22366"/>
      <c r="S22366"/>
    </row>
    <row r="22367" spans="13:19" ht="13.95" customHeight="1">
      <c r="M22367"/>
      <c r="N22367"/>
      <c r="O22367"/>
      <c r="P22367"/>
      <c r="Q22367"/>
      <c r="R22367"/>
      <c r="S22367"/>
    </row>
    <row r="22368" spans="13:19" ht="13.95" customHeight="1">
      <c r="M22368"/>
      <c r="N22368"/>
      <c r="O22368"/>
      <c r="P22368"/>
      <c r="Q22368"/>
      <c r="R22368"/>
      <c r="S22368"/>
    </row>
    <row r="22369" spans="13:19" ht="13.95" customHeight="1">
      <c r="M22369"/>
      <c r="N22369"/>
      <c r="O22369"/>
      <c r="P22369"/>
      <c r="Q22369"/>
      <c r="R22369"/>
      <c r="S22369"/>
    </row>
    <row r="22370" spans="13:19" ht="13.95" customHeight="1">
      <c r="M22370"/>
      <c r="N22370"/>
      <c r="O22370"/>
      <c r="P22370"/>
      <c r="Q22370"/>
      <c r="R22370"/>
      <c r="S22370"/>
    </row>
    <row r="22371" spans="13:19" ht="13.95" customHeight="1">
      <c r="M22371"/>
      <c r="N22371"/>
      <c r="O22371"/>
      <c r="P22371"/>
      <c r="Q22371"/>
      <c r="R22371"/>
      <c r="S22371"/>
    </row>
    <row r="22372" spans="13:19" ht="13.95" customHeight="1">
      <c r="M22372"/>
      <c r="N22372"/>
      <c r="O22372"/>
      <c r="P22372"/>
      <c r="Q22372"/>
      <c r="R22372"/>
      <c r="S22372"/>
    </row>
    <row r="22373" spans="13:19" ht="13.95" customHeight="1">
      <c r="M22373"/>
      <c r="N22373"/>
      <c r="O22373"/>
      <c r="P22373"/>
      <c r="Q22373"/>
      <c r="R22373"/>
      <c r="S22373"/>
    </row>
    <row r="22374" spans="13:19" ht="13.95" customHeight="1">
      <c r="M22374"/>
      <c r="N22374"/>
      <c r="O22374"/>
      <c r="P22374"/>
      <c r="Q22374"/>
      <c r="R22374"/>
      <c r="S22374"/>
    </row>
    <row r="22375" spans="13:19" ht="13.95" customHeight="1">
      <c r="M22375"/>
      <c r="N22375"/>
      <c r="O22375"/>
      <c r="P22375"/>
      <c r="Q22375"/>
      <c r="R22375"/>
      <c r="S22375"/>
    </row>
    <row r="22376" spans="13:19" ht="13.95" customHeight="1">
      <c r="M22376"/>
      <c r="N22376"/>
      <c r="O22376"/>
      <c r="P22376"/>
      <c r="Q22376"/>
      <c r="R22376"/>
      <c r="S22376"/>
    </row>
    <row r="22377" spans="13:19" ht="13.95" customHeight="1">
      <c r="M22377"/>
      <c r="N22377"/>
      <c r="O22377"/>
      <c r="P22377"/>
      <c r="Q22377"/>
      <c r="R22377"/>
      <c r="S22377"/>
    </row>
    <row r="22378" spans="13:19" ht="13.95" customHeight="1">
      <c r="M22378"/>
      <c r="N22378"/>
      <c r="O22378"/>
      <c r="P22378"/>
      <c r="Q22378"/>
      <c r="R22378"/>
      <c r="S22378"/>
    </row>
    <row r="22379" spans="13:19" ht="13.95" customHeight="1">
      <c r="M22379"/>
      <c r="N22379"/>
      <c r="O22379"/>
      <c r="P22379"/>
      <c r="Q22379"/>
      <c r="R22379"/>
      <c r="S22379"/>
    </row>
    <row r="22380" spans="13:19" ht="13.95" customHeight="1">
      <c r="M22380"/>
      <c r="N22380"/>
      <c r="O22380"/>
      <c r="P22380"/>
      <c r="Q22380"/>
      <c r="R22380"/>
      <c r="S22380"/>
    </row>
    <row r="22381" spans="13:19" ht="13.95" customHeight="1">
      <c r="M22381"/>
      <c r="N22381"/>
      <c r="O22381"/>
      <c r="P22381"/>
      <c r="Q22381"/>
      <c r="R22381"/>
      <c r="S22381"/>
    </row>
    <row r="22382" spans="13:19" ht="13.95" customHeight="1">
      <c r="M22382"/>
      <c r="N22382"/>
      <c r="O22382"/>
      <c r="P22382"/>
      <c r="Q22382"/>
      <c r="R22382"/>
      <c r="S22382"/>
    </row>
    <row r="22383" spans="13:19" ht="13.95" customHeight="1">
      <c r="M22383"/>
      <c r="N22383"/>
      <c r="O22383"/>
      <c r="P22383"/>
      <c r="Q22383"/>
      <c r="R22383"/>
      <c r="S22383"/>
    </row>
    <row r="22384" spans="13:19" ht="13.95" customHeight="1">
      <c r="M22384"/>
      <c r="N22384"/>
      <c r="O22384"/>
      <c r="P22384"/>
      <c r="Q22384"/>
      <c r="R22384"/>
      <c r="S22384"/>
    </row>
    <row r="22385" spans="13:19" ht="13.95" customHeight="1">
      <c r="M22385"/>
      <c r="N22385"/>
      <c r="O22385"/>
      <c r="P22385"/>
      <c r="Q22385"/>
      <c r="R22385"/>
      <c r="S22385"/>
    </row>
    <row r="22386" spans="13:19" ht="13.95" customHeight="1">
      <c r="M22386"/>
      <c r="N22386"/>
      <c r="O22386"/>
      <c r="P22386"/>
      <c r="Q22386"/>
      <c r="R22386"/>
      <c r="S22386"/>
    </row>
    <row r="22387" spans="13:19" ht="13.95" customHeight="1">
      <c r="M22387"/>
      <c r="N22387"/>
      <c r="O22387"/>
      <c r="P22387"/>
      <c r="Q22387"/>
      <c r="R22387"/>
      <c r="S22387"/>
    </row>
    <row r="22388" spans="13:19" ht="13.95" customHeight="1">
      <c r="M22388"/>
      <c r="N22388"/>
      <c r="O22388"/>
      <c r="P22388"/>
      <c r="Q22388"/>
      <c r="R22388"/>
      <c r="S22388"/>
    </row>
    <row r="22389" spans="13:19" ht="13.95" customHeight="1">
      <c r="M22389"/>
      <c r="N22389"/>
      <c r="O22389"/>
      <c r="P22389"/>
      <c r="Q22389"/>
      <c r="R22389"/>
      <c r="S22389"/>
    </row>
    <row r="22390" spans="13:19" ht="13.95" customHeight="1">
      <c r="M22390"/>
      <c r="N22390"/>
      <c r="O22390"/>
      <c r="P22390"/>
      <c r="Q22390"/>
      <c r="R22390"/>
      <c r="S22390"/>
    </row>
    <row r="22391" spans="13:19" ht="13.95" customHeight="1">
      <c r="M22391"/>
      <c r="N22391"/>
      <c r="O22391"/>
      <c r="P22391"/>
      <c r="Q22391"/>
      <c r="R22391"/>
      <c r="S22391"/>
    </row>
    <row r="22392" spans="13:19" ht="13.95" customHeight="1">
      <c r="M22392"/>
      <c r="N22392"/>
      <c r="O22392"/>
      <c r="P22392"/>
      <c r="Q22392"/>
      <c r="R22392"/>
      <c r="S22392"/>
    </row>
    <row r="22393" spans="13:19" ht="13.95" customHeight="1">
      <c r="M22393"/>
      <c r="N22393"/>
      <c r="O22393"/>
      <c r="P22393"/>
      <c r="Q22393"/>
      <c r="R22393"/>
      <c r="S22393"/>
    </row>
    <row r="22394" spans="13:19" ht="13.95" customHeight="1">
      <c r="M22394"/>
      <c r="N22394"/>
      <c r="O22394"/>
      <c r="P22394"/>
      <c r="Q22394"/>
      <c r="R22394"/>
      <c r="S22394"/>
    </row>
    <row r="22395" spans="13:19" ht="13.95" customHeight="1">
      <c r="M22395"/>
      <c r="N22395"/>
      <c r="O22395"/>
      <c r="P22395"/>
      <c r="Q22395"/>
      <c r="R22395"/>
      <c r="S22395"/>
    </row>
    <row r="22396" spans="13:19" ht="13.95" customHeight="1">
      <c r="M22396"/>
      <c r="N22396"/>
      <c r="O22396"/>
      <c r="P22396"/>
      <c r="Q22396"/>
      <c r="R22396"/>
      <c r="S22396"/>
    </row>
    <row r="22397" spans="13:19" ht="13.95" customHeight="1">
      <c r="M22397"/>
      <c r="N22397"/>
      <c r="O22397"/>
      <c r="P22397"/>
      <c r="Q22397"/>
      <c r="R22397"/>
      <c r="S22397"/>
    </row>
    <row r="22398" spans="13:19" ht="13.95" customHeight="1">
      <c r="M22398"/>
      <c r="N22398"/>
      <c r="O22398"/>
      <c r="P22398"/>
      <c r="Q22398"/>
      <c r="R22398"/>
      <c r="S22398"/>
    </row>
    <row r="22399" spans="13:19" ht="13.95" customHeight="1">
      <c r="M22399"/>
      <c r="N22399"/>
      <c r="O22399"/>
      <c r="P22399"/>
      <c r="Q22399"/>
      <c r="R22399"/>
      <c r="S22399"/>
    </row>
    <row r="22400" spans="13:19" ht="13.95" customHeight="1">
      <c r="M22400"/>
      <c r="N22400"/>
      <c r="O22400"/>
      <c r="P22400"/>
      <c r="Q22400"/>
      <c r="R22400"/>
      <c r="S22400"/>
    </row>
    <row r="22401" spans="13:19" ht="13.95" customHeight="1">
      <c r="M22401"/>
      <c r="N22401"/>
      <c r="O22401"/>
      <c r="P22401"/>
      <c r="Q22401"/>
      <c r="R22401"/>
      <c r="S22401"/>
    </row>
    <row r="22402" spans="13:19" ht="13.95" customHeight="1">
      <c r="M22402"/>
      <c r="N22402"/>
      <c r="O22402"/>
      <c r="P22402"/>
      <c r="Q22402"/>
      <c r="R22402"/>
      <c r="S22402"/>
    </row>
    <row r="22403" spans="13:19" ht="13.95" customHeight="1">
      <c r="M22403"/>
      <c r="N22403"/>
      <c r="O22403"/>
      <c r="P22403"/>
      <c r="Q22403"/>
      <c r="R22403"/>
      <c r="S22403"/>
    </row>
    <row r="22404" spans="13:19" ht="13.95" customHeight="1">
      <c r="M22404"/>
      <c r="N22404"/>
      <c r="O22404"/>
      <c r="P22404"/>
      <c r="Q22404"/>
      <c r="R22404"/>
      <c r="S22404"/>
    </row>
    <row r="22405" spans="13:19" ht="13.95" customHeight="1">
      <c r="M22405"/>
      <c r="N22405"/>
      <c r="O22405"/>
      <c r="P22405"/>
      <c r="Q22405"/>
      <c r="R22405"/>
      <c r="S22405"/>
    </row>
    <row r="22406" spans="13:19" ht="13.95" customHeight="1">
      <c r="M22406"/>
      <c r="N22406"/>
      <c r="O22406"/>
      <c r="P22406"/>
      <c r="Q22406"/>
      <c r="R22406"/>
      <c r="S22406"/>
    </row>
    <row r="22407" spans="13:19" ht="13.95" customHeight="1">
      <c r="M22407"/>
      <c r="N22407"/>
      <c r="O22407"/>
      <c r="P22407"/>
      <c r="Q22407"/>
      <c r="R22407"/>
      <c r="S22407"/>
    </row>
    <row r="22408" spans="13:19" ht="13.95" customHeight="1">
      <c r="M22408"/>
      <c r="N22408"/>
      <c r="O22408"/>
      <c r="P22408"/>
      <c r="Q22408"/>
      <c r="R22408"/>
      <c r="S22408"/>
    </row>
    <row r="22409" spans="13:19" ht="13.95" customHeight="1">
      <c r="M22409"/>
      <c r="N22409"/>
      <c r="O22409"/>
      <c r="P22409"/>
      <c r="Q22409"/>
      <c r="R22409"/>
      <c r="S22409"/>
    </row>
    <row r="22410" spans="13:19" ht="13.95" customHeight="1">
      <c r="M22410"/>
      <c r="N22410"/>
      <c r="O22410"/>
      <c r="P22410"/>
      <c r="Q22410"/>
      <c r="R22410"/>
      <c r="S22410"/>
    </row>
    <row r="22411" spans="13:19" ht="13.95" customHeight="1">
      <c r="M22411"/>
      <c r="N22411"/>
      <c r="O22411"/>
      <c r="P22411"/>
      <c r="Q22411"/>
      <c r="R22411"/>
      <c r="S22411"/>
    </row>
    <row r="22412" spans="13:19" ht="13.95" customHeight="1">
      <c r="M22412"/>
      <c r="N22412"/>
      <c r="O22412"/>
      <c r="P22412"/>
      <c r="Q22412"/>
      <c r="R22412"/>
      <c r="S22412"/>
    </row>
    <row r="22413" spans="13:19" ht="13.95" customHeight="1">
      <c r="M22413"/>
      <c r="N22413"/>
      <c r="O22413"/>
      <c r="P22413"/>
      <c r="Q22413"/>
      <c r="R22413"/>
      <c r="S22413"/>
    </row>
    <row r="22414" spans="13:19" ht="13.95" customHeight="1">
      <c r="M22414"/>
      <c r="N22414"/>
      <c r="O22414"/>
      <c r="P22414"/>
      <c r="Q22414"/>
      <c r="R22414"/>
      <c r="S22414"/>
    </row>
    <row r="22415" spans="13:19" ht="13.95" customHeight="1">
      <c r="M22415"/>
      <c r="N22415"/>
      <c r="O22415"/>
      <c r="P22415"/>
      <c r="Q22415"/>
      <c r="R22415"/>
      <c r="S22415"/>
    </row>
    <row r="22416" spans="13:19" ht="13.95" customHeight="1">
      <c r="M22416"/>
      <c r="N22416"/>
      <c r="O22416"/>
      <c r="P22416"/>
      <c r="Q22416"/>
      <c r="R22416"/>
      <c r="S22416"/>
    </row>
    <row r="22417" spans="13:19" ht="13.95" customHeight="1">
      <c r="M22417"/>
      <c r="N22417"/>
      <c r="O22417"/>
      <c r="P22417"/>
      <c r="Q22417"/>
      <c r="R22417"/>
      <c r="S22417"/>
    </row>
    <row r="22418" spans="13:19" ht="13.95" customHeight="1">
      <c r="M22418"/>
      <c r="N22418"/>
      <c r="O22418"/>
      <c r="P22418"/>
      <c r="Q22418"/>
      <c r="R22418"/>
      <c r="S22418"/>
    </row>
    <row r="22419" spans="13:19" ht="13.95" customHeight="1">
      <c r="M22419"/>
      <c r="N22419"/>
      <c r="O22419"/>
      <c r="P22419"/>
      <c r="Q22419"/>
      <c r="R22419"/>
      <c r="S22419"/>
    </row>
    <row r="22420" spans="13:19" ht="13.95" customHeight="1">
      <c r="M22420"/>
      <c r="N22420"/>
      <c r="O22420"/>
      <c r="P22420"/>
      <c r="Q22420"/>
      <c r="R22420"/>
      <c r="S22420"/>
    </row>
    <row r="22421" spans="13:19" ht="13.95" customHeight="1">
      <c r="M22421"/>
      <c r="N22421"/>
      <c r="O22421"/>
      <c r="P22421"/>
      <c r="Q22421"/>
      <c r="R22421"/>
      <c r="S22421"/>
    </row>
    <row r="22422" spans="13:19" ht="13.95" customHeight="1">
      <c r="M22422"/>
      <c r="N22422"/>
      <c r="O22422"/>
      <c r="P22422"/>
      <c r="Q22422"/>
      <c r="R22422"/>
      <c r="S22422"/>
    </row>
    <row r="22423" spans="13:19" ht="13.95" customHeight="1">
      <c r="M22423"/>
      <c r="N22423"/>
      <c r="O22423"/>
      <c r="P22423"/>
      <c r="Q22423"/>
      <c r="R22423"/>
      <c r="S22423"/>
    </row>
    <row r="22424" spans="13:19" ht="13.95" customHeight="1">
      <c r="M22424"/>
      <c r="N22424"/>
      <c r="O22424"/>
      <c r="P22424"/>
      <c r="Q22424"/>
      <c r="R22424"/>
      <c r="S22424"/>
    </row>
    <row r="22425" spans="13:19" ht="13.95" customHeight="1">
      <c r="M22425"/>
      <c r="N22425"/>
      <c r="O22425"/>
      <c r="P22425"/>
      <c r="Q22425"/>
      <c r="R22425"/>
      <c r="S22425"/>
    </row>
    <row r="22426" spans="13:19" ht="13.95" customHeight="1">
      <c r="M22426"/>
      <c r="N22426"/>
      <c r="O22426"/>
      <c r="P22426"/>
      <c r="Q22426"/>
      <c r="R22426"/>
      <c r="S22426"/>
    </row>
    <row r="22427" spans="13:19" ht="13.95" customHeight="1">
      <c r="M22427"/>
      <c r="N22427"/>
      <c r="O22427"/>
      <c r="P22427"/>
      <c r="Q22427"/>
      <c r="R22427"/>
      <c r="S22427"/>
    </row>
    <row r="22428" spans="13:19" ht="13.95" customHeight="1">
      <c r="M22428"/>
      <c r="N22428"/>
      <c r="O22428"/>
      <c r="P22428"/>
      <c r="Q22428"/>
      <c r="R22428"/>
      <c r="S22428"/>
    </row>
    <row r="22429" spans="13:19" ht="13.95" customHeight="1">
      <c r="M22429"/>
      <c r="N22429"/>
      <c r="O22429"/>
      <c r="P22429"/>
      <c r="Q22429"/>
      <c r="R22429"/>
      <c r="S22429"/>
    </row>
    <row r="22430" spans="13:19" ht="13.95" customHeight="1">
      <c r="M22430"/>
      <c r="N22430"/>
      <c r="O22430"/>
      <c r="P22430"/>
      <c r="Q22430"/>
      <c r="R22430"/>
      <c r="S22430"/>
    </row>
    <row r="22431" spans="13:19" ht="13.95" customHeight="1">
      <c r="M22431"/>
      <c r="N22431"/>
      <c r="O22431"/>
      <c r="P22431"/>
      <c r="Q22431"/>
      <c r="R22431"/>
      <c r="S22431"/>
    </row>
    <row r="22432" spans="13:19" ht="13.95" customHeight="1">
      <c r="M22432"/>
      <c r="N22432"/>
      <c r="O22432"/>
      <c r="P22432"/>
      <c r="Q22432"/>
      <c r="R22432"/>
      <c r="S22432"/>
    </row>
    <row r="22433" spans="13:19" ht="13.95" customHeight="1">
      <c r="M22433"/>
      <c r="N22433"/>
      <c r="O22433"/>
      <c r="P22433"/>
      <c r="Q22433"/>
      <c r="R22433"/>
      <c r="S22433"/>
    </row>
    <row r="22434" spans="13:19" ht="13.95" customHeight="1">
      <c r="M22434"/>
      <c r="N22434"/>
      <c r="O22434"/>
      <c r="P22434"/>
      <c r="Q22434"/>
      <c r="R22434"/>
      <c r="S22434"/>
    </row>
    <row r="22435" spans="13:19" ht="13.95" customHeight="1">
      <c r="M22435"/>
      <c r="N22435"/>
      <c r="O22435"/>
      <c r="P22435"/>
      <c r="Q22435"/>
      <c r="R22435"/>
      <c r="S22435"/>
    </row>
    <row r="22436" spans="13:19" ht="13.95" customHeight="1">
      <c r="M22436"/>
      <c r="N22436"/>
      <c r="O22436"/>
      <c r="P22436"/>
      <c r="Q22436"/>
      <c r="R22436"/>
      <c r="S22436"/>
    </row>
    <row r="22437" spans="13:19" ht="13.95" customHeight="1">
      <c r="M22437"/>
      <c r="N22437"/>
      <c r="O22437"/>
      <c r="P22437"/>
      <c r="Q22437"/>
      <c r="R22437"/>
      <c r="S22437"/>
    </row>
    <row r="22438" spans="13:19" ht="13.95" customHeight="1">
      <c r="M22438"/>
      <c r="N22438"/>
      <c r="O22438"/>
      <c r="P22438"/>
      <c r="Q22438"/>
      <c r="R22438"/>
      <c r="S22438"/>
    </row>
    <row r="22439" spans="13:19" ht="13.95" customHeight="1">
      <c r="M22439"/>
      <c r="N22439"/>
      <c r="O22439"/>
      <c r="P22439"/>
      <c r="Q22439"/>
      <c r="R22439"/>
      <c r="S22439"/>
    </row>
    <row r="22440" spans="13:19" ht="13.95" customHeight="1">
      <c r="M22440"/>
      <c r="N22440"/>
      <c r="O22440"/>
      <c r="P22440"/>
      <c r="Q22440"/>
      <c r="R22440"/>
      <c r="S22440"/>
    </row>
    <row r="22441" spans="13:19" ht="13.95" customHeight="1">
      <c r="M22441"/>
      <c r="N22441"/>
      <c r="O22441"/>
      <c r="P22441"/>
      <c r="Q22441"/>
      <c r="R22441"/>
      <c r="S22441"/>
    </row>
    <row r="22442" spans="13:19" ht="13.95" customHeight="1">
      <c r="M22442"/>
      <c r="N22442"/>
      <c r="O22442"/>
      <c r="P22442"/>
      <c r="Q22442"/>
      <c r="R22442"/>
      <c r="S22442"/>
    </row>
    <row r="22443" spans="13:19" ht="13.95" customHeight="1">
      <c r="M22443"/>
      <c r="N22443"/>
      <c r="O22443"/>
      <c r="P22443"/>
      <c r="Q22443"/>
      <c r="R22443"/>
      <c r="S22443"/>
    </row>
    <row r="22444" spans="13:19" ht="13.95" customHeight="1">
      <c r="M22444"/>
      <c r="N22444"/>
      <c r="O22444"/>
      <c r="P22444"/>
      <c r="Q22444"/>
      <c r="R22444"/>
      <c r="S22444"/>
    </row>
    <row r="22445" spans="13:19" ht="13.95" customHeight="1">
      <c r="M22445"/>
      <c r="N22445"/>
      <c r="O22445"/>
      <c r="P22445"/>
      <c r="Q22445"/>
      <c r="R22445"/>
      <c r="S22445"/>
    </row>
    <row r="22446" spans="13:19" ht="13.95" customHeight="1">
      <c r="M22446"/>
      <c r="N22446"/>
      <c r="O22446"/>
      <c r="P22446"/>
      <c r="Q22446"/>
      <c r="R22446"/>
      <c r="S22446"/>
    </row>
    <row r="22447" spans="13:19" ht="13.95" customHeight="1">
      <c r="M22447"/>
      <c r="N22447"/>
      <c r="O22447"/>
      <c r="P22447"/>
      <c r="Q22447"/>
      <c r="R22447"/>
      <c r="S22447"/>
    </row>
    <row r="22448" spans="13:19" ht="13.95" customHeight="1">
      <c r="M22448"/>
      <c r="N22448"/>
      <c r="O22448"/>
      <c r="P22448"/>
      <c r="Q22448"/>
      <c r="R22448"/>
      <c r="S22448"/>
    </row>
    <row r="22449" spans="13:19" ht="13.95" customHeight="1">
      <c r="M22449"/>
      <c r="N22449"/>
      <c r="O22449"/>
      <c r="P22449"/>
      <c r="Q22449"/>
      <c r="R22449"/>
      <c r="S22449"/>
    </row>
    <row r="22450" spans="13:19" ht="13.95" customHeight="1">
      <c r="M22450"/>
      <c r="N22450"/>
      <c r="O22450"/>
      <c r="P22450"/>
      <c r="Q22450"/>
      <c r="R22450"/>
      <c r="S22450"/>
    </row>
    <row r="22451" spans="13:19" ht="13.95" customHeight="1">
      <c r="M22451"/>
      <c r="N22451"/>
      <c r="O22451"/>
      <c r="P22451"/>
      <c r="Q22451"/>
      <c r="R22451"/>
      <c r="S22451"/>
    </row>
    <row r="22452" spans="13:19" ht="13.95" customHeight="1">
      <c r="M22452"/>
      <c r="N22452"/>
      <c r="O22452"/>
      <c r="P22452"/>
      <c r="Q22452"/>
      <c r="R22452"/>
      <c r="S22452"/>
    </row>
    <row r="22453" spans="13:19" ht="13.95" customHeight="1">
      <c r="M22453"/>
      <c r="N22453"/>
      <c r="O22453"/>
      <c r="P22453"/>
      <c r="Q22453"/>
      <c r="R22453"/>
      <c r="S22453"/>
    </row>
    <row r="22454" spans="13:19" ht="13.95" customHeight="1">
      <c r="M22454"/>
      <c r="N22454"/>
      <c r="O22454"/>
      <c r="P22454"/>
      <c r="Q22454"/>
      <c r="R22454"/>
      <c r="S22454"/>
    </row>
    <row r="22455" spans="13:19" ht="13.95" customHeight="1">
      <c r="M22455"/>
      <c r="N22455"/>
      <c r="O22455"/>
      <c r="P22455"/>
      <c r="Q22455"/>
      <c r="R22455"/>
      <c r="S22455"/>
    </row>
    <row r="22456" spans="13:19" ht="13.95" customHeight="1">
      <c r="M22456"/>
      <c r="N22456"/>
      <c r="O22456"/>
      <c r="P22456"/>
      <c r="Q22456"/>
      <c r="R22456"/>
      <c r="S22456"/>
    </row>
    <row r="22457" spans="13:19" ht="13.95" customHeight="1">
      <c r="M22457"/>
      <c r="N22457"/>
      <c r="O22457"/>
      <c r="P22457"/>
      <c r="Q22457"/>
      <c r="R22457"/>
      <c r="S22457"/>
    </row>
    <row r="22458" spans="13:19" ht="13.95" customHeight="1">
      <c r="M22458"/>
      <c r="N22458"/>
      <c r="O22458"/>
      <c r="P22458"/>
      <c r="Q22458"/>
      <c r="R22458"/>
      <c r="S22458"/>
    </row>
    <row r="22459" spans="13:19" ht="13.95" customHeight="1">
      <c r="M22459"/>
      <c r="N22459"/>
      <c r="O22459"/>
      <c r="P22459"/>
      <c r="Q22459"/>
      <c r="R22459"/>
      <c r="S22459"/>
    </row>
    <row r="22460" spans="13:19" ht="13.95" customHeight="1">
      <c r="M22460"/>
      <c r="N22460"/>
      <c r="O22460"/>
      <c r="P22460"/>
      <c r="Q22460"/>
      <c r="R22460"/>
      <c r="S22460"/>
    </row>
    <row r="22461" spans="13:19" ht="13.95" customHeight="1">
      <c r="M22461"/>
      <c r="N22461"/>
      <c r="O22461"/>
      <c r="P22461"/>
      <c r="Q22461"/>
      <c r="R22461"/>
      <c r="S22461"/>
    </row>
    <row r="22462" spans="13:19" ht="13.95" customHeight="1">
      <c r="M22462"/>
      <c r="N22462"/>
      <c r="O22462"/>
      <c r="P22462"/>
      <c r="Q22462"/>
      <c r="R22462"/>
      <c r="S22462"/>
    </row>
    <row r="22463" spans="13:19" ht="13.95" customHeight="1">
      <c r="M22463"/>
      <c r="N22463"/>
      <c r="O22463"/>
      <c r="P22463"/>
      <c r="Q22463"/>
      <c r="R22463"/>
      <c r="S22463"/>
    </row>
    <row r="22464" spans="13:19" ht="13.95" customHeight="1">
      <c r="M22464"/>
      <c r="N22464"/>
      <c r="O22464"/>
      <c r="P22464"/>
      <c r="Q22464"/>
      <c r="R22464"/>
      <c r="S22464"/>
    </row>
    <row r="22465" spans="13:19" ht="13.95" customHeight="1">
      <c r="M22465"/>
      <c r="N22465"/>
      <c r="O22465"/>
      <c r="P22465"/>
      <c r="Q22465"/>
      <c r="R22465"/>
      <c r="S22465"/>
    </row>
    <row r="22466" spans="13:19" ht="13.95" customHeight="1">
      <c r="M22466"/>
      <c r="N22466"/>
      <c r="O22466"/>
      <c r="P22466"/>
      <c r="Q22466"/>
      <c r="R22466"/>
      <c r="S22466"/>
    </row>
    <row r="22467" spans="13:19" ht="13.95" customHeight="1">
      <c r="M22467"/>
      <c r="N22467"/>
      <c r="O22467"/>
      <c r="P22467"/>
      <c r="Q22467"/>
      <c r="R22467"/>
      <c r="S22467"/>
    </row>
    <row r="22468" spans="13:19" ht="13.95" customHeight="1">
      <c r="M22468"/>
      <c r="N22468"/>
      <c r="O22468"/>
      <c r="P22468"/>
      <c r="Q22468"/>
      <c r="R22468"/>
      <c r="S22468"/>
    </row>
    <row r="22469" spans="13:19" ht="13.95" customHeight="1">
      <c r="M22469"/>
      <c r="N22469"/>
      <c r="O22469"/>
      <c r="P22469"/>
      <c r="Q22469"/>
      <c r="R22469"/>
      <c r="S22469"/>
    </row>
    <row r="22470" spans="13:19" ht="13.95" customHeight="1">
      <c r="M22470"/>
      <c r="N22470"/>
      <c r="O22470"/>
      <c r="P22470"/>
      <c r="Q22470"/>
      <c r="R22470"/>
      <c r="S22470"/>
    </row>
    <row r="22471" spans="13:19" ht="13.95" customHeight="1">
      <c r="M22471"/>
      <c r="N22471"/>
      <c r="O22471"/>
      <c r="P22471"/>
      <c r="Q22471"/>
      <c r="R22471"/>
      <c r="S22471"/>
    </row>
    <row r="22472" spans="13:19" ht="13.95" customHeight="1">
      <c r="M22472"/>
      <c r="N22472"/>
      <c r="O22472"/>
      <c r="P22472"/>
      <c r="Q22472"/>
      <c r="R22472"/>
      <c r="S22472"/>
    </row>
    <row r="22473" spans="13:19" ht="13.95" customHeight="1">
      <c r="M22473"/>
      <c r="N22473"/>
      <c r="O22473"/>
      <c r="P22473"/>
      <c r="Q22473"/>
      <c r="R22473"/>
      <c r="S22473"/>
    </row>
    <row r="22474" spans="13:19" ht="13.95" customHeight="1">
      <c r="M22474"/>
      <c r="N22474"/>
      <c r="O22474"/>
      <c r="P22474"/>
      <c r="Q22474"/>
      <c r="R22474"/>
      <c r="S22474"/>
    </row>
    <row r="22475" spans="13:19" ht="13.95" customHeight="1">
      <c r="M22475"/>
      <c r="N22475"/>
      <c r="O22475"/>
      <c r="P22475"/>
      <c r="Q22475"/>
      <c r="R22475"/>
      <c r="S22475"/>
    </row>
    <row r="22476" spans="13:19" ht="13.95" customHeight="1">
      <c r="M22476"/>
      <c r="N22476"/>
      <c r="O22476"/>
      <c r="P22476"/>
      <c r="Q22476"/>
      <c r="R22476"/>
      <c r="S22476"/>
    </row>
    <row r="22477" spans="13:19" ht="13.95" customHeight="1">
      <c r="M22477"/>
      <c r="N22477"/>
      <c r="O22477"/>
      <c r="P22477"/>
      <c r="Q22477"/>
      <c r="R22477"/>
      <c r="S22477"/>
    </row>
    <row r="22478" spans="13:19" ht="13.95" customHeight="1">
      <c r="M22478"/>
      <c r="N22478"/>
      <c r="O22478"/>
      <c r="P22478"/>
      <c r="Q22478"/>
      <c r="R22478"/>
      <c r="S22478"/>
    </row>
    <row r="22479" spans="13:19" ht="13.95" customHeight="1">
      <c r="M22479"/>
      <c r="N22479"/>
      <c r="O22479"/>
      <c r="P22479"/>
      <c r="Q22479"/>
      <c r="R22479"/>
      <c r="S22479"/>
    </row>
    <row r="22480" spans="13:19" ht="13.95" customHeight="1">
      <c r="M22480"/>
      <c r="N22480"/>
      <c r="O22480"/>
      <c r="P22480"/>
      <c r="Q22480"/>
      <c r="R22480"/>
      <c r="S22480"/>
    </row>
    <row r="22481" spans="13:19" ht="13.95" customHeight="1">
      <c r="M22481"/>
      <c r="N22481"/>
      <c r="O22481"/>
      <c r="P22481"/>
      <c r="Q22481"/>
      <c r="R22481"/>
      <c r="S22481"/>
    </row>
    <row r="22482" spans="13:19" ht="13.95" customHeight="1">
      <c r="M22482"/>
      <c r="N22482"/>
      <c r="O22482"/>
      <c r="P22482"/>
      <c r="Q22482"/>
      <c r="R22482"/>
      <c r="S22482"/>
    </row>
    <row r="22483" spans="13:19" ht="13.95" customHeight="1">
      <c r="M22483"/>
      <c r="N22483"/>
      <c r="O22483"/>
      <c r="P22483"/>
      <c r="Q22483"/>
      <c r="R22483"/>
      <c r="S22483"/>
    </row>
    <row r="22484" spans="13:19" ht="13.95" customHeight="1">
      <c r="M22484"/>
      <c r="N22484"/>
      <c r="O22484"/>
      <c r="P22484"/>
      <c r="Q22484"/>
      <c r="R22484"/>
      <c r="S22484"/>
    </row>
    <row r="22485" spans="13:19" ht="13.95" customHeight="1">
      <c r="M22485"/>
      <c r="N22485"/>
      <c r="O22485"/>
      <c r="P22485"/>
      <c r="Q22485"/>
      <c r="R22485"/>
      <c r="S22485"/>
    </row>
    <row r="22486" spans="13:19" ht="13.95" customHeight="1">
      <c r="M22486"/>
      <c r="N22486"/>
      <c r="O22486"/>
      <c r="P22486"/>
      <c r="Q22486"/>
      <c r="R22486"/>
      <c r="S22486"/>
    </row>
    <row r="22487" spans="13:19" ht="13.95" customHeight="1">
      <c r="M22487"/>
      <c r="N22487"/>
      <c r="O22487"/>
      <c r="P22487"/>
      <c r="Q22487"/>
      <c r="R22487"/>
      <c r="S22487"/>
    </row>
    <row r="22488" spans="13:19" ht="13.95" customHeight="1">
      <c r="M22488"/>
      <c r="N22488"/>
      <c r="O22488"/>
      <c r="P22488"/>
      <c r="Q22488"/>
      <c r="R22488"/>
      <c r="S22488"/>
    </row>
    <row r="22489" spans="13:19" ht="13.95" customHeight="1">
      <c r="M22489"/>
      <c r="N22489"/>
      <c r="O22489"/>
      <c r="P22489"/>
      <c r="Q22489"/>
      <c r="R22489"/>
      <c r="S22489"/>
    </row>
    <row r="22490" spans="13:19" ht="13.95" customHeight="1">
      <c r="M22490"/>
      <c r="N22490"/>
      <c r="O22490"/>
      <c r="P22490"/>
      <c r="Q22490"/>
      <c r="R22490"/>
      <c r="S22490"/>
    </row>
    <row r="22491" spans="13:19" ht="13.95" customHeight="1">
      <c r="M22491"/>
      <c r="N22491"/>
      <c r="O22491"/>
      <c r="P22491"/>
      <c r="Q22491"/>
      <c r="R22491"/>
      <c r="S22491"/>
    </row>
    <row r="22492" spans="13:19" ht="13.95" customHeight="1">
      <c r="M22492"/>
      <c r="N22492"/>
      <c r="O22492"/>
      <c r="P22492"/>
      <c r="Q22492"/>
      <c r="R22492"/>
      <c r="S22492"/>
    </row>
    <row r="22493" spans="13:19" ht="13.95" customHeight="1">
      <c r="M22493"/>
      <c r="N22493"/>
      <c r="O22493"/>
      <c r="P22493"/>
      <c r="Q22493"/>
      <c r="R22493"/>
      <c r="S22493"/>
    </row>
    <row r="22494" spans="13:19" ht="13.95" customHeight="1">
      <c r="M22494"/>
      <c r="N22494"/>
      <c r="O22494"/>
      <c r="P22494"/>
      <c r="Q22494"/>
      <c r="R22494"/>
      <c r="S22494"/>
    </row>
    <row r="22495" spans="13:19" ht="13.95" customHeight="1">
      <c r="M22495"/>
      <c r="N22495"/>
      <c r="O22495"/>
      <c r="P22495"/>
      <c r="Q22495"/>
      <c r="R22495"/>
      <c r="S22495"/>
    </row>
    <row r="22496" spans="13:19" ht="13.95" customHeight="1">
      <c r="M22496"/>
      <c r="N22496"/>
      <c r="O22496"/>
      <c r="P22496"/>
      <c r="Q22496"/>
      <c r="R22496"/>
      <c r="S22496"/>
    </row>
    <row r="22497" spans="13:19" ht="13.95" customHeight="1">
      <c r="M22497"/>
      <c r="N22497"/>
      <c r="O22497"/>
      <c r="P22497"/>
      <c r="Q22497"/>
      <c r="R22497"/>
      <c r="S22497"/>
    </row>
    <row r="22498" spans="13:19" ht="13.95" customHeight="1">
      <c r="M22498"/>
      <c r="N22498"/>
      <c r="O22498"/>
      <c r="P22498"/>
      <c r="Q22498"/>
      <c r="R22498"/>
      <c r="S22498"/>
    </row>
    <row r="22499" spans="13:19" ht="13.95" customHeight="1">
      <c r="M22499"/>
      <c r="N22499"/>
      <c r="O22499"/>
      <c r="P22499"/>
      <c r="Q22499"/>
      <c r="R22499"/>
      <c r="S22499"/>
    </row>
    <row r="22500" spans="13:19" ht="13.95" customHeight="1">
      <c r="M22500"/>
      <c r="N22500"/>
      <c r="O22500"/>
      <c r="P22500"/>
      <c r="Q22500"/>
      <c r="R22500"/>
      <c r="S22500"/>
    </row>
    <row r="22501" spans="13:19" ht="13.95" customHeight="1">
      <c r="M22501"/>
      <c r="N22501"/>
      <c r="O22501"/>
      <c r="P22501"/>
      <c r="Q22501"/>
      <c r="R22501"/>
      <c r="S22501"/>
    </row>
    <row r="22502" spans="13:19" ht="13.95" customHeight="1">
      <c r="M22502"/>
      <c r="N22502"/>
      <c r="O22502"/>
      <c r="P22502"/>
      <c r="Q22502"/>
      <c r="R22502"/>
      <c r="S22502"/>
    </row>
    <row r="22503" spans="13:19" ht="13.95" customHeight="1">
      <c r="M22503"/>
      <c r="N22503"/>
      <c r="O22503"/>
      <c r="P22503"/>
      <c r="Q22503"/>
      <c r="R22503"/>
      <c r="S22503"/>
    </row>
    <row r="22504" spans="13:19" ht="13.95" customHeight="1">
      <c r="M22504"/>
      <c r="N22504"/>
      <c r="O22504"/>
      <c r="P22504"/>
      <c r="Q22504"/>
      <c r="R22504"/>
      <c r="S22504"/>
    </row>
    <row r="22505" spans="13:19" ht="13.95" customHeight="1">
      <c r="M22505"/>
      <c r="N22505"/>
      <c r="O22505"/>
      <c r="P22505"/>
      <c r="Q22505"/>
      <c r="R22505"/>
      <c r="S22505"/>
    </row>
    <row r="22506" spans="13:19" ht="13.95" customHeight="1">
      <c r="M22506"/>
      <c r="N22506"/>
      <c r="O22506"/>
      <c r="P22506"/>
      <c r="Q22506"/>
      <c r="R22506"/>
      <c r="S22506"/>
    </row>
    <row r="22507" spans="13:19" ht="13.95" customHeight="1">
      <c r="M22507"/>
      <c r="N22507"/>
      <c r="O22507"/>
      <c r="P22507"/>
      <c r="Q22507"/>
      <c r="R22507"/>
      <c r="S22507"/>
    </row>
    <row r="22508" spans="13:19" ht="13.95" customHeight="1">
      <c r="M22508"/>
      <c r="N22508"/>
      <c r="O22508"/>
      <c r="P22508"/>
      <c r="Q22508"/>
      <c r="R22508"/>
      <c r="S22508"/>
    </row>
    <row r="22509" spans="13:19" ht="13.95" customHeight="1">
      <c r="M22509"/>
      <c r="N22509"/>
      <c r="O22509"/>
      <c r="P22509"/>
      <c r="Q22509"/>
      <c r="R22509"/>
      <c r="S22509"/>
    </row>
    <row r="22510" spans="13:19" ht="13.95" customHeight="1">
      <c r="M22510"/>
      <c r="N22510"/>
      <c r="O22510"/>
      <c r="P22510"/>
      <c r="Q22510"/>
      <c r="R22510"/>
      <c r="S22510"/>
    </row>
    <row r="22511" spans="13:19" ht="13.95" customHeight="1">
      <c r="M22511"/>
      <c r="N22511"/>
      <c r="O22511"/>
      <c r="P22511"/>
      <c r="Q22511"/>
      <c r="R22511"/>
      <c r="S22511"/>
    </row>
    <row r="22512" spans="13:19" ht="13.95" customHeight="1">
      <c r="M22512"/>
      <c r="N22512"/>
      <c r="O22512"/>
      <c r="P22512"/>
      <c r="Q22512"/>
      <c r="R22512"/>
      <c r="S22512"/>
    </row>
    <row r="22513" spans="13:19" ht="13.95" customHeight="1">
      <c r="M22513"/>
      <c r="N22513"/>
      <c r="O22513"/>
      <c r="P22513"/>
      <c r="Q22513"/>
      <c r="R22513"/>
      <c r="S22513"/>
    </row>
    <row r="22514" spans="13:19" ht="13.95" customHeight="1">
      <c r="M22514"/>
      <c r="N22514"/>
      <c r="O22514"/>
      <c r="P22514"/>
      <c r="Q22514"/>
      <c r="R22514"/>
      <c r="S22514"/>
    </row>
    <row r="22515" spans="13:19" ht="13.95" customHeight="1">
      <c r="M22515"/>
      <c r="N22515"/>
      <c r="O22515"/>
      <c r="P22515"/>
      <c r="Q22515"/>
      <c r="R22515"/>
      <c r="S22515"/>
    </row>
    <row r="22516" spans="13:19" ht="13.95" customHeight="1">
      <c r="M22516"/>
      <c r="N22516"/>
      <c r="O22516"/>
      <c r="P22516"/>
      <c r="Q22516"/>
      <c r="R22516"/>
      <c r="S22516"/>
    </row>
    <row r="22517" spans="13:19" ht="13.95" customHeight="1">
      <c r="M22517"/>
      <c r="N22517"/>
      <c r="O22517"/>
      <c r="P22517"/>
      <c r="Q22517"/>
      <c r="R22517"/>
      <c r="S22517"/>
    </row>
    <row r="22518" spans="13:19" ht="13.95" customHeight="1">
      <c r="M22518"/>
      <c r="N22518"/>
      <c r="O22518"/>
      <c r="P22518"/>
      <c r="Q22518"/>
      <c r="R22518"/>
      <c r="S22518"/>
    </row>
    <row r="22519" spans="13:19" ht="13.95" customHeight="1">
      <c r="M22519"/>
      <c r="N22519"/>
      <c r="O22519"/>
      <c r="P22519"/>
      <c r="Q22519"/>
      <c r="R22519"/>
      <c r="S22519"/>
    </row>
    <row r="22520" spans="13:19" ht="13.95" customHeight="1">
      <c r="M22520"/>
      <c r="N22520"/>
      <c r="O22520"/>
      <c r="P22520"/>
      <c r="Q22520"/>
      <c r="R22520"/>
      <c r="S22520"/>
    </row>
    <row r="22521" spans="13:19" ht="13.95" customHeight="1">
      <c r="M22521"/>
      <c r="N22521"/>
      <c r="O22521"/>
      <c r="P22521"/>
      <c r="Q22521"/>
      <c r="R22521"/>
      <c r="S22521"/>
    </row>
    <row r="22522" spans="13:19" ht="13.95" customHeight="1">
      <c r="M22522"/>
      <c r="N22522"/>
      <c r="O22522"/>
      <c r="P22522"/>
      <c r="Q22522"/>
      <c r="R22522"/>
      <c r="S22522"/>
    </row>
    <row r="22523" spans="13:19" ht="13.95" customHeight="1">
      <c r="M22523"/>
      <c r="N22523"/>
      <c r="O22523"/>
      <c r="P22523"/>
      <c r="Q22523"/>
      <c r="R22523"/>
      <c r="S22523"/>
    </row>
    <row r="22524" spans="13:19" ht="13.95" customHeight="1">
      <c r="M22524"/>
      <c r="N22524"/>
      <c r="O22524"/>
      <c r="P22524"/>
      <c r="Q22524"/>
      <c r="R22524"/>
      <c r="S22524"/>
    </row>
    <row r="22525" spans="13:19" ht="13.95" customHeight="1">
      <c r="M22525"/>
      <c r="N22525"/>
      <c r="O22525"/>
      <c r="P22525"/>
      <c r="Q22525"/>
      <c r="R22525"/>
      <c r="S22525"/>
    </row>
    <row r="22526" spans="13:19" ht="13.95" customHeight="1">
      <c r="M22526"/>
      <c r="N22526"/>
      <c r="O22526"/>
      <c r="P22526"/>
      <c r="Q22526"/>
      <c r="R22526"/>
      <c r="S22526"/>
    </row>
    <row r="22527" spans="13:19" ht="13.95" customHeight="1">
      <c r="M22527"/>
      <c r="N22527"/>
      <c r="O22527"/>
      <c r="P22527"/>
      <c r="Q22527"/>
      <c r="R22527"/>
      <c r="S22527"/>
    </row>
    <row r="22528" spans="13:19" ht="13.95" customHeight="1">
      <c r="M22528"/>
      <c r="N22528"/>
      <c r="O22528"/>
      <c r="P22528"/>
      <c r="Q22528"/>
      <c r="R22528"/>
      <c r="S22528"/>
    </row>
    <row r="22529" spans="13:19" ht="13.95" customHeight="1">
      <c r="M22529"/>
      <c r="N22529"/>
      <c r="O22529"/>
      <c r="P22529"/>
      <c r="Q22529"/>
      <c r="R22529"/>
      <c r="S22529"/>
    </row>
    <row r="22530" spans="13:19" ht="13.95" customHeight="1">
      <c r="M22530"/>
      <c r="N22530"/>
      <c r="O22530"/>
      <c r="P22530"/>
      <c r="Q22530"/>
      <c r="R22530"/>
      <c r="S22530"/>
    </row>
    <row r="22531" spans="13:19" ht="13.95" customHeight="1">
      <c r="M22531"/>
      <c r="N22531"/>
      <c r="O22531"/>
      <c r="P22531"/>
      <c r="Q22531"/>
      <c r="R22531"/>
      <c r="S22531"/>
    </row>
    <row r="22532" spans="13:19" ht="13.95" customHeight="1">
      <c r="M22532"/>
      <c r="N22532"/>
      <c r="O22532"/>
      <c r="P22532"/>
      <c r="Q22532"/>
      <c r="R22532"/>
      <c r="S22532"/>
    </row>
    <row r="22533" spans="13:19" ht="13.95" customHeight="1">
      <c r="M22533"/>
      <c r="N22533"/>
      <c r="O22533"/>
      <c r="P22533"/>
      <c r="Q22533"/>
      <c r="R22533"/>
      <c r="S22533"/>
    </row>
    <row r="22534" spans="13:19" ht="13.95" customHeight="1">
      <c r="M22534"/>
      <c r="N22534"/>
      <c r="O22534"/>
      <c r="P22534"/>
      <c r="Q22534"/>
      <c r="R22534"/>
      <c r="S22534"/>
    </row>
    <row r="22535" spans="13:19" ht="13.95" customHeight="1">
      <c r="M22535"/>
      <c r="N22535"/>
      <c r="O22535"/>
      <c r="P22535"/>
      <c r="Q22535"/>
      <c r="R22535"/>
      <c r="S22535"/>
    </row>
    <row r="22536" spans="13:19" ht="13.95" customHeight="1">
      <c r="M22536"/>
      <c r="N22536"/>
      <c r="O22536"/>
      <c r="P22536"/>
      <c r="Q22536"/>
      <c r="R22536"/>
      <c r="S22536"/>
    </row>
    <row r="22537" spans="13:19" ht="13.95" customHeight="1">
      <c r="M22537"/>
      <c r="N22537"/>
      <c r="O22537"/>
      <c r="P22537"/>
      <c r="Q22537"/>
      <c r="R22537"/>
      <c r="S22537"/>
    </row>
    <row r="22538" spans="13:19" ht="13.95" customHeight="1">
      <c r="M22538"/>
      <c r="N22538"/>
      <c r="O22538"/>
      <c r="P22538"/>
      <c r="Q22538"/>
      <c r="R22538"/>
      <c r="S22538"/>
    </row>
    <row r="22539" spans="13:19" ht="13.95" customHeight="1">
      <c r="M22539"/>
      <c r="N22539"/>
      <c r="O22539"/>
      <c r="P22539"/>
      <c r="Q22539"/>
      <c r="R22539"/>
      <c r="S22539"/>
    </row>
    <row r="22540" spans="13:19" ht="13.95" customHeight="1">
      <c r="M22540"/>
      <c r="N22540"/>
      <c r="O22540"/>
      <c r="P22540"/>
      <c r="Q22540"/>
      <c r="R22540"/>
      <c r="S22540"/>
    </row>
    <row r="22541" spans="13:19" ht="13.95" customHeight="1">
      <c r="M22541"/>
      <c r="N22541"/>
      <c r="O22541"/>
      <c r="P22541"/>
      <c r="Q22541"/>
      <c r="R22541"/>
      <c r="S22541"/>
    </row>
    <row r="22542" spans="13:19" ht="13.95" customHeight="1">
      <c r="M22542"/>
      <c r="N22542"/>
      <c r="O22542"/>
      <c r="P22542"/>
      <c r="Q22542"/>
      <c r="R22542"/>
      <c r="S22542"/>
    </row>
    <row r="22543" spans="13:19" ht="13.95" customHeight="1">
      <c r="M22543"/>
      <c r="N22543"/>
      <c r="O22543"/>
      <c r="P22543"/>
      <c r="Q22543"/>
      <c r="R22543"/>
      <c r="S22543"/>
    </row>
    <row r="22544" spans="13:19" ht="13.95" customHeight="1">
      <c r="M22544"/>
      <c r="N22544"/>
      <c r="O22544"/>
      <c r="P22544"/>
      <c r="Q22544"/>
      <c r="R22544"/>
      <c r="S22544"/>
    </row>
    <row r="22545" spans="13:19" ht="13.95" customHeight="1">
      <c r="M22545"/>
      <c r="N22545"/>
      <c r="O22545"/>
      <c r="P22545"/>
      <c r="Q22545"/>
      <c r="R22545"/>
      <c r="S22545"/>
    </row>
    <row r="22546" spans="13:19" ht="13.95" customHeight="1">
      <c r="M22546"/>
      <c r="N22546"/>
      <c r="O22546"/>
      <c r="P22546"/>
      <c r="Q22546"/>
      <c r="R22546"/>
      <c r="S22546"/>
    </row>
    <row r="22547" spans="13:19" ht="13.95" customHeight="1">
      <c r="M22547"/>
      <c r="N22547"/>
      <c r="O22547"/>
      <c r="P22547"/>
      <c r="Q22547"/>
      <c r="R22547"/>
      <c r="S22547"/>
    </row>
    <row r="22548" spans="13:19" ht="13.95" customHeight="1">
      <c r="M22548"/>
      <c r="N22548"/>
      <c r="O22548"/>
      <c r="P22548"/>
      <c r="Q22548"/>
      <c r="R22548"/>
      <c r="S22548"/>
    </row>
    <row r="22549" spans="13:19" ht="13.95" customHeight="1">
      <c r="M22549"/>
      <c r="N22549"/>
      <c r="O22549"/>
      <c r="P22549"/>
      <c r="Q22549"/>
      <c r="R22549"/>
      <c r="S22549"/>
    </row>
    <row r="22550" spans="13:19" ht="13.95" customHeight="1">
      <c r="M22550"/>
      <c r="N22550"/>
      <c r="O22550"/>
      <c r="P22550"/>
      <c r="Q22550"/>
      <c r="R22550"/>
      <c r="S22550"/>
    </row>
    <row r="22551" spans="13:19" ht="13.95" customHeight="1">
      <c r="M22551"/>
      <c r="N22551"/>
      <c r="O22551"/>
      <c r="P22551"/>
      <c r="Q22551"/>
      <c r="R22551"/>
      <c r="S22551"/>
    </row>
    <row r="22552" spans="13:19" ht="13.95" customHeight="1">
      <c r="M22552"/>
      <c r="N22552"/>
      <c r="O22552"/>
      <c r="P22552"/>
      <c r="Q22552"/>
      <c r="R22552"/>
      <c r="S22552"/>
    </row>
    <row r="22553" spans="13:19" ht="13.95" customHeight="1">
      <c r="M22553"/>
      <c r="N22553"/>
      <c r="O22553"/>
      <c r="P22553"/>
      <c r="Q22553"/>
      <c r="R22553"/>
      <c r="S22553"/>
    </row>
    <row r="22554" spans="13:19" ht="13.95" customHeight="1">
      <c r="M22554"/>
      <c r="N22554"/>
      <c r="O22554"/>
      <c r="P22554"/>
      <c r="Q22554"/>
      <c r="R22554"/>
      <c r="S22554"/>
    </row>
    <row r="22555" spans="13:19" ht="13.95" customHeight="1">
      <c r="M22555"/>
      <c r="N22555"/>
      <c r="O22555"/>
      <c r="P22555"/>
      <c r="Q22555"/>
      <c r="R22555"/>
      <c r="S22555"/>
    </row>
    <row r="22556" spans="13:19" ht="13.95" customHeight="1">
      <c r="M22556"/>
      <c r="N22556"/>
      <c r="O22556"/>
      <c r="P22556"/>
      <c r="Q22556"/>
      <c r="R22556"/>
      <c r="S22556"/>
    </row>
    <row r="22557" spans="13:19" ht="13.95" customHeight="1">
      <c r="M22557"/>
      <c r="N22557"/>
      <c r="O22557"/>
      <c r="P22557"/>
      <c r="Q22557"/>
      <c r="R22557"/>
      <c r="S22557"/>
    </row>
    <row r="22558" spans="13:19" ht="13.95" customHeight="1">
      <c r="M22558"/>
      <c r="N22558"/>
      <c r="O22558"/>
      <c r="P22558"/>
      <c r="Q22558"/>
      <c r="R22558"/>
      <c r="S22558"/>
    </row>
    <row r="22559" spans="13:19" ht="13.95" customHeight="1">
      <c r="M22559"/>
      <c r="N22559"/>
      <c r="O22559"/>
      <c r="P22559"/>
      <c r="Q22559"/>
      <c r="R22559"/>
      <c r="S22559"/>
    </row>
    <row r="22560" spans="13:19" ht="13.95" customHeight="1">
      <c r="M22560"/>
      <c r="N22560"/>
      <c r="O22560"/>
      <c r="P22560"/>
      <c r="Q22560"/>
      <c r="R22560"/>
      <c r="S22560"/>
    </row>
    <row r="22561" spans="13:19" ht="13.95" customHeight="1">
      <c r="M22561"/>
      <c r="N22561"/>
      <c r="O22561"/>
      <c r="P22561"/>
      <c r="Q22561"/>
      <c r="R22561"/>
      <c r="S22561"/>
    </row>
    <row r="22562" spans="13:19" ht="13.95" customHeight="1">
      <c r="M22562"/>
      <c r="N22562"/>
      <c r="O22562"/>
      <c r="P22562"/>
      <c r="Q22562"/>
      <c r="R22562"/>
      <c r="S22562"/>
    </row>
    <row r="22563" spans="13:19" ht="13.95" customHeight="1">
      <c r="M22563"/>
      <c r="N22563"/>
      <c r="O22563"/>
      <c r="P22563"/>
      <c r="Q22563"/>
      <c r="R22563"/>
      <c r="S22563"/>
    </row>
    <row r="22564" spans="13:19" ht="13.95" customHeight="1">
      <c r="M22564"/>
      <c r="N22564"/>
      <c r="O22564"/>
      <c r="P22564"/>
      <c r="Q22564"/>
      <c r="R22564"/>
      <c r="S22564"/>
    </row>
    <row r="22565" spans="13:19" ht="13.95" customHeight="1">
      <c r="M22565"/>
      <c r="N22565"/>
      <c r="O22565"/>
      <c r="P22565"/>
      <c r="Q22565"/>
      <c r="R22565"/>
      <c r="S22565"/>
    </row>
    <row r="22566" spans="13:19" ht="13.95" customHeight="1">
      <c r="M22566"/>
      <c r="N22566"/>
      <c r="O22566"/>
      <c r="P22566"/>
      <c r="Q22566"/>
      <c r="R22566"/>
      <c r="S22566"/>
    </row>
    <row r="22567" spans="13:19" ht="13.95" customHeight="1">
      <c r="M22567"/>
      <c r="N22567"/>
      <c r="O22567"/>
      <c r="P22567"/>
      <c r="Q22567"/>
      <c r="R22567"/>
      <c r="S22567"/>
    </row>
    <row r="22568" spans="13:19" ht="13.95" customHeight="1">
      <c r="M22568"/>
      <c r="N22568"/>
      <c r="O22568"/>
      <c r="P22568"/>
      <c r="Q22568"/>
      <c r="R22568"/>
      <c r="S22568"/>
    </row>
    <row r="22569" spans="13:19" ht="13.95" customHeight="1">
      <c r="M22569"/>
      <c r="N22569"/>
      <c r="O22569"/>
      <c r="P22569"/>
      <c r="Q22569"/>
      <c r="R22569"/>
      <c r="S22569"/>
    </row>
    <row r="22570" spans="13:19" ht="13.95" customHeight="1">
      <c r="M22570"/>
      <c r="N22570"/>
      <c r="O22570"/>
      <c r="P22570"/>
      <c r="Q22570"/>
      <c r="R22570"/>
      <c r="S22570"/>
    </row>
    <row r="22571" spans="13:19" ht="13.95" customHeight="1">
      <c r="M22571"/>
      <c r="N22571"/>
      <c r="O22571"/>
      <c r="P22571"/>
      <c r="Q22571"/>
      <c r="R22571"/>
      <c r="S22571"/>
    </row>
    <row r="22572" spans="13:19" ht="13.95" customHeight="1">
      <c r="M22572"/>
      <c r="N22572"/>
      <c r="O22572"/>
      <c r="P22572"/>
      <c r="Q22572"/>
      <c r="R22572"/>
      <c r="S22572"/>
    </row>
    <row r="22573" spans="13:19" ht="13.95" customHeight="1">
      <c r="M22573"/>
      <c r="N22573"/>
      <c r="O22573"/>
      <c r="P22573"/>
      <c r="Q22573"/>
      <c r="R22573"/>
      <c r="S22573"/>
    </row>
    <row r="22574" spans="13:19" ht="13.95" customHeight="1">
      <c r="M22574"/>
      <c r="N22574"/>
      <c r="O22574"/>
      <c r="P22574"/>
      <c r="Q22574"/>
      <c r="R22574"/>
      <c r="S22574"/>
    </row>
    <row r="22575" spans="13:19" ht="13.95" customHeight="1">
      <c r="M22575"/>
      <c r="N22575"/>
      <c r="O22575"/>
      <c r="P22575"/>
      <c r="Q22575"/>
      <c r="R22575"/>
      <c r="S22575"/>
    </row>
    <row r="22576" spans="13:19" ht="13.95" customHeight="1">
      <c r="M22576"/>
      <c r="N22576"/>
      <c r="O22576"/>
      <c r="P22576"/>
      <c r="Q22576"/>
      <c r="R22576"/>
      <c r="S22576"/>
    </row>
    <row r="22577" spans="13:19" ht="13.95" customHeight="1">
      <c r="M22577"/>
      <c r="N22577"/>
      <c r="O22577"/>
      <c r="P22577"/>
      <c r="Q22577"/>
      <c r="R22577"/>
      <c r="S22577"/>
    </row>
    <row r="22578" spans="13:19" ht="13.95" customHeight="1">
      <c r="M22578"/>
      <c r="N22578"/>
      <c r="O22578"/>
      <c r="P22578"/>
      <c r="Q22578"/>
      <c r="R22578"/>
      <c r="S22578"/>
    </row>
    <row r="22579" spans="13:19" ht="13.95" customHeight="1">
      <c r="M22579"/>
      <c r="N22579"/>
      <c r="O22579"/>
      <c r="P22579"/>
      <c r="Q22579"/>
      <c r="R22579"/>
      <c r="S22579"/>
    </row>
    <row r="22580" spans="13:19" ht="13.95" customHeight="1">
      <c r="M22580"/>
      <c r="N22580"/>
      <c r="O22580"/>
      <c r="P22580"/>
      <c r="Q22580"/>
      <c r="R22580"/>
      <c r="S22580"/>
    </row>
    <row r="22581" spans="13:19" ht="13.95" customHeight="1">
      <c r="M22581"/>
      <c r="N22581"/>
      <c r="O22581"/>
      <c r="P22581"/>
      <c r="Q22581"/>
      <c r="R22581"/>
      <c r="S22581"/>
    </row>
    <row r="22582" spans="13:19" ht="13.95" customHeight="1">
      <c r="M22582"/>
      <c r="N22582"/>
      <c r="O22582"/>
      <c r="P22582"/>
      <c r="Q22582"/>
      <c r="R22582"/>
      <c r="S22582"/>
    </row>
    <row r="22583" spans="13:19" ht="13.95" customHeight="1">
      <c r="M22583"/>
      <c r="N22583"/>
      <c r="O22583"/>
      <c r="P22583"/>
      <c r="Q22583"/>
      <c r="R22583"/>
      <c r="S22583"/>
    </row>
    <row r="22584" spans="13:19" ht="13.95" customHeight="1">
      <c r="M22584"/>
      <c r="N22584"/>
      <c r="O22584"/>
      <c r="P22584"/>
      <c r="Q22584"/>
      <c r="R22584"/>
      <c r="S22584"/>
    </row>
    <row r="22585" spans="13:19" ht="13.95" customHeight="1">
      <c r="M22585"/>
      <c r="N22585"/>
      <c r="O22585"/>
      <c r="P22585"/>
      <c r="Q22585"/>
      <c r="R22585"/>
      <c r="S22585"/>
    </row>
    <row r="22586" spans="13:19" ht="13.95" customHeight="1">
      <c r="M22586"/>
      <c r="N22586"/>
      <c r="O22586"/>
      <c r="P22586"/>
      <c r="Q22586"/>
      <c r="R22586"/>
      <c r="S22586"/>
    </row>
    <row r="22587" spans="13:19" ht="13.95" customHeight="1">
      <c r="M22587"/>
      <c r="N22587"/>
      <c r="O22587"/>
      <c r="P22587"/>
      <c r="Q22587"/>
      <c r="R22587"/>
      <c r="S22587"/>
    </row>
    <row r="22588" spans="13:19" ht="13.95" customHeight="1">
      <c r="M22588"/>
      <c r="N22588"/>
      <c r="O22588"/>
      <c r="P22588"/>
      <c r="Q22588"/>
      <c r="R22588"/>
      <c r="S22588"/>
    </row>
    <row r="22589" spans="13:19" ht="13.95" customHeight="1">
      <c r="M22589"/>
      <c r="N22589"/>
      <c r="O22589"/>
      <c r="P22589"/>
      <c r="Q22589"/>
      <c r="R22589"/>
      <c r="S22589"/>
    </row>
    <row r="22590" spans="13:19" ht="13.95" customHeight="1">
      <c r="M22590"/>
      <c r="N22590"/>
      <c r="O22590"/>
      <c r="P22590"/>
      <c r="Q22590"/>
      <c r="R22590"/>
      <c r="S22590"/>
    </row>
    <row r="22591" spans="13:19" ht="13.95" customHeight="1">
      <c r="M22591"/>
      <c r="N22591"/>
      <c r="O22591"/>
      <c r="P22591"/>
      <c r="Q22591"/>
      <c r="R22591"/>
      <c r="S22591"/>
    </row>
    <row r="22592" spans="13:19" ht="13.95" customHeight="1">
      <c r="M22592"/>
      <c r="N22592"/>
      <c r="O22592"/>
      <c r="P22592"/>
      <c r="Q22592"/>
      <c r="R22592"/>
      <c r="S22592"/>
    </row>
    <row r="22593" spans="13:19" ht="13.95" customHeight="1">
      <c r="M22593"/>
      <c r="N22593"/>
      <c r="O22593"/>
      <c r="P22593"/>
      <c r="Q22593"/>
      <c r="R22593"/>
      <c r="S22593"/>
    </row>
    <row r="22594" spans="13:19" ht="13.95" customHeight="1">
      <c r="M22594"/>
      <c r="N22594"/>
      <c r="O22594"/>
      <c r="P22594"/>
      <c r="Q22594"/>
      <c r="R22594"/>
      <c r="S22594"/>
    </row>
    <row r="22595" spans="13:19" ht="13.95" customHeight="1">
      <c r="M22595"/>
      <c r="N22595"/>
      <c r="O22595"/>
      <c r="P22595"/>
      <c r="Q22595"/>
      <c r="R22595"/>
      <c r="S22595"/>
    </row>
    <row r="22596" spans="13:19" ht="13.95" customHeight="1">
      <c r="M22596"/>
      <c r="N22596"/>
      <c r="O22596"/>
      <c r="P22596"/>
      <c r="Q22596"/>
      <c r="R22596"/>
      <c r="S22596"/>
    </row>
    <row r="22597" spans="13:19" ht="13.95" customHeight="1">
      <c r="M22597"/>
      <c r="N22597"/>
      <c r="O22597"/>
      <c r="P22597"/>
      <c r="Q22597"/>
      <c r="R22597"/>
      <c r="S22597"/>
    </row>
    <row r="22598" spans="13:19" ht="13.95" customHeight="1">
      <c r="M22598"/>
      <c r="N22598"/>
      <c r="O22598"/>
      <c r="P22598"/>
      <c r="Q22598"/>
      <c r="R22598"/>
      <c r="S22598"/>
    </row>
    <row r="22599" spans="13:19" ht="13.95" customHeight="1">
      <c r="M22599"/>
      <c r="N22599"/>
      <c r="O22599"/>
      <c r="P22599"/>
      <c r="Q22599"/>
      <c r="R22599"/>
      <c r="S22599"/>
    </row>
    <row r="22600" spans="13:19" ht="13.95" customHeight="1">
      <c r="M22600"/>
      <c r="N22600"/>
      <c r="O22600"/>
      <c r="P22600"/>
      <c r="Q22600"/>
      <c r="R22600"/>
      <c r="S22600"/>
    </row>
    <row r="22601" spans="13:19" ht="13.95" customHeight="1">
      <c r="M22601"/>
      <c r="N22601"/>
      <c r="O22601"/>
      <c r="P22601"/>
      <c r="Q22601"/>
      <c r="R22601"/>
      <c r="S22601"/>
    </row>
    <row r="22602" spans="13:19" ht="13.95" customHeight="1">
      <c r="M22602"/>
      <c r="N22602"/>
      <c r="O22602"/>
      <c r="P22602"/>
      <c r="Q22602"/>
      <c r="R22602"/>
      <c r="S22602"/>
    </row>
    <row r="22603" spans="13:19" ht="13.95" customHeight="1">
      <c r="M22603"/>
      <c r="N22603"/>
      <c r="O22603"/>
      <c r="P22603"/>
      <c r="Q22603"/>
      <c r="R22603"/>
      <c r="S22603"/>
    </row>
    <row r="22604" spans="13:19" ht="13.95" customHeight="1">
      <c r="M22604"/>
      <c r="N22604"/>
      <c r="O22604"/>
      <c r="P22604"/>
      <c r="Q22604"/>
      <c r="R22604"/>
      <c r="S22604"/>
    </row>
    <row r="22605" spans="13:19" ht="13.95" customHeight="1">
      <c r="M22605"/>
      <c r="N22605"/>
      <c r="O22605"/>
      <c r="P22605"/>
      <c r="Q22605"/>
      <c r="R22605"/>
      <c r="S22605"/>
    </row>
    <row r="22606" spans="13:19" ht="13.95" customHeight="1">
      <c r="M22606"/>
      <c r="N22606"/>
      <c r="O22606"/>
      <c r="P22606"/>
      <c r="Q22606"/>
      <c r="R22606"/>
      <c r="S22606"/>
    </row>
    <row r="22607" spans="13:19" ht="13.95" customHeight="1">
      <c r="M22607"/>
      <c r="N22607"/>
      <c r="O22607"/>
      <c r="P22607"/>
      <c r="Q22607"/>
      <c r="R22607"/>
      <c r="S22607"/>
    </row>
    <row r="22608" spans="13:19" ht="13.95" customHeight="1">
      <c r="M22608"/>
      <c r="N22608"/>
      <c r="O22608"/>
      <c r="P22608"/>
      <c r="Q22608"/>
      <c r="R22608"/>
      <c r="S22608"/>
    </row>
    <row r="22609" spans="13:19" ht="13.95" customHeight="1">
      <c r="M22609"/>
      <c r="N22609"/>
      <c r="O22609"/>
      <c r="P22609"/>
      <c r="Q22609"/>
      <c r="R22609"/>
      <c r="S22609"/>
    </row>
    <row r="22610" spans="13:19" ht="13.95" customHeight="1">
      <c r="M22610"/>
      <c r="N22610"/>
      <c r="O22610"/>
      <c r="P22610"/>
      <c r="Q22610"/>
      <c r="R22610"/>
      <c r="S22610"/>
    </row>
    <row r="22611" spans="13:19" ht="13.95" customHeight="1">
      <c r="M22611"/>
      <c r="N22611"/>
      <c r="O22611"/>
      <c r="P22611"/>
      <c r="Q22611"/>
      <c r="R22611"/>
      <c r="S22611"/>
    </row>
    <row r="22612" spans="13:19" ht="13.95" customHeight="1">
      <c r="M22612"/>
      <c r="N22612"/>
      <c r="O22612"/>
      <c r="P22612"/>
      <c r="Q22612"/>
      <c r="R22612"/>
      <c r="S22612"/>
    </row>
    <row r="22613" spans="13:19" ht="13.95" customHeight="1">
      <c r="M22613"/>
      <c r="N22613"/>
      <c r="O22613"/>
      <c r="P22613"/>
      <c r="Q22613"/>
      <c r="R22613"/>
      <c r="S22613"/>
    </row>
    <row r="22614" spans="13:19" ht="13.95" customHeight="1">
      <c r="M22614"/>
      <c r="N22614"/>
      <c r="O22614"/>
      <c r="P22614"/>
      <c r="Q22614"/>
      <c r="R22614"/>
      <c r="S22614"/>
    </row>
    <row r="22615" spans="13:19" ht="13.95" customHeight="1">
      <c r="M22615"/>
      <c r="N22615"/>
      <c r="O22615"/>
      <c r="P22615"/>
      <c r="Q22615"/>
      <c r="R22615"/>
      <c r="S22615"/>
    </row>
    <row r="22616" spans="13:19" ht="13.95" customHeight="1">
      <c r="M22616"/>
      <c r="N22616"/>
      <c r="O22616"/>
      <c r="P22616"/>
      <c r="Q22616"/>
      <c r="R22616"/>
      <c r="S22616"/>
    </row>
    <row r="22617" spans="13:19" ht="13.95" customHeight="1">
      <c r="M22617"/>
      <c r="N22617"/>
      <c r="O22617"/>
      <c r="P22617"/>
      <c r="Q22617"/>
      <c r="R22617"/>
      <c r="S22617"/>
    </row>
    <row r="22618" spans="13:19" ht="13.95" customHeight="1">
      <c r="M22618"/>
      <c r="N22618"/>
      <c r="O22618"/>
      <c r="P22618"/>
      <c r="Q22618"/>
      <c r="R22618"/>
      <c r="S22618"/>
    </row>
    <row r="22619" spans="13:19" ht="13.95" customHeight="1">
      <c r="M22619"/>
      <c r="N22619"/>
      <c r="O22619"/>
      <c r="P22619"/>
      <c r="Q22619"/>
      <c r="R22619"/>
      <c r="S22619"/>
    </row>
    <row r="22620" spans="13:19" ht="13.95" customHeight="1">
      <c r="M22620"/>
      <c r="N22620"/>
      <c r="O22620"/>
      <c r="P22620"/>
      <c r="Q22620"/>
      <c r="R22620"/>
      <c r="S22620"/>
    </row>
    <row r="22621" spans="13:19" ht="13.95" customHeight="1">
      <c r="M22621"/>
      <c r="N22621"/>
      <c r="O22621"/>
      <c r="P22621"/>
      <c r="Q22621"/>
      <c r="R22621"/>
      <c r="S22621"/>
    </row>
    <row r="22622" spans="13:19" ht="13.95" customHeight="1">
      <c r="M22622"/>
      <c r="N22622"/>
      <c r="O22622"/>
      <c r="P22622"/>
      <c r="Q22622"/>
      <c r="R22622"/>
      <c r="S22622"/>
    </row>
    <row r="22623" spans="13:19" ht="13.95" customHeight="1">
      <c r="M22623"/>
      <c r="N22623"/>
      <c r="O22623"/>
      <c r="P22623"/>
      <c r="Q22623"/>
      <c r="R22623"/>
      <c r="S22623"/>
    </row>
    <row r="22624" spans="13:19" ht="13.95" customHeight="1">
      <c r="M22624"/>
      <c r="N22624"/>
      <c r="O22624"/>
      <c r="P22624"/>
      <c r="Q22624"/>
      <c r="R22624"/>
      <c r="S22624"/>
    </row>
    <row r="22625" spans="13:19" ht="13.95" customHeight="1">
      <c r="M22625"/>
      <c r="N22625"/>
      <c r="O22625"/>
      <c r="P22625"/>
      <c r="Q22625"/>
      <c r="R22625"/>
      <c r="S22625"/>
    </row>
    <row r="22626" spans="13:19" ht="13.95" customHeight="1">
      <c r="M22626"/>
      <c r="N22626"/>
      <c r="O22626"/>
      <c r="P22626"/>
      <c r="Q22626"/>
      <c r="R22626"/>
      <c r="S22626"/>
    </row>
    <row r="22627" spans="13:19" ht="13.95" customHeight="1">
      <c r="M22627"/>
      <c r="N22627"/>
      <c r="O22627"/>
      <c r="P22627"/>
      <c r="Q22627"/>
      <c r="R22627"/>
      <c r="S22627"/>
    </row>
    <row r="22628" spans="13:19" ht="13.95" customHeight="1">
      <c r="M22628"/>
      <c r="N22628"/>
      <c r="O22628"/>
      <c r="P22628"/>
      <c r="Q22628"/>
      <c r="R22628"/>
      <c r="S22628"/>
    </row>
    <row r="22629" spans="13:19" ht="13.95" customHeight="1">
      <c r="M22629"/>
      <c r="N22629"/>
      <c r="O22629"/>
      <c r="P22629"/>
      <c r="Q22629"/>
      <c r="R22629"/>
      <c r="S22629"/>
    </row>
    <row r="22630" spans="13:19" ht="13.95" customHeight="1">
      <c r="M22630"/>
      <c r="N22630"/>
      <c r="O22630"/>
      <c r="P22630"/>
      <c r="Q22630"/>
      <c r="R22630"/>
      <c r="S22630"/>
    </row>
    <row r="22631" spans="13:19" ht="13.95" customHeight="1">
      <c r="M22631"/>
      <c r="N22631"/>
      <c r="O22631"/>
      <c r="P22631"/>
      <c r="Q22631"/>
      <c r="R22631"/>
      <c r="S22631"/>
    </row>
    <row r="22632" spans="13:19" ht="13.95" customHeight="1">
      <c r="M22632"/>
      <c r="N22632"/>
      <c r="O22632"/>
      <c r="P22632"/>
      <c r="Q22632"/>
      <c r="R22632"/>
      <c r="S22632"/>
    </row>
    <row r="22633" spans="13:19" ht="13.95" customHeight="1">
      <c r="M22633"/>
      <c r="N22633"/>
      <c r="O22633"/>
      <c r="P22633"/>
      <c r="Q22633"/>
      <c r="R22633"/>
      <c r="S22633"/>
    </row>
    <row r="22634" spans="13:19" ht="13.95" customHeight="1">
      <c r="M22634"/>
      <c r="N22634"/>
      <c r="O22634"/>
      <c r="P22634"/>
      <c r="Q22634"/>
      <c r="R22634"/>
      <c r="S22634"/>
    </row>
    <row r="22635" spans="13:19" ht="13.95" customHeight="1">
      <c r="M22635"/>
      <c r="N22635"/>
      <c r="O22635"/>
      <c r="P22635"/>
      <c r="Q22635"/>
      <c r="R22635"/>
      <c r="S22635"/>
    </row>
    <row r="22636" spans="13:19" ht="13.95" customHeight="1">
      <c r="M22636"/>
      <c r="N22636"/>
      <c r="O22636"/>
      <c r="P22636"/>
      <c r="Q22636"/>
      <c r="R22636"/>
      <c r="S22636"/>
    </row>
    <row r="22637" spans="13:19" ht="13.95" customHeight="1">
      <c r="M22637"/>
      <c r="N22637"/>
      <c r="O22637"/>
      <c r="P22637"/>
      <c r="Q22637"/>
      <c r="R22637"/>
      <c r="S22637"/>
    </row>
    <row r="22638" spans="13:19" ht="13.95" customHeight="1">
      <c r="M22638"/>
      <c r="N22638"/>
      <c r="O22638"/>
      <c r="P22638"/>
      <c r="Q22638"/>
      <c r="R22638"/>
      <c r="S22638"/>
    </row>
    <row r="22639" spans="13:19" ht="13.95" customHeight="1">
      <c r="M22639"/>
      <c r="N22639"/>
      <c r="O22639"/>
      <c r="P22639"/>
      <c r="Q22639"/>
      <c r="R22639"/>
      <c r="S22639"/>
    </row>
    <row r="22640" spans="13:19" ht="13.95" customHeight="1">
      <c r="M22640"/>
      <c r="N22640"/>
      <c r="O22640"/>
      <c r="P22640"/>
      <c r="Q22640"/>
      <c r="R22640"/>
      <c r="S22640"/>
    </row>
    <row r="22641" spans="13:19" ht="13.95" customHeight="1">
      <c r="M22641"/>
      <c r="N22641"/>
      <c r="O22641"/>
      <c r="P22641"/>
      <c r="Q22641"/>
      <c r="R22641"/>
      <c r="S22641"/>
    </row>
    <row r="22642" spans="13:19" ht="13.95" customHeight="1">
      <c r="M22642"/>
      <c r="N22642"/>
      <c r="O22642"/>
      <c r="P22642"/>
      <c r="Q22642"/>
      <c r="R22642"/>
      <c r="S22642"/>
    </row>
    <row r="22643" spans="13:19" ht="13.95" customHeight="1">
      <c r="M22643"/>
      <c r="N22643"/>
      <c r="O22643"/>
      <c r="P22643"/>
      <c r="Q22643"/>
      <c r="R22643"/>
      <c r="S22643"/>
    </row>
    <row r="22644" spans="13:19" ht="13.95" customHeight="1">
      <c r="M22644"/>
      <c r="N22644"/>
      <c r="O22644"/>
      <c r="P22644"/>
      <c r="Q22644"/>
      <c r="R22644"/>
      <c r="S22644"/>
    </row>
    <row r="22645" spans="13:19" ht="13.95" customHeight="1">
      <c r="M22645"/>
      <c r="N22645"/>
      <c r="O22645"/>
      <c r="P22645"/>
      <c r="Q22645"/>
      <c r="R22645"/>
      <c r="S22645"/>
    </row>
    <row r="22646" spans="13:19" ht="13.95" customHeight="1">
      <c r="M22646"/>
      <c r="N22646"/>
      <c r="O22646"/>
      <c r="P22646"/>
      <c r="Q22646"/>
      <c r="R22646"/>
      <c r="S22646"/>
    </row>
    <row r="22647" spans="13:19" ht="13.95" customHeight="1">
      <c r="M22647"/>
      <c r="N22647"/>
      <c r="O22647"/>
      <c r="P22647"/>
      <c r="Q22647"/>
      <c r="R22647"/>
      <c r="S22647"/>
    </row>
    <row r="22648" spans="13:19" ht="13.95" customHeight="1">
      <c r="M22648"/>
      <c r="N22648"/>
      <c r="O22648"/>
      <c r="P22648"/>
      <c r="Q22648"/>
      <c r="R22648"/>
      <c r="S22648"/>
    </row>
    <row r="22649" spans="13:19" ht="13.95" customHeight="1">
      <c r="M22649"/>
      <c r="N22649"/>
      <c r="O22649"/>
      <c r="P22649"/>
      <c r="Q22649"/>
      <c r="R22649"/>
      <c r="S22649"/>
    </row>
    <row r="22650" spans="13:19" ht="13.95" customHeight="1">
      <c r="M22650"/>
      <c r="N22650"/>
      <c r="O22650"/>
      <c r="P22650"/>
      <c r="Q22650"/>
      <c r="R22650"/>
      <c r="S22650"/>
    </row>
    <row r="22651" spans="13:19" ht="13.95" customHeight="1">
      <c r="M22651"/>
      <c r="N22651"/>
      <c r="O22651"/>
      <c r="P22651"/>
      <c r="Q22651"/>
      <c r="R22651"/>
      <c r="S22651"/>
    </row>
    <row r="22652" spans="13:19" ht="13.95" customHeight="1">
      <c r="M22652"/>
      <c r="N22652"/>
      <c r="O22652"/>
      <c r="P22652"/>
      <c r="Q22652"/>
      <c r="R22652"/>
      <c r="S22652"/>
    </row>
    <row r="22653" spans="13:19" ht="13.95" customHeight="1">
      <c r="M22653"/>
      <c r="N22653"/>
      <c r="O22653"/>
      <c r="P22653"/>
      <c r="Q22653"/>
      <c r="R22653"/>
      <c r="S22653"/>
    </row>
    <row r="22654" spans="13:19" ht="13.95" customHeight="1">
      <c r="M22654"/>
      <c r="N22654"/>
      <c r="O22654"/>
      <c r="P22654"/>
      <c r="Q22654"/>
      <c r="R22654"/>
      <c r="S22654"/>
    </row>
    <row r="22655" spans="13:19" ht="13.95" customHeight="1">
      <c r="M22655"/>
      <c r="N22655"/>
      <c r="O22655"/>
      <c r="P22655"/>
      <c r="Q22655"/>
      <c r="R22655"/>
      <c r="S22655"/>
    </row>
    <row r="22656" spans="13:19" ht="13.95" customHeight="1">
      <c r="M22656"/>
      <c r="N22656"/>
      <c r="O22656"/>
      <c r="P22656"/>
      <c r="Q22656"/>
      <c r="R22656"/>
      <c r="S22656"/>
    </row>
    <row r="22657" spans="13:19" ht="13.95" customHeight="1">
      <c r="M22657"/>
      <c r="N22657"/>
      <c r="O22657"/>
      <c r="P22657"/>
      <c r="Q22657"/>
      <c r="R22657"/>
      <c r="S22657"/>
    </row>
    <row r="22658" spans="13:19" ht="13.95" customHeight="1">
      <c r="M22658"/>
      <c r="N22658"/>
      <c r="O22658"/>
      <c r="P22658"/>
      <c r="Q22658"/>
      <c r="R22658"/>
      <c r="S22658"/>
    </row>
    <row r="22659" spans="13:19" ht="13.95" customHeight="1">
      <c r="M22659"/>
      <c r="N22659"/>
      <c r="O22659"/>
      <c r="P22659"/>
      <c r="Q22659"/>
      <c r="R22659"/>
      <c r="S22659"/>
    </row>
    <row r="22660" spans="13:19" ht="13.95" customHeight="1">
      <c r="M22660"/>
      <c r="N22660"/>
      <c r="O22660"/>
      <c r="P22660"/>
      <c r="Q22660"/>
      <c r="R22660"/>
      <c r="S22660"/>
    </row>
    <row r="22661" spans="13:19" ht="13.95" customHeight="1">
      <c r="M22661"/>
      <c r="N22661"/>
      <c r="O22661"/>
      <c r="P22661"/>
      <c r="Q22661"/>
      <c r="R22661"/>
      <c r="S22661"/>
    </row>
    <row r="22662" spans="13:19" ht="13.95" customHeight="1">
      <c r="M22662"/>
      <c r="N22662"/>
      <c r="O22662"/>
      <c r="P22662"/>
      <c r="Q22662"/>
      <c r="R22662"/>
      <c r="S22662"/>
    </row>
    <row r="22663" spans="13:19" ht="13.95" customHeight="1">
      <c r="M22663"/>
      <c r="N22663"/>
      <c r="O22663"/>
      <c r="P22663"/>
      <c r="Q22663"/>
      <c r="R22663"/>
      <c r="S22663"/>
    </row>
    <row r="22664" spans="13:19" ht="13.95" customHeight="1">
      <c r="M22664"/>
      <c r="N22664"/>
      <c r="O22664"/>
      <c r="P22664"/>
      <c r="Q22664"/>
      <c r="R22664"/>
      <c r="S22664"/>
    </row>
    <row r="22665" spans="13:19" ht="13.95" customHeight="1">
      <c r="M22665"/>
      <c r="N22665"/>
      <c r="O22665"/>
      <c r="P22665"/>
      <c r="Q22665"/>
      <c r="R22665"/>
      <c r="S22665"/>
    </row>
    <row r="22666" spans="13:19" ht="13.95" customHeight="1">
      <c r="M22666"/>
      <c r="N22666"/>
      <c r="O22666"/>
      <c r="P22666"/>
      <c r="Q22666"/>
      <c r="R22666"/>
      <c r="S22666"/>
    </row>
    <row r="22667" spans="13:19" ht="13.95" customHeight="1">
      <c r="M22667"/>
      <c r="N22667"/>
      <c r="O22667"/>
      <c r="P22667"/>
      <c r="Q22667"/>
      <c r="R22667"/>
      <c r="S22667"/>
    </row>
    <row r="22668" spans="13:19" ht="13.95" customHeight="1">
      <c r="M22668"/>
      <c r="N22668"/>
      <c r="O22668"/>
      <c r="P22668"/>
      <c r="Q22668"/>
      <c r="R22668"/>
      <c r="S22668"/>
    </row>
    <row r="22669" spans="13:19" ht="13.95" customHeight="1">
      <c r="M22669"/>
      <c r="N22669"/>
      <c r="O22669"/>
      <c r="P22669"/>
      <c r="Q22669"/>
      <c r="R22669"/>
      <c r="S22669"/>
    </row>
    <row r="22670" spans="13:19" ht="13.95" customHeight="1">
      <c r="M22670"/>
      <c r="N22670"/>
      <c r="O22670"/>
      <c r="P22670"/>
      <c r="Q22670"/>
      <c r="R22670"/>
      <c r="S22670"/>
    </row>
    <row r="22671" spans="13:19" ht="13.95" customHeight="1">
      <c r="M22671"/>
      <c r="N22671"/>
      <c r="O22671"/>
      <c r="P22671"/>
      <c r="Q22671"/>
      <c r="R22671"/>
      <c r="S22671"/>
    </row>
    <row r="22672" spans="13:19" ht="13.95" customHeight="1">
      <c r="M22672"/>
      <c r="N22672"/>
      <c r="O22672"/>
      <c r="P22672"/>
      <c r="Q22672"/>
      <c r="R22672"/>
      <c r="S22672"/>
    </row>
    <row r="22673" spans="13:19" ht="13.95" customHeight="1">
      <c r="M22673"/>
      <c r="N22673"/>
      <c r="O22673"/>
      <c r="P22673"/>
      <c r="Q22673"/>
      <c r="R22673"/>
      <c r="S22673"/>
    </row>
    <row r="22674" spans="13:19" ht="13.95" customHeight="1">
      <c r="M22674"/>
      <c r="N22674"/>
      <c r="O22674"/>
      <c r="P22674"/>
      <c r="Q22674"/>
      <c r="R22674"/>
      <c r="S22674"/>
    </row>
    <row r="22675" spans="13:19" ht="13.95" customHeight="1">
      <c r="M22675"/>
      <c r="N22675"/>
      <c r="O22675"/>
      <c r="P22675"/>
      <c r="Q22675"/>
      <c r="R22675"/>
      <c r="S22675"/>
    </row>
    <row r="22676" spans="13:19" ht="13.95" customHeight="1">
      <c r="M22676"/>
      <c r="N22676"/>
      <c r="O22676"/>
      <c r="P22676"/>
      <c r="Q22676"/>
      <c r="R22676"/>
      <c r="S22676"/>
    </row>
    <row r="22677" spans="13:19" ht="13.95" customHeight="1">
      <c r="M22677"/>
      <c r="N22677"/>
      <c r="O22677"/>
      <c r="P22677"/>
      <c r="Q22677"/>
      <c r="R22677"/>
      <c r="S22677"/>
    </row>
    <row r="22678" spans="13:19" ht="13.95" customHeight="1">
      <c r="M22678"/>
      <c r="N22678"/>
      <c r="O22678"/>
      <c r="P22678"/>
      <c r="Q22678"/>
      <c r="R22678"/>
      <c r="S22678"/>
    </row>
    <row r="22679" spans="13:19" ht="13.95" customHeight="1">
      <c r="M22679"/>
      <c r="N22679"/>
      <c r="O22679"/>
      <c r="P22679"/>
      <c r="Q22679"/>
      <c r="R22679"/>
      <c r="S22679"/>
    </row>
    <row r="22680" spans="13:19" ht="13.95" customHeight="1">
      <c r="M22680"/>
      <c r="N22680"/>
      <c r="O22680"/>
      <c r="P22680"/>
      <c r="Q22680"/>
      <c r="R22680"/>
      <c r="S22680"/>
    </row>
    <row r="22681" spans="13:19" ht="13.95" customHeight="1">
      <c r="M22681"/>
      <c r="N22681"/>
      <c r="O22681"/>
      <c r="P22681"/>
      <c r="Q22681"/>
      <c r="R22681"/>
      <c r="S22681"/>
    </row>
    <row r="22682" spans="13:19" ht="13.95" customHeight="1">
      <c r="M22682"/>
      <c r="N22682"/>
      <c r="O22682"/>
      <c r="P22682"/>
      <c r="Q22682"/>
      <c r="R22682"/>
      <c r="S22682"/>
    </row>
    <row r="22683" spans="13:19" ht="13.95" customHeight="1">
      <c r="M22683"/>
      <c r="N22683"/>
      <c r="O22683"/>
      <c r="P22683"/>
      <c r="Q22683"/>
      <c r="R22683"/>
      <c r="S22683"/>
    </row>
    <row r="22684" spans="13:19" ht="13.95" customHeight="1">
      <c r="M22684"/>
      <c r="N22684"/>
      <c r="O22684"/>
      <c r="P22684"/>
      <c r="Q22684"/>
      <c r="R22684"/>
      <c r="S22684"/>
    </row>
    <row r="22685" spans="13:19" ht="13.95" customHeight="1">
      <c r="M22685"/>
      <c r="N22685"/>
      <c r="O22685"/>
      <c r="P22685"/>
      <c r="Q22685"/>
      <c r="R22685"/>
      <c r="S22685"/>
    </row>
    <row r="22686" spans="13:19" ht="13.95" customHeight="1">
      <c r="M22686"/>
      <c r="N22686"/>
      <c r="O22686"/>
      <c r="P22686"/>
      <c r="Q22686"/>
      <c r="R22686"/>
      <c r="S22686"/>
    </row>
    <row r="22687" spans="13:19" ht="13.95" customHeight="1">
      <c r="M22687"/>
      <c r="N22687"/>
      <c r="O22687"/>
      <c r="P22687"/>
      <c r="Q22687"/>
      <c r="R22687"/>
      <c r="S22687"/>
    </row>
    <row r="22688" spans="13:19" ht="13.95" customHeight="1">
      <c r="M22688"/>
      <c r="N22688"/>
      <c r="O22688"/>
      <c r="P22688"/>
      <c r="Q22688"/>
      <c r="R22688"/>
      <c r="S22688"/>
    </row>
    <row r="22689" spans="13:19" ht="13.95" customHeight="1">
      <c r="M22689"/>
      <c r="N22689"/>
      <c r="O22689"/>
      <c r="P22689"/>
      <c r="Q22689"/>
      <c r="R22689"/>
      <c r="S22689"/>
    </row>
    <row r="22690" spans="13:19" ht="13.95" customHeight="1">
      <c r="M22690"/>
      <c r="N22690"/>
      <c r="O22690"/>
      <c r="P22690"/>
      <c r="Q22690"/>
      <c r="R22690"/>
      <c r="S22690"/>
    </row>
    <row r="22691" spans="13:19" ht="13.95" customHeight="1">
      <c r="M22691"/>
      <c r="N22691"/>
      <c r="O22691"/>
      <c r="P22691"/>
      <c r="Q22691"/>
      <c r="R22691"/>
      <c r="S22691"/>
    </row>
    <row r="22692" spans="13:19" ht="13.95" customHeight="1">
      <c r="M22692"/>
      <c r="N22692"/>
      <c r="O22692"/>
      <c r="P22692"/>
      <c r="Q22692"/>
      <c r="R22692"/>
      <c r="S22692"/>
    </row>
    <row r="22693" spans="13:19" ht="13.95" customHeight="1">
      <c r="M22693"/>
      <c r="N22693"/>
      <c r="O22693"/>
      <c r="P22693"/>
      <c r="Q22693"/>
      <c r="R22693"/>
      <c r="S22693"/>
    </row>
    <row r="22694" spans="13:19" ht="13.95" customHeight="1">
      <c r="M22694"/>
      <c r="N22694"/>
      <c r="O22694"/>
      <c r="P22694"/>
      <c r="Q22694"/>
      <c r="R22694"/>
      <c r="S22694"/>
    </row>
    <row r="22695" spans="13:19" ht="13.95" customHeight="1">
      <c r="M22695"/>
      <c r="N22695"/>
      <c r="O22695"/>
      <c r="P22695"/>
      <c r="Q22695"/>
      <c r="R22695"/>
      <c r="S22695"/>
    </row>
    <row r="22696" spans="13:19" ht="13.95" customHeight="1">
      <c r="M22696"/>
      <c r="N22696"/>
      <c r="O22696"/>
      <c r="P22696"/>
      <c r="Q22696"/>
      <c r="R22696"/>
      <c r="S22696"/>
    </row>
    <row r="22697" spans="13:19" ht="13.95" customHeight="1">
      <c r="M22697"/>
      <c r="N22697"/>
      <c r="O22697"/>
      <c r="P22697"/>
      <c r="Q22697"/>
      <c r="R22697"/>
      <c r="S22697"/>
    </row>
    <row r="22698" spans="13:19" ht="13.95" customHeight="1">
      <c r="M22698"/>
      <c r="N22698"/>
      <c r="O22698"/>
      <c r="P22698"/>
      <c r="Q22698"/>
      <c r="R22698"/>
      <c r="S22698"/>
    </row>
    <row r="22699" spans="13:19" ht="13.95" customHeight="1">
      <c r="M22699"/>
      <c r="N22699"/>
      <c r="O22699"/>
      <c r="P22699"/>
      <c r="Q22699"/>
      <c r="R22699"/>
      <c r="S22699"/>
    </row>
    <row r="22700" spans="13:19" ht="13.95" customHeight="1">
      <c r="M22700"/>
      <c r="N22700"/>
      <c r="O22700"/>
      <c r="P22700"/>
      <c r="Q22700"/>
      <c r="R22700"/>
      <c r="S22700"/>
    </row>
    <row r="22701" spans="13:19" ht="13.95" customHeight="1">
      <c r="M22701"/>
      <c r="N22701"/>
      <c r="O22701"/>
      <c r="P22701"/>
      <c r="Q22701"/>
      <c r="R22701"/>
      <c r="S22701"/>
    </row>
    <row r="22702" spans="13:19" ht="13.95" customHeight="1">
      <c r="M22702"/>
      <c r="N22702"/>
      <c r="O22702"/>
      <c r="P22702"/>
      <c r="Q22702"/>
      <c r="R22702"/>
      <c r="S22702"/>
    </row>
    <row r="22703" spans="13:19" ht="13.95" customHeight="1">
      <c r="M22703"/>
      <c r="N22703"/>
      <c r="O22703"/>
      <c r="P22703"/>
      <c r="Q22703"/>
      <c r="R22703"/>
      <c r="S22703"/>
    </row>
    <row r="22704" spans="13:19" ht="13.95" customHeight="1">
      <c r="M22704"/>
      <c r="N22704"/>
      <c r="O22704"/>
      <c r="P22704"/>
      <c r="Q22704"/>
      <c r="R22704"/>
      <c r="S22704"/>
    </row>
    <row r="22705" spans="13:19" ht="13.95" customHeight="1">
      <c r="M22705"/>
      <c r="N22705"/>
      <c r="O22705"/>
      <c r="P22705"/>
      <c r="Q22705"/>
      <c r="R22705"/>
      <c r="S22705"/>
    </row>
    <row r="22706" spans="13:19" ht="13.95" customHeight="1">
      <c r="M22706"/>
      <c r="N22706"/>
      <c r="O22706"/>
      <c r="P22706"/>
      <c r="Q22706"/>
      <c r="R22706"/>
      <c r="S22706"/>
    </row>
    <row r="22707" spans="13:19" ht="13.95" customHeight="1">
      <c r="M22707"/>
      <c r="N22707"/>
      <c r="O22707"/>
      <c r="P22707"/>
      <c r="Q22707"/>
      <c r="R22707"/>
      <c r="S22707"/>
    </row>
    <row r="22708" spans="13:19" ht="13.95" customHeight="1">
      <c r="M22708"/>
      <c r="N22708"/>
      <c r="O22708"/>
      <c r="P22708"/>
      <c r="Q22708"/>
      <c r="R22708"/>
      <c r="S22708"/>
    </row>
    <row r="22709" spans="13:19" ht="13.95" customHeight="1">
      <c r="M22709"/>
      <c r="N22709"/>
      <c r="O22709"/>
      <c r="P22709"/>
      <c r="Q22709"/>
      <c r="R22709"/>
      <c r="S22709"/>
    </row>
    <row r="22710" spans="13:19" ht="13.95" customHeight="1">
      <c r="M22710"/>
      <c r="N22710"/>
      <c r="O22710"/>
      <c r="P22710"/>
      <c r="Q22710"/>
      <c r="R22710"/>
      <c r="S22710"/>
    </row>
    <row r="22711" spans="13:19" ht="13.95" customHeight="1">
      <c r="M22711"/>
      <c r="N22711"/>
      <c r="O22711"/>
      <c r="P22711"/>
      <c r="Q22711"/>
      <c r="R22711"/>
      <c r="S22711"/>
    </row>
    <row r="22712" spans="13:19" ht="13.95" customHeight="1">
      <c r="M22712"/>
      <c r="N22712"/>
      <c r="O22712"/>
      <c r="P22712"/>
      <c r="Q22712"/>
      <c r="R22712"/>
      <c r="S22712"/>
    </row>
    <row r="22713" spans="13:19" ht="13.95" customHeight="1">
      <c r="M22713"/>
      <c r="N22713"/>
      <c r="O22713"/>
      <c r="P22713"/>
      <c r="Q22713"/>
      <c r="R22713"/>
      <c r="S22713"/>
    </row>
    <row r="22714" spans="13:19" ht="13.95" customHeight="1">
      <c r="M22714"/>
      <c r="N22714"/>
      <c r="O22714"/>
      <c r="P22714"/>
      <c r="Q22714"/>
      <c r="R22714"/>
      <c r="S22714"/>
    </row>
    <row r="22715" spans="13:19" ht="13.95" customHeight="1">
      <c r="M22715"/>
      <c r="N22715"/>
      <c r="O22715"/>
      <c r="P22715"/>
      <c r="Q22715"/>
      <c r="R22715"/>
      <c r="S22715"/>
    </row>
    <row r="22716" spans="13:19" ht="13.95" customHeight="1">
      <c r="M22716"/>
      <c r="N22716"/>
      <c r="O22716"/>
      <c r="P22716"/>
      <c r="Q22716"/>
      <c r="R22716"/>
      <c r="S22716"/>
    </row>
    <row r="22717" spans="13:19" ht="13.95" customHeight="1">
      <c r="M22717"/>
      <c r="N22717"/>
      <c r="O22717"/>
      <c r="P22717"/>
      <c r="Q22717"/>
      <c r="R22717"/>
      <c r="S22717"/>
    </row>
    <row r="22718" spans="13:19" ht="13.95" customHeight="1">
      <c r="M22718"/>
      <c r="N22718"/>
      <c r="O22718"/>
      <c r="P22718"/>
      <c r="Q22718"/>
      <c r="R22718"/>
      <c r="S22718"/>
    </row>
    <row r="22719" spans="13:19" ht="13.95" customHeight="1">
      <c r="M22719"/>
      <c r="N22719"/>
      <c r="O22719"/>
      <c r="P22719"/>
      <c r="Q22719"/>
      <c r="R22719"/>
      <c r="S22719"/>
    </row>
    <row r="22720" spans="13:19" ht="13.95" customHeight="1">
      <c r="M22720"/>
      <c r="N22720"/>
      <c r="O22720"/>
      <c r="P22720"/>
      <c r="Q22720"/>
      <c r="R22720"/>
      <c r="S22720"/>
    </row>
    <row r="22721" spans="13:19" ht="13.95" customHeight="1">
      <c r="M22721"/>
      <c r="N22721"/>
      <c r="O22721"/>
      <c r="P22721"/>
      <c r="Q22721"/>
      <c r="R22721"/>
      <c r="S22721"/>
    </row>
    <row r="22722" spans="13:19" ht="13.95" customHeight="1">
      <c r="M22722"/>
      <c r="N22722"/>
      <c r="O22722"/>
      <c r="P22722"/>
      <c r="Q22722"/>
      <c r="R22722"/>
      <c r="S22722"/>
    </row>
    <row r="22723" spans="13:19" ht="13.95" customHeight="1">
      <c r="M22723"/>
      <c r="N22723"/>
      <c r="O22723"/>
      <c r="P22723"/>
      <c r="Q22723"/>
      <c r="R22723"/>
      <c r="S22723"/>
    </row>
    <row r="22724" spans="13:19" ht="13.95" customHeight="1">
      <c r="M22724"/>
      <c r="N22724"/>
      <c r="O22724"/>
      <c r="P22724"/>
      <c r="Q22724"/>
      <c r="R22724"/>
      <c r="S22724"/>
    </row>
    <row r="22725" spans="13:19" ht="13.95" customHeight="1">
      <c r="M22725"/>
      <c r="N22725"/>
      <c r="O22725"/>
      <c r="P22725"/>
      <c r="Q22725"/>
      <c r="R22725"/>
      <c r="S22725"/>
    </row>
    <row r="22726" spans="13:19" ht="13.95" customHeight="1">
      <c r="M22726"/>
      <c r="N22726"/>
      <c r="O22726"/>
      <c r="P22726"/>
      <c r="Q22726"/>
      <c r="R22726"/>
      <c r="S22726"/>
    </row>
    <row r="22727" spans="13:19" ht="13.95" customHeight="1">
      <c r="M22727"/>
      <c r="N22727"/>
      <c r="O22727"/>
      <c r="P22727"/>
      <c r="Q22727"/>
      <c r="R22727"/>
      <c r="S22727"/>
    </row>
    <row r="22728" spans="13:19" ht="13.95" customHeight="1">
      <c r="M22728"/>
      <c r="N22728"/>
      <c r="O22728"/>
      <c r="P22728"/>
      <c r="Q22728"/>
      <c r="R22728"/>
      <c r="S22728"/>
    </row>
    <row r="22729" spans="13:19" ht="13.95" customHeight="1">
      <c r="M22729"/>
      <c r="N22729"/>
      <c r="O22729"/>
      <c r="P22729"/>
      <c r="Q22729"/>
      <c r="R22729"/>
      <c r="S22729"/>
    </row>
    <row r="22730" spans="13:19" ht="13.95" customHeight="1">
      <c r="M22730"/>
      <c r="N22730"/>
      <c r="O22730"/>
      <c r="P22730"/>
      <c r="Q22730"/>
      <c r="R22730"/>
      <c r="S22730"/>
    </row>
    <row r="22731" spans="13:19" ht="13.95" customHeight="1">
      <c r="M22731"/>
      <c r="N22731"/>
      <c r="O22731"/>
      <c r="P22731"/>
      <c r="Q22731"/>
      <c r="R22731"/>
      <c r="S22731"/>
    </row>
    <row r="22732" spans="13:19" ht="13.95" customHeight="1">
      <c r="M22732"/>
      <c r="N22732"/>
      <c r="O22732"/>
      <c r="P22732"/>
      <c r="Q22732"/>
      <c r="R22732"/>
      <c r="S22732"/>
    </row>
    <row r="22733" spans="13:19" ht="13.95" customHeight="1">
      <c r="M22733"/>
      <c r="N22733"/>
      <c r="O22733"/>
      <c r="P22733"/>
      <c r="Q22733"/>
      <c r="R22733"/>
      <c r="S22733"/>
    </row>
    <row r="22734" spans="13:19" ht="13.95" customHeight="1">
      <c r="M22734"/>
      <c r="N22734"/>
      <c r="O22734"/>
      <c r="P22734"/>
      <c r="Q22734"/>
      <c r="R22734"/>
      <c r="S22734"/>
    </row>
    <row r="22735" spans="13:19" ht="13.95" customHeight="1">
      <c r="M22735"/>
      <c r="N22735"/>
      <c r="O22735"/>
      <c r="P22735"/>
      <c r="Q22735"/>
      <c r="R22735"/>
      <c r="S22735"/>
    </row>
    <row r="22736" spans="13:19" ht="13.95" customHeight="1">
      <c r="M22736"/>
      <c r="N22736"/>
      <c r="O22736"/>
      <c r="P22736"/>
      <c r="Q22736"/>
      <c r="R22736"/>
      <c r="S22736"/>
    </row>
    <row r="22737" spans="13:19" ht="13.95" customHeight="1">
      <c r="M22737"/>
      <c r="N22737"/>
      <c r="O22737"/>
      <c r="P22737"/>
      <c r="Q22737"/>
      <c r="R22737"/>
      <c r="S22737"/>
    </row>
    <row r="22738" spans="13:19" ht="13.95" customHeight="1">
      <c r="M22738"/>
      <c r="N22738"/>
      <c r="O22738"/>
      <c r="P22738"/>
      <c r="Q22738"/>
      <c r="R22738"/>
      <c r="S22738"/>
    </row>
    <row r="22739" spans="13:19" ht="13.95" customHeight="1">
      <c r="M22739"/>
      <c r="N22739"/>
      <c r="O22739"/>
      <c r="P22739"/>
      <c r="Q22739"/>
      <c r="R22739"/>
      <c r="S22739"/>
    </row>
    <row r="22740" spans="13:19" ht="13.95" customHeight="1">
      <c r="M22740"/>
      <c r="N22740"/>
      <c r="O22740"/>
      <c r="P22740"/>
      <c r="Q22740"/>
      <c r="R22740"/>
      <c r="S22740"/>
    </row>
    <row r="22741" spans="13:19" ht="13.95" customHeight="1">
      <c r="M22741"/>
      <c r="N22741"/>
      <c r="O22741"/>
      <c r="P22741"/>
      <c r="Q22741"/>
      <c r="R22741"/>
      <c r="S22741"/>
    </row>
    <row r="22742" spans="13:19" ht="13.95" customHeight="1">
      <c r="M22742"/>
      <c r="N22742"/>
      <c r="O22742"/>
      <c r="P22742"/>
      <c r="Q22742"/>
      <c r="R22742"/>
      <c r="S22742"/>
    </row>
    <row r="22743" spans="13:19" ht="13.95" customHeight="1">
      <c r="M22743"/>
      <c r="N22743"/>
      <c r="O22743"/>
      <c r="P22743"/>
      <c r="Q22743"/>
      <c r="R22743"/>
      <c r="S22743"/>
    </row>
    <row r="22744" spans="13:19" ht="13.95" customHeight="1">
      <c r="M22744"/>
      <c r="N22744"/>
      <c r="O22744"/>
      <c r="P22744"/>
      <c r="Q22744"/>
      <c r="R22744"/>
      <c r="S22744"/>
    </row>
    <row r="22745" spans="13:19" ht="13.95" customHeight="1">
      <c r="M22745"/>
      <c r="N22745"/>
      <c r="O22745"/>
      <c r="P22745"/>
      <c r="Q22745"/>
      <c r="R22745"/>
      <c r="S22745"/>
    </row>
    <row r="22746" spans="13:19" ht="13.95" customHeight="1">
      <c r="M22746"/>
      <c r="N22746"/>
      <c r="O22746"/>
      <c r="P22746"/>
      <c r="Q22746"/>
      <c r="R22746"/>
      <c r="S22746"/>
    </row>
    <row r="22747" spans="13:19" ht="13.95" customHeight="1">
      <c r="M22747"/>
      <c r="N22747"/>
      <c r="O22747"/>
      <c r="P22747"/>
      <c r="Q22747"/>
      <c r="R22747"/>
      <c r="S22747"/>
    </row>
    <row r="22748" spans="13:19" ht="13.95" customHeight="1">
      <c r="M22748"/>
      <c r="N22748"/>
      <c r="O22748"/>
      <c r="P22748"/>
      <c r="Q22748"/>
      <c r="R22748"/>
      <c r="S22748"/>
    </row>
    <row r="22749" spans="13:19" ht="13.95" customHeight="1">
      <c r="M22749"/>
      <c r="N22749"/>
      <c r="O22749"/>
      <c r="P22749"/>
      <c r="Q22749"/>
      <c r="R22749"/>
      <c r="S22749"/>
    </row>
    <row r="22750" spans="13:19" ht="13.95" customHeight="1">
      <c r="M22750"/>
      <c r="N22750"/>
      <c r="O22750"/>
      <c r="P22750"/>
      <c r="Q22750"/>
      <c r="R22750"/>
      <c r="S22750"/>
    </row>
    <row r="22751" spans="13:19" ht="13.95" customHeight="1">
      <c r="M22751"/>
      <c r="N22751"/>
      <c r="O22751"/>
      <c r="P22751"/>
      <c r="Q22751"/>
      <c r="R22751"/>
      <c r="S22751"/>
    </row>
    <row r="22752" spans="13:19" ht="13.95" customHeight="1">
      <c r="M22752"/>
      <c r="N22752"/>
      <c r="O22752"/>
      <c r="P22752"/>
      <c r="Q22752"/>
      <c r="R22752"/>
      <c r="S22752"/>
    </row>
    <row r="22753" spans="13:19" ht="13.95" customHeight="1">
      <c r="M22753"/>
      <c r="N22753"/>
      <c r="O22753"/>
      <c r="P22753"/>
      <c r="Q22753"/>
      <c r="R22753"/>
      <c r="S22753"/>
    </row>
    <row r="22754" spans="13:19" ht="13.95" customHeight="1">
      <c r="M22754"/>
      <c r="N22754"/>
      <c r="O22754"/>
      <c r="P22754"/>
      <c r="Q22754"/>
      <c r="R22754"/>
      <c r="S22754"/>
    </row>
    <row r="22755" spans="13:19" ht="13.95" customHeight="1">
      <c r="M22755"/>
      <c r="N22755"/>
      <c r="O22755"/>
      <c r="P22755"/>
      <c r="Q22755"/>
      <c r="R22755"/>
      <c r="S22755"/>
    </row>
    <row r="22756" spans="13:19" ht="13.95" customHeight="1">
      <c r="M22756"/>
      <c r="N22756"/>
      <c r="O22756"/>
      <c r="P22756"/>
      <c r="Q22756"/>
      <c r="R22756"/>
      <c r="S22756"/>
    </row>
    <row r="22757" spans="13:19" ht="13.95" customHeight="1">
      <c r="M22757"/>
      <c r="N22757"/>
      <c r="O22757"/>
      <c r="P22757"/>
      <c r="Q22757"/>
      <c r="R22757"/>
      <c r="S22757"/>
    </row>
    <row r="22758" spans="13:19" ht="13.95" customHeight="1">
      <c r="M22758"/>
      <c r="N22758"/>
      <c r="O22758"/>
      <c r="P22758"/>
      <c r="Q22758"/>
      <c r="R22758"/>
      <c r="S22758"/>
    </row>
    <row r="22759" spans="13:19" ht="13.95" customHeight="1">
      <c r="M22759"/>
      <c r="N22759"/>
      <c r="O22759"/>
      <c r="P22759"/>
      <c r="Q22759"/>
      <c r="R22759"/>
      <c r="S22759"/>
    </row>
    <row r="22760" spans="13:19" ht="13.95" customHeight="1">
      <c r="M22760"/>
      <c r="N22760"/>
      <c r="O22760"/>
      <c r="P22760"/>
      <c r="Q22760"/>
      <c r="R22760"/>
      <c r="S22760"/>
    </row>
    <row r="22761" spans="13:19" ht="13.95" customHeight="1">
      <c r="M22761"/>
      <c r="N22761"/>
      <c r="O22761"/>
      <c r="P22761"/>
      <c r="Q22761"/>
      <c r="R22761"/>
      <c r="S22761"/>
    </row>
    <row r="22762" spans="13:19" ht="13.95" customHeight="1">
      <c r="M22762"/>
      <c r="N22762"/>
      <c r="O22762"/>
      <c r="P22762"/>
      <c r="Q22762"/>
      <c r="R22762"/>
      <c r="S22762"/>
    </row>
    <row r="22763" spans="13:19" ht="13.95" customHeight="1">
      <c r="M22763"/>
      <c r="N22763"/>
      <c r="O22763"/>
      <c r="P22763"/>
      <c r="Q22763"/>
      <c r="R22763"/>
      <c r="S22763"/>
    </row>
    <row r="22764" spans="13:19" ht="13.95" customHeight="1">
      <c r="M22764"/>
      <c r="N22764"/>
      <c r="O22764"/>
      <c r="P22764"/>
      <c r="Q22764"/>
      <c r="R22764"/>
      <c r="S22764"/>
    </row>
    <row r="22765" spans="13:19" ht="13.95" customHeight="1">
      <c r="M22765"/>
      <c r="N22765"/>
      <c r="O22765"/>
      <c r="P22765"/>
      <c r="Q22765"/>
      <c r="R22765"/>
      <c r="S22765"/>
    </row>
    <row r="22766" spans="13:19" ht="13.95" customHeight="1">
      <c r="M22766"/>
      <c r="N22766"/>
      <c r="O22766"/>
      <c r="P22766"/>
      <c r="Q22766"/>
      <c r="R22766"/>
      <c r="S22766"/>
    </row>
    <row r="22767" spans="13:19" ht="13.95" customHeight="1">
      <c r="M22767"/>
      <c r="N22767"/>
      <c r="O22767"/>
      <c r="P22767"/>
      <c r="Q22767"/>
      <c r="R22767"/>
      <c r="S22767"/>
    </row>
    <row r="22768" spans="13:19" ht="13.95" customHeight="1">
      <c r="M22768"/>
      <c r="N22768"/>
      <c r="O22768"/>
      <c r="P22768"/>
      <c r="Q22768"/>
      <c r="R22768"/>
      <c r="S22768"/>
    </row>
    <row r="22769" spans="13:19" ht="13.95" customHeight="1">
      <c r="M22769"/>
      <c r="N22769"/>
      <c r="O22769"/>
      <c r="P22769"/>
      <c r="Q22769"/>
      <c r="R22769"/>
      <c r="S22769"/>
    </row>
    <row r="22770" spans="13:19" ht="13.95" customHeight="1">
      <c r="M22770"/>
      <c r="N22770"/>
      <c r="O22770"/>
      <c r="P22770"/>
      <c r="Q22770"/>
      <c r="R22770"/>
      <c r="S22770"/>
    </row>
    <row r="22771" spans="13:19" ht="13.95" customHeight="1">
      <c r="M22771"/>
      <c r="N22771"/>
      <c r="O22771"/>
      <c r="P22771"/>
      <c r="Q22771"/>
      <c r="R22771"/>
      <c r="S22771"/>
    </row>
    <row r="22772" spans="13:19" ht="13.95" customHeight="1">
      <c r="M22772"/>
      <c r="N22772"/>
      <c r="O22772"/>
      <c r="P22772"/>
      <c r="Q22772"/>
      <c r="R22772"/>
      <c r="S22772"/>
    </row>
    <row r="22773" spans="13:19" ht="13.95" customHeight="1">
      <c r="M22773"/>
      <c r="N22773"/>
      <c r="O22773"/>
      <c r="P22773"/>
      <c r="Q22773"/>
      <c r="R22773"/>
      <c r="S22773"/>
    </row>
    <row r="22774" spans="13:19" ht="13.95" customHeight="1">
      <c r="M22774"/>
      <c r="N22774"/>
      <c r="O22774"/>
      <c r="P22774"/>
      <c r="Q22774"/>
      <c r="R22774"/>
      <c r="S22774"/>
    </row>
    <row r="22775" spans="13:19" ht="13.95" customHeight="1">
      <c r="M22775"/>
      <c r="N22775"/>
      <c r="O22775"/>
      <c r="P22775"/>
      <c r="Q22775"/>
      <c r="R22775"/>
      <c r="S22775"/>
    </row>
    <row r="22776" spans="13:19" ht="13.95" customHeight="1">
      <c r="M22776"/>
      <c r="N22776"/>
      <c r="O22776"/>
      <c r="P22776"/>
      <c r="Q22776"/>
      <c r="R22776"/>
      <c r="S22776"/>
    </row>
    <row r="22777" spans="13:19" ht="13.95" customHeight="1">
      <c r="M22777"/>
      <c r="N22777"/>
      <c r="O22777"/>
      <c r="P22777"/>
      <c r="Q22777"/>
      <c r="R22777"/>
      <c r="S22777"/>
    </row>
    <row r="22778" spans="13:19" ht="13.95" customHeight="1">
      <c r="M22778"/>
      <c r="N22778"/>
      <c r="O22778"/>
      <c r="P22778"/>
      <c r="Q22778"/>
      <c r="R22778"/>
      <c r="S22778"/>
    </row>
    <row r="22779" spans="13:19" ht="13.95" customHeight="1">
      <c r="M22779"/>
      <c r="N22779"/>
      <c r="O22779"/>
      <c r="P22779"/>
      <c r="Q22779"/>
      <c r="R22779"/>
      <c r="S22779"/>
    </row>
    <row r="22780" spans="13:19" ht="13.95" customHeight="1">
      <c r="M22780"/>
      <c r="N22780"/>
      <c r="O22780"/>
      <c r="P22780"/>
      <c r="Q22780"/>
      <c r="R22780"/>
      <c r="S22780"/>
    </row>
    <row r="22781" spans="13:19" ht="13.95" customHeight="1">
      <c r="M22781"/>
      <c r="N22781"/>
      <c r="O22781"/>
      <c r="P22781"/>
      <c r="Q22781"/>
      <c r="R22781"/>
      <c r="S22781"/>
    </row>
    <row r="22782" spans="13:19" ht="13.95" customHeight="1">
      <c r="M22782"/>
      <c r="N22782"/>
      <c r="O22782"/>
      <c r="P22782"/>
      <c r="Q22782"/>
      <c r="R22782"/>
      <c r="S22782"/>
    </row>
    <row r="22783" spans="13:19" ht="13.95" customHeight="1">
      <c r="M22783"/>
      <c r="N22783"/>
      <c r="O22783"/>
      <c r="P22783"/>
      <c r="Q22783"/>
      <c r="R22783"/>
      <c r="S22783"/>
    </row>
    <row r="22784" spans="13:19" ht="13.95" customHeight="1">
      <c r="M22784"/>
      <c r="N22784"/>
      <c r="O22784"/>
      <c r="P22784"/>
      <c r="Q22784"/>
      <c r="R22784"/>
      <c r="S22784"/>
    </row>
    <row r="22785" spans="13:19" ht="13.95" customHeight="1">
      <c r="M22785"/>
      <c r="N22785"/>
      <c r="O22785"/>
      <c r="P22785"/>
      <c r="Q22785"/>
      <c r="R22785"/>
      <c r="S22785"/>
    </row>
    <row r="22786" spans="13:19" ht="13.95" customHeight="1">
      <c r="M22786"/>
      <c r="N22786"/>
      <c r="O22786"/>
      <c r="P22786"/>
      <c r="Q22786"/>
      <c r="R22786"/>
      <c r="S22786"/>
    </row>
    <row r="22787" spans="13:19" ht="13.95" customHeight="1">
      <c r="M22787"/>
      <c r="N22787"/>
      <c r="O22787"/>
      <c r="P22787"/>
      <c r="Q22787"/>
      <c r="R22787"/>
      <c r="S22787"/>
    </row>
    <row r="22788" spans="13:19" ht="13.95" customHeight="1">
      <c r="M22788"/>
      <c r="N22788"/>
      <c r="O22788"/>
      <c r="P22788"/>
      <c r="Q22788"/>
      <c r="R22788"/>
      <c r="S22788"/>
    </row>
    <row r="22789" spans="13:19" ht="13.95" customHeight="1">
      <c r="M22789"/>
      <c r="N22789"/>
      <c r="O22789"/>
      <c r="P22789"/>
      <c r="Q22789"/>
      <c r="R22789"/>
      <c r="S22789"/>
    </row>
    <row r="22790" spans="13:19" ht="13.95" customHeight="1">
      <c r="M22790"/>
      <c r="N22790"/>
      <c r="O22790"/>
      <c r="P22790"/>
      <c r="Q22790"/>
      <c r="R22790"/>
      <c r="S22790"/>
    </row>
    <row r="22791" spans="13:19" ht="13.95" customHeight="1">
      <c r="M22791"/>
      <c r="N22791"/>
      <c r="O22791"/>
      <c r="P22791"/>
      <c r="Q22791"/>
      <c r="R22791"/>
      <c r="S22791"/>
    </row>
    <row r="22792" spans="13:19" ht="13.95" customHeight="1">
      <c r="M22792"/>
      <c r="N22792"/>
      <c r="O22792"/>
      <c r="P22792"/>
      <c r="Q22792"/>
      <c r="R22792"/>
      <c r="S22792"/>
    </row>
    <row r="22793" spans="13:19" ht="13.95" customHeight="1">
      <c r="M22793"/>
      <c r="N22793"/>
      <c r="O22793"/>
      <c r="P22793"/>
      <c r="Q22793"/>
      <c r="R22793"/>
      <c r="S22793"/>
    </row>
    <row r="22794" spans="13:19" ht="13.95" customHeight="1">
      <c r="M22794"/>
      <c r="N22794"/>
      <c r="O22794"/>
      <c r="P22794"/>
      <c r="Q22794"/>
      <c r="R22794"/>
      <c r="S22794"/>
    </row>
    <row r="22795" spans="13:19" ht="13.95" customHeight="1">
      <c r="M22795"/>
      <c r="N22795"/>
      <c r="O22795"/>
      <c r="P22795"/>
      <c r="Q22795"/>
      <c r="R22795"/>
      <c r="S22795"/>
    </row>
    <row r="22796" spans="13:19" ht="13.95" customHeight="1">
      <c r="M22796"/>
      <c r="N22796"/>
      <c r="O22796"/>
      <c r="P22796"/>
      <c r="Q22796"/>
      <c r="R22796"/>
      <c r="S22796"/>
    </row>
    <row r="22797" spans="13:19" ht="13.95" customHeight="1">
      <c r="M22797"/>
      <c r="N22797"/>
      <c r="O22797"/>
      <c r="P22797"/>
      <c r="Q22797"/>
      <c r="R22797"/>
      <c r="S22797"/>
    </row>
    <row r="22798" spans="13:19" ht="13.95" customHeight="1">
      <c r="M22798"/>
      <c r="N22798"/>
      <c r="O22798"/>
      <c r="P22798"/>
      <c r="Q22798"/>
      <c r="R22798"/>
      <c r="S22798"/>
    </row>
    <row r="22799" spans="13:19" ht="13.95" customHeight="1">
      <c r="M22799"/>
      <c r="N22799"/>
      <c r="O22799"/>
      <c r="P22799"/>
      <c r="Q22799"/>
      <c r="R22799"/>
      <c r="S22799"/>
    </row>
    <row r="22800" spans="13:19" ht="13.95" customHeight="1">
      <c r="M22800"/>
      <c r="N22800"/>
      <c r="O22800"/>
      <c r="P22800"/>
      <c r="Q22800"/>
      <c r="R22800"/>
      <c r="S22800"/>
    </row>
    <row r="22801" spans="13:19" ht="13.95" customHeight="1">
      <c r="M22801"/>
      <c r="N22801"/>
      <c r="O22801"/>
      <c r="P22801"/>
      <c r="Q22801"/>
      <c r="R22801"/>
      <c r="S22801"/>
    </row>
    <row r="22802" spans="13:19" ht="13.95" customHeight="1">
      <c r="M22802"/>
      <c r="N22802"/>
      <c r="O22802"/>
      <c r="P22802"/>
      <c r="Q22802"/>
      <c r="R22802"/>
      <c r="S22802"/>
    </row>
    <row r="22803" spans="13:19" ht="13.95" customHeight="1">
      <c r="M22803"/>
      <c r="N22803"/>
      <c r="O22803"/>
      <c r="P22803"/>
      <c r="Q22803"/>
      <c r="R22803"/>
      <c r="S22803"/>
    </row>
    <row r="22804" spans="13:19" ht="13.95" customHeight="1">
      <c r="M22804"/>
      <c r="N22804"/>
      <c r="O22804"/>
      <c r="P22804"/>
      <c r="Q22804"/>
      <c r="R22804"/>
      <c r="S22804"/>
    </row>
    <row r="22805" spans="13:19" ht="13.95" customHeight="1">
      <c r="M22805"/>
      <c r="N22805"/>
      <c r="O22805"/>
      <c r="P22805"/>
      <c r="Q22805"/>
      <c r="R22805"/>
      <c r="S22805"/>
    </row>
    <row r="22806" spans="13:19" ht="13.95" customHeight="1">
      <c r="M22806"/>
      <c r="N22806"/>
      <c r="O22806"/>
      <c r="P22806"/>
      <c r="Q22806"/>
      <c r="R22806"/>
      <c r="S22806"/>
    </row>
    <row r="22807" spans="13:19" ht="13.95" customHeight="1">
      <c r="M22807"/>
      <c r="N22807"/>
      <c r="O22807"/>
      <c r="P22807"/>
      <c r="Q22807"/>
      <c r="R22807"/>
      <c r="S22807"/>
    </row>
    <row r="22808" spans="13:19" ht="13.95" customHeight="1">
      <c r="M22808"/>
      <c r="N22808"/>
      <c r="O22808"/>
      <c r="P22808"/>
      <c r="Q22808"/>
      <c r="R22808"/>
      <c r="S22808"/>
    </row>
    <row r="22809" spans="13:19" ht="13.95" customHeight="1">
      <c r="M22809"/>
      <c r="N22809"/>
      <c r="O22809"/>
      <c r="P22809"/>
      <c r="Q22809"/>
      <c r="R22809"/>
      <c r="S22809"/>
    </row>
    <row r="22810" spans="13:19" ht="13.95" customHeight="1">
      <c r="M22810"/>
      <c r="N22810"/>
      <c r="O22810"/>
      <c r="P22810"/>
      <c r="Q22810"/>
      <c r="R22810"/>
      <c r="S22810"/>
    </row>
    <row r="22811" spans="13:19" ht="13.95" customHeight="1">
      <c r="M22811"/>
      <c r="N22811"/>
      <c r="O22811"/>
      <c r="P22811"/>
      <c r="Q22811"/>
      <c r="R22811"/>
      <c r="S22811"/>
    </row>
    <row r="22812" spans="13:19" ht="13.95" customHeight="1">
      <c r="M22812"/>
      <c r="N22812"/>
      <c r="O22812"/>
      <c r="P22812"/>
      <c r="Q22812"/>
      <c r="R22812"/>
      <c r="S22812"/>
    </row>
    <row r="22813" spans="13:19" ht="13.95" customHeight="1">
      <c r="M22813"/>
      <c r="N22813"/>
      <c r="O22813"/>
      <c r="P22813"/>
      <c r="Q22813"/>
      <c r="R22813"/>
      <c r="S22813"/>
    </row>
    <row r="22814" spans="13:19" ht="13.95" customHeight="1">
      <c r="M22814"/>
      <c r="N22814"/>
      <c r="O22814"/>
      <c r="P22814"/>
      <c r="Q22814"/>
      <c r="R22814"/>
      <c r="S22814"/>
    </row>
    <row r="22815" spans="13:19" ht="13.95" customHeight="1">
      <c r="M22815"/>
      <c r="N22815"/>
      <c r="O22815"/>
      <c r="P22815"/>
      <c r="Q22815"/>
      <c r="R22815"/>
      <c r="S22815"/>
    </row>
    <row r="22816" spans="13:19" ht="13.95" customHeight="1">
      <c r="M22816"/>
      <c r="N22816"/>
      <c r="O22816"/>
      <c r="P22816"/>
      <c r="Q22816"/>
      <c r="R22816"/>
      <c r="S22816"/>
    </row>
    <row r="22817" spans="13:19" ht="13.95" customHeight="1">
      <c r="M22817"/>
      <c r="N22817"/>
      <c r="O22817"/>
      <c r="P22817"/>
      <c r="Q22817"/>
      <c r="R22817"/>
      <c r="S22817"/>
    </row>
    <row r="22818" spans="13:19" ht="13.95" customHeight="1">
      <c r="M22818"/>
      <c r="N22818"/>
      <c r="O22818"/>
      <c r="P22818"/>
      <c r="Q22818"/>
      <c r="R22818"/>
      <c r="S22818"/>
    </row>
    <row r="22819" spans="13:19" ht="13.95" customHeight="1">
      <c r="M22819"/>
      <c r="N22819"/>
      <c r="O22819"/>
      <c r="P22819"/>
      <c r="Q22819"/>
      <c r="R22819"/>
      <c r="S22819"/>
    </row>
    <row r="22820" spans="13:19" ht="13.95" customHeight="1">
      <c r="M22820"/>
      <c r="N22820"/>
      <c r="O22820"/>
      <c r="P22820"/>
      <c r="Q22820"/>
      <c r="R22820"/>
      <c r="S22820"/>
    </row>
    <row r="22821" spans="13:19" ht="13.95" customHeight="1">
      <c r="M22821"/>
      <c r="N22821"/>
      <c r="O22821"/>
      <c r="P22821"/>
      <c r="Q22821"/>
      <c r="R22821"/>
      <c r="S22821"/>
    </row>
    <row r="22822" spans="13:19" ht="13.95" customHeight="1">
      <c r="M22822"/>
      <c r="N22822"/>
      <c r="O22822"/>
      <c r="P22822"/>
      <c r="Q22822"/>
      <c r="R22822"/>
      <c r="S22822"/>
    </row>
    <row r="22823" spans="13:19" ht="13.95" customHeight="1">
      <c r="M22823"/>
      <c r="N22823"/>
      <c r="O22823"/>
      <c r="P22823"/>
      <c r="Q22823"/>
      <c r="R22823"/>
      <c r="S22823"/>
    </row>
    <row r="22824" spans="13:19" ht="13.95" customHeight="1">
      <c r="M22824"/>
      <c r="N22824"/>
      <c r="O22824"/>
      <c r="P22824"/>
      <c r="Q22824"/>
      <c r="R22824"/>
      <c r="S22824"/>
    </row>
    <row r="22825" spans="13:19" ht="13.95" customHeight="1">
      <c r="M22825"/>
      <c r="N22825"/>
      <c r="O22825"/>
      <c r="P22825"/>
      <c r="Q22825"/>
      <c r="R22825"/>
      <c r="S22825"/>
    </row>
    <row r="22826" spans="13:19" ht="13.95" customHeight="1">
      <c r="M22826"/>
      <c r="N22826"/>
      <c r="O22826"/>
      <c r="P22826"/>
      <c r="Q22826"/>
      <c r="R22826"/>
      <c r="S22826"/>
    </row>
    <row r="22827" spans="13:19" ht="13.95" customHeight="1">
      <c r="M22827"/>
      <c r="N22827"/>
      <c r="O22827"/>
      <c r="P22827"/>
      <c r="Q22827"/>
      <c r="R22827"/>
      <c r="S22827"/>
    </row>
    <row r="22828" spans="13:19" ht="13.95" customHeight="1">
      <c r="M22828"/>
      <c r="N22828"/>
      <c r="O22828"/>
      <c r="P22828"/>
      <c r="Q22828"/>
      <c r="R22828"/>
      <c r="S22828"/>
    </row>
    <row r="22829" spans="13:19" ht="13.95" customHeight="1">
      <c r="M22829"/>
      <c r="N22829"/>
      <c r="O22829"/>
      <c r="P22829"/>
      <c r="Q22829"/>
      <c r="R22829"/>
      <c r="S22829"/>
    </row>
    <row r="22830" spans="13:19" ht="13.95" customHeight="1">
      <c r="M22830"/>
      <c r="N22830"/>
      <c r="O22830"/>
      <c r="P22830"/>
      <c r="Q22830"/>
      <c r="R22830"/>
      <c r="S22830"/>
    </row>
    <row r="22831" spans="13:19" ht="13.95" customHeight="1">
      <c r="M22831"/>
      <c r="N22831"/>
      <c r="O22831"/>
      <c r="P22831"/>
      <c r="Q22831"/>
      <c r="R22831"/>
      <c r="S22831"/>
    </row>
    <row r="22832" spans="13:19" ht="13.95" customHeight="1">
      <c r="M22832"/>
      <c r="N22832"/>
      <c r="O22832"/>
      <c r="P22832"/>
      <c r="Q22832"/>
      <c r="R22832"/>
      <c r="S22832"/>
    </row>
    <row r="22833" spans="13:19" ht="13.95" customHeight="1">
      <c r="M22833"/>
      <c r="N22833"/>
      <c r="O22833"/>
      <c r="P22833"/>
      <c r="Q22833"/>
      <c r="R22833"/>
      <c r="S22833"/>
    </row>
    <row r="22834" spans="13:19" ht="13.95" customHeight="1">
      <c r="M22834"/>
      <c r="N22834"/>
      <c r="O22834"/>
      <c r="P22834"/>
      <c r="Q22834"/>
      <c r="R22834"/>
      <c r="S22834"/>
    </row>
    <row r="22835" spans="13:19" ht="13.95" customHeight="1">
      <c r="M22835"/>
      <c r="N22835"/>
      <c r="O22835"/>
      <c r="P22835"/>
      <c r="Q22835"/>
      <c r="R22835"/>
      <c r="S22835"/>
    </row>
    <row r="22836" spans="13:19" ht="13.95" customHeight="1">
      <c r="M22836"/>
      <c r="N22836"/>
      <c r="O22836"/>
      <c r="P22836"/>
      <c r="Q22836"/>
      <c r="R22836"/>
      <c r="S22836"/>
    </row>
    <row r="22837" spans="13:19" ht="13.95" customHeight="1">
      <c r="M22837"/>
      <c r="N22837"/>
      <c r="O22837"/>
      <c r="P22837"/>
      <c r="Q22837"/>
      <c r="R22837"/>
      <c r="S22837"/>
    </row>
    <row r="22838" spans="13:19" ht="13.95" customHeight="1">
      <c r="M22838"/>
      <c r="N22838"/>
      <c r="O22838"/>
      <c r="P22838"/>
      <c r="Q22838"/>
      <c r="R22838"/>
      <c r="S22838"/>
    </row>
    <row r="22839" spans="13:19" ht="13.95" customHeight="1">
      <c r="M22839"/>
      <c r="N22839"/>
      <c r="O22839"/>
      <c r="P22839"/>
      <c r="Q22839"/>
      <c r="R22839"/>
      <c r="S22839"/>
    </row>
    <row r="22840" spans="13:19" ht="13.95" customHeight="1">
      <c r="M22840"/>
      <c r="N22840"/>
      <c r="O22840"/>
      <c r="P22840"/>
      <c r="Q22840"/>
      <c r="R22840"/>
      <c r="S22840"/>
    </row>
    <row r="22841" spans="13:19" ht="13.95" customHeight="1">
      <c r="M22841"/>
      <c r="N22841"/>
      <c r="O22841"/>
      <c r="P22841"/>
      <c r="Q22841"/>
      <c r="R22841"/>
      <c r="S22841"/>
    </row>
    <row r="22842" spans="13:19" ht="13.95" customHeight="1">
      <c r="M22842"/>
      <c r="N22842"/>
      <c r="O22842"/>
      <c r="P22842"/>
      <c r="Q22842"/>
      <c r="R22842"/>
      <c r="S22842"/>
    </row>
    <row r="22843" spans="13:19" ht="13.95" customHeight="1">
      <c r="M22843"/>
      <c r="N22843"/>
      <c r="O22843"/>
      <c r="P22843"/>
      <c r="Q22843"/>
      <c r="R22843"/>
      <c r="S22843"/>
    </row>
    <row r="22844" spans="13:19" ht="13.95" customHeight="1">
      <c r="M22844"/>
      <c r="N22844"/>
      <c r="O22844"/>
      <c r="P22844"/>
      <c r="Q22844"/>
      <c r="R22844"/>
      <c r="S22844"/>
    </row>
    <row r="22845" spans="13:19" ht="13.95" customHeight="1">
      <c r="M22845"/>
      <c r="N22845"/>
      <c r="O22845"/>
      <c r="P22845"/>
      <c r="Q22845"/>
      <c r="R22845"/>
      <c r="S22845"/>
    </row>
    <row r="22846" spans="13:19" ht="13.95" customHeight="1">
      <c r="M22846"/>
      <c r="N22846"/>
      <c r="O22846"/>
      <c r="P22846"/>
      <c r="Q22846"/>
      <c r="R22846"/>
      <c r="S22846"/>
    </row>
    <row r="22847" spans="13:19" ht="13.95" customHeight="1">
      <c r="M22847"/>
      <c r="N22847"/>
      <c r="O22847"/>
      <c r="P22847"/>
      <c r="Q22847"/>
      <c r="R22847"/>
      <c r="S22847"/>
    </row>
    <row r="22848" spans="13:19" ht="13.95" customHeight="1">
      <c r="M22848"/>
      <c r="N22848"/>
      <c r="O22848"/>
      <c r="P22848"/>
      <c r="Q22848"/>
      <c r="R22848"/>
      <c r="S22848"/>
    </row>
    <row r="22849" spans="13:19" ht="13.95" customHeight="1">
      <c r="M22849"/>
      <c r="N22849"/>
      <c r="O22849"/>
      <c r="P22849"/>
      <c r="Q22849"/>
      <c r="R22849"/>
      <c r="S22849"/>
    </row>
    <row r="22850" spans="13:19" ht="13.95" customHeight="1">
      <c r="M22850"/>
      <c r="N22850"/>
      <c r="O22850"/>
      <c r="P22850"/>
      <c r="Q22850"/>
      <c r="R22850"/>
      <c r="S22850"/>
    </row>
    <row r="22851" spans="13:19" ht="13.95" customHeight="1">
      <c r="M22851"/>
      <c r="N22851"/>
      <c r="O22851"/>
      <c r="P22851"/>
      <c r="Q22851"/>
      <c r="R22851"/>
      <c r="S22851"/>
    </row>
    <row r="22852" spans="13:19" ht="13.95" customHeight="1">
      <c r="M22852"/>
      <c r="N22852"/>
      <c r="O22852"/>
      <c r="P22852"/>
      <c r="Q22852"/>
      <c r="R22852"/>
      <c r="S22852"/>
    </row>
    <row r="22853" spans="13:19" ht="13.95" customHeight="1">
      <c r="M22853"/>
      <c r="N22853"/>
      <c r="O22853"/>
      <c r="P22853"/>
      <c r="Q22853"/>
      <c r="R22853"/>
      <c r="S22853"/>
    </row>
    <row r="22854" spans="13:19" ht="13.95" customHeight="1">
      <c r="M22854"/>
      <c r="N22854"/>
      <c r="O22854"/>
      <c r="P22854"/>
      <c r="Q22854"/>
      <c r="R22854"/>
      <c r="S22854"/>
    </row>
    <row r="22855" spans="13:19" ht="13.95" customHeight="1">
      <c r="M22855"/>
      <c r="N22855"/>
      <c r="O22855"/>
      <c r="P22855"/>
      <c r="Q22855"/>
      <c r="R22855"/>
      <c r="S22855"/>
    </row>
    <row r="22856" spans="13:19" ht="13.95" customHeight="1">
      <c r="M22856"/>
      <c r="N22856"/>
      <c r="O22856"/>
      <c r="P22856"/>
      <c r="Q22856"/>
      <c r="R22856"/>
      <c r="S22856"/>
    </row>
    <row r="22857" spans="13:19" ht="13.95" customHeight="1">
      <c r="M22857"/>
      <c r="N22857"/>
      <c r="O22857"/>
      <c r="P22857"/>
      <c r="Q22857"/>
      <c r="R22857"/>
      <c r="S22857"/>
    </row>
    <row r="22858" spans="13:19" ht="13.95" customHeight="1">
      <c r="M22858"/>
      <c r="N22858"/>
      <c r="O22858"/>
      <c r="P22858"/>
      <c r="Q22858"/>
      <c r="R22858"/>
      <c r="S22858"/>
    </row>
    <row r="22859" spans="13:19" ht="13.95" customHeight="1">
      <c r="M22859"/>
      <c r="N22859"/>
      <c r="O22859"/>
      <c r="P22859"/>
      <c r="Q22859"/>
      <c r="R22859"/>
      <c r="S22859"/>
    </row>
    <row r="22860" spans="13:19" ht="13.95" customHeight="1">
      <c r="M22860"/>
      <c r="N22860"/>
      <c r="O22860"/>
      <c r="P22860"/>
      <c r="Q22860"/>
      <c r="R22860"/>
      <c r="S22860"/>
    </row>
    <row r="22861" spans="13:19" ht="13.95" customHeight="1">
      <c r="M22861"/>
      <c r="N22861"/>
      <c r="O22861"/>
      <c r="P22861"/>
      <c r="Q22861"/>
      <c r="R22861"/>
      <c r="S22861"/>
    </row>
    <row r="22862" spans="13:19" ht="13.95" customHeight="1">
      <c r="M22862"/>
      <c r="N22862"/>
      <c r="O22862"/>
      <c r="P22862"/>
      <c r="Q22862"/>
      <c r="R22862"/>
      <c r="S22862"/>
    </row>
    <row r="22863" spans="13:19" ht="13.95" customHeight="1">
      <c r="M22863"/>
      <c r="N22863"/>
      <c r="O22863"/>
      <c r="P22863"/>
      <c r="Q22863"/>
      <c r="R22863"/>
      <c r="S22863"/>
    </row>
    <row r="22864" spans="13:19" ht="13.95" customHeight="1">
      <c r="M22864"/>
      <c r="N22864"/>
      <c r="O22864"/>
      <c r="P22864"/>
      <c r="Q22864"/>
      <c r="R22864"/>
      <c r="S22864"/>
    </row>
    <row r="22865" spans="13:19" ht="13.95" customHeight="1">
      <c r="M22865"/>
      <c r="N22865"/>
      <c r="O22865"/>
      <c r="P22865"/>
      <c r="Q22865"/>
      <c r="R22865"/>
      <c r="S22865"/>
    </row>
    <row r="22866" spans="13:19" ht="13.95" customHeight="1">
      <c r="M22866"/>
      <c r="N22866"/>
      <c r="O22866"/>
      <c r="P22866"/>
      <c r="Q22866"/>
      <c r="R22866"/>
      <c r="S22866"/>
    </row>
    <row r="22867" spans="13:19" ht="13.95" customHeight="1">
      <c r="M22867"/>
      <c r="N22867"/>
      <c r="O22867"/>
      <c r="P22867"/>
      <c r="Q22867"/>
      <c r="R22867"/>
      <c r="S22867"/>
    </row>
    <row r="22868" spans="13:19" ht="13.95" customHeight="1">
      <c r="M22868"/>
      <c r="N22868"/>
      <c r="O22868"/>
      <c r="P22868"/>
      <c r="Q22868"/>
      <c r="R22868"/>
      <c r="S22868"/>
    </row>
    <row r="22869" spans="13:19" ht="13.95" customHeight="1">
      <c r="M22869"/>
      <c r="N22869"/>
      <c r="O22869"/>
      <c r="P22869"/>
      <c r="Q22869"/>
      <c r="R22869"/>
      <c r="S22869"/>
    </row>
    <row r="22870" spans="13:19" ht="13.95" customHeight="1">
      <c r="M22870"/>
      <c r="N22870"/>
      <c r="O22870"/>
      <c r="P22870"/>
      <c r="Q22870"/>
      <c r="R22870"/>
      <c r="S22870"/>
    </row>
    <row r="22871" spans="13:19" ht="13.95" customHeight="1">
      <c r="M22871"/>
      <c r="N22871"/>
      <c r="O22871"/>
      <c r="P22871"/>
      <c r="Q22871"/>
      <c r="R22871"/>
      <c r="S22871"/>
    </row>
    <row r="22872" spans="13:19" ht="13.95" customHeight="1">
      <c r="M22872"/>
      <c r="N22872"/>
      <c r="O22872"/>
      <c r="P22872"/>
      <c r="Q22872"/>
      <c r="R22872"/>
      <c r="S22872"/>
    </row>
    <row r="22873" spans="13:19" ht="13.95" customHeight="1">
      <c r="M22873"/>
      <c r="N22873"/>
      <c r="O22873"/>
      <c r="P22873"/>
      <c r="Q22873"/>
      <c r="R22873"/>
      <c r="S22873"/>
    </row>
    <row r="22874" spans="13:19" ht="13.95" customHeight="1">
      <c r="M22874"/>
      <c r="N22874"/>
      <c r="O22874"/>
      <c r="P22874"/>
      <c r="Q22874"/>
      <c r="R22874"/>
      <c r="S22874"/>
    </row>
    <row r="22875" spans="13:19" ht="13.95" customHeight="1">
      <c r="M22875"/>
      <c r="N22875"/>
      <c r="O22875"/>
      <c r="P22875"/>
      <c r="Q22875"/>
      <c r="R22875"/>
      <c r="S22875"/>
    </row>
    <row r="22876" spans="13:19" ht="13.95" customHeight="1">
      <c r="M22876"/>
      <c r="N22876"/>
      <c r="O22876"/>
      <c r="P22876"/>
      <c r="Q22876"/>
      <c r="R22876"/>
      <c r="S22876"/>
    </row>
    <row r="22877" spans="13:19" ht="13.95" customHeight="1">
      <c r="M22877"/>
      <c r="N22877"/>
      <c r="O22877"/>
      <c r="P22877"/>
      <c r="Q22877"/>
      <c r="R22877"/>
      <c r="S22877"/>
    </row>
    <row r="22878" spans="13:19" ht="13.95" customHeight="1">
      <c r="M22878"/>
      <c r="N22878"/>
      <c r="O22878"/>
      <c r="P22878"/>
      <c r="Q22878"/>
      <c r="R22878"/>
      <c r="S22878"/>
    </row>
    <row r="22879" spans="13:19" ht="13.95" customHeight="1">
      <c r="M22879"/>
      <c r="N22879"/>
      <c r="O22879"/>
      <c r="P22879"/>
      <c r="Q22879"/>
      <c r="R22879"/>
      <c r="S22879"/>
    </row>
    <row r="22880" spans="13:19" ht="13.95" customHeight="1">
      <c r="M22880"/>
      <c r="N22880"/>
      <c r="O22880"/>
      <c r="P22880"/>
      <c r="Q22880"/>
      <c r="R22880"/>
      <c r="S22880"/>
    </row>
    <row r="22881" spans="13:19" ht="13.95" customHeight="1">
      <c r="M22881"/>
      <c r="N22881"/>
      <c r="O22881"/>
      <c r="P22881"/>
      <c r="Q22881"/>
      <c r="R22881"/>
      <c r="S22881"/>
    </row>
    <row r="22882" spans="13:19" ht="13.95" customHeight="1">
      <c r="M22882"/>
      <c r="N22882"/>
      <c r="O22882"/>
      <c r="P22882"/>
      <c r="Q22882"/>
      <c r="R22882"/>
      <c r="S22882"/>
    </row>
    <row r="22883" spans="13:19" ht="13.95" customHeight="1">
      <c r="M22883"/>
      <c r="N22883"/>
      <c r="O22883"/>
      <c r="P22883"/>
      <c r="Q22883"/>
      <c r="R22883"/>
      <c r="S22883"/>
    </row>
    <row r="22884" spans="13:19" ht="13.95" customHeight="1">
      <c r="M22884"/>
      <c r="N22884"/>
      <c r="O22884"/>
      <c r="P22884"/>
      <c r="Q22884"/>
      <c r="R22884"/>
      <c r="S22884"/>
    </row>
    <row r="22885" spans="13:19" ht="13.95" customHeight="1">
      <c r="M22885"/>
      <c r="N22885"/>
      <c r="O22885"/>
      <c r="P22885"/>
      <c r="Q22885"/>
      <c r="R22885"/>
      <c r="S22885"/>
    </row>
    <row r="22886" spans="13:19" ht="13.95" customHeight="1">
      <c r="M22886"/>
      <c r="N22886"/>
      <c r="O22886"/>
      <c r="P22886"/>
      <c r="Q22886"/>
      <c r="R22886"/>
      <c r="S22886"/>
    </row>
    <row r="22887" spans="13:19" ht="13.95" customHeight="1">
      <c r="M22887"/>
      <c r="N22887"/>
      <c r="O22887"/>
      <c r="P22887"/>
      <c r="Q22887"/>
      <c r="R22887"/>
      <c r="S22887"/>
    </row>
    <row r="22888" spans="13:19" ht="13.95" customHeight="1">
      <c r="M22888"/>
      <c r="N22888"/>
      <c r="O22888"/>
      <c r="P22888"/>
      <c r="Q22888"/>
      <c r="R22888"/>
      <c r="S22888"/>
    </row>
    <row r="22889" spans="13:19" ht="13.95" customHeight="1">
      <c r="M22889"/>
      <c r="N22889"/>
      <c r="O22889"/>
      <c r="P22889"/>
      <c r="Q22889"/>
      <c r="R22889"/>
      <c r="S22889"/>
    </row>
    <row r="22890" spans="13:19" ht="13.95" customHeight="1">
      <c r="M22890"/>
      <c r="N22890"/>
      <c r="O22890"/>
      <c r="P22890"/>
      <c r="Q22890"/>
      <c r="R22890"/>
      <c r="S22890"/>
    </row>
    <row r="22891" spans="13:19" ht="13.95" customHeight="1">
      <c r="M22891"/>
      <c r="N22891"/>
      <c r="O22891"/>
      <c r="P22891"/>
      <c r="Q22891"/>
      <c r="R22891"/>
      <c r="S22891"/>
    </row>
    <row r="22892" spans="13:19" ht="13.95" customHeight="1">
      <c r="M22892"/>
      <c r="N22892"/>
      <c r="O22892"/>
      <c r="P22892"/>
      <c r="Q22892"/>
      <c r="R22892"/>
      <c r="S22892"/>
    </row>
    <row r="22893" spans="13:19" ht="13.95" customHeight="1">
      <c r="M22893"/>
      <c r="N22893"/>
      <c r="O22893"/>
      <c r="P22893"/>
      <c r="Q22893"/>
      <c r="R22893"/>
      <c r="S22893"/>
    </row>
    <row r="22894" spans="13:19" ht="13.95" customHeight="1">
      <c r="M22894"/>
      <c r="N22894"/>
      <c r="O22894"/>
      <c r="P22894"/>
      <c r="Q22894"/>
      <c r="R22894"/>
      <c r="S22894"/>
    </row>
    <row r="22895" spans="13:19" ht="13.95" customHeight="1">
      <c r="M22895"/>
      <c r="N22895"/>
      <c r="O22895"/>
      <c r="P22895"/>
      <c r="Q22895"/>
      <c r="R22895"/>
      <c r="S22895"/>
    </row>
    <row r="22896" spans="13:19" ht="13.95" customHeight="1">
      <c r="M22896"/>
      <c r="N22896"/>
      <c r="O22896"/>
      <c r="P22896"/>
      <c r="Q22896"/>
      <c r="R22896"/>
      <c r="S22896"/>
    </row>
    <row r="22897" spans="13:19" ht="13.95" customHeight="1">
      <c r="M22897"/>
      <c r="N22897"/>
      <c r="O22897"/>
      <c r="P22897"/>
      <c r="Q22897"/>
      <c r="R22897"/>
      <c r="S22897"/>
    </row>
    <row r="22898" spans="13:19" ht="13.95" customHeight="1">
      <c r="M22898"/>
      <c r="N22898"/>
      <c r="O22898"/>
      <c r="P22898"/>
      <c r="Q22898"/>
      <c r="R22898"/>
      <c r="S22898"/>
    </row>
    <row r="22899" spans="13:19" ht="13.95" customHeight="1">
      <c r="M22899"/>
      <c r="N22899"/>
      <c r="O22899"/>
      <c r="P22899"/>
      <c r="Q22899"/>
      <c r="R22899"/>
      <c r="S22899"/>
    </row>
    <row r="22900" spans="13:19" ht="13.95" customHeight="1">
      <c r="M22900"/>
      <c r="N22900"/>
      <c r="O22900"/>
      <c r="P22900"/>
      <c r="Q22900"/>
      <c r="R22900"/>
      <c r="S22900"/>
    </row>
    <row r="22901" spans="13:19" ht="13.95" customHeight="1">
      <c r="M22901"/>
      <c r="N22901"/>
      <c r="O22901"/>
      <c r="P22901"/>
      <c r="Q22901"/>
      <c r="R22901"/>
      <c r="S22901"/>
    </row>
    <row r="22902" spans="13:19" ht="13.95" customHeight="1">
      <c r="M22902"/>
      <c r="N22902"/>
      <c r="O22902"/>
      <c r="P22902"/>
      <c r="Q22902"/>
      <c r="R22902"/>
      <c r="S22902"/>
    </row>
    <row r="22903" spans="13:19" ht="13.95" customHeight="1">
      <c r="M22903"/>
      <c r="N22903"/>
      <c r="O22903"/>
      <c r="P22903"/>
      <c r="Q22903"/>
      <c r="R22903"/>
      <c r="S22903"/>
    </row>
    <row r="22904" spans="13:19" ht="13.95" customHeight="1">
      <c r="M22904"/>
      <c r="N22904"/>
      <c r="O22904"/>
      <c r="P22904"/>
      <c r="Q22904"/>
      <c r="R22904"/>
      <c r="S22904"/>
    </row>
    <row r="22905" spans="13:19" ht="13.95" customHeight="1">
      <c r="M22905"/>
      <c r="N22905"/>
      <c r="O22905"/>
      <c r="P22905"/>
      <c r="Q22905"/>
      <c r="R22905"/>
      <c r="S22905"/>
    </row>
    <row r="22906" spans="13:19" ht="13.95" customHeight="1">
      <c r="M22906"/>
      <c r="N22906"/>
      <c r="O22906"/>
      <c r="P22906"/>
      <c r="Q22906"/>
      <c r="R22906"/>
      <c r="S22906"/>
    </row>
    <row r="22907" spans="13:19" ht="13.95" customHeight="1">
      <c r="M22907"/>
      <c r="N22907"/>
      <c r="O22907"/>
      <c r="P22907"/>
      <c r="Q22907"/>
      <c r="R22907"/>
      <c r="S22907"/>
    </row>
    <row r="22908" spans="13:19" ht="13.95" customHeight="1">
      <c r="M22908"/>
      <c r="N22908"/>
      <c r="O22908"/>
      <c r="P22908"/>
      <c r="Q22908"/>
      <c r="R22908"/>
      <c r="S22908"/>
    </row>
    <row r="22909" spans="13:19" ht="13.95" customHeight="1">
      <c r="M22909"/>
      <c r="N22909"/>
      <c r="O22909"/>
      <c r="P22909"/>
      <c r="Q22909"/>
      <c r="R22909"/>
      <c r="S22909"/>
    </row>
    <row r="22910" spans="13:19" ht="13.95" customHeight="1">
      <c r="M22910"/>
      <c r="N22910"/>
      <c r="O22910"/>
      <c r="P22910"/>
      <c r="Q22910"/>
      <c r="R22910"/>
      <c r="S22910"/>
    </row>
    <row r="22911" spans="13:19" ht="13.95" customHeight="1">
      <c r="M22911"/>
      <c r="N22911"/>
      <c r="O22911"/>
      <c r="P22911"/>
      <c r="Q22911"/>
      <c r="R22911"/>
      <c r="S22911"/>
    </row>
    <row r="22912" spans="13:19" ht="13.95" customHeight="1">
      <c r="M22912"/>
      <c r="N22912"/>
      <c r="O22912"/>
      <c r="P22912"/>
      <c r="Q22912"/>
      <c r="R22912"/>
      <c r="S22912"/>
    </row>
    <row r="22913" spans="13:19" ht="13.95" customHeight="1">
      <c r="M22913"/>
      <c r="N22913"/>
      <c r="O22913"/>
      <c r="P22913"/>
      <c r="Q22913"/>
      <c r="R22913"/>
      <c r="S22913"/>
    </row>
    <row r="22914" spans="13:19" ht="13.95" customHeight="1">
      <c r="M22914"/>
      <c r="N22914"/>
      <c r="O22914"/>
      <c r="P22914"/>
      <c r="Q22914"/>
      <c r="R22914"/>
      <c r="S22914"/>
    </row>
    <row r="22915" spans="13:19" ht="13.95" customHeight="1">
      <c r="M22915"/>
      <c r="N22915"/>
      <c r="O22915"/>
      <c r="P22915"/>
      <c r="Q22915"/>
      <c r="R22915"/>
      <c r="S22915"/>
    </row>
    <row r="22916" spans="13:19" ht="13.95" customHeight="1">
      <c r="M22916"/>
      <c r="N22916"/>
      <c r="O22916"/>
      <c r="P22916"/>
      <c r="Q22916"/>
      <c r="R22916"/>
      <c r="S22916"/>
    </row>
    <row r="22917" spans="13:19" ht="13.95" customHeight="1">
      <c r="M22917"/>
      <c r="N22917"/>
      <c r="O22917"/>
      <c r="P22917"/>
      <c r="Q22917"/>
      <c r="R22917"/>
      <c r="S22917"/>
    </row>
    <row r="22918" spans="13:19" ht="13.95" customHeight="1">
      <c r="M22918"/>
      <c r="N22918"/>
      <c r="O22918"/>
      <c r="P22918"/>
      <c r="Q22918"/>
      <c r="R22918"/>
      <c r="S22918"/>
    </row>
    <row r="22919" spans="13:19" ht="13.95" customHeight="1">
      <c r="M22919"/>
      <c r="N22919"/>
      <c r="O22919"/>
      <c r="P22919"/>
      <c r="Q22919"/>
      <c r="R22919"/>
      <c r="S22919"/>
    </row>
    <row r="22920" spans="13:19" ht="13.95" customHeight="1">
      <c r="M22920"/>
      <c r="N22920"/>
      <c r="O22920"/>
      <c r="P22920"/>
      <c r="Q22920"/>
      <c r="R22920"/>
      <c r="S22920"/>
    </row>
    <row r="22921" spans="13:19" ht="13.95" customHeight="1">
      <c r="M22921"/>
      <c r="N22921"/>
      <c r="O22921"/>
      <c r="P22921"/>
      <c r="Q22921"/>
      <c r="R22921"/>
      <c r="S22921"/>
    </row>
    <row r="22922" spans="13:19" ht="13.95" customHeight="1">
      <c r="M22922"/>
      <c r="N22922"/>
      <c r="O22922"/>
      <c r="P22922"/>
      <c r="Q22922"/>
      <c r="R22922"/>
      <c r="S22922"/>
    </row>
    <row r="22923" spans="13:19" ht="13.95" customHeight="1">
      <c r="M22923"/>
      <c r="N22923"/>
      <c r="O22923"/>
      <c r="P22923"/>
      <c r="Q22923"/>
      <c r="R22923"/>
      <c r="S22923"/>
    </row>
    <row r="22924" spans="13:19" ht="13.95" customHeight="1">
      <c r="M22924"/>
      <c r="N22924"/>
      <c r="O22924"/>
      <c r="P22924"/>
      <c r="Q22924"/>
      <c r="R22924"/>
      <c r="S22924"/>
    </row>
    <row r="22925" spans="13:19" ht="13.95" customHeight="1">
      <c r="M22925"/>
      <c r="N22925"/>
      <c r="O22925"/>
      <c r="P22925"/>
      <c r="Q22925"/>
      <c r="R22925"/>
      <c r="S22925"/>
    </row>
    <row r="22926" spans="13:19" ht="13.95" customHeight="1">
      <c r="M22926"/>
      <c r="N22926"/>
      <c r="O22926"/>
      <c r="P22926"/>
      <c r="Q22926"/>
      <c r="R22926"/>
      <c r="S22926"/>
    </row>
    <row r="22927" spans="13:19" ht="13.95" customHeight="1">
      <c r="M22927"/>
      <c r="N22927"/>
      <c r="O22927"/>
      <c r="P22927"/>
      <c r="Q22927"/>
      <c r="R22927"/>
      <c r="S22927"/>
    </row>
    <row r="22928" spans="13:19" ht="13.95" customHeight="1">
      <c r="M22928"/>
      <c r="N22928"/>
      <c r="O22928"/>
      <c r="P22928"/>
      <c r="Q22928"/>
      <c r="R22928"/>
      <c r="S22928"/>
    </row>
    <row r="22929" spans="13:19" ht="13.95" customHeight="1">
      <c r="M22929"/>
      <c r="N22929"/>
      <c r="O22929"/>
      <c r="P22929"/>
      <c r="Q22929"/>
      <c r="R22929"/>
      <c r="S22929"/>
    </row>
    <row r="22930" spans="13:19" ht="13.95" customHeight="1">
      <c r="M22930"/>
      <c r="N22930"/>
      <c r="O22930"/>
      <c r="P22930"/>
      <c r="Q22930"/>
      <c r="R22930"/>
      <c r="S22930"/>
    </row>
    <row r="22931" spans="13:19" ht="13.95" customHeight="1">
      <c r="M22931"/>
      <c r="N22931"/>
      <c r="O22931"/>
      <c r="P22931"/>
      <c r="Q22931"/>
      <c r="R22931"/>
      <c r="S22931"/>
    </row>
    <row r="22932" spans="13:19" ht="13.95" customHeight="1">
      <c r="M22932"/>
      <c r="N22932"/>
      <c r="O22932"/>
      <c r="P22932"/>
      <c r="Q22932"/>
      <c r="R22932"/>
      <c r="S22932"/>
    </row>
    <row r="22933" spans="13:19" ht="13.95" customHeight="1">
      <c r="M22933"/>
      <c r="N22933"/>
      <c r="O22933"/>
      <c r="P22933"/>
      <c r="Q22933"/>
      <c r="R22933"/>
      <c r="S22933"/>
    </row>
    <row r="22934" spans="13:19" ht="13.95" customHeight="1">
      <c r="M22934"/>
      <c r="N22934"/>
      <c r="O22934"/>
      <c r="P22934"/>
      <c r="Q22934"/>
      <c r="R22934"/>
      <c r="S22934"/>
    </row>
    <row r="22935" spans="13:19" ht="13.95" customHeight="1">
      <c r="M22935"/>
      <c r="N22935"/>
      <c r="O22935"/>
      <c r="P22935"/>
      <c r="Q22935"/>
      <c r="R22935"/>
      <c r="S22935"/>
    </row>
    <row r="22936" spans="13:19" ht="13.95" customHeight="1">
      <c r="M22936"/>
      <c r="N22936"/>
      <c r="O22936"/>
      <c r="P22936"/>
      <c r="Q22936"/>
      <c r="R22936"/>
      <c r="S22936"/>
    </row>
    <row r="22937" spans="13:19" ht="13.95" customHeight="1">
      <c r="M22937"/>
      <c r="N22937"/>
      <c r="O22937"/>
      <c r="P22937"/>
      <c r="Q22937"/>
      <c r="R22937"/>
      <c r="S22937"/>
    </row>
    <row r="22938" spans="13:19" ht="13.95" customHeight="1">
      <c r="M22938"/>
      <c r="N22938"/>
      <c r="O22938"/>
      <c r="P22938"/>
      <c r="Q22938"/>
      <c r="R22938"/>
      <c r="S22938"/>
    </row>
    <row r="22939" spans="13:19" ht="13.95" customHeight="1">
      <c r="M22939"/>
      <c r="N22939"/>
      <c r="O22939"/>
      <c r="P22939"/>
      <c r="Q22939"/>
      <c r="R22939"/>
      <c r="S22939"/>
    </row>
    <row r="22940" spans="13:19" ht="13.95" customHeight="1">
      <c r="M22940"/>
      <c r="N22940"/>
      <c r="O22940"/>
      <c r="P22940"/>
      <c r="Q22940"/>
      <c r="R22940"/>
      <c r="S22940"/>
    </row>
    <row r="22941" spans="13:19" ht="13.95" customHeight="1">
      <c r="M22941"/>
      <c r="N22941"/>
      <c r="O22941"/>
      <c r="P22941"/>
      <c r="Q22941"/>
      <c r="R22941"/>
      <c r="S22941"/>
    </row>
    <row r="22942" spans="13:19" ht="13.95" customHeight="1">
      <c r="M22942"/>
      <c r="N22942"/>
      <c r="O22942"/>
      <c r="P22942"/>
      <c r="Q22942"/>
      <c r="R22942"/>
      <c r="S22942"/>
    </row>
    <row r="22943" spans="13:19" ht="13.95" customHeight="1">
      <c r="M22943"/>
      <c r="N22943"/>
      <c r="O22943"/>
      <c r="P22943"/>
      <c r="Q22943"/>
      <c r="R22943"/>
      <c r="S22943"/>
    </row>
    <row r="22944" spans="13:19" ht="13.95" customHeight="1">
      <c r="M22944"/>
      <c r="N22944"/>
      <c r="O22944"/>
      <c r="P22944"/>
      <c r="Q22944"/>
      <c r="R22944"/>
      <c r="S22944"/>
    </row>
    <row r="22945" spans="13:19" ht="13.95" customHeight="1">
      <c r="M22945"/>
      <c r="N22945"/>
      <c r="O22945"/>
      <c r="P22945"/>
      <c r="Q22945"/>
      <c r="R22945"/>
      <c r="S22945"/>
    </row>
    <row r="22946" spans="13:19" ht="13.95" customHeight="1">
      <c r="M22946"/>
      <c r="N22946"/>
      <c r="O22946"/>
      <c r="P22946"/>
      <c r="Q22946"/>
      <c r="R22946"/>
      <c r="S22946"/>
    </row>
    <row r="22947" spans="13:19" ht="13.95" customHeight="1">
      <c r="M22947"/>
      <c r="N22947"/>
      <c r="O22947"/>
      <c r="P22947"/>
      <c r="Q22947"/>
      <c r="R22947"/>
      <c r="S22947"/>
    </row>
    <row r="22948" spans="13:19" ht="13.95" customHeight="1">
      <c r="M22948"/>
      <c r="N22948"/>
      <c r="O22948"/>
      <c r="P22948"/>
      <c r="Q22948"/>
      <c r="R22948"/>
      <c r="S22948"/>
    </row>
    <row r="22949" spans="13:19" ht="13.95" customHeight="1">
      <c r="M22949"/>
      <c r="N22949"/>
      <c r="O22949"/>
      <c r="P22949"/>
      <c r="Q22949"/>
      <c r="R22949"/>
      <c r="S22949"/>
    </row>
    <row r="22950" spans="13:19" ht="13.95" customHeight="1">
      <c r="M22950"/>
      <c r="N22950"/>
      <c r="O22950"/>
      <c r="P22950"/>
      <c r="Q22950"/>
      <c r="R22950"/>
      <c r="S22950"/>
    </row>
    <row r="22951" spans="13:19" ht="13.95" customHeight="1">
      <c r="M22951"/>
      <c r="N22951"/>
      <c r="O22951"/>
      <c r="P22951"/>
      <c r="Q22951"/>
      <c r="R22951"/>
      <c r="S22951"/>
    </row>
    <row r="22952" spans="13:19" ht="13.95" customHeight="1">
      <c r="M22952"/>
      <c r="N22952"/>
      <c r="O22952"/>
      <c r="P22952"/>
      <c r="Q22952"/>
      <c r="R22952"/>
      <c r="S22952"/>
    </row>
    <row r="22953" spans="13:19" ht="13.95" customHeight="1">
      <c r="M22953"/>
      <c r="N22953"/>
      <c r="O22953"/>
      <c r="P22953"/>
      <c r="Q22953"/>
      <c r="R22953"/>
      <c r="S22953"/>
    </row>
    <row r="22954" spans="13:19" ht="13.95" customHeight="1">
      <c r="M22954"/>
      <c r="N22954"/>
      <c r="O22954"/>
      <c r="P22954"/>
      <c r="Q22954"/>
      <c r="R22954"/>
      <c r="S22954"/>
    </row>
    <row r="22955" spans="13:19" ht="13.95" customHeight="1">
      <c r="M22955"/>
      <c r="N22955"/>
      <c r="O22955"/>
      <c r="P22955"/>
      <c r="Q22955"/>
      <c r="R22955"/>
      <c r="S22955"/>
    </row>
    <row r="22956" spans="13:19" ht="13.95" customHeight="1">
      <c r="M22956"/>
      <c r="N22956"/>
      <c r="O22956"/>
      <c r="P22956"/>
      <c r="Q22956"/>
      <c r="R22956"/>
      <c r="S22956"/>
    </row>
    <row r="22957" spans="13:19" ht="13.95" customHeight="1">
      <c r="M22957"/>
      <c r="N22957"/>
      <c r="O22957"/>
      <c r="P22957"/>
      <c r="Q22957"/>
      <c r="R22957"/>
      <c r="S22957"/>
    </row>
    <row r="22958" spans="13:19" ht="13.95" customHeight="1">
      <c r="M22958"/>
      <c r="N22958"/>
      <c r="O22958"/>
      <c r="P22958"/>
      <c r="Q22958"/>
      <c r="R22958"/>
      <c r="S22958"/>
    </row>
    <row r="22959" spans="13:19" ht="13.95" customHeight="1">
      <c r="M22959"/>
      <c r="N22959"/>
      <c r="O22959"/>
      <c r="P22959"/>
      <c r="Q22959"/>
      <c r="R22959"/>
      <c r="S22959"/>
    </row>
    <row r="22960" spans="13:19" ht="13.95" customHeight="1">
      <c r="M22960"/>
      <c r="N22960"/>
      <c r="O22960"/>
      <c r="P22960"/>
      <c r="Q22960"/>
      <c r="R22960"/>
      <c r="S22960"/>
    </row>
    <row r="22961" spans="13:19" ht="13.95" customHeight="1">
      <c r="M22961"/>
      <c r="N22961"/>
      <c r="O22961"/>
      <c r="P22961"/>
      <c r="Q22961"/>
      <c r="R22961"/>
      <c r="S22961"/>
    </row>
    <row r="22962" spans="13:19" ht="13.95" customHeight="1">
      <c r="M22962"/>
      <c r="N22962"/>
      <c r="O22962"/>
      <c r="P22962"/>
      <c r="Q22962"/>
      <c r="R22962"/>
      <c r="S22962"/>
    </row>
    <row r="22963" spans="13:19" ht="13.95" customHeight="1">
      <c r="M22963"/>
      <c r="N22963"/>
      <c r="O22963"/>
      <c r="P22963"/>
      <c r="Q22963"/>
      <c r="R22963"/>
      <c r="S22963"/>
    </row>
    <row r="22964" spans="13:19" ht="13.95" customHeight="1">
      <c r="M22964"/>
      <c r="N22964"/>
      <c r="O22964"/>
      <c r="P22964"/>
      <c r="Q22964"/>
      <c r="R22964"/>
      <c r="S22964"/>
    </row>
    <row r="22965" spans="13:19" ht="13.95" customHeight="1">
      <c r="M22965"/>
      <c r="N22965"/>
      <c r="O22965"/>
      <c r="P22965"/>
      <c r="Q22965"/>
      <c r="R22965"/>
      <c r="S22965"/>
    </row>
    <row r="22966" spans="13:19" ht="13.95" customHeight="1">
      <c r="M22966"/>
      <c r="N22966"/>
      <c r="O22966"/>
      <c r="P22966"/>
      <c r="Q22966"/>
      <c r="R22966"/>
      <c r="S22966"/>
    </row>
    <row r="22967" spans="13:19" ht="13.95" customHeight="1">
      <c r="M22967"/>
      <c r="N22967"/>
      <c r="O22967"/>
      <c r="P22967"/>
      <c r="Q22967"/>
      <c r="R22967"/>
      <c r="S22967"/>
    </row>
    <row r="22968" spans="13:19" ht="13.95" customHeight="1">
      <c r="M22968"/>
      <c r="N22968"/>
      <c r="O22968"/>
      <c r="P22968"/>
      <c r="Q22968"/>
      <c r="R22968"/>
      <c r="S22968"/>
    </row>
    <row r="22969" spans="13:19" ht="13.95" customHeight="1">
      <c r="M22969"/>
      <c r="N22969"/>
      <c r="O22969"/>
      <c r="P22969"/>
      <c r="Q22969"/>
      <c r="R22969"/>
      <c r="S22969"/>
    </row>
    <row r="22970" spans="13:19" ht="13.95" customHeight="1">
      <c r="M22970"/>
      <c r="N22970"/>
      <c r="O22970"/>
      <c r="P22970"/>
      <c r="Q22970"/>
      <c r="R22970"/>
      <c r="S22970"/>
    </row>
    <row r="22971" spans="13:19" ht="13.95" customHeight="1">
      <c r="M22971"/>
      <c r="N22971"/>
      <c r="O22971"/>
      <c r="P22971"/>
      <c r="Q22971"/>
      <c r="R22971"/>
      <c r="S22971"/>
    </row>
    <row r="22972" spans="13:19" ht="13.95" customHeight="1">
      <c r="M22972"/>
      <c r="N22972"/>
      <c r="O22972"/>
      <c r="P22972"/>
      <c r="Q22972"/>
      <c r="R22972"/>
      <c r="S22972"/>
    </row>
    <row r="22973" spans="13:19" ht="13.95" customHeight="1">
      <c r="M22973"/>
      <c r="N22973"/>
      <c r="O22973"/>
      <c r="P22973"/>
      <c r="Q22973"/>
      <c r="R22973"/>
      <c r="S22973"/>
    </row>
    <row r="22974" spans="13:19" ht="13.95" customHeight="1">
      <c r="M22974"/>
      <c r="N22974"/>
      <c r="O22974"/>
      <c r="P22974"/>
      <c r="Q22974"/>
      <c r="R22974"/>
      <c r="S22974"/>
    </row>
    <row r="22975" spans="13:19" ht="13.95" customHeight="1">
      <c r="M22975"/>
      <c r="N22975"/>
      <c r="O22975"/>
      <c r="P22975"/>
      <c r="Q22975"/>
      <c r="R22975"/>
      <c r="S22975"/>
    </row>
    <row r="22976" spans="13:19" ht="13.95" customHeight="1">
      <c r="M22976"/>
      <c r="N22976"/>
      <c r="O22976"/>
      <c r="P22976"/>
      <c r="Q22976"/>
      <c r="R22976"/>
      <c r="S22976"/>
    </row>
    <row r="22977" spans="13:19" ht="13.95" customHeight="1">
      <c r="M22977"/>
      <c r="N22977"/>
      <c r="O22977"/>
      <c r="P22977"/>
      <c r="Q22977"/>
      <c r="R22977"/>
      <c r="S22977"/>
    </row>
    <row r="22978" spans="13:19" ht="13.95" customHeight="1">
      <c r="M22978"/>
      <c r="N22978"/>
      <c r="O22978"/>
      <c r="P22978"/>
      <c r="Q22978"/>
      <c r="R22978"/>
      <c r="S22978"/>
    </row>
    <row r="22979" spans="13:19" ht="13.95" customHeight="1">
      <c r="M22979"/>
      <c r="N22979"/>
      <c r="O22979"/>
      <c r="P22979"/>
      <c r="Q22979"/>
      <c r="R22979"/>
      <c r="S22979"/>
    </row>
    <row r="22980" spans="13:19" ht="13.95" customHeight="1">
      <c r="M22980"/>
      <c r="N22980"/>
      <c r="O22980"/>
      <c r="P22980"/>
      <c r="Q22980"/>
      <c r="R22980"/>
      <c r="S22980"/>
    </row>
    <row r="22981" spans="13:19" ht="13.95" customHeight="1">
      <c r="M22981"/>
      <c r="N22981"/>
      <c r="O22981"/>
      <c r="P22981"/>
      <c r="Q22981"/>
      <c r="R22981"/>
      <c r="S22981"/>
    </row>
    <row r="22982" spans="13:19" ht="13.95" customHeight="1">
      <c r="M22982"/>
      <c r="N22982"/>
      <c r="O22982"/>
      <c r="P22982"/>
      <c r="Q22982"/>
      <c r="R22982"/>
      <c r="S22982"/>
    </row>
    <row r="22983" spans="13:19" ht="13.95" customHeight="1">
      <c r="M22983"/>
      <c r="N22983"/>
      <c r="O22983"/>
      <c r="P22983"/>
      <c r="Q22983"/>
      <c r="R22983"/>
      <c r="S22983"/>
    </row>
    <row r="22984" spans="13:19" ht="13.95" customHeight="1">
      <c r="M22984"/>
      <c r="N22984"/>
      <c r="O22984"/>
      <c r="P22984"/>
      <c r="Q22984"/>
      <c r="R22984"/>
      <c r="S22984"/>
    </row>
    <row r="22985" spans="13:19" ht="13.95" customHeight="1">
      <c r="M22985"/>
      <c r="N22985"/>
      <c r="O22985"/>
      <c r="P22985"/>
      <c r="Q22985"/>
      <c r="R22985"/>
      <c r="S22985"/>
    </row>
    <row r="22986" spans="13:19" ht="13.95" customHeight="1">
      <c r="M22986"/>
      <c r="N22986"/>
      <c r="O22986"/>
      <c r="P22986"/>
      <c r="Q22986"/>
      <c r="R22986"/>
      <c r="S22986"/>
    </row>
    <row r="22987" spans="13:19" ht="13.95" customHeight="1">
      <c r="M22987"/>
      <c r="N22987"/>
      <c r="O22987"/>
      <c r="P22987"/>
      <c r="Q22987"/>
      <c r="R22987"/>
      <c r="S22987"/>
    </row>
    <row r="22988" spans="13:19" ht="13.95" customHeight="1">
      <c r="M22988"/>
      <c r="N22988"/>
      <c r="O22988"/>
      <c r="P22988"/>
      <c r="Q22988"/>
      <c r="R22988"/>
      <c r="S22988"/>
    </row>
    <row r="22989" spans="13:19" ht="13.95" customHeight="1">
      <c r="M22989"/>
      <c r="N22989"/>
      <c r="O22989"/>
      <c r="P22989"/>
      <c r="Q22989"/>
      <c r="R22989"/>
      <c r="S22989"/>
    </row>
    <row r="22990" spans="13:19" ht="13.95" customHeight="1">
      <c r="M22990"/>
      <c r="N22990"/>
      <c r="O22990"/>
      <c r="P22990"/>
      <c r="Q22990"/>
      <c r="R22990"/>
      <c r="S22990"/>
    </row>
    <row r="22991" spans="13:19" ht="13.95" customHeight="1">
      <c r="M22991"/>
      <c r="N22991"/>
      <c r="O22991"/>
      <c r="P22991"/>
      <c r="Q22991"/>
      <c r="R22991"/>
      <c r="S22991"/>
    </row>
    <row r="22992" spans="13:19" ht="13.95" customHeight="1">
      <c r="M22992"/>
      <c r="N22992"/>
      <c r="O22992"/>
      <c r="P22992"/>
      <c r="Q22992"/>
      <c r="R22992"/>
      <c r="S22992"/>
    </row>
    <row r="22993" spans="13:19" ht="13.95" customHeight="1">
      <c r="M22993"/>
      <c r="N22993"/>
      <c r="O22993"/>
      <c r="P22993"/>
      <c r="Q22993"/>
      <c r="R22993"/>
      <c r="S22993"/>
    </row>
    <row r="22994" spans="13:19" ht="13.95" customHeight="1">
      <c r="M22994"/>
      <c r="N22994"/>
      <c r="O22994"/>
      <c r="P22994"/>
      <c r="Q22994"/>
      <c r="R22994"/>
      <c r="S22994"/>
    </row>
    <row r="22995" spans="13:19" ht="13.95" customHeight="1">
      <c r="M22995"/>
      <c r="N22995"/>
      <c r="O22995"/>
      <c r="P22995"/>
      <c r="Q22995"/>
      <c r="R22995"/>
      <c r="S22995"/>
    </row>
    <row r="22996" spans="13:19" ht="13.95" customHeight="1">
      <c r="M22996"/>
      <c r="N22996"/>
      <c r="O22996"/>
      <c r="P22996"/>
      <c r="Q22996"/>
      <c r="R22996"/>
      <c r="S22996"/>
    </row>
    <row r="22997" spans="13:19" ht="13.95" customHeight="1">
      <c r="M22997"/>
      <c r="N22997"/>
      <c r="O22997"/>
      <c r="P22997"/>
      <c r="Q22997"/>
      <c r="R22997"/>
      <c r="S22997"/>
    </row>
    <row r="22998" spans="13:19" ht="13.95" customHeight="1">
      <c r="M22998"/>
      <c r="N22998"/>
      <c r="O22998"/>
      <c r="P22998"/>
      <c r="Q22998"/>
      <c r="R22998"/>
      <c r="S22998"/>
    </row>
    <row r="22999" spans="13:19" ht="13.95" customHeight="1">
      <c r="M22999"/>
      <c r="N22999"/>
      <c r="O22999"/>
      <c r="P22999"/>
      <c r="Q22999"/>
      <c r="R22999"/>
      <c r="S22999"/>
    </row>
    <row r="23000" spans="13:19" ht="13.95" customHeight="1">
      <c r="M23000"/>
      <c r="N23000"/>
      <c r="O23000"/>
      <c r="P23000"/>
      <c r="Q23000"/>
      <c r="R23000"/>
      <c r="S23000"/>
    </row>
    <row r="23001" spans="13:19" ht="13.95" customHeight="1">
      <c r="M23001"/>
      <c r="N23001"/>
      <c r="O23001"/>
      <c r="P23001"/>
      <c r="Q23001"/>
      <c r="R23001"/>
      <c r="S23001"/>
    </row>
    <row r="23002" spans="13:19" ht="13.95" customHeight="1">
      <c r="M23002"/>
      <c r="N23002"/>
      <c r="O23002"/>
      <c r="P23002"/>
      <c r="Q23002"/>
      <c r="R23002"/>
      <c r="S23002"/>
    </row>
    <row r="23003" spans="13:19" ht="13.95" customHeight="1">
      <c r="M23003"/>
      <c r="N23003"/>
      <c r="O23003"/>
      <c r="P23003"/>
      <c r="Q23003"/>
      <c r="R23003"/>
      <c r="S23003"/>
    </row>
    <row r="23004" spans="13:19" ht="13.95" customHeight="1">
      <c r="M23004"/>
      <c r="N23004"/>
      <c r="O23004"/>
      <c r="P23004"/>
      <c r="Q23004"/>
      <c r="R23004"/>
      <c r="S23004"/>
    </row>
    <row r="23005" spans="13:19" ht="13.95" customHeight="1">
      <c r="M23005"/>
      <c r="N23005"/>
      <c r="O23005"/>
      <c r="P23005"/>
      <c r="Q23005"/>
      <c r="R23005"/>
      <c r="S23005"/>
    </row>
    <row r="23006" spans="13:19" ht="13.95" customHeight="1">
      <c r="M23006"/>
      <c r="N23006"/>
      <c r="O23006"/>
      <c r="P23006"/>
      <c r="Q23006"/>
      <c r="R23006"/>
      <c r="S23006"/>
    </row>
    <row r="23007" spans="13:19" ht="13.95" customHeight="1">
      <c r="M23007"/>
      <c r="N23007"/>
      <c r="O23007"/>
      <c r="P23007"/>
      <c r="Q23007"/>
      <c r="R23007"/>
      <c r="S23007"/>
    </row>
    <row r="23008" spans="13:19" ht="13.95" customHeight="1">
      <c r="M23008"/>
      <c r="N23008"/>
      <c r="O23008"/>
      <c r="P23008"/>
      <c r="Q23008"/>
      <c r="R23008"/>
      <c r="S23008"/>
    </row>
    <row r="23009" spans="13:19" ht="13.95" customHeight="1">
      <c r="M23009"/>
      <c r="N23009"/>
      <c r="O23009"/>
      <c r="P23009"/>
      <c r="Q23009"/>
      <c r="R23009"/>
      <c r="S23009"/>
    </row>
    <row r="23010" spans="13:19" ht="13.95" customHeight="1">
      <c r="M23010"/>
      <c r="N23010"/>
      <c r="O23010"/>
      <c r="P23010"/>
      <c r="Q23010"/>
      <c r="R23010"/>
      <c r="S23010"/>
    </row>
    <row r="23011" spans="13:19" ht="13.95" customHeight="1">
      <c r="M23011"/>
      <c r="N23011"/>
      <c r="O23011"/>
      <c r="P23011"/>
      <c r="Q23011"/>
      <c r="R23011"/>
      <c r="S23011"/>
    </row>
    <row r="23012" spans="13:19" ht="13.95" customHeight="1">
      <c r="M23012"/>
      <c r="N23012"/>
      <c r="O23012"/>
      <c r="P23012"/>
      <c r="Q23012"/>
      <c r="R23012"/>
      <c r="S23012"/>
    </row>
    <row r="23013" spans="13:19" ht="13.95" customHeight="1">
      <c r="M23013"/>
      <c r="N23013"/>
      <c r="O23013"/>
      <c r="P23013"/>
      <c r="Q23013"/>
      <c r="R23013"/>
      <c r="S23013"/>
    </row>
    <row r="23014" spans="13:19" ht="13.95" customHeight="1">
      <c r="M23014"/>
      <c r="N23014"/>
      <c r="O23014"/>
      <c r="P23014"/>
      <c r="Q23014"/>
      <c r="R23014"/>
      <c r="S23014"/>
    </row>
    <row r="23015" spans="13:19" ht="13.95" customHeight="1">
      <c r="M23015"/>
      <c r="N23015"/>
      <c r="O23015"/>
      <c r="P23015"/>
      <c r="Q23015"/>
      <c r="R23015"/>
      <c r="S23015"/>
    </row>
    <row r="23016" spans="13:19" ht="13.95" customHeight="1">
      <c r="M23016"/>
      <c r="N23016"/>
      <c r="O23016"/>
      <c r="P23016"/>
      <c r="Q23016"/>
      <c r="R23016"/>
      <c r="S23016"/>
    </row>
    <row r="23017" spans="13:19" ht="13.95" customHeight="1">
      <c r="M23017"/>
      <c r="N23017"/>
      <c r="O23017"/>
      <c r="P23017"/>
      <c r="Q23017"/>
      <c r="R23017"/>
      <c r="S23017"/>
    </row>
    <row r="23018" spans="13:19" ht="13.95" customHeight="1">
      <c r="M23018"/>
      <c r="N23018"/>
      <c r="O23018"/>
      <c r="P23018"/>
      <c r="Q23018"/>
      <c r="R23018"/>
      <c r="S23018"/>
    </row>
    <row r="23019" spans="13:19" ht="13.95" customHeight="1">
      <c r="M23019"/>
      <c r="N23019"/>
      <c r="O23019"/>
      <c r="P23019"/>
      <c r="Q23019"/>
      <c r="R23019"/>
      <c r="S23019"/>
    </row>
    <row r="23020" spans="13:19" ht="13.95" customHeight="1">
      <c r="M23020"/>
      <c r="N23020"/>
      <c r="O23020"/>
      <c r="P23020"/>
      <c r="Q23020"/>
      <c r="R23020"/>
      <c r="S23020"/>
    </row>
    <row r="23021" spans="13:19" ht="13.95" customHeight="1">
      <c r="M23021"/>
      <c r="N23021"/>
      <c r="O23021"/>
      <c r="P23021"/>
      <c r="Q23021"/>
      <c r="R23021"/>
      <c r="S23021"/>
    </row>
    <row r="23022" spans="13:19" ht="13.95" customHeight="1">
      <c r="M23022"/>
      <c r="N23022"/>
      <c r="O23022"/>
      <c r="P23022"/>
      <c r="Q23022"/>
      <c r="R23022"/>
      <c r="S23022"/>
    </row>
    <row r="23023" spans="13:19" ht="13.95" customHeight="1">
      <c r="M23023"/>
      <c r="N23023"/>
      <c r="O23023"/>
      <c r="P23023"/>
      <c r="Q23023"/>
      <c r="R23023"/>
      <c r="S23023"/>
    </row>
    <row r="23024" spans="13:19" ht="13.95" customHeight="1">
      <c r="M23024"/>
      <c r="N23024"/>
      <c r="O23024"/>
      <c r="P23024"/>
      <c r="Q23024"/>
      <c r="R23024"/>
      <c r="S23024"/>
    </row>
    <row r="23025" spans="13:19" ht="13.95" customHeight="1">
      <c r="M23025"/>
      <c r="N23025"/>
      <c r="O23025"/>
      <c r="P23025"/>
      <c r="Q23025"/>
      <c r="R23025"/>
      <c r="S23025"/>
    </row>
    <row r="23026" spans="13:19" ht="13.95" customHeight="1">
      <c r="M23026"/>
      <c r="N23026"/>
      <c r="O23026"/>
      <c r="P23026"/>
      <c r="Q23026"/>
      <c r="R23026"/>
      <c r="S23026"/>
    </row>
    <row r="23027" spans="13:19" ht="13.95" customHeight="1">
      <c r="M23027"/>
      <c r="N23027"/>
      <c r="O23027"/>
      <c r="P23027"/>
      <c r="Q23027"/>
      <c r="R23027"/>
      <c r="S23027"/>
    </row>
    <row r="23028" spans="13:19" ht="13.95" customHeight="1">
      <c r="M23028"/>
      <c r="N23028"/>
      <c r="O23028"/>
      <c r="P23028"/>
      <c r="Q23028"/>
      <c r="R23028"/>
      <c r="S23028"/>
    </row>
    <row r="23029" spans="13:19" ht="13.95" customHeight="1">
      <c r="M23029"/>
      <c r="N23029"/>
      <c r="O23029"/>
      <c r="P23029"/>
      <c r="Q23029"/>
      <c r="R23029"/>
      <c r="S23029"/>
    </row>
    <row r="23030" spans="13:19" ht="13.95" customHeight="1">
      <c r="M23030"/>
      <c r="N23030"/>
      <c r="O23030"/>
      <c r="P23030"/>
      <c r="Q23030"/>
      <c r="R23030"/>
      <c r="S23030"/>
    </row>
    <row r="23031" spans="13:19" ht="13.95" customHeight="1">
      <c r="M23031"/>
      <c r="N23031"/>
      <c r="O23031"/>
      <c r="P23031"/>
      <c r="Q23031"/>
      <c r="R23031"/>
      <c r="S23031"/>
    </row>
    <row r="23032" spans="13:19" ht="13.95" customHeight="1">
      <c r="M23032"/>
      <c r="N23032"/>
      <c r="O23032"/>
      <c r="P23032"/>
      <c r="Q23032"/>
      <c r="R23032"/>
      <c r="S23032"/>
    </row>
    <row r="23033" spans="13:19" ht="13.95" customHeight="1">
      <c r="M23033"/>
      <c r="N23033"/>
      <c r="O23033"/>
      <c r="P23033"/>
      <c r="Q23033"/>
      <c r="R23033"/>
      <c r="S23033"/>
    </row>
    <row r="23034" spans="13:19" ht="13.95" customHeight="1">
      <c r="M23034"/>
      <c r="N23034"/>
      <c r="O23034"/>
      <c r="P23034"/>
      <c r="Q23034"/>
      <c r="R23034"/>
      <c r="S23034"/>
    </row>
    <row r="23035" spans="13:19" ht="13.95" customHeight="1">
      <c r="M23035"/>
      <c r="N23035"/>
      <c r="O23035"/>
      <c r="P23035"/>
      <c r="Q23035"/>
      <c r="R23035"/>
      <c r="S23035"/>
    </row>
    <row r="23036" spans="13:19" ht="13.95" customHeight="1">
      <c r="M23036"/>
      <c r="N23036"/>
      <c r="O23036"/>
      <c r="P23036"/>
      <c r="Q23036"/>
      <c r="R23036"/>
      <c r="S23036"/>
    </row>
    <row r="23037" spans="13:19" ht="13.95" customHeight="1">
      <c r="M23037"/>
      <c r="N23037"/>
      <c r="O23037"/>
      <c r="P23037"/>
      <c r="Q23037"/>
      <c r="R23037"/>
      <c r="S23037"/>
    </row>
    <row r="23038" spans="13:19" ht="13.95" customHeight="1">
      <c r="M23038"/>
      <c r="N23038"/>
      <c r="O23038"/>
      <c r="P23038"/>
      <c r="Q23038"/>
      <c r="R23038"/>
      <c r="S23038"/>
    </row>
    <row r="23039" spans="13:19" ht="13.95" customHeight="1">
      <c r="M23039"/>
      <c r="N23039"/>
      <c r="O23039"/>
      <c r="P23039"/>
      <c r="Q23039"/>
      <c r="R23039"/>
      <c r="S23039"/>
    </row>
    <row r="23040" spans="13:19" ht="13.95" customHeight="1">
      <c r="M23040"/>
      <c r="N23040"/>
      <c r="O23040"/>
      <c r="P23040"/>
      <c r="Q23040"/>
      <c r="R23040"/>
      <c r="S23040"/>
    </row>
    <row r="23041" spans="13:19" ht="13.95" customHeight="1">
      <c r="M23041"/>
      <c r="N23041"/>
      <c r="O23041"/>
      <c r="P23041"/>
      <c r="Q23041"/>
      <c r="R23041"/>
      <c r="S23041"/>
    </row>
    <row r="23042" spans="13:19" ht="13.95" customHeight="1">
      <c r="M23042"/>
      <c r="N23042"/>
      <c r="O23042"/>
      <c r="P23042"/>
      <c r="Q23042"/>
      <c r="R23042"/>
      <c r="S23042"/>
    </row>
    <row r="23043" spans="13:19" ht="13.95" customHeight="1">
      <c r="M23043"/>
      <c r="N23043"/>
      <c r="O23043"/>
      <c r="P23043"/>
      <c r="Q23043"/>
      <c r="R23043"/>
      <c r="S23043"/>
    </row>
    <row r="23044" spans="13:19" ht="13.95" customHeight="1">
      <c r="M23044"/>
      <c r="N23044"/>
      <c r="O23044"/>
      <c r="P23044"/>
      <c r="Q23044"/>
      <c r="R23044"/>
      <c r="S23044"/>
    </row>
    <row r="23045" spans="13:19" ht="13.95" customHeight="1">
      <c r="M23045"/>
      <c r="N23045"/>
      <c r="O23045"/>
      <c r="P23045"/>
      <c r="Q23045"/>
      <c r="R23045"/>
      <c r="S23045"/>
    </row>
    <row r="23046" spans="13:19" ht="13.95" customHeight="1">
      <c r="M23046"/>
      <c r="N23046"/>
      <c r="O23046"/>
      <c r="P23046"/>
      <c r="Q23046"/>
      <c r="R23046"/>
      <c r="S23046"/>
    </row>
    <row r="23047" spans="13:19" ht="13.95" customHeight="1">
      <c r="M23047"/>
      <c r="N23047"/>
      <c r="O23047"/>
      <c r="P23047"/>
      <c r="Q23047"/>
      <c r="R23047"/>
      <c r="S23047"/>
    </row>
    <row r="23048" spans="13:19" ht="13.95" customHeight="1">
      <c r="M23048"/>
      <c r="N23048"/>
      <c r="O23048"/>
      <c r="P23048"/>
      <c r="Q23048"/>
      <c r="R23048"/>
      <c r="S23048"/>
    </row>
    <row r="23049" spans="13:19" ht="13.95" customHeight="1">
      <c r="M23049"/>
      <c r="N23049"/>
      <c r="O23049"/>
      <c r="P23049"/>
      <c r="Q23049"/>
      <c r="R23049"/>
      <c r="S23049"/>
    </row>
    <row r="23050" spans="13:19" ht="13.95" customHeight="1">
      <c r="M23050"/>
      <c r="N23050"/>
      <c r="O23050"/>
      <c r="P23050"/>
      <c r="Q23050"/>
      <c r="R23050"/>
      <c r="S23050"/>
    </row>
    <row r="23051" spans="13:19" ht="13.95" customHeight="1">
      <c r="M23051"/>
      <c r="N23051"/>
      <c r="O23051"/>
      <c r="P23051"/>
      <c r="Q23051"/>
      <c r="R23051"/>
      <c r="S23051"/>
    </row>
    <row r="23052" spans="13:19" ht="13.95" customHeight="1">
      <c r="M23052"/>
      <c r="N23052"/>
      <c r="O23052"/>
      <c r="P23052"/>
      <c r="Q23052"/>
      <c r="R23052"/>
      <c r="S23052"/>
    </row>
    <row r="23053" spans="13:19" ht="13.95" customHeight="1">
      <c r="M23053"/>
      <c r="N23053"/>
      <c r="O23053"/>
      <c r="P23053"/>
      <c r="Q23053"/>
      <c r="R23053"/>
      <c r="S23053"/>
    </row>
    <row r="23054" spans="13:19" ht="13.95" customHeight="1">
      <c r="M23054"/>
      <c r="N23054"/>
      <c r="O23054"/>
      <c r="P23054"/>
      <c r="Q23054"/>
      <c r="R23054"/>
      <c r="S23054"/>
    </row>
    <row r="23055" spans="13:19" ht="13.95" customHeight="1">
      <c r="M23055"/>
      <c r="N23055"/>
      <c r="O23055"/>
      <c r="P23055"/>
      <c r="Q23055"/>
      <c r="R23055"/>
      <c r="S23055"/>
    </row>
    <row r="23056" spans="13:19" ht="13.95" customHeight="1">
      <c r="M23056"/>
      <c r="N23056"/>
      <c r="O23056"/>
      <c r="P23056"/>
      <c r="Q23056"/>
      <c r="R23056"/>
      <c r="S23056"/>
    </row>
    <row r="23057" spans="13:19" ht="13.95" customHeight="1">
      <c r="M23057"/>
      <c r="N23057"/>
      <c r="O23057"/>
      <c r="P23057"/>
      <c r="Q23057"/>
      <c r="R23057"/>
      <c r="S23057"/>
    </row>
    <row r="23058" spans="13:19" ht="13.95" customHeight="1">
      <c r="M23058"/>
      <c r="N23058"/>
      <c r="O23058"/>
      <c r="P23058"/>
      <c r="Q23058"/>
      <c r="R23058"/>
      <c r="S23058"/>
    </row>
    <row r="23059" spans="13:19" ht="13.95" customHeight="1">
      <c r="M23059"/>
      <c r="N23059"/>
      <c r="O23059"/>
      <c r="P23059"/>
      <c r="Q23059"/>
      <c r="R23059"/>
      <c r="S23059"/>
    </row>
    <row r="23060" spans="13:19" ht="13.95" customHeight="1">
      <c r="M23060"/>
      <c r="N23060"/>
      <c r="O23060"/>
      <c r="P23060"/>
      <c r="Q23060"/>
      <c r="R23060"/>
      <c r="S23060"/>
    </row>
    <row r="23061" spans="13:19" ht="13.95" customHeight="1">
      <c r="M23061"/>
      <c r="N23061"/>
      <c r="O23061"/>
      <c r="P23061"/>
      <c r="Q23061"/>
      <c r="R23061"/>
      <c r="S23061"/>
    </row>
    <row r="23062" spans="13:19" ht="13.95" customHeight="1">
      <c r="M23062"/>
      <c r="N23062"/>
      <c r="O23062"/>
      <c r="P23062"/>
      <c r="Q23062"/>
      <c r="R23062"/>
      <c r="S23062"/>
    </row>
    <row r="23063" spans="13:19" ht="13.95" customHeight="1">
      <c r="M23063"/>
      <c r="N23063"/>
      <c r="O23063"/>
      <c r="P23063"/>
      <c r="Q23063"/>
      <c r="R23063"/>
      <c r="S23063"/>
    </row>
    <row r="23064" spans="13:19" ht="13.95" customHeight="1">
      <c r="M23064"/>
      <c r="N23064"/>
      <c r="O23064"/>
      <c r="P23064"/>
      <c r="Q23064"/>
      <c r="R23064"/>
      <c r="S23064"/>
    </row>
    <row r="23065" spans="13:19" ht="13.95" customHeight="1">
      <c r="M23065"/>
      <c r="N23065"/>
      <c r="O23065"/>
      <c r="P23065"/>
      <c r="Q23065"/>
      <c r="R23065"/>
      <c r="S23065"/>
    </row>
    <row r="23066" spans="13:19" ht="13.95" customHeight="1">
      <c r="M23066"/>
      <c r="N23066"/>
      <c r="O23066"/>
      <c r="P23066"/>
      <c r="Q23066"/>
      <c r="R23066"/>
      <c r="S23066"/>
    </row>
    <row r="23067" spans="13:19" ht="13.95" customHeight="1">
      <c r="M23067"/>
      <c r="N23067"/>
      <c r="O23067"/>
      <c r="P23067"/>
      <c r="Q23067"/>
      <c r="R23067"/>
      <c r="S23067"/>
    </row>
    <row r="23068" spans="13:19" ht="13.95" customHeight="1">
      <c r="M23068"/>
      <c r="N23068"/>
      <c r="O23068"/>
      <c r="P23068"/>
      <c r="Q23068"/>
      <c r="R23068"/>
      <c r="S23068"/>
    </row>
    <row r="23069" spans="13:19" ht="13.95" customHeight="1">
      <c r="M23069"/>
      <c r="N23069"/>
      <c r="O23069"/>
      <c r="P23069"/>
      <c r="Q23069"/>
      <c r="R23069"/>
      <c r="S23069"/>
    </row>
    <row r="23070" spans="13:19" ht="13.95" customHeight="1">
      <c r="M23070"/>
      <c r="N23070"/>
      <c r="O23070"/>
      <c r="P23070"/>
      <c r="Q23070"/>
      <c r="R23070"/>
      <c r="S23070"/>
    </row>
    <row r="23071" spans="13:19" ht="13.95" customHeight="1">
      <c r="M23071"/>
      <c r="N23071"/>
      <c r="O23071"/>
      <c r="P23071"/>
      <c r="Q23071"/>
      <c r="R23071"/>
      <c r="S23071"/>
    </row>
    <row r="23072" spans="13:19" ht="13.95" customHeight="1">
      <c r="M23072"/>
      <c r="N23072"/>
      <c r="O23072"/>
      <c r="P23072"/>
      <c r="Q23072"/>
      <c r="R23072"/>
      <c r="S23072"/>
    </row>
    <row r="23073" spans="13:19" ht="13.95" customHeight="1">
      <c r="M23073"/>
      <c r="N23073"/>
      <c r="O23073"/>
      <c r="P23073"/>
      <c r="Q23073"/>
      <c r="R23073"/>
      <c r="S23073"/>
    </row>
    <row r="23074" spans="13:19" ht="13.95" customHeight="1">
      <c r="M23074"/>
      <c r="N23074"/>
      <c r="O23074"/>
      <c r="P23074"/>
      <c r="Q23074"/>
      <c r="R23074"/>
      <c r="S23074"/>
    </row>
    <row r="23075" spans="13:19" ht="13.95" customHeight="1">
      <c r="M23075"/>
      <c r="N23075"/>
      <c r="O23075"/>
      <c r="P23075"/>
      <c r="Q23075"/>
      <c r="R23075"/>
      <c r="S23075"/>
    </row>
    <row r="23076" spans="13:19" ht="13.95" customHeight="1">
      <c r="M23076"/>
      <c r="N23076"/>
      <c r="O23076"/>
      <c r="P23076"/>
      <c r="Q23076"/>
      <c r="R23076"/>
      <c r="S23076"/>
    </row>
    <row r="23077" spans="13:19" ht="13.95" customHeight="1">
      <c r="M23077"/>
      <c r="N23077"/>
      <c r="O23077"/>
      <c r="P23077"/>
      <c r="Q23077"/>
      <c r="R23077"/>
      <c r="S23077"/>
    </row>
    <row r="23078" spans="13:19" ht="13.95" customHeight="1">
      <c r="M23078"/>
      <c r="N23078"/>
      <c r="O23078"/>
      <c r="P23078"/>
      <c r="Q23078"/>
      <c r="R23078"/>
      <c r="S23078"/>
    </row>
    <row r="23079" spans="13:19" ht="13.95" customHeight="1">
      <c r="M23079"/>
      <c r="N23079"/>
      <c r="O23079"/>
      <c r="P23079"/>
      <c r="Q23079"/>
      <c r="R23079"/>
      <c r="S23079"/>
    </row>
    <row r="23080" spans="13:19" ht="13.95" customHeight="1">
      <c r="M23080"/>
      <c r="N23080"/>
      <c r="O23080"/>
      <c r="P23080"/>
      <c r="Q23080"/>
      <c r="R23080"/>
      <c r="S23080"/>
    </row>
    <row r="23081" spans="13:19" ht="13.95" customHeight="1">
      <c r="M23081"/>
      <c r="N23081"/>
      <c r="O23081"/>
      <c r="P23081"/>
      <c r="Q23081"/>
      <c r="R23081"/>
      <c r="S23081"/>
    </row>
    <row r="23082" spans="13:19" ht="13.95" customHeight="1">
      <c r="M23082"/>
      <c r="N23082"/>
      <c r="O23082"/>
      <c r="P23082"/>
      <c r="Q23082"/>
      <c r="R23082"/>
      <c r="S23082"/>
    </row>
    <row r="23083" spans="13:19" ht="13.95" customHeight="1">
      <c r="M23083"/>
      <c r="N23083"/>
      <c r="O23083"/>
      <c r="P23083"/>
      <c r="Q23083"/>
      <c r="R23083"/>
      <c r="S23083"/>
    </row>
    <row r="23084" spans="13:19" ht="13.95" customHeight="1">
      <c r="M23084"/>
      <c r="N23084"/>
      <c r="O23084"/>
      <c r="P23084"/>
      <c r="Q23084"/>
      <c r="R23084"/>
      <c r="S23084"/>
    </row>
    <row r="23085" spans="13:19" ht="13.95" customHeight="1">
      <c r="M23085"/>
      <c r="N23085"/>
      <c r="O23085"/>
      <c r="P23085"/>
      <c r="Q23085"/>
      <c r="R23085"/>
      <c r="S23085"/>
    </row>
    <row r="23086" spans="13:19" ht="13.95" customHeight="1">
      <c r="M23086"/>
      <c r="N23086"/>
      <c r="O23086"/>
      <c r="P23086"/>
      <c r="Q23086"/>
      <c r="R23086"/>
      <c r="S23086"/>
    </row>
    <row r="23087" spans="13:19" ht="13.95" customHeight="1">
      <c r="M23087"/>
      <c r="N23087"/>
      <c r="O23087"/>
      <c r="P23087"/>
      <c r="Q23087"/>
      <c r="R23087"/>
      <c r="S23087"/>
    </row>
    <row r="23088" spans="13:19" ht="13.95" customHeight="1">
      <c r="M23088"/>
      <c r="N23088"/>
      <c r="O23088"/>
      <c r="P23088"/>
      <c r="Q23088"/>
      <c r="R23088"/>
      <c r="S23088"/>
    </row>
    <row r="23089" spans="13:19" ht="13.95" customHeight="1">
      <c r="M23089"/>
      <c r="N23089"/>
      <c r="O23089"/>
      <c r="P23089"/>
      <c r="Q23089"/>
      <c r="R23089"/>
      <c r="S23089"/>
    </row>
    <row r="23090" spans="13:19" ht="13.95" customHeight="1">
      <c r="M23090"/>
      <c r="N23090"/>
      <c r="O23090"/>
      <c r="P23090"/>
      <c r="Q23090"/>
      <c r="R23090"/>
      <c r="S23090"/>
    </row>
    <row r="23091" spans="13:19" ht="13.95" customHeight="1">
      <c r="M23091"/>
      <c r="N23091"/>
      <c r="O23091"/>
      <c r="P23091"/>
      <c r="Q23091"/>
      <c r="R23091"/>
      <c r="S23091"/>
    </row>
    <row r="23092" spans="13:19" ht="13.95" customHeight="1">
      <c r="M23092"/>
      <c r="N23092"/>
      <c r="O23092"/>
      <c r="P23092"/>
      <c r="Q23092"/>
      <c r="R23092"/>
      <c r="S23092"/>
    </row>
    <row r="23093" spans="13:19" ht="13.95" customHeight="1">
      <c r="M23093"/>
      <c r="N23093"/>
      <c r="O23093"/>
      <c r="P23093"/>
      <c r="Q23093"/>
      <c r="R23093"/>
      <c r="S23093"/>
    </row>
    <row r="23094" spans="13:19" ht="13.95" customHeight="1">
      <c r="M23094"/>
      <c r="N23094"/>
      <c r="O23094"/>
      <c r="P23094"/>
      <c r="Q23094"/>
      <c r="R23094"/>
      <c r="S23094"/>
    </row>
    <row r="23095" spans="13:19" ht="13.95" customHeight="1">
      <c r="M23095"/>
      <c r="N23095"/>
      <c r="O23095"/>
      <c r="P23095"/>
      <c r="Q23095"/>
      <c r="R23095"/>
      <c r="S23095"/>
    </row>
    <row r="23096" spans="13:19" ht="13.95" customHeight="1">
      <c r="M23096"/>
      <c r="N23096"/>
      <c r="O23096"/>
      <c r="P23096"/>
      <c r="Q23096"/>
      <c r="R23096"/>
      <c r="S23096"/>
    </row>
    <row r="23097" spans="13:19" ht="13.95" customHeight="1">
      <c r="M23097"/>
      <c r="N23097"/>
      <c r="O23097"/>
      <c r="P23097"/>
      <c r="Q23097"/>
      <c r="R23097"/>
      <c r="S23097"/>
    </row>
    <row r="23098" spans="13:19" ht="13.95" customHeight="1">
      <c r="M23098"/>
      <c r="N23098"/>
      <c r="O23098"/>
      <c r="P23098"/>
      <c r="Q23098"/>
      <c r="R23098"/>
      <c r="S23098"/>
    </row>
    <row r="23099" spans="13:19" ht="13.95" customHeight="1">
      <c r="M23099"/>
      <c r="N23099"/>
      <c r="O23099"/>
      <c r="P23099"/>
      <c r="Q23099"/>
      <c r="R23099"/>
      <c r="S23099"/>
    </row>
    <row r="23100" spans="13:19" ht="13.95" customHeight="1">
      <c r="M23100"/>
      <c r="N23100"/>
      <c r="O23100"/>
      <c r="P23100"/>
      <c r="Q23100"/>
      <c r="R23100"/>
      <c r="S23100"/>
    </row>
    <row r="23101" spans="13:19" ht="13.95" customHeight="1">
      <c r="M23101"/>
      <c r="N23101"/>
      <c r="O23101"/>
      <c r="P23101"/>
      <c r="Q23101"/>
      <c r="R23101"/>
      <c r="S23101"/>
    </row>
    <row r="23102" spans="13:19" ht="13.95" customHeight="1">
      <c r="M23102"/>
      <c r="N23102"/>
      <c r="O23102"/>
      <c r="P23102"/>
      <c r="Q23102"/>
      <c r="R23102"/>
      <c r="S23102"/>
    </row>
    <row r="23103" spans="13:19" ht="13.95" customHeight="1">
      <c r="M23103"/>
      <c r="N23103"/>
      <c r="O23103"/>
      <c r="P23103"/>
      <c r="Q23103"/>
      <c r="R23103"/>
      <c r="S23103"/>
    </row>
    <row r="23104" spans="13:19" ht="13.95" customHeight="1">
      <c r="M23104"/>
      <c r="N23104"/>
      <c r="O23104"/>
      <c r="P23104"/>
      <c r="Q23104"/>
      <c r="R23104"/>
      <c r="S23104"/>
    </row>
    <row r="23105" spans="13:19" ht="13.95" customHeight="1">
      <c r="M23105"/>
      <c r="N23105"/>
      <c r="O23105"/>
      <c r="P23105"/>
      <c r="Q23105"/>
      <c r="R23105"/>
      <c r="S23105"/>
    </row>
    <row r="23106" spans="13:19" ht="13.95" customHeight="1">
      <c r="M23106"/>
      <c r="N23106"/>
      <c r="O23106"/>
      <c r="P23106"/>
      <c r="Q23106"/>
      <c r="R23106"/>
      <c r="S23106"/>
    </row>
    <row r="23107" spans="13:19" ht="13.95" customHeight="1">
      <c r="M23107"/>
      <c r="N23107"/>
      <c r="O23107"/>
      <c r="P23107"/>
      <c r="Q23107"/>
      <c r="R23107"/>
      <c r="S23107"/>
    </row>
    <row r="23108" spans="13:19" ht="13.95" customHeight="1">
      <c r="M23108"/>
      <c r="N23108"/>
      <c r="O23108"/>
      <c r="P23108"/>
      <c r="Q23108"/>
      <c r="R23108"/>
      <c r="S23108"/>
    </row>
    <row r="23109" spans="13:19" ht="13.95" customHeight="1">
      <c r="M23109"/>
      <c r="N23109"/>
      <c r="O23109"/>
      <c r="P23109"/>
      <c r="Q23109"/>
      <c r="R23109"/>
      <c r="S23109"/>
    </row>
    <row r="23110" spans="13:19" ht="13.95" customHeight="1">
      <c r="M23110"/>
      <c r="N23110"/>
      <c r="O23110"/>
      <c r="P23110"/>
      <c r="Q23110"/>
      <c r="R23110"/>
      <c r="S23110"/>
    </row>
    <row r="23111" spans="13:19" ht="13.95" customHeight="1">
      <c r="M23111"/>
      <c r="N23111"/>
      <c r="O23111"/>
      <c r="P23111"/>
      <c r="Q23111"/>
      <c r="R23111"/>
      <c r="S23111"/>
    </row>
    <row r="23112" spans="13:19" ht="13.95" customHeight="1">
      <c r="M23112"/>
      <c r="N23112"/>
      <c r="O23112"/>
      <c r="P23112"/>
      <c r="Q23112"/>
      <c r="R23112"/>
      <c r="S23112"/>
    </row>
    <row r="23113" spans="13:19" ht="13.95" customHeight="1">
      <c r="M23113"/>
      <c r="N23113"/>
      <c r="O23113"/>
      <c r="P23113"/>
      <c r="Q23113"/>
      <c r="R23113"/>
      <c r="S23113"/>
    </row>
    <row r="23114" spans="13:19" ht="13.95" customHeight="1">
      <c r="M23114"/>
      <c r="N23114"/>
      <c r="O23114"/>
      <c r="P23114"/>
      <c r="Q23114"/>
      <c r="R23114"/>
      <c r="S23114"/>
    </row>
    <row r="23115" spans="13:19" ht="13.95" customHeight="1">
      <c r="M23115"/>
      <c r="N23115"/>
      <c r="O23115"/>
      <c r="P23115"/>
      <c r="Q23115"/>
      <c r="R23115"/>
      <c r="S23115"/>
    </row>
    <row r="23116" spans="13:19" ht="13.95" customHeight="1">
      <c r="M23116"/>
      <c r="N23116"/>
      <c r="O23116"/>
      <c r="P23116"/>
      <c r="Q23116"/>
      <c r="R23116"/>
      <c r="S23116"/>
    </row>
    <row r="23117" spans="13:19" ht="13.95" customHeight="1">
      <c r="M23117"/>
      <c r="N23117"/>
      <c r="O23117"/>
      <c r="P23117"/>
      <c r="Q23117"/>
      <c r="R23117"/>
      <c r="S23117"/>
    </row>
    <row r="23118" spans="13:19" ht="13.95" customHeight="1">
      <c r="M23118"/>
      <c r="N23118"/>
      <c r="O23118"/>
      <c r="P23118"/>
      <c r="Q23118"/>
      <c r="R23118"/>
      <c r="S23118"/>
    </row>
    <row r="23119" spans="13:19" ht="13.95" customHeight="1">
      <c r="M23119"/>
      <c r="N23119"/>
      <c r="O23119"/>
      <c r="P23119"/>
      <c r="Q23119"/>
      <c r="R23119"/>
      <c r="S23119"/>
    </row>
    <row r="23120" spans="13:19" ht="13.95" customHeight="1">
      <c r="M23120"/>
      <c r="N23120"/>
      <c r="O23120"/>
      <c r="P23120"/>
      <c r="Q23120"/>
      <c r="R23120"/>
      <c r="S23120"/>
    </row>
    <row r="23121" spans="13:19" ht="13.95" customHeight="1">
      <c r="M23121"/>
      <c r="N23121"/>
      <c r="O23121"/>
      <c r="P23121"/>
      <c r="Q23121"/>
      <c r="R23121"/>
      <c r="S23121"/>
    </row>
    <row r="23122" spans="13:19" ht="13.95" customHeight="1">
      <c r="M23122"/>
      <c r="N23122"/>
      <c r="O23122"/>
      <c r="P23122"/>
      <c r="Q23122"/>
      <c r="R23122"/>
      <c r="S23122"/>
    </row>
    <row r="23123" spans="13:19" ht="13.95" customHeight="1">
      <c r="M23123"/>
      <c r="N23123"/>
      <c r="O23123"/>
      <c r="P23123"/>
      <c r="Q23123"/>
      <c r="R23123"/>
      <c r="S23123"/>
    </row>
    <row r="23124" spans="13:19" ht="13.95" customHeight="1">
      <c r="M23124"/>
      <c r="N23124"/>
      <c r="O23124"/>
      <c r="P23124"/>
      <c r="Q23124"/>
      <c r="R23124"/>
      <c r="S23124"/>
    </row>
    <row r="23125" spans="13:19" ht="13.95" customHeight="1">
      <c r="M23125"/>
      <c r="N23125"/>
      <c r="O23125"/>
      <c r="P23125"/>
      <c r="Q23125"/>
      <c r="R23125"/>
      <c r="S23125"/>
    </row>
    <row r="23126" spans="13:19" ht="13.95" customHeight="1">
      <c r="M23126"/>
      <c r="N23126"/>
      <c r="O23126"/>
      <c r="P23126"/>
      <c r="Q23126"/>
      <c r="R23126"/>
      <c r="S23126"/>
    </row>
    <row r="23127" spans="13:19" ht="13.95" customHeight="1">
      <c r="M23127"/>
      <c r="N23127"/>
      <c r="O23127"/>
      <c r="P23127"/>
      <c r="Q23127"/>
      <c r="R23127"/>
      <c r="S23127"/>
    </row>
    <row r="23128" spans="13:19" ht="13.95" customHeight="1">
      <c r="M23128"/>
      <c r="N23128"/>
      <c r="O23128"/>
      <c r="P23128"/>
      <c r="Q23128"/>
      <c r="R23128"/>
      <c r="S23128"/>
    </row>
    <row r="23129" spans="13:19" ht="13.95" customHeight="1">
      <c r="M23129"/>
      <c r="N23129"/>
      <c r="O23129"/>
      <c r="P23129"/>
      <c r="Q23129"/>
      <c r="R23129"/>
      <c r="S23129"/>
    </row>
    <row r="23130" spans="13:19" ht="13.95" customHeight="1">
      <c r="M23130"/>
      <c r="N23130"/>
      <c r="O23130"/>
      <c r="P23130"/>
      <c r="Q23130"/>
      <c r="R23130"/>
      <c r="S23130"/>
    </row>
    <row r="23131" spans="13:19" ht="13.95" customHeight="1">
      <c r="M23131"/>
      <c r="N23131"/>
      <c r="O23131"/>
      <c r="P23131"/>
      <c r="Q23131"/>
      <c r="R23131"/>
      <c r="S23131"/>
    </row>
    <row r="23132" spans="13:19" ht="13.95" customHeight="1">
      <c r="M23132"/>
      <c r="N23132"/>
      <c r="O23132"/>
      <c r="P23132"/>
      <c r="Q23132"/>
      <c r="R23132"/>
      <c r="S23132"/>
    </row>
    <row r="23133" spans="13:19" ht="13.95" customHeight="1">
      <c r="M23133"/>
      <c r="N23133"/>
      <c r="O23133"/>
      <c r="P23133"/>
      <c r="Q23133"/>
      <c r="R23133"/>
      <c r="S23133"/>
    </row>
    <row r="23134" spans="13:19" ht="13.95" customHeight="1">
      <c r="M23134"/>
      <c r="N23134"/>
      <c r="O23134"/>
      <c r="P23134"/>
      <c r="Q23134"/>
      <c r="R23134"/>
      <c r="S23134"/>
    </row>
    <row r="23135" spans="13:19" ht="13.95" customHeight="1">
      <c r="M23135"/>
      <c r="N23135"/>
      <c r="O23135"/>
      <c r="P23135"/>
      <c r="Q23135"/>
      <c r="R23135"/>
      <c r="S23135"/>
    </row>
    <row r="23136" spans="13:19" ht="13.95" customHeight="1">
      <c r="M23136"/>
      <c r="N23136"/>
      <c r="O23136"/>
      <c r="P23136"/>
      <c r="Q23136"/>
      <c r="R23136"/>
      <c r="S23136"/>
    </row>
    <row r="23137" spans="13:19" ht="13.95" customHeight="1">
      <c r="M23137"/>
      <c r="N23137"/>
      <c r="O23137"/>
      <c r="P23137"/>
      <c r="Q23137"/>
      <c r="R23137"/>
      <c r="S23137"/>
    </row>
    <row r="23138" spans="13:19" ht="13.95" customHeight="1">
      <c r="M23138"/>
      <c r="N23138"/>
      <c r="O23138"/>
      <c r="P23138"/>
      <c r="Q23138"/>
      <c r="R23138"/>
      <c r="S23138"/>
    </row>
    <row r="23139" spans="13:19" ht="13.95" customHeight="1">
      <c r="M23139"/>
      <c r="N23139"/>
      <c r="O23139"/>
      <c r="P23139"/>
      <c r="Q23139"/>
      <c r="R23139"/>
      <c r="S23139"/>
    </row>
    <row r="23140" spans="13:19" ht="13.95" customHeight="1">
      <c r="M23140"/>
      <c r="N23140"/>
      <c r="O23140"/>
      <c r="P23140"/>
      <c r="Q23140"/>
      <c r="R23140"/>
      <c r="S23140"/>
    </row>
    <row r="23141" spans="13:19" ht="13.95" customHeight="1">
      <c r="M23141"/>
      <c r="N23141"/>
      <c r="O23141"/>
      <c r="P23141"/>
      <c r="Q23141"/>
      <c r="R23141"/>
      <c r="S23141"/>
    </row>
    <row r="23142" spans="13:19" ht="13.95" customHeight="1">
      <c r="M23142"/>
      <c r="N23142"/>
      <c r="O23142"/>
      <c r="P23142"/>
      <c r="Q23142"/>
      <c r="R23142"/>
      <c r="S23142"/>
    </row>
    <row r="23143" spans="13:19" ht="13.95" customHeight="1">
      <c r="M23143"/>
      <c r="N23143"/>
      <c r="O23143"/>
      <c r="P23143"/>
      <c r="Q23143"/>
      <c r="R23143"/>
      <c r="S23143"/>
    </row>
    <row r="23144" spans="13:19" ht="13.95" customHeight="1">
      <c r="M23144"/>
      <c r="N23144"/>
      <c r="O23144"/>
      <c r="P23144"/>
      <c r="Q23144"/>
      <c r="R23144"/>
      <c r="S23144"/>
    </row>
    <row r="23145" spans="13:19" ht="13.95" customHeight="1">
      <c r="M23145"/>
      <c r="N23145"/>
      <c r="O23145"/>
      <c r="P23145"/>
      <c r="Q23145"/>
      <c r="R23145"/>
      <c r="S23145"/>
    </row>
    <row r="23146" spans="13:19" ht="13.95" customHeight="1">
      <c r="M23146"/>
      <c r="N23146"/>
      <c r="O23146"/>
      <c r="P23146"/>
      <c r="Q23146"/>
      <c r="R23146"/>
      <c r="S23146"/>
    </row>
    <row r="23147" spans="13:19" ht="13.95" customHeight="1">
      <c r="M23147"/>
      <c r="N23147"/>
      <c r="O23147"/>
      <c r="P23147"/>
      <c r="Q23147"/>
      <c r="R23147"/>
      <c r="S23147"/>
    </row>
    <row r="23148" spans="13:19" ht="13.95" customHeight="1">
      <c r="M23148"/>
      <c r="N23148"/>
      <c r="O23148"/>
      <c r="P23148"/>
      <c r="Q23148"/>
      <c r="R23148"/>
      <c r="S23148"/>
    </row>
    <row r="23149" spans="13:19" ht="13.95" customHeight="1">
      <c r="M23149"/>
      <c r="N23149"/>
      <c r="O23149"/>
      <c r="P23149"/>
      <c r="Q23149"/>
      <c r="R23149"/>
      <c r="S23149"/>
    </row>
    <row r="23150" spans="13:19" ht="13.95" customHeight="1">
      <c r="M23150"/>
      <c r="N23150"/>
      <c r="O23150"/>
      <c r="P23150"/>
      <c r="Q23150"/>
      <c r="R23150"/>
      <c r="S23150"/>
    </row>
    <row r="23151" spans="13:19" ht="13.95" customHeight="1">
      <c r="M23151"/>
      <c r="N23151"/>
      <c r="O23151"/>
      <c r="P23151"/>
      <c r="Q23151"/>
      <c r="R23151"/>
      <c r="S23151"/>
    </row>
    <row r="23152" spans="13:19" ht="13.95" customHeight="1">
      <c r="M23152"/>
      <c r="N23152"/>
      <c r="O23152"/>
      <c r="P23152"/>
      <c r="Q23152"/>
      <c r="R23152"/>
      <c r="S23152"/>
    </row>
    <row r="23153" spans="13:19" ht="13.95" customHeight="1">
      <c r="M23153"/>
      <c r="N23153"/>
      <c r="O23153"/>
      <c r="P23153"/>
      <c r="Q23153"/>
      <c r="R23153"/>
      <c r="S23153"/>
    </row>
    <row r="23154" spans="13:19" ht="13.95" customHeight="1">
      <c r="M23154"/>
      <c r="N23154"/>
      <c r="O23154"/>
      <c r="P23154"/>
      <c r="Q23154"/>
      <c r="R23154"/>
      <c r="S23154"/>
    </row>
    <row r="23155" spans="13:19" ht="13.95" customHeight="1">
      <c r="M23155"/>
      <c r="N23155"/>
      <c r="O23155"/>
      <c r="P23155"/>
      <c r="Q23155"/>
      <c r="R23155"/>
      <c r="S23155"/>
    </row>
    <row r="23156" spans="13:19" ht="13.95" customHeight="1">
      <c r="M23156"/>
      <c r="N23156"/>
      <c r="O23156"/>
      <c r="P23156"/>
      <c r="Q23156"/>
      <c r="R23156"/>
      <c r="S23156"/>
    </row>
    <row r="23157" spans="13:19" ht="13.95" customHeight="1">
      <c r="M23157"/>
      <c r="N23157"/>
      <c r="O23157"/>
      <c r="P23157"/>
      <c r="Q23157"/>
      <c r="R23157"/>
      <c r="S23157"/>
    </row>
    <row r="23158" spans="13:19" ht="13.95" customHeight="1">
      <c r="M23158"/>
      <c r="N23158"/>
      <c r="O23158"/>
      <c r="P23158"/>
      <c r="Q23158"/>
      <c r="R23158"/>
      <c r="S23158"/>
    </row>
    <row r="23159" spans="13:19" ht="13.95" customHeight="1">
      <c r="M23159"/>
      <c r="N23159"/>
      <c r="O23159"/>
      <c r="P23159"/>
      <c r="Q23159"/>
      <c r="R23159"/>
      <c r="S23159"/>
    </row>
    <row r="23160" spans="13:19" ht="13.95" customHeight="1">
      <c r="M23160"/>
      <c r="N23160"/>
      <c r="O23160"/>
      <c r="P23160"/>
      <c r="Q23160"/>
      <c r="R23160"/>
      <c r="S23160"/>
    </row>
    <row r="23161" spans="13:19" ht="13.95" customHeight="1">
      <c r="M23161"/>
      <c r="N23161"/>
      <c r="O23161"/>
      <c r="P23161"/>
      <c r="Q23161"/>
      <c r="R23161"/>
      <c r="S23161"/>
    </row>
    <row r="23162" spans="13:19" ht="13.95" customHeight="1">
      <c r="M23162"/>
      <c r="N23162"/>
      <c r="O23162"/>
      <c r="P23162"/>
      <c r="Q23162"/>
      <c r="R23162"/>
      <c r="S23162"/>
    </row>
    <row r="23163" spans="13:19" ht="13.95" customHeight="1">
      <c r="M23163"/>
      <c r="N23163"/>
      <c r="O23163"/>
      <c r="P23163"/>
      <c r="Q23163"/>
      <c r="R23163"/>
      <c r="S23163"/>
    </row>
    <row r="23164" spans="13:19" ht="13.95" customHeight="1">
      <c r="M23164"/>
      <c r="N23164"/>
      <c r="O23164"/>
      <c r="P23164"/>
      <c r="Q23164"/>
      <c r="R23164"/>
      <c r="S23164"/>
    </row>
    <row r="23165" spans="13:19" ht="13.95" customHeight="1">
      <c r="M23165"/>
      <c r="N23165"/>
      <c r="O23165"/>
      <c r="P23165"/>
      <c r="Q23165"/>
      <c r="R23165"/>
      <c r="S23165"/>
    </row>
    <row r="23166" spans="13:19" ht="13.95" customHeight="1">
      <c r="M23166"/>
      <c r="N23166"/>
      <c r="O23166"/>
      <c r="P23166"/>
      <c r="Q23166"/>
      <c r="R23166"/>
      <c r="S23166"/>
    </row>
    <row r="23167" spans="13:19" ht="13.95" customHeight="1">
      <c r="M23167"/>
      <c r="N23167"/>
      <c r="O23167"/>
      <c r="P23167"/>
      <c r="Q23167"/>
      <c r="R23167"/>
      <c r="S23167"/>
    </row>
    <row r="23168" spans="13:19" ht="13.95" customHeight="1">
      <c r="M23168"/>
      <c r="N23168"/>
      <c r="O23168"/>
      <c r="P23168"/>
      <c r="Q23168"/>
      <c r="R23168"/>
      <c r="S23168"/>
    </row>
    <row r="23169" spans="13:19" ht="13.95" customHeight="1">
      <c r="M23169"/>
      <c r="N23169"/>
      <c r="O23169"/>
      <c r="P23169"/>
      <c r="Q23169"/>
      <c r="R23169"/>
      <c r="S23169"/>
    </row>
    <row r="23170" spans="13:19" ht="13.95" customHeight="1">
      <c r="M23170"/>
      <c r="N23170"/>
      <c r="O23170"/>
      <c r="P23170"/>
      <c r="Q23170"/>
      <c r="R23170"/>
      <c r="S23170"/>
    </row>
    <row r="23171" spans="13:19" ht="13.95" customHeight="1">
      <c r="M23171"/>
      <c r="N23171"/>
      <c r="O23171"/>
      <c r="P23171"/>
      <c r="Q23171"/>
      <c r="R23171"/>
      <c r="S23171"/>
    </row>
    <row r="23172" spans="13:19" ht="13.95" customHeight="1">
      <c r="M23172"/>
      <c r="N23172"/>
      <c r="O23172"/>
      <c r="P23172"/>
      <c r="Q23172"/>
      <c r="R23172"/>
      <c r="S23172"/>
    </row>
    <row r="23173" spans="13:19" ht="13.95" customHeight="1">
      <c r="M23173"/>
      <c r="N23173"/>
      <c r="O23173"/>
      <c r="P23173"/>
      <c r="Q23173"/>
      <c r="R23173"/>
      <c r="S23173"/>
    </row>
    <row r="23174" spans="13:19" ht="13.95" customHeight="1">
      <c r="M23174"/>
      <c r="N23174"/>
      <c r="O23174"/>
      <c r="P23174"/>
      <c r="Q23174"/>
      <c r="R23174"/>
      <c r="S23174"/>
    </row>
    <row r="23175" spans="13:19" ht="13.95" customHeight="1">
      <c r="M23175"/>
      <c r="N23175"/>
      <c r="O23175"/>
      <c r="P23175"/>
      <c r="Q23175"/>
      <c r="R23175"/>
      <c r="S23175"/>
    </row>
    <row r="23176" spans="13:19" ht="13.95" customHeight="1">
      <c r="M23176"/>
      <c r="N23176"/>
      <c r="O23176"/>
      <c r="P23176"/>
      <c r="Q23176"/>
      <c r="R23176"/>
      <c r="S23176"/>
    </row>
    <row r="23177" spans="13:19" ht="13.95" customHeight="1">
      <c r="M23177"/>
      <c r="N23177"/>
      <c r="O23177"/>
      <c r="P23177"/>
      <c r="Q23177"/>
      <c r="R23177"/>
      <c r="S23177"/>
    </row>
    <row r="23178" spans="13:19" ht="13.95" customHeight="1">
      <c r="M23178"/>
      <c r="N23178"/>
      <c r="O23178"/>
      <c r="P23178"/>
      <c r="Q23178"/>
      <c r="R23178"/>
      <c r="S23178"/>
    </row>
    <row r="23179" spans="13:19" ht="13.95" customHeight="1">
      <c r="M23179"/>
      <c r="N23179"/>
      <c r="O23179"/>
      <c r="P23179"/>
      <c r="Q23179"/>
      <c r="R23179"/>
      <c r="S23179"/>
    </row>
    <row r="23180" spans="13:19" ht="13.95" customHeight="1">
      <c r="M23180"/>
      <c r="N23180"/>
      <c r="O23180"/>
      <c r="P23180"/>
      <c r="Q23180"/>
      <c r="R23180"/>
      <c r="S23180"/>
    </row>
    <row r="23181" spans="13:19" ht="13.95" customHeight="1">
      <c r="M23181"/>
      <c r="N23181"/>
      <c r="O23181"/>
      <c r="P23181"/>
      <c r="Q23181"/>
      <c r="R23181"/>
      <c r="S23181"/>
    </row>
    <row r="23182" spans="13:19" ht="13.95" customHeight="1">
      <c r="M23182"/>
      <c r="N23182"/>
      <c r="O23182"/>
      <c r="P23182"/>
      <c r="Q23182"/>
      <c r="R23182"/>
      <c r="S23182"/>
    </row>
    <row r="23183" spans="13:19" ht="13.95" customHeight="1">
      <c r="M23183"/>
      <c r="N23183"/>
      <c r="O23183"/>
      <c r="P23183"/>
      <c r="Q23183"/>
      <c r="R23183"/>
      <c r="S23183"/>
    </row>
    <row r="23184" spans="13:19" ht="13.95" customHeight="1">
      <c r="M23184"/>
      <c r="N23184"/>
      <c r="O23184"/>
      <c r="P23184"/>
      <c r="Q23184"/>
      <c r="R23184"/>
      <c r="S23184"/>
    </row>
    <row r="23185" spans="13:19" ht="13.95" customHeight="1">
      <c r="M23185"/>
      <c r="N23185"/>
      <c r="O23185"/>
      <c r="P23185"/>
      <c r="Q23185"/>
      <c r="R23185"/>
      <c r="S23185"/>
    </row>
    <row r="23186" spans="13:19" ht="13.95" customHeight="1">
      <c r="M23186"/>
      <c r="N23186"/>
      <c r="O23186"/>
      <c r="P23186"/>
      <c r="Q23186"/>
      <c r="R23186"/>
      <c r="S23186"/>
    </row>
    <row r="23187" spans="13:19" ht="13.95" customHeight="1">
      <c r="M23187"/>
      <c r="N23187"/>
      <c r="O23187"/>
      <c r="P23187"/>
      <c r="Q23187"/>
      <c r="R23187"/>
      <c r="S23187"/>
    </row>
    <row r="23188" spans="13:19" ht="13.95" customHeight="1">
      <c r="M23188"/>
      <c r="N23188"/>
      <c r="O23188"/>
      <c r="P23188"/>
      <c r="Q23188"/>
      <c r="R23188"/>
      <c r="S23188"/>
    </row>
    <row r="23189" spans="13:19" ht="13.95" customHeight="1">
      <c r="M23189"/>
      <c r="N23189"/>
      <c r="O23189"/>
      <c r="P23189"/>
      <c r="Q23189"/>
      <c r="R23189"/>
      <c r="S23189"/>
    </row>
    <row r="23190" spans="13:19" ht="13.95" customHeight="1">
      <c r="M23190"/>
      <c r="N23190"/>
      <c r="O23190"/>
      <c r="P23190"/>
      <c r="Q23190"/>
      <c r="R23190"/>
      <c r="S23190"/>
    </row>
    <row r="23191" spans="13:19" ht="13.95" customHeight="1">
      <c r="M23191"/>
      <c r="N23191"/>
      <c r="O23191"/>
      <c r="P23191"/>
      <c r="Q23191"/>
      <c r="R23191"/>
      <c r="S23191"/>
    </row>
    <row r="23192" spans="13:19" ht="13.95" customHeight="1">
      <c r="M23192"/>
      <c r="N23192"/>
      <c r="O23192"/>
      <c r="P23192"/>
      <c r="Q23192"/>
      <c r="R23192"/>
      <c r="S23192"/>
    </row>
    <row r="23193" spans="13:19" ht="13.95" customHeight="1">
      <c r="M23193"/>
      <c r="N23193"/>
      <c r="O23193"/>
      <c r="P23193"/>
      <c r="Q23193"/>
      <c r="R23193"/>
      <c r="S23193"/>
    </row>
    <row r="23194" spans="13:19" ht="13.95" customHeight="1">
      <c r="M23194"/>
      <c r="N23194"/>
      <c r="O23194"/>
      <c r="P23194"/>
      <c r="Q23194"/>
      <c r="R23194"/>
      <c r="S23194"/>
    </row>
    <row r="23195" spans="13:19" ht="13.95" customHeight="1">
      <c r="M23195"/>
      <c r="N23195"/>
      <c r="O23195"/>
      <c r="P23195"/>
      <c r="Q23195"/>
      <c r="R23195"/>
      <c r="S23195"/>
    </row>
    <row r="23196" spans="13:19" ht="13.95" customHeight="1">
      <c r="M23196"/>
      <c r="N23196"/>
      <c r="O23196"/>
      <c r="P23196"/>
      <c r="Q23196"/>
      <c r="R23196"/>
      <c r="S23196"/>
    </row>
    <row r="23197" spans="13:19" ht="13.95" customHeight="1">
      <c r="M23197"/>
      <c r="N23197"/>
      <c r="O23197"/>
      <c r="P23197"/>
      <c r="Q23197"/>
      <c r="R23197"/>
      <c r="S23197"/>
    </row>
    <row r="23198" spans="13:19" ht="13.95" customHeight="1">
      <c r="M23198"/>
      <c r="N23198"/>
      <c r="O23198"/>
      <c r="P23198"/>
      <c r="Q23198"/>
      <c r="R23198"/>
      <c r="S23198"/>
    </row>
    <row r="23199" spans="13:19" ht="13.95" customHeight="1">
      <c r="M23199"/>
      <c r="N23199"/>
      <c r="O23199"/>
      <c r="P23199"/>
      <c r="Q23199"/>
      <c r="R23199"/>
      <c r="S23199"/>
    </row>
    <row r="23200" spans="13:19" ht="13.95" customHeight="1">
      <c r="M23200"/>
      <c r="N23200"/>
      <c r="O23200"/>
      <c r="P23200"/>
      <c r="Q23200"/>
      <c r="R23200"/>
      <c r="S23200"/>
    </row>
    <row r="23201" spans="13:19" ht="13.95" customHeight="1">
      <c r="M23201"/>
      <c r="N23201"/>
      <c r="O23201"/>
      <c r="P23201"/>
      <c r="Q23201"/>
      <c r="R23201"/>
      <c r="S23201"/>
    </row>
    <row r="23202" spans="13:19" ht="13.95" customHeight="1">
      <c r="M23202"/>
      <c r="N23202"/>
      <c r="O23202"/>
      <c r="P23202"/>
      <c r="Q23202"/>
      <c r="R23202"/>
      <c r="S23202"/>
    </row>
    <row r="23203" spans="13:19" ht="13.95" customHeight="1">
      <c r="M23203"/>
      <c r="N23203"/>
      <c r="O23203"/>
      <c r="P23203"/>
      <c r="Q23203"/>
      <c r="R23203"/>
      <c r="S23203"/>
    </row>
    <row r="23204" spans="13:19" ht="13.95" customHeight="1">
      <c r="M23204"/>
      <c r="N23204"/>
      <c r="O23204"/>
      <c r="P23204"/>
      <c r="Q23204"/>
      <c r="R23204"/>
      <c r="S23204"/>
    </row>
    <row r="23205" spans="13:19" ht="13.95" customHeight="1">
      <c r="M23205"/>
      <c r="N23205"/>
      <c r="O23205"/>
      <c r="P23205"/>
      <c r="Q23205"/>
      <c r="R23205"/>
      <c r="S23205"/>
    </row>
    <row r="23206" spans="13:19" ht="13.95" customHeight="1">
      <c r="M23206"/>
      <c r="N23206"/>
      <c r="O23206"/>
      <c r="P23206"/>
      <c r="Q23206"/>
      <c r="R23206"/>
      <c r="S23206"/>
    </row>
    <row r="23207" spans="13:19" ht="13.95" customHeight="1">
      <c r="M23207"/>
      <c r="N23207"/>
      <c r="O23207"/>
      <c r="P23207"/>
      <c r="Q23207"/>
      <c r="R23207"/>
      <c r="S23207"/>
    </row>
    <row r="23208" spans="13:19" ht="13.95" customHeight="1">
      <c r="M23208"/>
      <c r="N23208"/>
      <c r="O23208"/>
      <c r="P23208"/>
      <c r="Q23208"/>
      <c r="R23208"/>
      <c r="S23208"/>
    </row>
    <row r="23209" spans="13:19" ht="13.95" customHeight="1">
      <c r="M23209"/>
      <c r="N23209"/>
      <c r="O23209"/>
      <c r="P23209"/>
      <c r="Q23209"/>
      <c r="R23209"/>
      <c r="S23209"/>
    </row>
    <row r="23210" spans="13:19" ht="13.95" customHeight="1">
      <c r="M23210"/>
      <c r="N23210"/>
      <c r="O23210"/>
      <c r="P23210"/>
      <c r="Q23210"/>
      <c r="R23210"/>
      <c r="S23210"/>
    </row>
    <row r="23211" spans="13:19" ht="13.95" customHeight="1">
      <c r="M23211"/>
      <c r="N23211"/>
      <c r="O23211"/>
      <c r="P23211"/>
      <c r="Q23211"/>
      <c r="R23211"/>
      <c r="S23211"/>
    </row>
    <row r="23212" spans="13:19" ht="13.95" customHeight="1">
      <c r="M23212"/>
      <c r="N23212"/>
      <c r="O23212"/>
      <c r="P23212"/>
      <c r="Q23212"/>
      <c r="R23212"/>
      <c r="S23212"/>
    </row>
    <row r="23213" spans="13:19" ht="13.95" customHeight="1">
      <c r="M23213"/>
      <c r="N23213"/>
      <c r="O23213"/>
      <c r="P23213"/>
      <c r="Q23213"/>
      <c r="R23213"/>
      <c r="S23213"/>
    </row>
    <row r="23214" spans="13:19" ht="13.95" customHeight="1">
      <c r="M23214"/>
      <c r="N23214"/>
      <c r="O23214"/>
      <c r="P23214"/>
      <c r="Q23214"/>
      <c r="R23214"/>
      <c r="S23214"/>
    </row>
    <row r="23215" spans="13:19" ht="13.95" customHeight="1">
      <c r="M23215"/>
      <c r="N23215"/>
      <c r="O23215"/>
      <c r="P23215"/>
      <c r="Q23215"/>
      <c r="R23215"/>
      <c r="S23215"/>
    </row>
    <row r="23216" spans="13:19" ht="13.95" customHeight="1">
      <c r="M23216"/>
      <c r="N23216"/>
      <c r="O23216"/>
      <c r="P23216"/>
      <c r="Q23216"/>
      <c r="R23216"/>
      <c r="S23216"/>
    </row>
    <row r="23217" spans="13:19" ht="13.95" customHeight="1">
      <c r="M23217"/>
      <c r="N23217"/>
      <c r="O23217"/>
      <c r="P23217"/>
      <c r="Q23217"/>
      <c r="R23217"/>
      <c r="S23217"/>
    </row>
    <row r="23218" spans="13:19" ht="13.95" customHeight="1">
      <c r="M23218"/>
      <c r="N23218"/>
      <c r="O23218"/>
      <c r="P23218"/>
      <c r="Q23218"/>
      <c r="R23218"/>
      <c r="S23218"/>
    </row>
    <row r="23219" spans="13:19" ht="13.95" customHeight="1">
      <c r="M23219"/>
      <c r="N23219"/>
      <c r="O23219"/>
      <c r="P23219"/>
      <c r="Q23219"/>
      <c r="R23219"/>
      <c r="S23219"/>
    </row>
    <row r="23220" spans="13:19" ht="13.95" customHeight="1">
      <c r="M23220"/>
      <c r="N23220"/>
      <c r="O23220"/>
      <c r="P23220"/>
      <c r="Q23220"/>
      <c r="R23220"/>
      <c r="S23220"/>
    </row>
    <row r="23221" spans="13:19" ht="13.95" customHeight="1">
      <c r="M23221"/>
      <c r="N23221"/>
      <c r="O23221"/>
      <c r="P23221"/>
      <c r="Q23221"/>
      <c r="R23221"/>
      <c r="S23221"/>
    </row>
    <row r="23222" spans="13:19" ht="13.95" customHeight="1">
      <c r="M23222"/>
      <c r="N23222"/>
      <c r="O23222"/>
      <c r="P23222"/>
      <c r="Q23222"/>
      <c r="R23222"/>
      <c r="S23222"/>
    </row>
    <row r="23223" spans="13:19" ht="13.95" customHeight="1">
      <c r="M23223"/>
      <c r="N23223"/>
      <c r="O23223"/>
      <c r="P23223"/>
      <c r="Q23223"/>
      <c r="R23223"/>
      <c r="S23223"/>
    </row>
    <row r="23224" spans="13:19" ht="13.95" customHeight="1">
      <c r="M23224"/>
      <c r="N23224"/>
      <c r="O23224"/>
      <c r="P23224"/>
      <c r="Q23224"/>
      <c r="R23224"/>
      <c r="S23224"/>
    </row>
    <row r="23225" spans="13:19" ht="13.95" customHeight="1">
      <c r="M23225"/>
      <c r="N23225"/>
      <c r="O23225"/>
      <c r="P23225"/>
      <c r="Q23225"/>
      <c r="R23225"/>
      <c r="S23225"/>
    </row>
    <row r="23226" spans="13:19" ht="13.95" customHeight="1">
      <c r="M23226"/>
      <c r="N23226"/>
      <c r="O23226"/>
      <c r="P23226"/>
      <c r="Q23226"/>
      <c r="R23226"/>
      <c r="S23226"/>
    </row>
    <row r="23227" spans="13:19" ht="13.95" customHeight="1">
      <c r="M23227"/>
      <c r="N23227"/>
      <c r="O23227"/>
      <c r="P23227"/>
      <c r="Q23227"/>
      <c r="R23227"/>
      <c r="S23227"/>
    </row>
    <row r="23228" spans="13:19" ht="13.95" customHeight="1">
      <c r="M23228"/>
      <c r="N23228"/>
      <c r="O23228"/>
      <c r="P23228"/>
      <c r="Q23228"/>
      <c r="R23228"/>
      <c r="S23228"/>
    </row>
    <row r="23229" spans="13:19" ht="13.95" customHeight="1">
      <c r="M23229"/>
      <c r="N23229"/>
      <c r="O23229"/>
      <c r="P23229"/>
      <c r="Q23229"/>
      <c r="R23229"/>
      <c r="S23229"/>
    </row>
    <row r="23230" spans="13:19" ht="13.95" customHeight="1">
      <c r="M23230"/>
      <c r="N23230"/>
      <c r="O23230"/>
      <c r="P23230"/>
      <c r="Q23230"/>
      <c r="R23230"/>
      <c r="S23230"/>
    </row>
    <row r="23231" spans="13:19" ht="13.95" customHeight="1">
      <c r="M23231"/>
      <c r="N23231"/>
      <c r="O23231"/>
      <c r="P23231"/>
      <c r="Q23231"/>
      <c r="R23231"/>
      <c r="S23231"/>
    </row>
    <row r="23232" spans="13:19" ht="13.95" customHeight="1">
      <c r="M23232"/>
      <c r="N23232"/>
      <c r="O23232"/>
      <c r="P23232"/>
      <c r="Q23232"/>
      <c r="R23232"/>
      <c r="S23232"/>
    </row>
    <row r="23233" spans="13:19" ht="13.95" customHeight="1">
      <c r="M23233"/>
      <c r="N23233"/>
      <c r="O23233"/>
      <c r="P23233"/>
      <c r="Q23233"/>
      <c r="R23233"/>
      <c r="S23233"/>
    </row>
    <row r="23234" spans="13:19" ht="13.95" customHeight="1">
      <c r="M23234"/>
      <c r="N23234"/>
      <c r="O23234"/>
      <c r="P23234"/>
      <c r="Q23234"/>
      <c r="R23234"/>
      <c r="S23234"/>
    </row>
    <row r="23235" spans="13:19" ht="13.95" customHeight="1">
      <c r="M23235"/>
      <c r="N23235"/>
      <c r="O23235"/>
      <c r="P23235"/>
      <c r="Q23235"/>
      <c r="R23235"/>
      <c r="S23235"/>
    </row>
    <row r="23236" spans="13:19" ht="13.95" customHeight="1">
      <c r="M23236"/>
      <c r="N23236"/>
      <c r="O23236"/>
      <c r="P23236"/>
      <c r="Q23236"/>
      <c r="R23236"/>
      <c r="S23236"/>
    </row>
    <row r="23237" spans="13:19" ht="13.95" customHeight="1">
      <c r="M23237"/>
      <c r="N23237"/>
      <c r="O23237"/>
      <c r="P23237"/>
      <c r="Q23237"/>
      <c r="R23237"/>
      <c r="S23237"/>
    </row>
    <row r="23238" spans="13:19" ht="13.95" customHeight="1">
      <c r="M23238"/>
      <c r="N23238"/>
      <c r="O23238"/>
      <c r="P23238"/>
      <c r="Q23238"/>
      <c r="R23238"/>
      <c r="S23238"/>
    </row>
    <row r="23239" spans="13:19" ht="13.95" customHeight="1">
      <c r="M23239"/>
      <c r="N23239"/>
      <c r="O23239"/>
      <c r="P23239"/>
      <c r="Q23239"/>
      <c r="R23239"/>
      <c r="S23239"/>
    </row>
    <row r="23240" spans="13:19" ht="13.95" customHeight="1">
      <c r="M23240"/>
      <c r="N23240"/>
      <c r="O23240"/>
      <c r="P23240"/>
      <c r="Q23240"/>
      <c r="R23240"/>
      <c r="S23240"/>
    </row>
    <row r="23241" spans="13:19" ht="13.95" customHeight="1">
      <c r="M23241"/>
      <c r="N23241"/>
      <c r="O23241"/>
      <c r="P23241"/>
      <c r="Q23241"/>
      <c r="R23241"/>
      <c r="S23241"/>
    </row>
    <row r="23242" spans="13:19" ht="13.95" customHeight="1">
      <c r="M23242"/>
      <c r="N23242"/>
      <c r="O23242"/>
      <c r="P23242"/>
      <c r="Q23242"/>
      <c r="R23242"/>
      <c r="S23242"/>
    </row>
    <row r="23243" spans="13:19" ht="13.95" customHeight="1">
      <c r="M23243"/>
      <c r="N23243"/>
      <c r="O23243"/>
      <c r="P23243"/>
      <c r="Q23243"/>
      <c r="R23243"/>
      <c r="S23243"/>
    </row>
    <row r="23244" spans="13:19" ht="13.95" customHeight="1">
      <c r="M23244"/>
      <c r="N23244"/>
      <c r="O23244"/>
      <c r="P23244"/>
      <c r="Q23244"/>
      <c r="R23244"/>
      <c r="S23244"/>
    </row>
    <row r="23245" spans="13:19" ht="13.95" customHeight="1">
      <c r="M23245"/>
      <c r="N23245"/>
      <c r="O23245"/>
      <c r="P23245"/>
      <c r="Q23245"/>
      <c r="R23245"/>
      <c r="S23245"/>
    </row>
    <row r="23246" spans="13:19" ht="13.95" customHeight="1">
      <c r="M23246"/>
      <c r="N23246"/>
      <c r="O23246"/>
      <c r="P23246"/>
      <c r="Q23246"/>
      <c r="R23246"/>
      <c r="S23246"/>
    </row>
    <row r="23247" spans="13:19" ht="13.95" customHeight="1">
      <c r="M23247"/>
      <c r="N23247"/>
      <c r="O23247"/>
      <c r="P23247"/>
      <c r="Q23247"/>
      <c r="R23247"/>
      <c r="S23247"/>
    </row>
    <row r="23248" spans="13:19" ht="13.95" customHeight="1">
      <c r="M23248"/>
      <c r="N23248"/>
      <c r="O23248"/>
      <c r="P23248"/>
      <c r="Q23248"/>
      <c r="R23248"/>
      <c r="S23248"/>
    </row>
    <row r="23249" spans="13:19" ht="13.95" customHeight="1">
      <c r="M23249"/>
      <c r="N23249"/>
      <c r="O23249"/>
      <c r="P23249"/>
      <c r="Q23249"/>
      <c r="R23249"/>
      <c r="S23249"/>
    </row>
    <row r="23250" spans="13:19" ht="13.95" customHeight="1">
      <c r="M23250"/>
      <c r="N23250"/>
      <c r="O23250"/>
      <c r="P23250"/>
      <c r="Q23250"/>
      <c r="R23250"/>
      <c r="S23250"/>
    </row>
    <row r="23251" spans="13:19" ht="13.95" customHeight="1">
      <c r="M23251"/>
      <c r="N23251"/>
      <c r="O23251"/>
      <c r="P23251"/>
      <c r="Q23251"/>
      <c r="R23251"/>
      <c r="S23251"/>
    </row>
    <row r="23252" spans="13:19" ht="13.95" customHeight="1">
      <c r="M23252"/>
      <c r="N23252"/>
      <c r="O23252"/>
      <c r="P23252"/>
      <c r="Q23252"/>
      <c r="R23252"/>
      <c r="S23252"/>
    </row>
    <row r="23253" spans="13:19" ht="13.95" customHeight="1">
      <c r="M23253"/>
      <c r="N23253"/>
      <c r="O23253"/>
      <c r="P23253"/>
      <c r="Q23253"/>
      <c r="R23253"/>
      <c r="S23253"/>
    </row>
    <row r="23254" spans="13:19" ht="13.95" customHeight="1">
      <c r="M23254"/>
      <c r="N23254"/>
      <c r="O23254"/>
      <c r="P23254"/>
      <c r="Q23254"/>
      <c r="R23254"/>
      <c r="S23254"/>
    </row>
    <row r="23255" spans="13:19" ht="13.95" customHeight="1">
      <c r="M23255"/>
      <c r="N23255"/>
      <c r="O23255"/>
      <c r="P23255"/>
      <c r="Q23255"/>
      <c r="R23255"/>
      <c r="S23255"/>
    </row>
    <row r="23256" spans="13:19" ht="13.95" customHeight="1">
      <c r="M23256"/>
      <c r="N23256"/>
      <c r="O23256"/>
      <c r="P23256"/>
      <c r="Q23256"/>
      <c r="R23256"/>
      <c r="S23256"/>
    </row>
    <row r="23257" spans="13:19" ht="13.95" customHeight="1">
      <c r="M23257"/>
      <c r="N23257"/>
      <c r="O23257"/>
      <c r="P23257"/>
      <c r="Q23257"/>
      <c r="R23257"/>
      <c r="S23257"/>
    </row>
    <row r="23258" spans="13:19" ht="13.95" customHeight="1">
      <c r="M23258"/>
      <c r="N23258"/>
      <c r="O23258"/>
      <c r="P23258"/>
      <c r="Q23258"/>
      <c r="R23258"/>
      <c r="S23258"/>
    </row>
    <row r="23259" spans="13:19" ht="13.95" customHeight="1">
      <c r="M23259"/>
      <c r="N23259"/>
      <c r="O23259"/>
      <c r="P23259"/>
      <c r="Q23259"/>
      <c r="R23259"/>
      <c r="S23259"/>
    </row>
    <row r="23260" spans="13:19" ht="13.95" customHeight="1">
      <c r="M23260"/>
      <c r="N23260"/>
      <c r="O23260"/>
      <c r="P23260"/>
      <c r="Q23260"/>
      <c r="R23260"/>
      <c r="S23260"/>
    </row>
    <row r="23261" spans="13:19" ht="13.95" customHeight="1">
      <c r="M23261"/>
      <c r="N23261"/>
      <c r="O23261"/>
      <c r="P23261"/>
      <c r="Q23261"/>
      <c r="R23261"/>
      <c r="S23261"/>
    </row>
    <row r="23262" spans="13:19" ht="13.95" customHeight="1">
      <c r="M23262"/>
      <c r="N23262"/>
      <c r="O23262"/>
      <c r="P23262"/>
      <c r="Q23262"/>
      <c r="R23262"/>
      <c r="S23262"/>
    </row>
    <row r="23263" spans="13:19" ht="13.95" customHeight="1">
      <c r="M23263"/>
      <c r="N23263"/>
      <c r="O23263"/>
      <c r="P23263"/>
      <c r="Q23263"/>
      <c r="R23263"/>
      <c r="S23263"/>
    </row>
    <row r="23264" spans="13:19" ht="13.95" customHeight="1">
      <c r="M23264"/>
      <c r="N23264"/>
      <c r="O23264"/>
      <c r="P23264"/>
      <c r="Q23264"/>
      <c r="R23264"/>
      <c r="S23264"/>
    </row>
    <row r="23265" spans="13:19" ht="13.95" customHeight="1">
      <c r="M23265"/>
      <c r="N23265"/>
      <c r="O23265"/>
      <c r="P23265"/>
      <c r="Q23265"/>
      <c r="R23265"/>
      <c r="S23265"/>
    </row>
    <row r="23266" spans="13:19" ht="13.95" customHeight="1">
      <c r="M23266"/>
      <c r="N23266"/>
      <c r="O23266"/>
      <c r="P23266"/>
      <c r="Q23266"/>
      <c r="R23266"/>
      <c r="S23266"/>
    </row>
    <row r="23267" spans="13:19" ht="13.95" customHeight="1">
      <c r="M23267"/>
      <c r="N23267"/>
      <c r="O23267"/>
      <c r="P23267"/>
      <c r="Q23267"/>
      <c r="R23267"/>
      <c r="S23267"/>
    </row>
    <row r="23268" spans="13:19" ht="13.95" customHeight="1">
      <c r="M23268"/>
      <c r="N23268"/>
      <c r="O23268"/>
      <c r="P23268"/>
      <c r="Q23268"/>
      <c r="R23268"/>
      <c r="S23268"/>
    </row>
    <row r="23269" spans="13:19" ht="13.95" customHeight="1">
      <c r="M23269"/>
      <c r="N23269"/>
      <c r="O23269"/>
      <c r="P23269"/>
      <c r="Q23269"/>
      <c r="R23269"/>
      <c r="S23269"/>
    </row>
    <row r="23270" spans="13:19" ht="13.95" customHeight="1">
      <c r="M23270"/>
      <c r="N23270"/>
      <c r="O23270"/>
      <c r="P23270"/>
      <c r="Q23270"/>
      <c r="R23270"/>
      <c r="S23270"/>
    </row>
    <row r="23271" spans="13:19" ht="13.95" customHeight="1">
      <c r="M23271"/>
      <c r="N23271"/>
      <c r="O23271"/>
      <c r="P23271"/>
      <c r="Q23271"/>
      <c r="R23271"/>
      <c r="S23271"/>
    </row>
    <row r="23272" spans="13:19" ht="13.95" customHeight="1">
      <c r="M23272"/>
      <c r="N23272"/>
      <c r="O23272"/>
      <c r="P23272"/>
      <c r="Q23272"/>
      <c r="R23272"/>
      <c r="S23272"/>
    </row>
    <row r="23273" spans="13:19" ht="13.95" customHeight="1">
      <c r="M23273"/>
      <c r="N23273"/>
      <c r="O23273"/>
      <c r="P23273"/>
      <c r="Q23273"/>
      <c r="R23273"/>
      <c r="S23273"/>
    </row>
    <row r="23274" spans="13:19" ht="13.95" customHeight="1">
      <c r="M23274"/>
      <c r="N23274"/>
      <c r="O23274"/>
      <c r="P23274"/>
      <c r="Q23274"/>
      <c r="R23274"/>
      <c r="S23274"/>
    </row>
    <row r="23275" spans="13:19" ht="13.95" customHeight="1">
      <c r="M23275"/>
      <c r="N23275"/>
      <c r="O23275"/>
      <c r="P23275"/>
      <c r="Q23275"/>
      <c r="R23275"/>
      <c r="S23275"/>
    </row>
    <row r="23276" spans="13:19" ht="13.95" customHeight="1">
      <c r="M23276"/>
      <c r="N23276"/>
      <c r="O23276"/>
      <c r="P23276"/>
      <c r="Q23276"/>
      <c r="R23276"/>
      <c r="S23276"/>
    </row>
    <row r="23277" spans="13:19" ht="13.95" customHeight="1">
      <c r="M23277"/>
      <c r="N23277"/>
      <c r="O23277"/>
      <c r="P23277"/>
      <c r="Q23277"/>
      <c r="R23277"/>
      <c r="S23277"/>
    </row>
    <row r="23278" spans="13:19" ht="13.95" customHeight="1">
      <c r="M23278"/>
      <c r="N23278"/>
      <c r="O23278"/>
      <c r="P23278"/>
      <c r="Q23278"/>
      <c r="R23278"/>
      <c r="S23278"/>
    </row>
    <row r="23279" spans="13:19" ht="13.95" customHeight="1">
      <c r="M23279"/>
      <c r="N23279"/>
      <c r="O23279"/>
      <c r="P23279"/>
      <c r="Q23279"/>
      <c r="R23279"/>
      <c r="S23279"/>
    </row>
    <row r="23280" spans="13:19" ht="13.95" customHeight="1">
      <c r="M23280"/>
      <c r="N23280"/>
      <c r="O23280"/>
      <c r="P23280"/>
      <c r="Q23280"/>
      <c r="R23280"/>
      <c r="S23280"/>
    </row>
    <row r="23281" spans="13:19" ht="13.95" customHeight="1">
      <c r="M23281"/>
      <c r="N23281"/>
      <c r="O23281"/>
      <c r="P23281"/>
      <c r="Q23281"/>
      <c r="R23281"/>
      <c r="S23281"/>
    </row>
    <row r="23282" spans="13:19" ht="13.95" customHeight="1">
      <c r="M23282"/>
      <c r="N23282"/>
      <c r="O23282"/>
      <c r="P23282"/>
      <c r="Q23282"/>
      <c r="R23282"/>
      <c r="S23282"/>
    </row>
    <row r="23283" spans="13:19" ht="13.95" customHeight="1">
      <c r="M23283"/>
      <c r="N23283"/>
      <c r="O23283"/>
      <c r="P23283"/>
      <c r="Q23283"/>
      <c r="R23283"/>
      <c r="S23283"/>
    </row>
    <row r="23284" spans="13:19" ht="13.95" customHeight="1">
      <c r="M23284"/>
      <c r="N23284"/>
      <c r="O23284"/>
      <c r="P23284"/>
      <c r="Q23284"/>
      <c r="R23284"/>
      <c r="S23284"/>
    </row>
    <row r="23285" spans="13:19" ht="13.95" customHeight="1">
      <c r="M23285"/>
      <c r="N23285"/>
      <c r="O23285"/>
      <c r="P23285"/>
      <c r="Q23285"/>
      <c r="R23285"/>
      <c r="S23285"/>
    </row>
    <row r="23286" spans="13:19" ht="13.95" customHeight="1">
      <c r="M23286"/>
      <c r="N23286"/>
      <c r="O23286"/>
      <c r="P23286"/>
      <c r="Q23286"/>
      <c r="R23286"/>
      <c r="S23286"/>
    </row>
    <row r="23287" spans="13:19" ht="13.95" customHeight="1">
      <c r="M23287"/>
      <c r="N23287"/>
      <c r="O23287"/>
      <c r="P23287"/>
      <c r="Q23287"/>
      <c r="R23287"/>
      <c r="S23287"/>
    </row>
    <row r="23288" spans="13:19" ht="13.95" customHeight="1">
      <c r="M23288"/>
      <c r="N23288"/>
      <c r="O23288"/>
      <c r="P23288"/>
      <c r="Q23288"/>
      <c r="R23288"/>
      <c r="S23288"/>
    </row>
    <row r="23289" spans="13:19" ht="13.95" customHeight="1">
      <c r="M23289"/>
      <c r="N23289"/>
      <c r="O23289"/>
      <c r="P23289"/>
      <c r="Q23289"/>
      <c r="R23289"/>
      <c r="S23289"/>
    </row>
    <row r="23290" spans="13:19" ht="13.95" customHeight="1">
      <c r="M23290"/>
      <c r="N23290"/>
      <c r="O23290"/>
      <c r="P23290"/>
      <c r="Q23290"/>
      <c r="R23290"/>
      <c r="S23290"/>
    </row>
    <row r="23291" spans="13:19" ht="13.95" customHeight="1">
      <c r="M23291"/>
      <c r="N23291"/>
      <c r="O23291"/>
      <c r="P23291"/>
      <c r="Q23291"/>
      <c r="R23291"/>
      <c r="S23291"/>
    </row>
    <row r="23292" spans="13:19" ht="13.95" customHeight="1">
      <c r="M23292"/>
      <c r="N23292"/>
      <c r="O23292"/>
      <c r="P23292"/>
      <c r="Q23292"/>
      <c r="R23292"/>
      <c r="S23292"/>
    </row>
    <row r="23293" spans="13:19" ht="13.95" customHeight="1">
      <c r="M23293"/>
      <c r="N23293"/>
      <c r="O23293"/>
      <c r="P23293"/>
      <c r="Q23293"/>
      <c r="R23293"/>
      <c r="S23293"/>
    </row>
    <row r="23294" spans="13:19" ht="13.95" customHeight="1">
      <c r="M23294"/>
      <c r="N23294"/>
      <c r="O23294"/>
      <c r="P23294"/>
      <c r="Q23294"/>
      <c r="R23294"/>
      <c r="S23294"/>
    </row>
    <row r="23295" spans="13:19" ht="13.95" customHeight="1">
      <c r="M23295"/>
      <c r="N23295"/>
      <c r="O23295"/>
      <c r="P23295"/>
      <c r="Q23295"/>
      <c r="R23295"/>
      <c r="S23295"/>
    </row>
    <row r="23296" spans="13:19" ht="13.95" customHeight="1">
      <c r="M23296"/>
      <c r="N23296"/>
      <c r="O23296"/>
      <c r="P23296"/>
      <c r="Q23296"/>
      <c r="R23296"/>
      <c r="S23296"/>
    </row>
    <row r="23297" spans="13:19" ht="13.95" customHeight="1">
      <c r="M23297"/>
      <c r="N23297"/>
      <c r="O23297"/>
      <c r="P23297"/>
      <c r="Q23297"/>
      <c r="R23297"/>
      <c r="S23297"/>
    </row>
    <row r="23298" spans="13:19" ht="13.95" customHeight="1">
      <c r="M23298"/>
      <c r="N23298"/>
      <c r="O23298"/>
      <c r="P23298"/>
      <c r="Q23298"/>
      <c r="R23298"/>
      <c r="S23298"/>
    </row>
    <row r="23299" spans="13:19" ht="13.95" customHeight="1">
      <c r="M23299"/>
      <c r="N23299"/>
      <c r="O23299"/>
      <c r="P23299"/>
      <c r="Q23299"/>
      <c r="R23299"/>
      <c r="S23299"/>
    </row>
    <row r="23300" spans="13:19" ht="13.95" customHeight="1">
      <c r="M23300"/>
      <c r="N23300"/>
      <c r="O23300"/>
      <c r="P23300"/>
      <c r="Q23300"/>
      <c r="R23300"/>
      <c r="S23300"/>
    </row>
    <row r="23301" spans="13:19" ht="13.95" customHeight="1">
      <c r="M23301"/>
      <c r="N23301"/>
      <c r="O23301"/>
      <c r="P23301"/>
      <c r="Q23301"/>
      <c r="R23301"/>
      <c r="S23301"/>
    </row>
    <row r="23302" spans="13:19" ht="13.95" customHeight="1">
      <c r="M23302"/>
      <c r="N23302"/>
      <c r="O23302"/>
      <c r="P23302"/>
      <c r="Q23302"/>
      <c r="R23302"/>
      <c r="S23302"/>
    </row>
    <row r="23303" spans="13:19" ht="13.95" customHeight="1">
      <c r="M23303"/>
      <c r="N23303"/>
      <c r="O23303"/>
      <c r="P23303"/>
      <c r="Q23303"/>
      <c r="R23303"/>
      <c r="S23303"/>
    </row>
    <row r="23304" spans="13:19" ht="13.95" customHeight="1">
      <c r="M23304"/>
      <c r="N23304"/>
      <c r="O23304"/>
      <c r="P23304"/>
      <c r="Q23304"/>
      <c r="R23304"/>
      <c r="S23304"/>
    </row>
    <row r="23305" spans="13:19" ht="13.95" customHeight="1">
      <c r="M23305"/>
      <c r="N23305"/>
      <c r="O23305"/>
      <c r="P23305"/>
      <c r="Q23305"/>
      <c r="R23305"/>
      <c r="S23305"/>
    </row>
    <row r="23306" spans="13:19" ht="13.95" customHeight="1">
      <c r="M23306"/>
      <c r="N23306"/>
      <c r="O23306"/>
      <c r="P23306"/>
      <c r="Q23306"/>
      <c r="R23306"/>
      <c r="S23306"/>
    </row>
    <row r="23307" spans="13:19" ht="13.95" customHeight="1">
      <c r="M23307"/>
      <c r="N23307"/>
      <c r="O23307"/>
      <c r="P23307"/>
      <c r="Q23307"/>
      <c r="R23307"/>
      <c r="S23307"/>
    </row>
    <row r="23308" spans="13:19" ht="13.95" customHeight="1">
      <c r="M23308"/>
      <c r="N23308"/>
      <c r="O23308"/>
      <c r="P23308"/>
      <c r="Q23308"/>
      <c r="R23308"/>
      <c r="S23308"/>
    </row>
    <row r="23309" spans="13:19" ht="13.95" customHeight="1">
      <c r="M23309"/>
      <c r="N23309"/>
      <c r="O23309"/>
      <c r="P23309"/>
      <c r="Q23309"/>
      <c r="R23309"/>
      <c r="S23309"/>
    </row>
    <row r="23310" spans="13:19" ht="13.95" customHeight="1">
      <c r="M23310"/>
      <c r="N23310"/>
      <c r="O23310"/>
      <c r="P23310"/>
      <c r="Q23310"/>
      <c r="R23310"/>
      <c r="S23310"/>
    </row>
    <row r="23311" spans="13:19" ht="13.95" customHeight="1">
      <c r="M23311"/>
      <c r="N23311"/>
      <c r="O23311"/>
      <c r="P23311"/>
      <c r="Q23311"/>
      <c r="R23311"/>
      <c r="S23311"/>
    </row>
    <row r="23312" spans="13:19" ht="13.95" customHeight="1">
      <c r="M23312"/>
      <c r="N23312"/>
      <c r="O23312"/>
      <c r="P23312"/>
      <c r="Q23312"/>
      <c r="R23312"/>
      <c r="S23312"/>
    </row>
    <row r="23313" spans="13:19" ht="13.95" customHeight="1">
      <c r="M23313"/>
      <c r="N23313"/>
      <c r="O23313"/>
      <c r="P23313"/>
      <c r="Q23313"/>
      <c r="R23313"/>
      <c r="S23313"/>
    </row>
    <row r="23314" spans="13:19" ht="13.95" customHeight="1">
      <c r="M23314"/>
      <c r="N23314"/>
      <c r="O23314"/>
      <c r="P23314"/>
      <c r="Q23314"/>
      <c r="R23314"/>
      <c r="S23314"/>
    </row>
    <row r="23315" spans="13:19" ht="13.95" customHeight="1">
      <c r="M23315"/>
      <c r="N23315"/>
      <c r="O23315"/>
      <c r="P23315"/>
      <c r="Q23315"/>
      <c r="R23315"/>
      <c r="S23315"/>
    </row>
    <row r="23316" spans="13:19" ht="13.95" customHeight="1">
      <c r="M23316"/>
      <c r="N23316"/>
      <c r="O23316"/>
      <c r="P23316"/>
      <c r="Q23316"/>
      <c r="R23316"/>
      <c r="S23316"/>
    </row>
    <row r="23317" spans="13:19" ht="13.95" customHeight="1">
      <c r="M23317"/>
      <c r="N23317"/>
      <c r="O23317"/>
      <c r="P23317"/>
      <c r="Q23317"/>
      <c r="R23317"/>
      <c r="S23317"/>
    </row>
    <row r="23318" spans="13:19" ht="13.95" customHeight="1">
      <c r="M23318"/>
      <c r="N23318"/>
      <c r="O23318"/>
      <c r="P23318"/>
      <c r="Q23318"/>
      <c r="R23318"/>
      <c r="S23318"/>
    </row>
    <row r="23319" spans="13:19" ht="13.95" customHeight="1">
      <c r="M23319"/>
      <c r="N23319"/>
      <c r="O23319"/>
      <c r="P23319"/>
      <c r="Q23319"/>
      <c r="R23319"/>
      <c r="S23319"/>
    </row>
    <row r="23320" spans="13:19" ht="13.95" customHeight="1">
      <c r="M23320"/>
      <c r="N23320"/>
      <c r="O23320"/>
      <c r="P23320"/>
      <c r="Q23320"/>
      <c r="R23320"/>
      <c r="S23320"/>
    </row>
    <row r="23321" spans="13:19" ht="13.95" customHeight="1">
      <c r="M23321"/>
      <c r="N23321"/>
      <c r="O23321"/>
      <c r="P23321"/>
      <c r="Q23321"/>
      <c r="R23321"/>
      <c r="S23321"/>
    </row>
    <row r="23322" spans="13:19" ht="13.95" customHeight="1">
      <c r="M23322"/>
      <c r="N23322"/>
      <c r="O23322"/>
      <c r="P23322"/>
      <c r="Q23322"/>
      <c r="R23322"/>
      <c r="S23322"/>
    </row>
    <row r="23323" spans="13:19" ht="13.95" customHeight="1">
      <c r="M23323"/>
      <c r="N23323"/>
      <c r="O23323"/>
      <c r="P23323"/>
      <c r="Q23323"/>
      <c r="R23323"/>
      <c r="S23323"/>
    </row>
    <row r="23324" spans="13:19" ht="13.95" customHeight="1">
      <c r="M23324"/>
      <c r="N23324"/>
      <c r="O23324"/>
      <c r="P23324"/>
      <c r="Q23324"/>
      <c r="R23324"/>
      <c r="S23324"/>
    </row>
    <row r="23325" spans="13:19" ht="13.95" customHeight="1">
      <c r="M23325"/>
      <c r="N23325"/>
      <c r="O23325"/>
      <c r="P23325"/>
      <c r="Q23325"/>
      <c r="R23325"/>
      <c r="S23325"/>
    </row>
    <row r="23326" spans="13:19" ht="13.95" customHeight="1">
      <c r="M23326"/>
      <c r="N23326"/>
      <c r="O23326"/>
      <c r="P23326"/>
      <c r="Q23326"/>
      <c r="R23326"/>
      <c r="S23326"/>
    </row>
    <row r="23327" spans="13:19" ht="13.95" customHeight="1">
      <c r="M23327"/>
      <c r="N23327"/>
      <c r="O23327"/>
      <c r="P23327"/>
      <c r="Q23327"/>
      <c r="R23327"/>
      <c r="S23327"/>
    </row>
    <row r="23328" spans="13:19" ht="13.95" customHeight="1">
      <c r="M23328"/>
      <c r="N23328"/>
      <c r="O23328"/>
      <c r="P23328"/>
      <c r="Q23328"/>
      <c r="R23328"/>
      <c r="S23328"/>
    </row>
    <row r="23329" spans="13:19" ht="13.95" customHeight="1">
      <c r="M23329"/>
      <c r="N23329"/>
      <c r="O23329"/>
      <c r="P23329"/>
      <c r="Q23329"/>
      <c r="R23329"/>
      <c r="S23329"/>
    </row>
    <row r="23330" spans="13:19" ht="13.95" customHeight="1">
      <c r="M23330"/>
      <c r="N23330"/>
      <c r="O23330"/>
      <c r="P23330"/>
      <c r="Q23330"/>
      <c r="R23330"/>
      <c r="S23330"/>
    </row>
    <row r="23331" spans="13:19" ht="13.95" customHeight="1">
      <c r="M23331"/>
      <c r="N23331"/>
      <c r="O23331"/>
      <c r="P23331"/>
      <c r="Q23331"/>
      <c r="R23331"/>
      <c r="S23331"/>
    </row>
    <row r="23332" spans="13:19" ht="13.95" customHeight="1">
      <c r="M23332"/>
      <c r="N23332"/>
      <c r="O23332"/>
      <c r="P23332"/>
      <c r="Q23332"/>
      <c r="R23332"/>
      <c r="S23332"/>
    </row>
    <row r="23333" spans="13:19" ht="13.95" customHeight="1">
      <c r="M23333"/>
      <c r="N23333"/>
      <c r="O23333"/>
      <c r="P23333"/>
      <c r="Q23333"/>
      <c r="R23333"/>
      <c r="S23333"/>
    </row>
    <row r="23334" spans="13:19" ht="13.95" customHeight="1">
      <c r="M23334"/>
      <c r="N23334"/>
      <c r="O23334"/>
      <c r="P23334"/>
      <c r="Q23334"/>
      <c r="R23334"/>
      <c r="S23334"/>
    </row>
    <row r="23335" spans="13:19" ht="13.95" customHeight="1">
      <c r="M23335"/>
      <c r="N23335"/>
      <c r="O23335"/>
      <c r="P23335"/>
      <c r="Q23335"/>
      <c r="R23335"/>
      <c r="S23335"/>
    </row>
    <row r="23336" spans="13:19" ht="13.95" customHeight="1">
      <c r="M23336"/>
      <c r="N23336"/>
      <c r="O23336"/>
      <c r="P23336"/>
      <c r="Q23336"/>
      <c r="R23336"/>
      <c r="S23336"/>
    </row>
    <row r="23337" spans="13:19" ht="13.95" customHeight="1">
      <c r="M23337"/>
      <c r="N23337"/>
      <c r="O23337"/>
      <c r="P23337"/>
      <c r="Q23337"/>
      <c r="R23337"/>
      <c r="S23337"/>
    </row>
    <row r="23338" spans="13:19" ht="13.95" customHeight="1">
      <c r="M23338"/>
      <c r="N23338"/>
      <c r="O23338"/>
      <c r="P23338"/>
      <c r="Q23338"/>
      <c r="R23338"/>
      <c r="S23338"/>
    </row>
    <row r="23339" spans="13:19" ht="13.95" customHeight="1">
      <c r="M23339"/>
      <c r="N23339"/>
      <c r="O23339"/>
      <c r="P23339"/>
      <c r="Q23339"/>
      <c r="R23339"/>
      <c r="S23339"/>
    </row>
    <row r="23340" spans="13:19" ht="13.95" customHeight="1">
      <c r="M23340"/>
      <c r="N23340"/>
      <c r="O23340"/>
      <c r="P23340"/>
      <c r="Q23340"/>
      <c r="R23340"/>
      <c r="S23340"/>
    </row>
    <row r="23341" spans="13:19" ht="13.95" customHeight="1">
      <c r="M23341"/>
      <c r="N23341"/>
      <c r="O23341"/>
      <c r="P23341"/>
      <c r="Q23341"/>
      <c r="R23341"/>
      <c r="S23341"/>
    </row>
    <row r="23342" spans="13:19" ht="13.95" customHeight="1">
      <c r="M23342"/>
      <c r="N23342"/>
      <c r="O23342"/>
      <c r="P23342"/>
      <c r="Q23342"/>
      <c r="R23342"/>
      <c r="S23342"/>
    </row>
    <row r="23343" spans="13:19" ht="13.95" customHeight="1">
      <c r="M23343"/>
      <c r="N23343"/>
      <c r="O23343"/>
      <c r="P23343"/>
      <c r="Q23343"/>
      <c r="R23343"/>
      <c r="S23343"/>
    </row>
    <row r="23344" spans="13:19" ht="13.95" customHeight="1">
      <c r="M23344"/>
      <c r="N23344"/>
      <c r="O23344"/>
      <c r="P23344"/>
      <c r="Q23344"/>
      <c r="R23344"/>
      <c r="S23344"/>
    </row>
    <row r="23345" spans="13:19" ht="13.95" customHeight="1">
      <c r="M23345"/>
      <c r="N23345"/>
      <c r="O23345"/>
      <c r="P23345"/>
      <c r="Q23345"/>
      <c r="R23345"/>
      <c r="S23345"/>
    </row>
    <row r="23346" spans="13:19" ht="13.95" customHeight="1">
      <c r="M23346"/>
      <c r="N23346"/>
      <c r="O23346"/>
      <c r="P23346"/>
      <c r="Q23346"/>
      <c r="R23346"/>
      <c r="S23346"/>
    </row>
    <row r="23347" spans="13:19" ht="13.95" customHeight="1">
      <c r="M23347"/>
      <c r="N23347"/>
      <c r="O23347"/>
      <c r="P23347"/>
      <c r="Q23347"/>
      <c r="R23347"/>
      <c r="S23347"/>
    </row>
    <row r="23348" spans="13:19" ht="13.95" customHeight="1">
      <c r="M23348"/>
      <c r="N23348"/>
      <c r="O23348"/>
      <c r="P23348"/>
      <c r="Q23348"/>
      <c r="R23348"/>
      <c r="S23348"/>
    </row>
    <row r="23349" spans="13:19" ht="13.95" customHeight="1">
      <c r="M23349"/>
      <c r="N23349"/>
      <c r="O23349"/>
      <c r="P23349"/>
      <c r="Q23349"/>
      <c r="R23349"/>
      <c r="S23349"/>
    </row>
    <row r="23350" spans="13:19" ht="13.95" customHeight="1">
      <c r="M23350"/>
      <c r="N23350"/>
      <c r="O23350"/>
      <c r="P23350"/>
      <c r="Q23350"/>
      <c r="R23350"/>
      <c r="S23350"/>
    </row>
    <row r="23351" spans="13:19" ht="13.95" customHeight="1">
      <c r="M23351"/>
      <c r="N23351"/>
      <c r="O23351"/>
      <c r="P23351"/>
      <c r="Q23351"/>
      <c r="R23351"/>
      <c r="S23351"/>
    </row>
    <row r="23352" spans="13:19" ht="13.95" customHeight="1">
      <c r="M23352"/>
      <c r="N23352"/>
      <c r="O23352"/>
      <c r="P23352"/>
      <c r="Q23352"/>
      <c r="R23352"/>
      <c r="S23352"/>
    </row>
    <row r="23353" spans="13:19" ht="13.95" customHeight="1">
      <c r="M23353"/>
      <c r="N23353"/>
      <c r="O23353"/>
      <c r="P23353"/>
      <c r="Q23353"/>
      <c r="R23353"/>
      <c r="S23353"/>
    </row>
    <row r="23354" spans="13:19" ht="13.95" customHeight="1">
      <c r="M23354"/>
      <c r="N23354"/>
      <c r="O23354"/>
      <c r="P23354"/>
      <c r="Q23354"/>
      <c r="R23354"/>
      <c r="S23354"/>
    </row>
    <row r="23355" spans="13:19" ht="13.95" customHeight="1">
      <c r="M23355"/>
      <c r="N23355"/>
      <c r="O23355"/>
      <c r="P23355"/>
      <c r="Q23355"/>
      <c r="R23355"/>
      <c r="S23355"/>
    </row>
    <row r="23356" spans="13:19" ht="13.95" customHeight="1">
      <c r="M23356"/>
      <c r="N23356"/>
      <c r="O23356"/>
      <c r="P23356"/>
      <c r="Q23356"/>
      <c r="R23356"/>
      <c r="S23356"/>
    </row>
    <row r="23357" spans="13:19" ht="13.95" customHeight="1">
      <c r="M23357"/>
      <c r="N23357"/>
      <c r="O23357"/>
      <c r="P23357"/>
      <c r="Q23357"/>
      <c r="R23357"/>
      <c r="S23357"/>
    </row>
    <row r="23358" spans="13:19" ht="13.95" customHeight="1">
      <c r="M23358"/>
      <c r="N23358"/>
      <c r="O23358"/>
      <c r="P23358"/>
      <c r="Q23358"/>
      <c r="R23358"/>
      <c r="S23358"/>
    </row>
    <row r="23359" spans="13:19" ht="13.95" customHeight="1">
      <c r="M23359"/>
      <c r="N23359"/>
      <c r="O23359"/>
      <c r="P23359"/>
      <c r="Q23359"/>
      <c r="R23359"/>
      <c r="S23359"/>
    </row>
    <row r="23360" spans="13:19" ht="13.95" customHeight="1">
      <c r="M23360"/>
      <c r="N23360"/>
      <c r="O23360"/>
      <c r="P23360"/>
      <c r="Q23360"/>
      <c r="R23360"/>
      <c r="S23360"/>
    </row>
    <row r="23361" spans="13:19" ht="13.95" customHeight="1">
      <c r="M23361"/>
      <c r="N23361"/>
      <c r="O23361"/>
      <c r="P23361"/>
      <c r="Q23361"/>
      <c r="R23361"/>
      <c r="S23361"/>
    </row>
    <row r="23362" spans="13:19" ht="13.95" customHeight="1">
      <c r="M23362"/>
      <c r="N23362"/>
      <c r="O23362"/>
      <c r="P23362"/>
      <c r="Q23362"/>
      <c r="R23362"/>
      <c r="S23362"/>
    </row>
    <row r="23363" spans="13:19" ht="13.95" customHeight="1">
      <c r="M23363"/>
      <c r="N23363"/>
      <c r="O23363"/>
      <c r="P23363"/>
      <c r="Q23363"/>
      <c r="R23363"/>
      <c r="S23363"/>
    </row>
    <row r="23364" spans="13:19" ht="13.95" customHeight="1">
      <c r="M23364"/>
      <c r="N23364"/>
      <c r="O23364"/>
      <c r="P23364"/>
      <c r="Q23364"/>
      <c r="R23364"/>
      <c r="S23364"/>
    </row>
    <row r="23365" spans="13:19" ht="13.95" customHeight="1">
      <c r="M23365"/>
      <c r="N23365"/>
      <c r="O23365"/>
      <c r="P23365"/>
      <c r="Q23365"/>
      <c r="R23365"/>
      <c r="S23365"/>
    </row>
    <row r="23366" spans="13:19" ht="13.95" customHeight="1">
      <c r="M23366"/>
      <c r="N23366"/>
      <c r="O23366"/>
      <c r="P23366"/>
      <c r="Q23366"/>
      <c r="R23366"/>
      <c r="S23366"/>
    </row>
    <row r="23367" spans="13:19" ht="13.95" customHeight="1">
      <c r="M23367"/>
      <c r="N23367"/>
      <c r="O23367"/>
      <c r="P23367"/>
      <c r="Q23367"/>
      <c r="R23367"/>
      <c r="S23367"/>
    </row>
    <row r="23368" spans="13:19" ht="13.95" customHeight="1">
      <c r="M23368"/>
      <c r="N23368"/>
      <c r="O23368"/>
      <c r="P23368"/>
      <c r="Q23368"/>
      <c r="R23368"/>
      <c r="S23368"/>
    </row>
    <row r="23369" spans="13:19" ht="13.95" customHeight="1">
      <c r="M23369"/>
      <c r="N23369"/>
      <c r="O23369"/>
      <c r="P23369"/>
      <c r="Q23369"/>
      <c r="R23369"/>
      <c r="S23369"/>
    </row>
    <row r="23370" spans="13:19" ht="13.95" customHeight="1">
      <c r="M23370"/>
      <c r="N23370"/>
      <c r="O23370"/>
      <c r="P23370"/>
      <c r="Q23370"/>
      <c r="R23370"/>
      <c r="S23370"/>
    </row>
    <row r="23371" spans="13:19" ht="13.95" customHeight="1">
      <c r="M23371"/>
      <c r="N23371"/>
      <c r="O23371"/>
      <c r="P23371"/>
      <c r="Q23371"/>
      <c r="R23371"/>
      <c r="S23371"/>
    </row>
    <row r="23372" spans="13:19" ht="13.95" customHeight="1">
      <c r="M23372"/>
      <c r="N23372"/>
      <c r="O23372"/>
      <c r="P23372"/>
      <c r="Q23372"/>
      <c r="R23372"/>
      <c r="S23372"/>
    </row>
    <row r="23373" spans="13:19" ht="13.95" customHeight="1">
      <c r="M23373"/>
      <c r="N23373"/>
      <c r="O23373"/>
      <c r="P23373"/>
      <c r="Q23373"/>
      <c r="R23373"/>
      <c r="S23373"/>
    </row>
    <row r="23374" spans="13:19" ht="13.95" customHeight="1">
      <c r="M23374"/>
      <c r="N23374"/>
      <c r="O23374"/>
      <c r="P23374"/>
      <c r="Q23374"/>
      <c r="R23374"/>
      <c r="S23374"/>
    </row>
    <row r="23375" spans="13:19" ht="13.95" customHeight="1">
      <c r="M23375"/>
      <c r="N23375"/>
      <c r="O23375"/>
      <c r="P23375"/>
      <c r="Q23375"/>
      <c r="R23375"/>
      <c r="S23375"/>
    </row>
    <row r="23376" spans="13:19" ht="13.95" customHeight="1">
      <c r="M23376"/>
      <c r="N23376"/>
      <c r="O23376"/>
      <c r="P23376"/>
      <c r="Q23376"/>
      <c r="R23376"/>
      <c r="S23376"/>
    </row>
    <row r="23377" spans="13:19" ht="13.95" customHeight="1">
      <c r="M23377"/>
      <c r="N23377"/>
      <c r="O23377"/>
      <c r="P23377"/>
      <c r="Q23377"/>
      <c r="R23377"/>
      <c r="S23377"/>
    </row>
    <row r="23378" spans="13:19" ht="13.95" customHeight="1">
      <c r="M23378"/>
      <c r="N23378"/>
      <c r="O23378"/>
      <c r="P23378"/>
      <c r="Q23378"/>
      <c r="R23378"/>
      <c r="S23378"/>
    </row>
    <row r="23379" spans="13:19" ht="13.95" customHeight="1">
      <c r="M23379"/>
      <c r="N23379"/>
      <c r="O23379"/>
      <c r="P23379"/>
      <c r="Q23379"/>
      <c r="R23379"/>
      <c r="S23379"/>
    </row>
    <row r="23380" spans="13:19" ht="13.95" customHeight="1">
      <c r="M23380"/>
      <c r="N23380"/>
      <c r="O23380"/>
      <c r="P23380"/>
      <c r="Q23380"/>
      <c r="R23380"/>
      <c r="S23380"/>
    </row>
    <row r="23381" spans="13:19" ht="13.95" customHeight="1">
      <c r="M23381"/>
      <c r="N23381"/>
      <c r="O23381"/>
      <c r="P23381"/>
      <c r="Q23381"/>
      <c r="R23381"/>
      <c r="S23381"/>
    </row>
    <row r="23382" spans="13:19" ht="13.95" customHeight="1">
      <c r="M23382"/>
      <c r="N23382"/>
      <c r="O23382"/>
      <c r="P23382"/>
      <c r="Q23382"/>
      <c r="R23382"/>
      <c r="S23382"/>
    </row>
    <row r="23383" spans="13:19" ht="13.95" customHeight="1">
      <c r="M23383"/>
      <c r="N23383"/>
      <c r="O23383"/>
      <c r="P23383"/>
      <c r="Q23383"/>
      <c r="R23383"/>
      <c r="S23383"/>
    </row>
    <row r="23384" spans="13:19" ht="13.95" customHeight="1">
      <c r="M23384"/>
      <c r="N23384"/>
      <c r="O23384"/>
      <c r="P23384"/>
      <c r="Q23384"/>
      <c r="R23384"/>
      <c r="S23384"/>
    </row>
    <row r="23385" spans="13:19" ht="13.95" customHeight="1">
      <c r="M23385"/>
      <c r="N23385"/>
      <c r="O23385"/>
      <c r="P23385"/>
      <c r="Q23385"/>
      <c r="R23385"/>
      <c r="S23385"/>
    </row>
    <row r="23386" spans="13:19" ht="13.95" customHeight="1">
      <c r="M23386"/>
      <c r="N23386"/>
      <c r="O23386"/>
      <c r="P23386"/>
      <c r="Q23386"/>
      <c r="R23386"/>
      <c r="S23386"/>
    </row>
    <row r="23387" spans="13:19" ht="13.95" customHeight="1">
      <c r="M23387"/>
      <c r="N23387"/>
      <c r="O23387"/>
      <c r="P23387"/>
      <c r="Q23387"/>
      <c r="R23387"/>
      <c r="S23387"/>
    </row>
    <row r="23388" spans="13:19" ht="13.95" customHeight="1">
      <c r="M23388"/>
      <c r="N23388"/>
      <c r="O23388"/>
      <c r="P23388"/>
      <c r="Q23388"/>
      <c r="R23388"/>
      <c r="S23388"/>
    </row>
    <row r="23389" spans="13:19" ht="13.95" customHeight="1">
      <c r="M23389"/>
      <c r="N23389"/>
      <c r="O23389"/>
      <c r="P23389"/>
      <c r="Q23389"/>
      <c r="R23389"/>
      <c r="S23389"/>
    </row>
    <row r="23390" spans="13:19" ht="13.95" customHeight="1">
      <c r="M23390"/>
      <c r="N23390"/>
      <c r="O23390"/>
      <c r="P23390"/>
      <c r="Q23390"/>
      <c r="R23390"/>
      <c r="S23390"/>
    </row>
    <row r="23391" spans="13:19" ht="13.95" customHeight="1">
      <c r="M23391"/>
      <c r="N23391"/>
      <c r="O23391"/>
      <c r="P23391"/>
      <c r="Q23391"/>
      <c r="R23391"/>
      <c r="S23391"/>
    </row>
    <row r="23392" spans="13:19" ht="13.95" customHeight="1">
      <c r="M23392"/>
      <c r="N23392"/>
      <c r="O23392"/>
      <c r="P23392"/>
      <c r="Q23392"/>
      <c r="R23392"/>
      <c r="S23392"/>
    </row>
    <row r="23393" spans="13:19" ht="13.95" customHeight="1">
      <c r="M23393"/>
      <c r="N23393"/>
      <c r="O23393"/>
      <c r="P23393"/>
      <c r="Q23393"/>
      <c r="R23393"/>
      <c r="S23393"/>
    </row>
    <row r="23394" spans="13:19" ht="13.95" customHeight="1">
      <c r="M23394"/>
      <c r="N23394"/>
      <c r="O23394"/>
      <c r="P23394"/>
      <c r="Q23394"/>
      <c r="R23394"/>
      <c r="S23394"/>
    </row>
    <row r="23395" spans="13:19" ht="13.95" customHeight="1">
      <c r="M23395"/>
      <c r="N23395"/>
      <c r="O23395"/>
      <c r="P23395"/>
      <c r="Q23395"/>
      <c r="R23395"/>
      <c r="S23395"/>
    </row>
    <row r="23396" spans="13:19" ht="13.95" customHeight="1">
      <c r="M23396"/>
      <c r="N23396"/>
      <c r="O23396"/>
      <c r="P23396"/>
      <c r="Q23396"/>
      <c r="R23396"/>
      <c r="S23396"/>
    </row>
    <row r="23397" spans="13:19" ht="13.95" customHeight="1">
      <c r="M23397"/>
      <c r="N23397"/>
      <c r="O23397"/>
      <c r="P23397"/>
      <c r="Q23397"/>
      <c r="R23397"/>
      <c r="S23397"/>
    </row>
    <row r="23398" spans="13:19" ht="13.95" customHeight="1">
      <c r="M23398"/>
      <c r="N23398"/>
      <c r="O23398"/>
      <c r="P23398"/>
      <c r="Q23398"/>
      <c r="R23398"/>
      <c r="S23398"/>
    </row>
    <row r="23399" spans="13:19" ht="13.95" customHeight="1">
      <c r="M23399"/>
      <c r="N23399"/>
      <c r="O23399"/>
      <c r="P23399"/>
      <c r="Q23399"/>
      <c r="R23399"/>
      <c r="S23399"/>
    </row>
    <row r="23400" spans="13:19" ht="13.95" customHeight="1">
      <c r="M23400"/>
      <c r="N23400"/>
      <c r="O23400"/>
      <c r="P23400"/>
      <c r="Q23400"/>
      <c r="R23400"/>
      <c r="S23400"/>
    </row>
    <row r="23401" spans="13:19" ht="13.95" customHeight="1">
      <c r="M23401"/>
      <c r="N23401"/>
      <c r="O23401"/>
      <c r="P23401"/>
      <c r="Q23401"/>
      <c r="R23401"/>
      <c r="S23401"/>
    </row>
    <row r="23402" spans="13:19" ht="13.95" customHeight="1">
      <c r="M23402"/>
      <c r="N23402"/>
      <c r="O23402"/>
      <c r="P23402"/>
      <c r="Q23402"/>
      <c r="R23402"/>
      <c r="S23402"/>
    </row>
    <row r="23403" spans="13:19" ht="13.95" customHeight="1">
      <c r="M23403"/>
      <c r="N23403"/>
      <c r="O23403"/>
      <c r="P23403"/>
      <c r="Q23403"/>
      <c r="R23403"/>
      <c r="S23403"/>
    </row>
    <row r="23404" spans="13:19" ht="13.95" customHeight="1">
      <c r="M23404"/>
      <c r="N23404"/>
      <c r="O23404"/>
      <c r="P23404"/>
      <c r="Q23404"/>
      <c r="R23404"/>
      <c r="S23404"/>
    </row>
    <row r="23405" spans="13:19" ht="13.95" customHeight="1">
      <c r="M23405"/>
      <c r="N23405"/>
      <c r="O23405"/>
      <c r="P23405"/>
      <c r="Q23405"/>
      <c r="R23405"/>
      <c r="S23405"/>
    </row>
    <row r="23406" spans="13:19" ht="13.95" customHeight="1">
      <c r="M23406"/>
      <c r="N23406"/>
      <c r="O23406"/>
      <c r="P23406"/>
      <c r="Q23406"/>
      <c r="R23406"/>
      <c r="S23406"/>
    </row>
    <row r="23407" spans="13:19" ht="13.95" customHeight="1">
      <c r="M23407"/>
      <c r="N23407"/>
      <c r="O23407"/>
      <c r="P23407"/>
      <c r="Q23407"/>
      <c r="R23407"/>
      <c r="S23407"/>
    </row>
    <row r="23408" spans="13:19" ht="13.95" customHeight="1">
      <c r="M23408"/>
      <c r="N23408"/>
      <c r="O23408"/>
      <c r="P23408"/>
      <c r="Q23408"/>
      <c r="R23408"/>
      <c r="S23408"/>
    </row>
    <row r="23409" spans="13:19" ht="13.95" customHeight="1">
      <c r="M23409"/>
      <c r="N23409"/>
      <c r="O23409"/>
      <c r="P23409"/>
      <c r="Q23409"/>
      <c r="R23409"/>
      <c r="S23409"/>
    </row>
    <row r="23410" spans="13:19" ht="13.95" customHeight="1">
      <c r="M23410"/>
      <c r="N23410"/>
      <c r="O23410"/>
      <c r="P23410"/>
      <c r="Q23410"/>
      <c r="R23410"/>
      <c r="S23410"/>
    </row>
    <row r="23411" spans="13:19" ht="13.95" customHeight="1">
      <c r="M23411"/>
      <c r="N23411"/>
      <c r="O23411"/>
      <c r="P23411"/>
      <c r="Q23411"/>
      <c r="R23411"/>
      <c r="S23411"/>
    </row>
    <row r="23412" spans="13:19" ht="13.95" customHeight="1">
      <c r="M23412"/>
      <c r="N23412"/>
      <c r="O23412"/>
      <c r="P23412"/>
      <c r="Q23412"/>
      <c r="R23412"/>
      <c r="S23412"/>
    </row>
    <row r="23413" spans="13:19" ht="13.95" customHeight="1">
      <c r="M23413"/>
      <c r="N23413"/>
      <c r="O23413"/>
      <c r="P23413"/>
      <c r="Q23413"/>
      <c r="R23413"/>
      <c r="S23413"/>
    </row>
    <row r="23414" spans="13:19" ht="13.95" customHeight="1">
      <c r="M23414"/>
      <c r="N23414"/>
      <c r="O23414"/>
      <c r="P23414"/>
      <c r="Q23414"/>
      <c r="R23414"/>
      <c r="S23414"/>
    </row>
    <row r="23415" spans="13:19" ht="13.95" customHeight="1">
      <c r="M23415"/>
      <c r="N23415"/>
      <c r="O23415"/>
      <c r="P23415"/>
      <c r="Q23415"/>
      <c r="R23415"/>
      <c r="S23415"/>
    </row>
    <row r="23416" spans="13:19" ht="13.95" customHeight="1">
      <c r="M23416"/>
      <c r="N23416"/>
      <c r="O23416"/>
      <c r="P23416"/>
      <c r="Q23416"/>
      <c r="R23416"/>
      <c r="S23416"/>
    </row>
    <row r="23417" spans="13:19" ht="13.95" customHeight="1">
      <c r="M23417"/>
      <c r="N23417"/>
      <c r="O23417"/>
      <c r="P23417"/>
      <c r="Q23417"/>
      <c r="R23417"/>
      <c r="S23417"/>
    </row>
    <row r="23418" spans="13:19" ht="13.95" customHeight="1">
      <c r="M23418"/>
      <c r="N23418"/>
      <c r="O23418"/>
      <c r="P23418"/>
      <c r="Q23418"/>
      <c r="R23418"/>
      <c r="S23418"/>
    </row>
    <row r="23419" spans="13:19" ht="13.95" customHeight="1">
      <c r="M23419"/>
      <c r="N23419"/>
      <c r="O23419"/>
      <c r="P23419"/>
      <c r="Q23419"/>
      <c r="R23419"/>
      <c r="S23419"/>
    </row>
    <row r="23420" spans="13:19" ht="13.95" customHeight="1">
      <c r="M23420"/>
      <c r="N23420"/>
      <c r="O23420"/>
      <c r="P23420"/>
      <c r="Q23420"/>
      <c r="R23420"/>
      <c r="S23420"/>
    </row>
    <row r="23421" spans="13:19" ht="13.95" customHeight="1">
      <c r="M23421"/>
      <c r="N23421"/>
      <c r="O23421"/>
      <c r="P23421"/>
      <c r="Q23421"/>
      <c r="R23421"/>
      <c r="S23421"/>
    </row>
    <row r="23422" spans="13:19" ht="13.95" customHeight="1">
      <c r="M23422"/>
      <c r="N23422"/>
      <c r="O23422"/>
      <c r="P23422"/>
      <c r="Q23422"/>
      <c r="R23422"/>
      <c r="S23422"/>
    </row>
    <row r="23423" spans="13:19" ht="13.95" customHeight="1">
      <c r="M23423"/>
      <c r="N23423"/>
      <c r="O23423"/>
      <c r="P23423"/>
      <c r="Q23423"/>
      <c r="R23423"/>
      <c r="S23423"/>
    </row>
    <row r="23424" spans="13:19" ht="13.95" customHeight="1">
      <c r="M23424"/>
      <c r="N23424"/>
      <c r="O23424"/>
      <c r="P23424"/>
      <c r="Q23424"/>
      <c r="R23424"/>
      <c r="S23424"/>
    </row>
    <row r="23425" spans="13:19" ht="13.95" customHeight="1">
      <c r="M23425"/>
      <c r="N23425"/>
      <c r="O23425"/>
      <c r="P23425"/>
      <c r="Q23425"/>
      <c r="R23425"/>
      <c r="S23425"/>
    </row>
    <row r="23426" spans="13:19" ht="13.95" customHeight="1">
      <c r="M23426"/>
      <c r="N23426"/>
      <c r="O23426"/>
      <c r="P23426"/>
      <c r="Q23426"/>
      <c r="R23426"/>
      <c r="S23426"/>
    </row>
    <row r="23427" spans="13:19" ht="13.95" customHeight="1">
      <c r="M23427"/>
      <c r="N23427"/>
      <c r="O23427"/>
      <c r="P23427"/>
      <c r="Q23427"/>
      <c r="R23427"/>
      <c r="S23427"/>
    </row>
    <row r="23428" spans="13:19" ht="13.95" customHeight="1">
      <c r="M23428"/>
      <c r="N23428"/>
      <c r="O23428"/>
      <c r="P23428"/>
      <c r="Q23428"/>
      <c r="R23428"/>
      <c r="S23428"/>
    </row>
    <row r="23429" spans="13:19" ht="13.95" customHeight="1">
      <c r="M23429"/>
      <c r="N23429"/>
      <c r="O23429"/>
      <c r="P23429"/>
      <c r="Q23429"/>
      <c r="R23429"/>
      <c r="S23429"/>
    </row>
    <row r="23430" spans="13:19" ht="13.95" customHeight="1">
      <c r="M23430"/>
      <c r="N23430"/>
      <c r="O23430"/>
      <c r="P23430"/>
      <c r="Q23430"/>
      <c r="R23430"/>
      <c r="S23430"/>
    </row>
    <row r="23431" spans="13:19" ht="13.95" customHeight="1">
      <c r="M23431"/>
      <c r="N23431"/>
      <c r="O23431"/>
      <c r="P23431"/>
      <c r="Q23431"/>
      <c r="R23431"/>
      <c r="S23431"/>
    </row>
    <row r="23432" spans="13:19" ht="13.95" customHeight="1">
      <c r="M23432"/>
      <c r="N23432"/>
      <c r="O23432"/>
      <c r="P23432"/>
      <c r="Q23432"/>
      <c r="R23432"/>
      <c r="S23432"/>
    </row>
    <row r="23433" spans="13:19" ht="13.95" customHeight="1">
      <c r="M23433"/>
      <c r="N23433"/>
      <c r="O23433"/>
      <c r="P23433"/>
      <c r="Q23433"/>
      <c r="R23433"/>
      <c r="S23433"/>
    </row>
    <row r="23434" spans="13:19" ht="13.95" customHeight="1">
      <c r="M23434"/>
      <c r="N23434"/>
      <c r="O23434"/>
      <c r="P23434"/>
      <c r="Q23434"/>
      <c r="R23434"/>
      <c r="S23434"/>
    </row>
    <row r="23435" spans="13:19" ht="13.95" customHeight="1">
      <c r="M23435"/>
      <c r="N23435"/>
      <c r="O23435"/>
      <c r="P23435"/>
      <c r="Q23435"/>
      <c r="R23435"/>
      <c r="S23435"/>
    </row>
    <row r="23436" spans="13:19" ht="13.95" customHeight="1">
      <c r="M23436"/>
      <c r="N23436"/>
      <c r="O23436"/>
      <c r="P23436"/>
      <c r="Q23436"/>
      <c r="R23436"/>
      <c r="S23436"/>
    </row>
    <row r="23437" spans="13:19" ht="13.95" customHeight="1">
      <c r="M23437"/>
      <c r="N23437"/>
      <c r="O23437"/>
      <c r="P23437"/>
      <c r="Q23437"/>
      <c r="R23437"/>
      <c r="S23437"/>
    </row>
    <row r="23438" spans="13:19" ht="13.95" customHeight="1">
      <c r="M23438"/>
      <c r="N23438"/>
      <c r="O23438"/>
      <c r="P23438"/>
      <c r="Q23438"/>
      <c r="R23438"/>
      <c r="S23438"/>
    </row>
    <row r="23439" spans="13:19" ht="13.95" customHeight="1">
      <c r="M23439"/>
      <c r="N23439"/>
      <c r="O23439"/>
      <c r="P23439"/>
      <c r="Q23439"/>
      <c r="R23439"/>
      <c r="S23439"/>
    </row>
    <row r="23440" spans="13:19" ht="13.95" customHeight="1">
      <c r="M23440"/>
      <c r="N23440"/>
      <c r="O23440"/>
      <c r="P23440"/>
      <c r="Q23440"/>
      <c r="R23440"/>
      <c r="S23440"/>
    </row>
    <row r="23441" spans="13:19" ht="13.95" customHeight="1">
      <c r="M23441"/>
      <c r="N23441"/>
      <c r="O23441"/>
      <c r="P23441"/>
      <c r="Q23441"/>
      <c r="R23441"/>
      <c r="S23441"/>
    </row>
    <row r="23442" spans="13:19" ht="13.95" customHeight="1">
      <c r="M23442"/>
      <c r="N23442"/>
      <c r="O23442"/>
      <c r="P23442"/>
      <c r="Q23442"/>
      <c r="R23442"/>
      <c r="S23442"/>
    </row>
    <row r="23443" spans="13:19" ht="13.95" customHeight="1">
      <c r="M23443"/>
      <c r="N23443"/>
      <c r="O23443"/>
      <c r="P23443"/>
      <c r="Q23443"/>
      <c r="R23443"/>
      <c r="S23443"/>
    </row>
    <row r="23444" spans="13:19" ht="13.95" customHeight="1">
      <c r="M23444"/>
      <c r="N23444"/>
      <c r="O23444"/>
      <c r="P23444"/>
      <c r="Q23444"/>
      <c r="R23444"/>
      <c r="S23444"/>
    </row>
    <row r="23445" spans="13:19" ht="13.95" customHeight="1">
      <c r="M23445"/>
      <c r="N23445"/>
      <c r="O23445"/>
      <c r="P23445"/>
      <c r="Q23445"/>
      <c r="R23445"/>
      <c r="S23445"/>
    </row>
    <row r="23446" spans="13:19" ht="13.95" customHeight="1">
      <c r="M23446"/>
      <c r="N23446"/>
      <c r="O23446"/>
      <c r="P23446"/>
      <c r="Q23446"/>
      <c r="R23446"/>
      <c r="S23446"/>
    </row>
    <row r="23447" spans="13:19" ht="13.95" customHeight="1">
      <c r="M23447"/>
      <c r="N23447"/>
      <c r="O23447"/>
      <c r="P23447"/>
      <c r="Q23447"/>
      <c r="R23447"/>
      <c r="S23447"/>
    </row>
    <row r="23448" spans="13:19" ht="13.95" customHeight="1">
      <c r="M23448"/>
      <c r="N23448"/>
      <c r="O23448"/>
      <c r="P23448"/>
      <c r="Q23448"/>
      <c r="R23448"/>
      <c r="S23448"/>
    </row>
    <row r="23449" spans="13:19" ht="13.95" customHeight="1">
      <c r="M23449"/>
      <c r="N23449"/>
      <c r="O23449"/>
      <c r="P23449"/>
      <c r="Q23449"/>
      <c r="R23449"/>
      <c r="S23449"/>
    </row>
    <row r="23450" spans="13:19" ht="13.95" customHeight="1">
      <c r="M23450"/>
      <c r="N23450"/>
      <c r="O23450"/>
      <c r="P23450"/>
      <c r="Q23450"/>
      <c r="R23450"/>
      <c r="S23450"/>
    </row>
    <row r="23451" spans="13:19" ht="13.95" customHeight="1">
      <c r="M23451"/>
      <c r="N23451"/>
      <c r="O23451"/>
      <c r="P23451"/>
      <c r="Q23451"/>
      <c r="R23451"/>
      <c r="S23451"/>
    </row>
    <row r="23452" spans="13:19" ht="13.95" customHeight="1">
      <c r="M23452"/>
      <c r="N23452"/>
      <c r="O23452"/>
      <c r="P23452"/>
      <c r="Q23452"/>
      <c r="R23452"/>
      <c r="S23452"/>
    </row>
    <row r="23453" spans="13:19" ht="13.95" customHeight="1">
      <c r="M23453"/>
      <c r="N23453"/>
      <c r="O23453"/>
      <c r="P23453"/>
      <c r="Q23453"/>
      <c r="R23453"/>
      <c r="S23453"/>
    </row>
    <row r="23454" spans="13:19" ht="13.95" customHeight="1">
      <c r="M23454"/>
      <c r="N23454"/>
      <c r="O23454"/>
      <c r="P23454"/>
      <c r="Q23454"/>
      <c r="R23454"/>
      <c r="S23454"/>
    </row>
    <row r="23455" spans="13:19" ht="13.95" customHeight="1">
      <c r="M23455"/>
      <c r="N23455"/>
      <c r="O23455"/>
      <c r="P23455"/>
      <c r="Q23455"/>
      <c r="R23455"/>
      <c r="S23455"/>
    </row>
    <row r="23456" spans="13:19" ht="13.95" customHeight="1">
      <c r="M23456"/>
      <c r="N23456"/>
      <c r="O23456"/>
      <c r="P23456"/>
      <c r="Q23456"/>
      <c r="R23456"/>
      <c r="S23456"/>
    </row>
    <row r="23457" spans="13:19" ht="13.95" customHeight="1">
      <c r="M23457"/>
      <c r="N23457"/>
      <c r="O23457"/>
      <c r="P23457"/>
      <c r="Q23457"/>
      <c r="R23457"/>
      <c r="S23457"/>
    </row>
    <row r="23458" spans="13:19" ht="13.95" customHeight="1">
      <c r="M23458"/>
      <c r="N23458"/>
      <c r="O23458"/>
      <c r="P23458"/>
      <c r="Q23458"/>
      <c r="R23458"/>
      <c r="S23458"/>
    </row>
    <row r="23459" spans="13:19" ht="13.95" customHeight="1">
      <c r="M23459"/>
      <c r="N23459"/>
      <c r="O23459"/>
      <c r="P23459"/>
      <c r="Q23459"/>
      <c r="R23459"/>
      <c r="S23459"/>
    </row>
    <row r="23460" spans="13:19" ht="13.95" customHeight="1">
      <c r="M23460"/>
      <c r="N23460"/>
      <c r="O23460"/>
      <c r="P23460"/>
      <c r="Q23460"/>
      <c r="R23460"/>
      <c r="S23460"/>
    </row>
    <row r="23461" spans="13:19" ht="13.95" customHeight="1">
      <c r="M23461"/>
      <c r="N23461"/>
      <c r="O23461"/>
      <c r="P23461"/>
      <c r="Q23461"/>
      <c r="R23461"/>
      <c r="S23461"/>
    </row>
    <row r="23462" spans="13:19" ht="13.95" customHeight="1">
      <c r="M23462"/>
      <c r="N23462"/>
      <c r="O23462"/>
      <c r="P23462"/>
      <c r="Q23462"/>
      <c r="R23462"/>
      <c r="S23462"/>
    </row>
    <row r="23463" spans="13:19" ht="13.95" customHeight="1">
      <c r="M23463"/>
      <c r="N23463"/>
      <c r="O23463"/>
      <c r="P23463"/>
      <c r="Q23463"/>
      <c r="R23463"/>
      <c r="S23463"/>
    </row>
    <row r="23464" spans="13:19" ht="13.95" customHeight="1">
      <c r="M23464"/>
      <c r="N23464"/>
      <c r="O23464"/>
      <c r="P23464"/>
      <c r="Q23464"/>
      <c r="R23464"/>
      <c r="S23464"/>
    </row>
    <row r="23465" spans="13:19" ht="13.95" customHeight="1">
      <c r="M23465"/>
      <c r="N23465"/>
      <c r="O23465"/>
      <c r="P23465"/>
      <c r="Q23465"/>
      <c r="R23465"/>
      <c r="S23465"/>
    </row>
    <row r="23466" spans="13:19" ht="13.95" customHeight="1">
      <c r="M23466"/>
      <c r="N23466"/>
      <c r="O23466"/>
      <c r="P23466"/>
      <c r="Q23466"/>
      <c r="R23466"/>
      <c r="S23466"/>
    </row>
    <row r="23467" spans="13:19" ht="13.95" customHeight="1">
      <c r="M23467"/>
      <c r="N23467"/>
      <c r="O23467"/>
      <c r="P23467"/>
      <c r="Q23467"/>
      <c r="R23467"/>
      <c r="S23467"/>
    </row>
    <row r="23468" spans="13:19" ht="13.95" customHeight="1">
      <c r="M23468"/>
      <c r="N23468"/>
      <c r="O23468"/>
      <c r="P23468"/>
      <c r="Q23468"/>
      <c r="R23468"/>
      <c r="S23468"/>
    </row>
    <row r="23469" spans="13:19" ht="13.95" customHeight="1">
      <c r="M23469"/>
      <c r="N23469"/>
      <c r="O23469"/>
      <c r="P23469"/>
      <c r="Q23469"/>
      <c r="R23469"/>
      <c r="S23469"/>
    </row>
    <row r="23470" spans="13:19" ht="13.95" customHeight="1">
      <c r="M23470"/>
      <c r="N23470"/>
      <c r="O23470"/>
      <c r="P23470"/>
      <c r="Q23470"/>
      <c r="R23470"/>
      <c r="S23470"/>
    </row>
    <row r="23471" spans="13:19" ht="13.95" customHeight="1">
      <c r="M23471"/>
      <c r="N23471"/>
      <c r="O23471"/>
      <c r="P23471"/>
      <c r="Q23471"/>
      <c r="R23471"/>
      <c r="S23471"/>
    </row>
    <row r="23472" spans="13:19" ht="13.95" customHeight="1">
      <c r="M23472"/>
      <c r="N23472"/>
      <c r="O23472"/>
      <c r="P23472"/>
      <c r="Q23472"/>
      <c r="R23472"/>
      <c r="S23472"/>
    </row>
    <row r="23473" spans="13:19" ht="13.95" customHeight="1">
      <c r="M23473"/>
      <c r="N23473"/>
      <c r="O23473"/>
      <c r="P23473"/>
      <c r="Q23473"/>
      <c r="R23473"/>
      <c r="S23473"/>
    </row>
    <row r="23474" spans="13:19" ht="13.95" customHeight="1">
      <c r="M23474"/>
      <c r="N23474"/>
      <c r="O23474"/>
      <c r="P23474"/>
      <c r="Q23474"/>
      <c r="R23474"/>
      <c r="S23474"/>
    </row>
    <row r="23475" spans="13:19" ht="13.95" customHeight="1">
      <c r="M23475"/>
      <c r="N23475"/>
      <c r="O23475"/>
      <c r="P23475"/>
      <c r="Q23475"/>
      <c r="R23475"/>
      <c r="S23475"/>
    </row>
    <row r="23476" spans="13:19" ht="13.95" customHeight="1">
      <c r="M23476"/>
      <c r="N23476"/>
      <c r="O23476"/>
      <c r="P23476"/>
      <c r="Q23476"/>
      <c r="R23476"/>
      <c r="S23476"/>
    </row>
    <row r="23477" spans="13:19" ht="13.95" customHeight="1">
      <c r="M23477"/>
      <c r="N23477"/>
      <c r="O23477"/>
      <c r="P23477"/>
      <c r="Q23477"/>
      <c r="R23477"/>
      <c r="S23477"/>
    </row>
    <row r="23478" spans="13:19" ht="13.95" customHeight="1">
      <c r="M23478"/>
      <c r="N23478"/>
      <c r="O23478"/>
      <c r="P23478"/>
      <c r="Q23478"/>
      <c r="R23478"/>
      <c r="S23478"/>
    </row>
    <row r="23479" spans="13:19" ht="13.95" customHeight="1">
      <c r="M23479"/>
      <c r="N23479"/>
      <c r="O23479"/>
      <c r="P23479"/>
      <c r="Q23479"/>
      <c r="R23479"/>
      <c r="S23479"/>
    </row>
    <row r="23480" spans="13:19" ht="13.95" customHeight="1">
      <c r="M23480"/>
      <c r="N23480"/>
      <c r="O23480"/>
      <c r="P23480"/>
      <c r="Q23480"/>
      <c r="R23480"/>
      <c r="S23480"/>
    </row>
    <row r="23481" spans="13:19" ht="13.95" customHeight="1">
      <c r="M23481"/>
      <c r="N23481"/>
      <c r="O23481"/>
      <c r="P23481"/>
      <c r="Q23481"/>
      <c r="R23481"/>
      <c r="S23481"/>
    </row>
    <row r="23482" spans="13:19" ht="13.95" customHeight="1">
      <c r="M23482"/>
      <c r="N23482"/>
      <c r="O23482"/>
      <c r="P23482"/>
      <c r="Q23482"/>
      <c r="R23482"/>
      <c r="S23482"/>
    </row>
    <row r="23483" spans="13:19" ht="13.95" customHeight="1">
      <c r="M23483"/>
      <c r="N23483"/>
      <c r="O23483"/>
      <c r="P23483"/>
      <c r="Q23483"/>
      <c r="R23483"/>
      <c r="S23483"/>
    </row>
    <row r="23484" spans="13:19" ht="13.95" customHeight="1">
      <c r="M23484"/>
      <c r="N23484"/>
      <c r="O23484"/>
      <c r="P23484"/>
      <c r="Q23484"/>
      <c r="R23484"/>
      <c r="S23484"/>
    </row>
    <row r="23485" spans="13:19" ht="13.95" customHeight="1">
      <c r="M23485"/>
      <c r="N23485"/>
      <c r="O23485"/>
      <c r="P23485"/>
      <c r="Q23485"/>
      <c r="R23485"/>
      <c r="S23485"/>
    </row>
    <row r="23486" spans="13:19" ht="13.95" customHeight="1">
      <c r="M23486"/>
      <c r="N23486"/>
      <c r="O23486"/>
      <c r="P23486"/>
      <c r="Q23486"/>
      <c r="R23486"/>
      <c r="S23486"/>
    </row>
    <row r="23487" spans="13:19" ht="13.95" customHeight="1">
      <c r="M23487"/>
      <c r="N23487"/>
      <c r="O23487"/>
      <c r="P23487"/>
      <c r="Q23487"/>
      <c r="R23487"/>
      <c r="S23487"/>
    </row>
    <row r="23488" spans="13:19" ht="13.95" customHeight="1">
      <c r="M23488"/>
      <c r="N23488"/>
      <c r="O23488"/>
      <c r="P23488"/>
      <c r="Q23488"/>
      <c r="R23488"/>
      <c r="S23488"/>
    </row>
    <row r="23489" spans="13:19" ht="13.95" customHeight="1">
      <c r="M23489"/>
      <c r="N23489"/>
      <c r="O23489"/>
      <c r="P23489"/>
      <c r="Q23489"/>
      <c r="R23489"/>
      <c r="S23489"/>
    </row>
    <row r="23490" spans="13:19" ht="13.95" customHeight="1">
      <c r="M23490"/>
      <c r="N23490"/>
      <c r="O23490"/>
      <c r="P23490"/>
      <c r="Q23490"/>
      <c r="R23490"/>
      <c r="S23490"/>
    </row>
    <row r="23491" spans="13:19" ht="13.95" customHeight="1">
      <c r="M23491"/>
      <c r="N23491"/>
      <c r="O23491"/>
      <c r="P23491"/>
      <c r="Q23491"/>
      <c r="R23491"/>
      <c r="S23491"/>
    </row>
    <row r="23492" spans="13:19" ht="13.95" customHeight="1">
      <c r="M23492"/>
      <c r="N23492"/>
      <c r="O23492"/>
      <c r="P23492"/>
      <c r="Q23492"/>
      <c r="R23492"/>
      <c r="S23492"/>
    </row>
    <row r="23493" spans="13:19" ht="13.95" customHeight="1">
      <c r="M23493"/>
      <c r="N23493"/>
      <c r="O23493"/>
      <c r="P23493"/>
      <c r="Q23493"/>
      <c r="R23493"/>
      <c r="S23493"/>
    </row>
    <row r="23494" spans="13:19" ht="13.95" customHeight="1">
      <c r="M23494"/>
      <c r="N23494"/>
      <c r="O23494"/>
      <c r="P23494"/>
      <c r="Q23494"/>
      <c r="R23494"/>
      <c r="S23494"/>
    </row>
    <row r="23495" spans="13:19" ht="13.95" customHeight="1">
      <c r="M23495"/>
      <c r="N23495"/>
      <c r="O23495"/>
      <c r="P23495"/>
      <c r="Q23495"/>
      <c r="R23495"/>
      <c r="S23495"/>
    </row>
    <row r="23496" spans="13:19" ht="13.95" customHeight="1">
      <c r="M23496"/>
      <c r="N23496"/>
      <c r="O23496"/>
      <c r="P23496"/>
      <c r="Q23496"/>
      <c r="R23496"/>
      <c r="S23496"/>
    </row>
    <row r="23497" spans="13:19" ht="13.95" customHeight="1">
      <c r="M23497"/>
      <c r="N23497"/>
      <c r="O23497"/>
      <c r="P23497"/>
      <c r="Q23497"/>
      <c r="R23497"/>
      <c r="S23497"/>
    </row>
    <row r="23498" spans="13:19" ht="13.95" customHeight="1">
      <c r="M23498"/>
      <c r="N23498"/>
      <c r="O23498"/>
      <c r="P23498"/>
      <c r="Q23498"/>
      <c r="R23498"/>
      <c r="S23498"/>
    </row>
    <row r="23499" spans="13:19" ht="13.95" customHeight="1">
      <c r="M23499"/>
      <c r="N23499"/>
      <c r="O23499"/>
      <c r="P23499"/>
      <c r="Q23499"/>
      <c r="R23499"/>
      <c r="S23499"/>
    </row>
    <row r="23500" spans="13:19" ht="13.95" customHeight="1">
      <c r="M23500"/>
      <c r="N23500"/>
      <c r="O23500"/>
      <c r="P23500"/>
      <c r="Q23500"/>
      <c r="R23500"/>
      <c r="S23500"/>
    </row>
    <row r="23501" spans="13:19" ht="13.95" customHeight="1">
      <c r="M23501"/>
      <c r="N23501"/>
      <c r="O23501"/>
      <c r="P23501"/>
      <c r="Q23501"/>
      <c r="R23501"/>
      <c r="S23501"/>
    </row>
    <row r="23502" spans="13:19" ht="13.95" customHeight="1">
      <c r="M23502"/>
      <c r="N23502"/>
      <c r="O23502"/>
      <c r="P23502"/>
      <c r="Q23502"/>
      <c r="R23502"/>
      <c r="S23502"/>
    </row>
    <row r="23503" spans="13:19" ht="13.95" customHeight="1">
      <c r="M23503"/>
      <c r="N23503"/>
      <c r="O23503"/>
      <c r="P23503"/>
      <c r="Q23503"/>
      <c r="R23503"/>
      <c r="S23503"/>
    </row>
    <row r="23504" spans="13:19" ht="13.95" customHeight="1">
      <c r="M23504"/>
      <c r="N23504"/>
      <c r="O23504"/>
      <c r="P23504"/>
      <c r="Q23504"/>
      <c r="R23504"/>
      <c r="S23504"/>
    </row>
    <row r="23505" spans="13:19" ht="13.95" customHeight="1">
      <c r="M23505"/>
      <c r="N23505"/>
      <c r="O23505"/>
      <c r="P23505"/>
      <c r="Q23505"/>
      <c r="R23505"/>
      <c r="S23505"/>
    </row>
    <row r="23506" spans="13:19" ht="13.95" customHeight="1">
      <c r="M23506"/>
      <c r="N23506"/>
      <c r="O23506"/>
      <c r="P23506"/>
      <c r="Q23506"/>
      <c r="R23506"/>
      <c r="S23506"/>
    </row>
    <row r="23507" spans="13:19" ht="13.95" customHeight="1">
      <c r="M23507"/>
      <c r="N23507"/>
      <c r="O23507"/>
      <c r="P23507"/>
      <c r="Q23507"/>
      <c r="R23507"/>
      <c r="S23507"/>
    </row>
    <row r="23508" spans="13:19" ht="13.95" customHeight="1">
      <c r="M23508"/>
      <c r="N23508"/>
      <c r="O23508"/>
      <c r="P23508"/>
      <c r="Q23508"/>
      <c r="R23508"/>
      <c r="S23508"/>
    </row>
    <row r="23509" spans="13:19" ht="13.95" customHeight="1">
      <c r="M23509"/>
      <c r="N23509"/>
      <c r="O23509"/>
      <c r="P23509"/>
      <c r="Q23509"/>
      <c r="R23509"/>
      <c r="S23509"/>
    </row>
    <row r="23510" spans="13:19" ht="13.95" customHeight="1">
      <c r="M23510"/>
      <c r="N23510"/>
      <c r="O23510"/>
      <c r="P23510"/>
      <c r="Q23510"/>
      <c r="R23510"/>
      <c r="S23510"/>
    </row>
    <row r="23511" spans="13:19" ht="13.95" customHeight="1">
      <c r="M23511"/>
      <c r="N23511"/>
      <c r="O23511"/>
      <c r="P23511"/>
      <c r="Q23511"/>
      <c r="R23511"/>
      <c r="S23511"/>
    </row>
    <row r="23512" spans="13:19" ht="13.95" customHeight="1">
      <c r="M23512"/>
      <c r="N23512"/>
      <c r="O23512"/>
      <c r="P23512"/>
      <c r="Q23512"/>
      <c r="R23512"/>
      <c r="S23512"/>
    </row>
    <row r="23513" spans="13:19" ht="13.95" customHeight="1">
      <c r="M23513"/>
      <c r="N23513"/>
      <c r="O23513"/>
      <c r="P23513"/>
      <c r="Q23513"/>
      <c r="R23513"/>
      <c r="S23513"/>
    </row>
    <row r="23514" spans="13:19" ht="13.95" customHeight="1">
      <c r="M23514"/>
      <c r="N23514"/>
      <c r="O23514"/>
      <c r="P23514"/>
      <c r="Q23514"/>
      <c r="R23514"/>
      <c r="S23514"/>
    </row>
    <row r="23515" spans="13:19" ht="13.95" customHeight="1">
      <c r="M23515"/>
      <c r="N23515"/>
      <c r="O23515"/>
      <c r="P23515"/>
      <c r="Q23515"/>
      <c r="R23515"/>
      <c r="S23515"/>
    </row>
    <row r="23516" spans="13:19" ht="13.95" customHeight="1">
      <c r="M23516"/>
      <c r="N23516"/>
      <c r="O23516"/>
      <c r="P23516"/>
      <c r="Q23516"/>
      <c r="R23516"/>
      <c r="S23516"/>
    </row>
    <row r="23517" spans="13:19" ht="13.95" customHeight="1">
      <c r="M23517"/>
      <c r="N23517"/>
      <c r="O23517"/>
      <c r="P23517"/>
      <c r="Q23517"/>
      <c r="R23517"/>
      <c r="S23517"/>
    </row>
    <row r="23518" spans="13:19" ht="13.95" customHeight="1">
      <c r="M23518"/>
      <c r="N23518"/>
      <c r="O23518"/>
      <c r="P23518"/>
      <c r="Q23518"/>
      <c r="R23518"/>
      <c r="S23518"/>
    </row>
    <row r="23519" spans="13:19" ht="13.95" customHeight="1">
      <c r="M23519"/>
      <c r="N23519"/>
      <c r="O23519"/>
      <c r="P23519"/>
      <c r="Q23519"/>
      <c r="R23519"/>
      <c r="S23519"/>
    </row>
    <row r="23520" spans="13:19" ht="13.95" customHeight="1">
      <c r="M23520"/>
      <c r="N23520"/>
      <c r="O23520"/>
      <c r="P23520"/>
      <c r="Q23520"/>
      <c r="R23520"/>
      <c r="S23520"/>
    </row>
    <row r="23521" spans="13:19" ht="13.95" customHeight="1">
      <c r="M23521"/>
      <c r="N23521"/>
      <c r="O23521"/>
      <c r="P23521"/>
      <c r="Q23521"/>
      <c r="R23521"/>
      <c r="S23521"/>
    </row>
    <row r="23522" spans="13:19" ht="13.95" customHeight="1">
      <c r="M23522"/>
      <c r="N23522"/>
      <c r="O23522"/>
      <c r="P23522"/>
      <c r="Q23522"/>
      <c r="R23522"/>
      <c r="S23522"/>
    </row>
    <row r="23523" spans="13:19" ht="13.95" customHeight="1">
      <c r="M23523"/>
      <c r="N23523"/>
      <c r="O23523"/>
      <c r="P23523"/>
      <c r="Q23523"/>
      <c r="R23523"/>
      <c r="S23523"/>
    </row>
    <row r="23524" spans="13:19" ht="13.95" customHeight="1">
      <c r="M23524"/>
      <c r="N23524"/>
      <c r="O23524"/>
      <c r="P23524"/>
      <c r="Q23524"/>
      <c r="R23524"/>
      <c r="S23524"/>
    </row>
    <row r="23525" spans="13:19" ht="13.95" customHeight="1">
      <c r="M23525"/>
      <c r="N23525"/>
      <c r="O23525"/>
      <c r="P23525"/>
      <c r="Q23525"/>
      <c r="R23525"/>
      <c r="S23525"/>
    </row>
    <row r="23526" spans="13:19" ht="13.95" customHeight="1">
      <c r="M23526"/>
      <c r="N23526"/>
      <c r="O23526"/>
      <c r="P23526"/>
      <c r="Q23526"/>
      <c r="R23526"/>
      <c r="S23526"/>
    </row>
    <row r="23527" spans="13:19" ht="13.95" customHeight="1">
      <c r="M23527"/>
      <c r="N23527"/>
      <c r="O23527"/>
      <c r="P23527"/>
      <c r="Q23527"/>
      <c r="R23527"/>
      <c r="S23527"/>
    </row>
    <row r="23528" spans="13:19" ht="13.95" customHeight="1">
      <c r="M23528"/>
      <c r="N23528"/>
      <c r="O23528"/>
      <c r="P23528"/>
      <c r="Q23528"/>
      <c r="R23528"/>
      <c r="S23528"/>
    </row>
    <row r="23529" spans="13:19" ht="13.95" customHeight="1">
      <c r="M23529"/>
      <c r="N23529"/>
      <c r="O23529"/>
      <c r="P23529"/>
      <c r="Q23529"/>
      <c r="R23529"/>
      <c r="S23529"/>
    </row>
    <row r="23530" spans="13:19" ht="13.95" customHeight="1">
      <c r="M23530"/>
      <c r="N23530"/>
      <c r="O23530"/>
      <c r="P23530"/>
      <c r="Q23530"/>
      <c r="R23530"/>
      <c r="S23530"/>
    </row>
    <row r="23531" spans="13:19" ht="13.95" customHeight="1">
      <c r="M23531"/>
      <c r="N23531"/>
      <c r="O23531"/>
      <c r="P23531"/>
      <c r="Q23531"/>
      <c r="R23531"/>
      <c r="S23531"/>
    </row>
    <row r="23532" spans="13:19" ht="13.95" customHeight="1">
      <c r="M23532"/>
      <c r="N23532"/>
      <c r="O23532"/>
      <c r="P23532"/>
      <c r="Q23532"/>
      <c r="R23532"/>
      <c r="S23532"/>
    </row>
    <row r="23533" spans="13:19" ht="13.95" customHeight="1">
      <c r="M23533"/>
      <c r="N23533"/>
      <c r="O23533"/>
      <c r="P23533"/>
      <c r="Q23533"/>
      <c r="R23533"/>
      <c r="S23533"/>
    </row>
    <row r="23534" spans="13:19" ht="13.95" customHeight="1">
      <c r="M23534"/>
      <c r="N23534"/>
      <c r="O23534"/>
      <c r="P23534"/>
      <c r="Q23534"/>
      <c r="R23534"/>
      <c r="S23534"/>
    </row>
    <row r="23535" spans="13:19" ht="13.95" customHeight="1">
      <c r="M23535"/>
      <c r="N23535"/>
      <c r="O23535"/>
      <c r="P23535"/>
      <c r="Q23535"/>
      <c r="R23535"/>
      <c r="S23535"/>
    </row>
    <row r="23536" spans="13:19" ht="13.95" customHeight="1">
      <c r="M23536"/>
      <c r="N23536"/>
      <c r="O23536"/>
      <c r="P23536"/>
      <c r="Q23536"/>
      <c r="R23536"/>
      <c r="S23536"/>
    </row>
    <row r="23537" spans="13:19" ht="13.95" customHeight="1">
      <c r="M23537"/>
      <c r="N23537"/>
      <c r="O23537"/>
      <c r="P23537"/>
      <c r="Q23537"/>
      <c r="R23537"/>
      <c r="S23537"/>
    </row>
    <row r="23538" spans="13:19" ht="13.95" customHeight="1">
      <c r="M23538"/>
      <c r="N23538"/>
      <c r="O23538"/>
      <c r="P23538"/>
      <c r="Q23538"/>
      <c r="R23538"/>
      <c r="S23538"/>
    </row>
    <row r="23539" spans="13:19" ht="13.95" customHeight="1">
      <c r="M23539"/>
      <c r="N23539"/>
      <c r="O23539"/>
      <c r="P23539"/>
      <c r="Q23539"/>
      <c r="R23539"/>
      <c r="S23539"/>
    </row>
    <row r="23540" spans="13:19" ht="13.95" customHeight="1">
      <c r="M23540"/>
      <c r="N23540"/>
      <c r="O23540"/>
      <c r="P23540"/>
      <c r="Q23540"/>
      <c r="R23540"/>
      <c r="S23540"/>
    </row>
    <row r="23541" spans="13:19" ht="13.95" customHeight="1">
      <c r="M23541"/>
      <c r="N23541"/>
      <c r="O23541"/>
      <c r="P23541"/>
      <c r="Q23541"/>
      <c r="R23541"/>
      <c r="S23541"/>
    </row>
    <row r="23542" spans="13:19" ht="13.95" customHeight="1">
      <c r="M23542"/>
      <c r="N23542"/>
      <c r="O23542"/>
      <c r="P23542"/>
      <c r="Q23542"/>
      <c r="R23542"/>
      <c r="S23542"/>
    </row>
    <row r="23543" spans="13:19" ht="13.95" customHeight="1">
      <c r="M23543"/>
      <c r="N23543"/>
      <c r="O23543"/>
      <c r="P23543"/>
      <c r="Q23543"/>
      <c r="R23543"/>
      <c r="S23543"/>
    </row>
    <row r="23544" spans="13:19" ht="13.95" customHeight="1">
      <c r="M23544"/>
      <c r="N23544"/>
      <c r="O23544"/>
      <c r="P23544"/>
      <c r="Q23544"/>
      <c r="R23544"/>
      <c r="S23544"/>
    </row>
    <row r="23545" spans="13:19" ht="13.95" customHeight="1">
      <c r="M23545"/>
      <c r="N23545"/>
      <c r="O23545"/>
      <c r="P23545"/>
      <c r="Q23545"/>
      <c r="R23545"/>
      <c r="S23545"/>
    </row>
    <row r="23546" spans="13:19" ht="13.95" customHeight="1">
      <c r="M23546"/>
      <c r="N23546"/>
      <c r="O23546"/>
      <c r="P23546"/>
      <c r="Q23546"/>
      <c r="R23546"/>
      <c r="S23546"/>
    </row>
    <row r="23547" spans="13:19" ht="13.95" customHeight="1">
      <c r="M23547"/>
      <c r="N23547"/>
      <c r="O23547"/>
      <c r="P23547"/>
      <c r="Q23547"/>
      <c r="R23547"/>
      <c r="S23547"/>
    </row>
    <row r="23548" spans="13:19" ht="13.95" customHeight="1">
      <c r="M23548"/>
      <c r="N23548"/>
      <c r="O23548"/>
      <c r="P23548"/>
      <c r="Q23548"/>
      <c r="R23548"/>
      <c r="S23548"/>
    </row>
    <row r="23549" spans="13:19" ht="13.95" customHeight="1">
      <c r="M23549"/>
      <c r="N23549"/>
      <c r="O23549"/>
      <c r="P23549"/>
      <c r="Q23549"/>
      <c r="R23549"/>
      <c r="S23549"/>
    </row>
    <row r="23550" spans="13:19" ht="13.95" customHeight="1">
      <c r="M23550"/>
      <c r="N23550"/>
      <c r="O23550"/>
      <c r="P23550"/>
      <c r="Q23550"/>
      <c r="R23550"/>
      <c r="S23550"/>
    </row>
    <row r="23551" spans="13:19" ht="13.95" customHeight="1">
      <c r="M23551"/>
      <c r="N23551"/>
      <c r="O23551"/>
      <c r="P23551"/>
      <c r="Q23551"/>
      <c r="R23551"/>
      <c r="S23551"/>
    </row>
    <row r="23552" spans="13:19" ht="13.95" customHeight="1">
      <c r="M23552"/>
      <c r="N23552"/>
      <c r="O23552"/>
      <c r="P23552"/>
      <c r="Q23552"/>
      <c r="R23552"/>
      <c r="S23552"/>
    </row>
    <row r="23553" spans="13:19" ht="13.95" customHeight="1">
      <c r="M23553"/>
      <c r="N23553"/>
      <c r="O23553"/>
      <c r="P23553"/>
      <c r="Q23553"/>
      <c r="R23553"/>
      <c r="S23553"/>
    </row>
    <row r="23554" spans="13:19" ht="13.95" customHeight="1">
      <c r="M23554"/>
      <c r="N23554"/>
      <c r="O23554"/>
      <c r="P23554"/>
      <c r="Q23554"/>
      <c r="R23554"/>
      <c r="S23554"/>
    </row>
    <row r="23555" spans="13:19" ht="13.95" customHeight="1">
      <c r="M23555"/>
      <c r="N23555"/>
      <c r="O23555"/>
      <c r="P23555"/>
      <c r="Q23555"/>
      <c r="R23555"/>
      <c r="S23555"/>
    </row>
    <row r="23556" spans="13:19" ht="13.95" customHeight="1">
      <c r="M23556"/>
      <c r="N23556"/>
      <c r="O23556"/>
      <c r="P23556"/>
      <c r="Q23556"/>
      <c r="R23556"/>
      <c r="S23556"/>
    </row>
    <row r="23557" spans="13:19" ht="13.95" customHeight="1">
      <c r="M23557"/>
      <c r="N23557"/>
      <c r="O23557"/>
      <c r="P23557"/>
      <c r="Q23557"/>
      <c r="R23557"/>
      <c r="S23557"/>
    </row>
    <row r="23558" spans="13:19" ht="13.95" customHeight="1">
      <c r="M23558"/>
      <c r="N23558"/>
      <c r="O23558"/>
      <c r="P23558"/>
      <c r="Q23558"/>
      <c r="R23558"/>
      <c r="S23558"/>
    </row>
    <row r="23559" spans="13:19" ht="13.95" customHeight="1">
      <c r="M23559"/>
      <c r="N23559"/>
      <c r="O23559"/>
      <c r="P23559"/>
      <c r="Q23559"/>
      <c r="R23559"/>
      <c r="S23559"/>
    </row>
    <row r="23560" spans="13:19" ht="13.95" customHeight="1">
      <c r="M23560"/>
      <c r="N23560"/>
      <c r="O23560"/>
      <c r="P23560"/>
      <c r="Q23560"/>
      <c r="R23560"/>
      <c r="S23560"/>
    </row>
    <row r="23561" spans="13:19" ht="13.95" customHeight="1">
      <c r="M23561"/>
      <c r="N23561"/>
      <c r="O23561"/>
      <c r="P23561"/>
      <c r="Q23561"/>
      <c r="R23561"/>
      <c r="S23561"/>
    </row>
    <row r="23562" spans="13:19" ht="13.95" customHeight="1">
      <c r="M23562"/>
      <c r="N23562"/>
      <c r="O23562"/>
      <c r="P23562"/>
      <c r="Q23562"/>
      <c r="R23562"/>
      <c r="S23562"/>
    </row>
    <row r="23563" spans="13:19" ht="13.95" customHeight="1">
      <c r="M23563"/>
      <c r="N23563"/>
      <c r="O23563"/>
      <c r="P23563"/>
      <c r="Q23563"/>
      <c r="R23563"/>
      <c r="S23563"/>
    </row>
    <row r="23564" spans="13:19" ht="13.95" customHeight="1">
      <c r="M23564"/>
      <c r="N23564"/>
      <c r="O23564"/>
      <c r="P23564"/>
      <c r="Q23564"/>
      <c r="R23564"/>
      <c r="S23564"/>
    </row>
    <row r="23565" spans="13:19" ht="13.95" customHeight="1">
      <c r="M23565"/>
      <c r="N23565"/>
      <c r="O23565"/>
      <c r="P23565"/>
      <c r="Q23565"/>
      <c r="R23565"/>
      <c r="S23565"/>
    </row>
    <row r="23566" spans="13:19" ht="13.95" customHeight="1">
      <c r="M23566"/>
      <c r="N23566"/>
      <c r="O23566"/>
      <c r="P23566"/>
      <c r="Q23566"/>
      <c r="R23566"/>
      <c r="S23566"/>
    </row>
    <row r="23567" spans="13:19" ht="13.95" customHeight="1">
      <c r="M23567"/>
      <c r="N23567"/>
      <c r="O23567"/>
      <c r="P23567"/>
      <c r="Q23567"/>
      <c r="R23567"/>
      <c r="S23567"/>
    </row>
    <row r="23568" spans="13:19" ht="13.95" customHeight="1">
      <c r="M23568"/>
      <c r="N23568"/>
      <c r="O23568"/>
      <c r="P23568"/>
      <c r="Q23568"/>
      <c r="R23568"/>
      <c r="S23568"/>
    </row>
    <row r="23569" spans="13:19" ht="13.95" customHeight="1">
      <c r="M23569"/>
      <c r="N23569"/>
      <c r="O23569"/>
      <c r="P23569"/>
      <c r="Q23569"/>
      <c r="R23569"/>
      <c r="S23569"/>
    </row>
    <row r="23570" spans="13:19" ht="13.95" customHeight="1">
      <c r="M23570"/>
      <c r="N23570"/>
      <c r="O23570"/>
      <c r="P23570"/>
      <c r="Q23570"/>
      <c r="R23570"/>
      <c r="S23570"/>
    </row>
    <row r="23571" spans="13:19" ht="13.95" customHeight="1">
      <c r="M23571"/>
      <c r="N23571"/>
      <c r="O23571"/>
      <c r="P23571"/>
      <c r="Q23571"/>
      <c r="R23571"/>
      <c r="S23571"/>
    </row>
    <row r="23572" spans="13:19" ht="13.95" customHeight="1">
      <c r="M23572"/>
      <c r="N23572"/>
      <c r="O23572"/>
      <c r="P23572"/>
      <c r="Q23572"/>
      <c r="R23572"/>
      <c r="S23572"/>
    </row>
    <row r="23573" spans="13:19" ht="13.95" customHeight="1">
      <c r="M23573"/>
      <c r="N23573"/>
      <c r="O23573"/>
      <c r="P23573"/>
      <c r="Q23573"/>
      <c r="R23573"/>
      <c r="S23573"/>
    </row>
    <row r="23574" spans="13:19" ht="13.95" customHeight="1">
      <c r="M23574"/>
      <c r="N23574"/>
      <c r="O23574"/>
      <c r="P23574"/>
      <c r="Q23574"/>
      <c r="R23574"/>
      <c r="S23574"/>
    </row>
    <row r="23575" spans="13:19" ht="13.95" customHeight="1">
      <c r="M23575"/>
      <c r="N23575"/>
      <c r="O23575"/>
      <c r="P23575"/>
      <c r="Q23575"/>
      <c r="R23575"/>
      <c r="S23575"/>
    </row>
    <row r="23576" spans="13:19" ht="13.95" customHeight="1">
      <c r="M23576"/>
      <c r="N23576"/>
      <c r="O23576"/>
      <c r="P23576"/>
      <c r="Q23576"/>
      <c r="R23576"/>
      <c r="S23576"/>
    </row>
    <row r="23577" spans="13:19" ht="13.95" customHeight="1">
      <c r="M23577"/>
      <c r="N23577"/>
      <c r="O23577"/>
      <c r="P23577"/>
      <c r="Q23577"/>
      <c r="R23577"/>
      <c r="S23577"/>
    </row>
    <row r="23578" spans="13:19" ht="13.95" customHeight="1">
      <c r="M23578"/>
      <c r="N23578"/>
      <c r="O23578"/>
      <c r="P23578"/>
      <c r="Q23578"/>
      <c r="R23578"/>
      <c r="S23578"/>
    </row>
    <row r="23579" spans="13:19" ht="13.95" customHeight="1">
      <c r="M23579"/>
      <c r="N23579"/>
      <c r="O23579"/>
      <c r="P23579"/>
      <c r="Q23579"/>
      <c r="R23579"/>
      <c r="S23579"/>
    </row>
    <row r="23580" spans="13:19" ht="13.95" customHeight="1">
      <c r="M23580"/>
      <c r="N23580"/>
      <c r="O23580"/>
      <c r="P23580"/>
      <c r="Q23580"/>
      <c r="R23580"/>
      <c r="S23580"/>
    </row>
    <row r="23581" spans="13:19" ht="13.95" customHeight="1">
      <c r="M23581"/>
      <c r="N23581"/>
      <c r="O23581"/>
      <c r="P23581"/>
      <c r="Q23581"/>
      <c r="R23581"/>
      <c r="S23581"/>
    </row>
    <row r="23582" spans="13:19" ht="13.95" customHeight="1">
      <c r="M23582"/>
      <c r="N23582"/>
      <c r="O23582"/>
      <c r="P23582"/>
      <c r="Q23582"/>
      <c r="R23582"/>
      <c r="S23582"/>
    </row>
    <row r="23583" spans="13:19" ht="13.95" customHeight="1">
      <c r="M23583"/>
      <c r="N23583"/>
      <c r="O23583"/>
      <c r="P23583"/>
      <c r="Q23583"/>
      <c r="R23583"/>
      <c r="S23583"/>
    </row>
    <row r="23584" spans="13:19" ht="13.95" customHeight="1">
      <c r="M23584"/>
      <c r="N23584"/>
      <c r="O23584"/>
      <c r="P23584"/>
      <c r="Q23584"/>
      <c r="R23584"/>
      <c r="S23584"/>
    </row>
    <row r="23585" spans="13:19" ht="13.95" customHeight="1">
      <c r="M23585"/>
      <c r="N23585"/>
      <c r="O23585"/>
      <c r="P23585"/>
      <c r="Q23585"/>
      <c r="R23585"/>
      <c r="S23585"/>
    </row>
    <row r="23586" spans="13:19" ht="13.95" customHeight="1">
      <c r="M23586"/>
      <c r="N23586"/>
      <c r="O23586"/>
      <c r="P23586"/>
      <c r="Q23586"/>
      <c r="R23586"/>
      <c r="S23586"/>
    </row>
    <row r="23587" spans="13:19" ht="13.95" customHeight="1">
      <c r="M23587"/>
      <c r="N23587"/>
      <c r="O23587"/>
      <c r="P23587"/>
      <c r="Q23587"/>
      <c r="R23587"/>
      <c r="S23587"/>
    </row>
    <row r="23588" spans="13:19" ht="13.95" customHeight="1">
      <c r="M23588"/>
      <c r="N23588"/>
      <c r="O23588"/>
      <c r="P23588"/>
      <c r="Q23588"/>
      <c r="R23588"/>
      <c r="S23588"/>
    </row>
    <row r="23589" spans="13:19" ht="13.95" customHeight="1">
      <c r="M23589"/>
      <c r="N23589"/>
      <c r="O23589"/>
      <c r="P23589"/>
      <c r="Q23589"/>
      <c r="R23589"/>
      <c r="S23589"/>
    </row>
    <row r="23590" spans="13:19" ht="13.95" customHeight="1">
      <c r="M23590"/>
      <c r="N23590"/>
      <c r="O23590"/>
      <c r="P23590"/>
      <c r="Q23590"/>
      <c r="R23590"/>
      <c r="S23590"/>
    </row>
    <row r="23591" spans="13:19" ht="13.95" customHeight="1">
      <c r="M23591"/>
      <c r="N23591"/>
      <c r="O23591"/>
      <c r="P23591"/>
      <c r="Q23591"/>
      <c r="R23591"/>
      <c r="S23591"/>
    </row>
    <row r="23592" spans="13:19" ht="13.95" customHeight="1">
      <c r="M23592"/>
      <c r="N23592"/>
      <c r="O23592"/>
      <c r="P23592"/>
      <c r="Q23592"/>
      <c r="R23592"/>
      <c r="S23592"/>
    </row>
    <row r="23593" spans="13:19" ht="13.95" customHeight="1">
      <c r="M23593"/>
      <c r="N23593"/>
      <c r="O23593"/>
      <c r="P23593"/>
      <c r="Q23593"/>
      <c r="R23593"/>
      <c r="S23593"/>
    </row>
    <row r="23594" spans="13:19" ht="13.95" customHeight="1">
      <c r="M23594"/>
      <c r="N23594"/>
      <c r="O23594"/>
      <c r="P23594"/>
      <c r="Q23594"/>
      <c r="R23594"/>
      <c r="S23594"/>
    </row>
    <row r="23595" spans="13:19" ht="13.95" customHeight="1">
      <c r="M23595"/>
      <c r="N23595"/>
      <c r="O23595"/>
      <c r="P23595"/>
      <c r="Q23595"/>
      <c r="R23595"/>
      <c r="S23595"/>
    </row>
    <row r="23596" spans="13:19" ht="13.95" customHeight="1">
      <c r="M23596"/>
      <c r="N23596"/>
      <c r="O23596"/>
      <c r="P23596"/>
      <c r="Q23596"/>
      <c r="R23596"/>
      <c r="S23596"/>
    </row>
    <row r="23597" spans="13:19" ht="13.95" customHeight="1">
      <c r="M23597"/>
      <c r="N23597"/>
      <c r="O23597"/>
      <c r="P23597"/>
      <c r="Q23597"/>
      <c r="R23597"/>
      <c r="S23597"/>
    </row>
    <row r="23598" spans="13:19" ht="13.95" customHeight="1">
      <c r="M23598"/>
      <c r="N23598"/>
      <c r="O23598"/>
      <c r="P23598"/>
      <c r="Q23598"/>
      <c r="R23598"/>
      <c r="S23598"/>
    </row>
    <row r="23599" spans="13:19" ht="13.95" customHeight="1">
      <c r="M23599"/>
      <c r="N23599"/>
      <c r="O23599"/>
      <c r="P23599"/>
      <c r="Q23599"/>
      <c r="R23599"/>
      <c r="S23599"/>
    </row>
    <row r="23600" spans="13:19" ht="13.95" customHeight="1">
      <c r="M23600"/>
      <c r="N23600"/>
      <c r="O23600"/>
      <c r="P23600"/>
      <c r="Q23600"/>
      <c r="R23600"/>
      <c r="S23600"/>
    </row>
    <row r="23601" spans="13:19" ht="13.95" customHeight="1">
      <c r="M23601"/>
      <c r="N23601"/>
      <c r="O23601"/>
      <c r="P23601"/>
      <c r="Q23601"/>
      <c r="R23601"/>
      <c r="S23601"/>
    </row>
    <row r="23602" spans="13:19" ht="13.95" customHeight="1">
      <c r="M23602"/>
      <c r="N23602"/>
      <c r="O23602"/>
      <c r="P23602"/>
      <c r="Q23602"/>
      <c r="R23602"/>
      <c r="S23602"/>
    </row>
    <row r="23603" spans="13:19" ht="13.95" customHeight="1">
      <c r="M23603"/>
      <c r="N23603"/>
      <c r="O23603"/>
      <c r="P23603"/>
      <c r="Q23603"/>
      <c r="R23603"/>
      <c r="S23603"/>
    </row>
    <row r="23604" spans="13:19" ht="13.95" customHeight="1">
      <c r="M23604"/>
      <c r="N23604"/>
      <c r="O23604"/>
      <c r="P23604"/>
      <c r="Q23604"/>
      <c r="R23604"/>
      <c r="S23604"/>
    </row>
    <row r="23605" spans="13:19" ht="13.95" customHeight="1">
      <c r="M23605"/>
      <c r="N23605"/>
      <c r="O23605"/>
      <c r="P23605"/>
      <c r="Q23605"/>
      <c r="R23605"/>
      <c r="S23605"/>
    </row>
    <row r="23606" spans="13:19" ht="13.95" customHeight="1">
      <c r="M23606"/>
      <c r="N23606"/>
      <c r="O23606"/>
      <c r="P23606"/>
      <c r="Q23606"/>
      <c r="R23606"/>
      <c r="S23606"/>
    </row>
    <row r="23607" spans="13:19" ht="13.95" customHeight="1">
      <c r="M23607"/>
      <c r="N23607"/>
      <c r="O23607"/>
      <c r="P23607"/>
      <c r="Q23607"/>
      <c r="R23607"/>
      <c r="S23607"/>
    </row>
    <row r="23608" spans="13:19" ht="13.95" customHeight="1">
      <c r="M23608"/>
      <c r="N23608"/>
      <c r="O23608"/>
      <c r="P23608"/>
      <c r="Q23608"/>
      <c r="R23608"/>
      <c r="S23608"/>
    </row>
    <row r="23609" spans="13:19" ht="13.95" customHeight="1">
      <c r="M23609"/>
      <c r="N23609"/>
      <c r="O23609"/>
      <c r="P23609"/>
      <c r="Q23609"/>
      <c r="R23609"/>
      <c r="S23609"/>
    </row>
    <row r="23610" spans="13:19" ht="13.95" customHeight="1">
      <c r="M23610"/>
      <c r="N23610"/>
      <c r="O23610"/>
      <c r="P23610"/>
      <c r="Q23610"/>
      <c r="R23610"/>
      <c r="S23610"/>
    </row>
    <row r="23611" spans="13:19" ht="13.95" customHeight="1">
      <c r="M23611"/>
      <c r="N23611"/>
      <c r="O23611"/>
      <c r="P23611"/>
      <c r="Q23611"/>
      <c r="R23611"/>
      <c r="S23611"/>
    </row>
    <row r="23612" spans="13:19" ht="13.95" customHeight="1">
      <c r="M23612"/>
      <c r="N23612"/>
      <c r="O23612"/>
      <c r="P23612"/>
      <c r="Q23612"/>
      <c r="R23612"/>
      <c r="S23612"/>
    </row>
    <row r="23613" spans="13:19" ht="13.95" customHeight="1">
      <c r="M23613"/>
      <c r="N23613"/>
      <c r="O23613"/>
      <c r="P23613"/>
      <c r="Q23613"/>
      <c r="R23613"/>
      <c r="S23613"/>
    </row>
    <row r="23614" spans="13:19" ht="13.95" customHeight="1">
      <c r="M23614"/>
      <c r="N23614"/>
      <c r="O23614"/>
      <c r="P23614"/>
      <c r="Q23614"/>
      <c r="R23614"/>
      <c r="S23614"/>
    </row>
    <row r="23615" spans="13:19" ht="13.95" customHeight="1">
      <c r="M23615"/>
      <c r="N23615"/>
      <c r="O23615"/>
      <c r="P23615"/>
      <c r="Q23615"/>
      <c r="R23615"/>
      <c r="S23615"/>
    </row>
    <row r="23616" spans="13:19" ht="13.95" customHeight="1">
      <c r="M23616"/>
      <c r="N23616"/>
      <c r="O23616"/>
      <c r="P23616"/>
      <c r="Q23616"/>
      <c r="R23616"/>
      <c r="S23616"/>
    </row>
    <row r="23617" spans="13:19" ht="13.95" customHeight="1">
      <c r="M23617"/>
      <c r="N23617"/>
      <c r="O23617"/>
      <c r="P23617"/>
      <c r="Q23617"/>
      <c r="R23617"/>
      <c r="S23617"/>
    </row>
    <row r="23618" spans="13:19" ht="13.95" customHeight="1">
      <c r="M23618"/>
      <c r="N23618"/>
      <c r="O23618"/>
      <c r="P23618"/>
      <c r="Q23618"/>
      <c r="R23618"/>
      <c r="S23618"/>
    </row>
    <row r="23619" spans="13:19" ht="13.95" customHeight="1">
      <c r="M23619"/>
      <c r="N23619"/>
      <c r="O23619"/>
      <c r="P23619"/>
      <c r="Q23619"/>
      <c r="R23619"/>
      <c r="S23619"/>
    </row>
    <row r="23620" spans="13:19" ht="13.95" customHeight="1">
      <c r="M23620"/>
      <c r="N23620"/>
      <c r="O23620"/>
      <c r="P23620"/>
      <c r="Q23620"/>
      <c r="R23620"/>
      <c r="S23620"/>
    </row>
    <row r="23621" spans="13:19" ht="13.95" customHeight="1">
      <c r="M23621"/>
      <c r="N23621"/>
      <c r="O23621"/>
      <c r="P23621"/>
      <c r="Q23621"/>
      <c r="R23621"/>
      <c r="S23621"/>
    </row>
    <row r="23622" spans="13:19" ht="13.95" customHeight="1">
      <c r="M23622"/>
      <c r="N23622"/>
      <c r="O23622"/>
      <c r="P23622"/>
      <c r="Q23622"/>
      <c r="R23622"/>
      <c r="S23622"/>
    </row>
    <row r="23623" spans="13:19" ht="13.95" customHeight="1">
      <c r="M23623"/>
      <c r="N23623"/>
      <c r="O23623"/>
      <c r="P23623"/>
      <c r="Q23623"/>
      <c r="R23623"/>
      <c r="S23623"/>
    </row>
    <row r="23624" spans="13:19" ht="13.95" customHeight="1">
      <c r="M23624"/>
      <c r="N23624"/>
      <c r="O23624"/>
      <c r="P23624"/>
      <c r="Q23624"/>
      <c r="R23624"/>
      <c r="S23624"/>
    </row>
    <row r="23625" spans="13:19" ht="13.95" customHeight="1">
      <c r="M23625"/>
      <c r="N23625"/>
      <c r="O23625"/>
      <c r="P23625"/>
      <c r="Q23625"/>
      <c r="R23625"/>
      <c r="S23625"/>
    </row>
    <row r="23626" spans="13:19" ht="13.95" customHeight="1">
      <c r="M23626"/>
      <c r="N23626"/>
      <c r="O23626"/>
      <c r="P23626"/>
      <c r="Q23626"/>
      <c r="R23626"/>
      <c r="S23626"/>
    </row>
    <row r="23627" spans="13:19" ht="13.95" customHeight="1">
      <c r="M23627"/>
      <c r="N23627"/>
      <c r="O23627"/>
      <c r="P23627"/>
      <c r="Q23627"/>
      <c r="R23627"/>
      <c r="S23627"/>
    </row>
    <row r="23628" spans="13:19" ht="13.95" customHeight="1">
      <c r="M23628"/>
      <c r="N23628"/>
      <c r="O23628"/>
      <c r="P23628"/>
      <c r="Q23628"/>
      <c r="R23628"/>
      <c r="S23628"/>
    </row>
    <row r="23629" spans="13:19" ht="13.95" customHeight="1">
      <c r="M23629"/>
      <c r="N23629"/>
      <c r="O23629"/>
      <c r="P23629"/>
      <c r="Q23629"/>
      <c r="R23629"/>
      <c r="S23629"/>
    </row>
    <row r="23630" spans="13:19" ht="13.95" customHeight="1">
      <c r="M23630"/>
      <c r="N23630"/>
      <c r="O23630"/>
      <c r="P23630"/>
      <c r="Q23630"/>
      <c r="R23630"/>
      <c r="S23630"/>
    </row>
    <row r="23631" spans="13:19" ht="13.95" customHeight="1">
      <c r="M23631"/>
      <c r="N23631"/>
      <c r="O23631"/>
      <c r="P23631"/>
      <c r="Q23631"/>
      <c r="R23631"/>
      <c r="S23631"/>
    </row>
    <row r="23632" spans="13:19" ht="13.95" customHeight="1">
      <c r="M23632"/>
      <c r="N23632"/>
      <c r="O23632"/>
      <c r="P23632"/>
      <c r="Q23632"/>
      <c r="R23632"/>
      <c r="S23632"/>
    </row>
    <row r="23633" spans="13:19" ht="13.95" customHeight="1">
      <c r="M23633"/>
      <c r="N23633"/>
      <c r="O23633"/>
      <c r="P23633"/>
      <c r="Q23633"/>
      <c r="R23633"/>
      <c r="S23633"/>
    </row>
    <row r="23634" spans="13:19" ht="13.95" customHeight="1">
      <c r="M23634"/>
      <c r="N23634"/>
      <c r="O23634"/>
      <c r="P23634"/>
      <c r="Q23634"/>
      <c r="R23634"/>
      <c r="S23634"/>
    </row>
    <row r="23635" spans="13:19" ht="13.95" customHeight="1">
      <c r="M23635"/>
      <c r="N23635"/>
      <c r="O23635"/>
      <c r="P23635"/>
      <c r="Q23635"/>
      <c r="R23635"/>
      <c r="S23635"/>
    </row>
    <row r="23636" spans="13:19" ht="13.95" customHeight="1">
      <c r="M23636"/>
      <c r="N23636"/>
      <c r="O23636"/>
      <c r="P23636"/>
      <c r="Q23636"/>
      <c r="R23636"/>
      <c r="S23636"/>
    </row>
    <row r="23637" spans="13:19" ht="13.95" customHeight="1">
      <c r="M23637"/>
      <c r="N23637"/>
      <c r="O23637"/>
      <c r="P23637"/>
      <c r="Q23637"/>
      <c r="R23637"/>
      <c r="S23637"/>
    </row>
    <row r="23638" spans="13:19" ht="13.95" customHeight="1">
      <c r="M23638"/>
      <c r="N23638"/>
      <c r="O23638"/>
      <c r="P23638"/>
      <c r="Q23638"/>
      <c r="R23638"/>
      <c r="S23638"/>
    </row>
    <row r="23639" spans="13:19" ht="13.95" customHeight="1">
      <c r="M23639"/>
      <c r="N23639"/>
      <c r="O23639"/>
      <c r="P23639"/>
      <c r="Q23639"/>
      <c r="R23639"/>
      <c r="S23639"/>
    </row>
    <row r="23640" spans="13:19" ht="13.95" customHeight="1">
      <c r="M23640"/>
      <c r="N23640"/>
      <c r="O23640"/>
      <c r="P23640"/>
      <c r="Q23640"/>
      <c r="R23640"/>
      <c r="S23640"/>
    </row>
    <row r="23641" spans="13:19" ht="13.95" customHeight="1">
      <c r="M23641"/>
      <c r="N23641"/>
      <c r="O23641"/>
      <c r="P23641"/>
      <c r="Q23641"/>
      <c r="R23641"/>
      <c r="S23641"/>
    </row>
    <row r="23642" spans="13:19" ht="13.95" customHeight="1">
      <c r="M23642"/>
      <c r="N23642"/>
      <c r="O23642"/>
      <c r="P23642"/>
      <c r="Q23642"/>
      <c r="R23642"/>
      <c r="S23642"/>
    </row>
    <row r="23643" spans="13:19" ht="13.95" customHeight="1">
      <c r="M23643"/>
      <c r="N23643"/>
      <c r="O23643"/>
      <c r="P23643"/>
      <c r="Q23643"/>
      <c r="R23643"/>
      <c r="S23643"/>
    </row>
    <row r="23644" spans="13:19" ht="13.95" customHeight="1">
      <c r="M23644"/>
      <c r="N23644"/>
      <c r="O23644"/>
      <c r="P23644"/>
      <c r="Q23644"/>
      <c r="R23644"/>
      <c r="S23644"/>
    </row>
    <row r="23645" spans="13:19" ht="13.95" customHeight="1">
      <c r="M23645"/>
      <c r="N23645"/>
      <c r="O23645"/>
      <c r="P23645"/>
      <c r="Q23645"/>
      <c r="R23645"/>
      <c r="S23645"/>
    </row>
    <row r="23646" spans="13:19" ht="13.95" customHeight="1">
      <c r="M23646"/>
      <c r="N23646"/>
      <c r="O23646"/>
      <c r="P23646"/>
      <c r="Q23646"/>
      <c r="R23646"/>
      <c r="S23646"/>
    </row>
    <row r="23647" spans="13:19" ht="13.95" customHeight="1">
      <c r="M23647"/>
      <c r="N23647"/>
      <c r="O23647"/>
      <c r="P23647"/>
      <c r="Q23647"/>
      <c r="R23647"/>
      <c r="S23647"/>
    </row>
    <row r="23648" spans="13:19" ht="13.95" customHeight="1">
      <c r="M23648"/>
      <c r="N23648"/>
      <c r="O23648"/>
      <c r="P23648"/>
      <c r="Q23648"/>
      <c r="R23648"/>
      <c r="S23648"/>
    </row>
    <row r="23649" spans="13:19" ht="13.95" customHeight="1">
      <c r="M23649"/>
      <c r="N23649"/>
      <c r="O23649"/>
      <c r="P23649"/>
      <c r="Q23649"/>
      <c r="R23649"/>
      <c r="S23649"/>
    </row>
    <row r="23650" spans="13:19" ht="13.95" customHeight="1">
      <c r="M23650"/>
      <c r="N23650"/>
      <c r="O23650"/>
      <c r="P23650"/>
      <c r="Q23650"/>
      <c r="R23650"/>
      <c r="S23650"/>
    </row>
    <row r="23651" spans="13:19" ht="13.95" customHeight="1">
      <c r="M23651"/>
      <c r="N23651"/>
      <c r="O23651"/>
      <c r="P23651"/>
      <c r="Q23651"/>
      <c r="R23651"/>
      <c r="S23651"/>
    </row>
    <row r="23652" spans="13:19" ht="13.95" customHeight="1">
      <c r="M23652"/>
      <c r="N23652"/>
      <c r="O23652"/>
      <c r="P23652"/>
      <c r="Q23652"/>
      <c r="R23652"/>
      <c r="S23652"/>
    </row>
    <row r="23653" spans="13:19" ht="13.95" customHeight="1">
      <c r="M23653"/>
      <c r="N23653"/>
      <c r="O23653"/>
      <c r="P23653"/>
      <c r="Q23653"/>
      <c r="R23653"/>
      <c r="S23653"/>
    </row>
    <row r="23654" spans="13:19" ht="13.95" customHeight="1">
      <c r="M23654"/>
      <c r="N23654"/>
      <c r="O23654"/>
      <c r="P23654"/>
      <c r="Q23654"/>
      <c r="R23654"/>
      <c r="S23654"/>
    </row>
    <row r="23655" spans="13:19" ht="13.95" customHeight="1">
      <c r="M23655"/>
      <c r="N23655"/>
      <c r="O23655"/>
      <c r="P23655"/>
      <c r="Q23655"/>
      <c r="R23655"/>
      <c r="S23655"/>
    </row>
    <row r="23656" spans="13:19" ht="13.95" customHeight="1">
      <c r="M23656"/>
      <c r="N23656"/>
      <c r="O23656"/>
      <c r="P23656"/>
      <c r="Q23656"/>
      <c r="R23656"/>
      <c r="S23656"/>
    </row>
    <row r="23657" spans="13:19" ht="13.95" customHeight="1">
      <c r="M23657"/>
      <c r="N23657"/>
      <c r="O23657"/>
      <c r="P23657"/>
      <c r="Q23657"/>
      <c r="R23657"/>
      <c r="S23657"/>
    </row>
    <row r="23658" spans="13:19" ht="13.95" customHeight="1">
      <c r="M23658"/>
      <c r="N23658"/>
      <c r="O23658"/>
      <c r="P23658"/>
      <c r="Q23658"/>
      <c r="R23658"/>
      <c r="S23658"/>
    </row>
    <row r="23659" spans="13:19" ht="13.95" customHeight="1">
      <c r="M23659"/>
      <c r="N23659"/>
      <c r="O23659"/>
      <c r="P23659"/>
      <c r="Q23659"/>
      <c r="R23659"/>
      <c r="S23659"/>
    </row>
    <row r="23660" spans="13:19" ht="13.95" customHeight="1">
      <c r="M23660"/>
      <c r="N23660"/>
      <c r="O23660"/>
      <c r="P23660"/>
      <c r="Q23660"/>
      <c r="R23660"/>
      <c r="S23660"/>
    </row>
    <row r="23661" spans="13:19" ht="13.95" customHeight="1">
      <c r="M23661"/>
      <c r="N23661"/>
      <c r="O23661"/>
      <c r="P23661"/>
      <c r="Q23661"/>
      <c r="R23661"/>
      <c r="S23661"/>
    </row>
    <row r="23662" spans="13:19" ht="13.95" customHeight="1">
      <c r="M23662"/>
      <c r="N23662"/>
      <c r="O23662"/>
      <c r="P23662"/>
      <c r="Q23662"/>
      <c r="R23662"/>
      <c r="S23662"/>
    </row>
    <row r="23663" spans="13:19" ht="13.95" customHeight="1">
      <c r="M23663"/>
      <c r="N23663"/>
      <c r="O23663"/>
      <c r="P23663"/>
      <c r="Q23663"/>
      <c r="R23663"/>
      <c r="S23663"/>
    </row>
    <row r="23664" spans="13:19" ht="13.95" customHeight="1">
      <c r="M23664"/>
      <c r="N23664"/>
      <c r="O23664"/>
      <c r="P23664"/>
      <c r="Q23664"/>
      <c r="R23664"/>
      <c r="S23664"/>
    </row>
    <row r="23665" spans="13:19" ht="13.95" customHeight="1">
      <c r="M23665"/>
      <c r="N23665"/>
      <c r="O23665"/>
      <c r="P23665"/>
      <c r="Q23665"/>
      <c r="R23665"/>
      <c r="S23665"/>
    </row>
    <row r="23666" spans="13:19" ht="13.95" customHeight="1">
      <c r="M23666"/>
      <c r="N23666"/>
      <c r="O23666"/>
      <c r="P23666"/>
      <c r="Q23666"/>
      <c r="R23666"/>
      <c r="S23666"/>
    </row>
    <row r="23667" spans="13:19" ht="13.95" customHeight="1">
      <c r="M23667"/>
      <c r="N23667"/>
      <c r="O23667"/>
      <c r="P23667"/>
      <c r="Q23667"/>
      <c r="R23667"/>
      <c r="S23667"/>
    </row>
    <row r="23668" spans="13:19" ht="13.95" customHeight="1">
      <c r="M23668"/>
      <c r="N23668"/>
      <c r="O23668"/>
      <c r="P23668"/>
      <c r="Q23668"/>
      <c r="R23668"/>
      <c r="S23668"/>
    </row>
    <row r="23669" spans="13:19" ht="13.95" customHeight="1">
      <c r="M23669"/>
      <c r="N23669"/>
      <c r="O23669"/>
      <c r="P23669"/>
      <c r="Q23669"/>
      <c r="R23669"/>
      <c r="S23669"/>
    </row>
    <row r="23670" spans="13:19" ht="13.95" customHeight="1">
      <c r="M23670"/>
      <c r="N23670"/>
      <c r="O23670"/>
      <c r="P23670"/>
      <c r="Q23670"/>
      <c r="R23670"/>
      <c r="S23670"/>
    </row>
    <row r="23671" spans="13:19" ht="13.95" customHeight="1">
      <c r="M23671"/>
      <c r="N23671"/>
      <c r="O23671"/>
      <c r="P23671"/>
      <c r="Q23671"/>
      <c r="R23671"/>
      <c r="S23671"/>
    </row>
    <row r="23672" spans="13:19" ht="13.95" customHeight="1">
      <c r="M23672"/>
      <c r="N23672"/>
      <c r="O23672"/>
      <c r="P23672"/>
      <c r="Q23672"/>
      <c r="R23672"/>
      <c r="S23672"/>
    </row>
    <row r="23673" spans="13:19" ht="13.95" customHeight="1">
      <c r="M23673"/>
      <c r="N23673"/>
      <c r="O23673"/>
      <c r="P23673"/>
      <c r="Q23673"/>
      <c r="R23673"/>
      <c r="S23673"/>
    </row>
    <row r="23674" spans="13:19" ht="13.95" customHeight="1">
      <c r="M23674"/>
      <c r="N23674"/>
      <c r="O23674"/>
      <c r="P23674"/>
      <c r="Q23674"/>
      <c r="R23674"/>
      <c r="S23674"/>
    </row>
    <row r="23675" spans="13:19" ht="13.95" customHeight="1">
      <c r="M23675"/>
      <c r="N23675"/>
      <c r="O23675"/>
      <c r="P23675"/>
      <c r="Q23675"/>
      <c r="R23675"/>
      <c r="S23675"/>
    </row>
    <row r="23676" spans="13:19" ht="13.95" customHeight="1">
      <c r="M23676"/>
      <c r="N23676"/>
      <c r="O23676"/>
      <c r="P23676"/>
      <c r="Q23676"/>
      <c r="R23676"/>
      <c r="S23676"/>
    </row>
    <row r="23677" spans="13:19" ht="13.95" customHeight="1">
      <c r="M23677"/>
      <c r="N23677"/>
      <c r="O23677"/>
      <c r="P23677"/>
      <c r="Q23677"/>
      <c r="R23677"/>
      <c r="S23677"/>
    </row>
    <row r="23678" spans="13:19" ht="13.95" customHeight="1">
      <c r="M23678"/>
      <c r="N23678"/>
      <c r="O23678"/>
      <c r="P23678"/>
      <c r="Q23678"/>
      <c r="R23678"/>
      <c r="S23678"/>
    </row>
    <row r="23679" spans="13:19" ht="13.95" customHeight="1">
      <c r="M23679"/>
      <c r="N23679"/>
      <c r="O23679"/>
      <c r="P23679"/>
      <c r="Q23679"/>
      <c r="R23679"/>
      <c r="S23679"/>
    </row>
    <row r="23680" spans="13:19" ht="13.95" customHeight="1">
      <c r="M23680"/>
      <c r="N23680"/>
      <c r="O23680"/>
      <c r="P23680"/>
      <c r="Q23680"/>
      <c r="R23680"/>
      <c r="S23680"/>
    </row>
    <row r="23681" spans="13:19" ht="13.95" customHeight="1">
      <c r="M23681"/>
      <c r="N23681"/>
      <c r="O23681"/>
      <c r="P23681"/>
      <c r="Q23681"/>
      <c r="R23681"/>
      <c r="S23681"/>
    </row>
    <row r="23682" spans="13:19" ht="13.95" customHeight="1">
      <c r="M23682"/>
      <c r="N23682"/>
      <c r="O23682"/>
      <c r="P23682"/>
      <c r="Q23682"/>
      <c r="R23682"/>
      <c r="S23682"/>
    </row>
    <row r="23683" spans="13:19" ht="13.95" customHeight="1">
      <c r="M23683"/>
      <c r="N23683"/>
      <c r="O23683"/>
      <c r="P23683"/>
      <c r="Q23683"/>
      <c r="R23683"/>
      <c r="S23683"/>
    </row>
    <row r="23684" spans="13:19" ht="13.95" customHeight="1">
      <c r="M23684"/>
      <c r="N23684"/>
      <c r="O23684"/>
      <c r="P23684"/>
      <c r="Q23684"/>
      <c r="R23684"/>
      <c r="S23684"/>
    </row>
    <row r="23685" spans="13:19" ht="13.95" customHeight="1">
      <c r="M23685"/>
      <c r="N23685"/>
      <c r="O23685"/>
      <c r="P23685"/>
      <c r="Q23685"/>
      <c r="R23685"/>
      <c r="S23685"/>
    </row>
    <row r="23686" spans="13:19" ht="13.95" customHeight="1">
      <c r="M23686"/>
      <c r="N23686"/>
      <c r="O23686"/>
      <c r="P23686"/>
      <c r="Q23686"/>
      <c r="R23686"/>
      <c r="S23686"/>
    </row>
    <row r="23687" spans="13:19" ht="13.95" customHeight="1">
      <c r="M23687"/>
      <c r="N23687"/>
      <c r="O23687"/>
      <c r="P23687"/>
      <c r="Q23687"/>
      <c r="R23687"/>
      <c r="S23687"/>
    </row>
    <row r="23688" spans="13:19" ht="13.95" customHeight="1">
      <c r="M23688"/>
      <c r="N23688"/>
      <c r="O23688"/>
      <c r="P23688"/>
      <c r="Q23688"/>
      <c r="R23688"/>
      <c r="S23688"/>
    </row>
    <row r="23689" spans="13:19" ht="13.95" customHeight="1">
      <c r="M23689"/>
      <c r="N23689"/>
      <c r="O23689"/>
      <c r="P23689"/>
      <c r="Q23689"/>
      <c r="R23689"/>
      <c r="S23689"/>
    </row>
    <row r="23690" spans="13:19" ht="13.95" customHeight="1">
      <c r="M23690"/>
      <c r="N23690"/>
      <c r="O23690"/>
      <c r="P23690"/>
      <c r="Q23690"/>
      <c r="R23690"/>
      <c r="S23690"/>
    </row>
    <row r="23691" spans="13:19" ht="13.95" customHeight="1">
      <c r="M23691"/>
      <c r="N23691"/>
      <c r="O23691"/>
      <c r="P23691"/>
      <c r="Q23691"/>
      <c r="R23691"/>
      <c r="S23691"/>
    </row>
    <row r="23692" spans="13:19" ht="13.95" customHeight="1">
      <c r="M23692"/>
      <c r="N23692"/>
      <c r="O23692"/>
      <c r="P23692"/>
      <c r="Q23692"/>
      <c r="R23692"/>
      <c r="S23692"/>
    </row>
    <row r="23693" spans="13:19" ht="13.95" customHeight="1">
      <c r="M23693"/>
      <c r="N23693"/>
      <c r="O23693"/>
      <c r="P23693"/>
      <c r="Q23693"/>
      <c r="R23693"/>
      <c r="S23693"/>
    </row>
    <row r="23694" spans="13:19" ht="13.95" customHeight="1">
      <c r="M23694"/>
      <c r="N23694"/>
      <c r="O23694"/>
      <c r="P23694"/>
      <c r="Q23694"/>
      <c r="R23694"/>
      <c r="S23694"/>
    </row>
    <row r="23695" spans="13:19" ht="13.95" customHeight="1">
      <c r="M23695"/>
      <c r="N23695"/>
      <c r="O23695"/>
      <c r="P23695"/>
      <c r="Q23695"/>
      <c r="R23695"/>
      <c r="S23695"/>
    </row>
    <row r="23696" spans="13:19" ht="13.95" customHeight="1">
      <c r="M23696"/>
      <c r="N23696"/>
      <c r="O23696"/>
      <c r="P23696"/>
      <c r="Q23696"/>
      <c r="R23696"/>
      <c r="S23696"/>
    </row>
    <row r="23697" spans="13:19" ht="13.95" customHeight="1">
      <c r="M23697"/>
      <c r="N23697"/>
      <c r="O23697"/>
      <c r="P23697"/>
      <c r="Q23697"/>
      <c r="R23697"/>
      <c r="S23697"/>
    </row>
    <row r="23698" spans="13:19" ht="13.95" customHeight="1">
      <c r="M23698"/>
      <c r="N23698"/>
      <c r="O23698"/>
      <c r="P23698"/>
      <c r="Q23698"/>
      <c r="R23698"/>
      <c r="S23698"/>
    </row>
    <row r="23699" spans="13:19" ht="13.95" customHeight="1">
      <c r="M23699"/>
      <c r="N23699"/>
      <c r="O23699"/>
      <c r="P23699"/>
      <c r="Q23699"/>
      <c r="R23699"/>
      <c r="S23699"/>
    </row>
    <row r="23700" spans="13:19" ht="13.95" customHeight="1">
      <c r="M23700"/>
      <c r="N23700"/>
      <c r="O23700"/>
      <c r="P23700"/>
      <c r="Q23700"/>
      <c r="R23700"/>
      <c r="S23700"/>
    </row>
    <row r="23701" spans="13:19" ht="13.95" customHeight="1">
      <c r="M23701"/>
      <c r="N23701"/>
      <c r="O23701"/>
      <c r="P23701"/>
      <c r="Q23701"/>
      <c r="R23701"/>
      <c r="S23701"/>
    </row>
    <row r="23702" spans="13:19" ht="13.95" customHeight="1">
      <c r="M23702"/>
      <c r="N23702"/>
      <c r="O23702"/>
      <c r="P23702"/>
      <c r="Q23702"/>
      <c r="R23702"/>
      <c r="S23702"/>
    </row>
    <row r="23703" spans="13:19" ht="13.95" customHeight="1">
      <c r="M23703"/>
      <c r="N23703"/>
      <c r="O23703"/>
      <c r="P23703"/>
      <c r="Q23703"/>
      <c r="R23703"/>
      <c r="S23703"/>
    </row>
    <row r="23704" spans="13:19" ht="13.95" customHeight="1">
      <c r="M23704"/>
      <c r="N23704"/>
      <c r="O23704"/>
      <c r="P23704"/>
      <c r="Q23704"/>
      <c r="R23704"/>
      <c r="S23704"/>
    </row>
    <row r="23705" spans="13:19" ht="13.95" customHeight="1">
      <c r="M23705"/>
      <c r="N23705"/>
      <c r="O23705"/>
      <c r="P23705"/>
      <c r="Q23705"/>
      <c r="R23705"/>
      <c r="S23705"/>
    </row>
    <row r="23706" spans="13:19" ht="13.95" customHeight="1">
      <c r="M23706"/>
      <c r="N23706"/>
      <c r="O23706"/>
      <c r="P23706"/>
      <c r="Q23706"/>
      <c r="R23706"/>
      <c r="S23706"/>
    </row>
    <row r="23707" spans="13:19" ht="13.95" customHeight="1">
      <c r="M23707"/>
      <c r="N23707"/>
      <c r="O23707"/>
      <c r="P23707"/>
      <c r="Q23707"/>
      <c r="R23707"/>
      <c r="S23707"/>
    </row>
    <row r="23708" spans="13:19" ht="13.95" customHeight="1">
      <c r="M23708"/>
      <c r="N23708"/>
      <c r="O23708"/>
      <c r="P23708"/>
      <c r="Q23708"/>
      <c r="R23708"/>
      <c r="S23708"/>
    </row>
    <row r="23709" spans="13:19" ht="13.95" customHeight="1">
      <c r="M23709"/>
      <c r="N23709"/>
      <c r="O23709"/>
      <c r="P23709"/>
      <c r="Q23709"/>
      <c r="R23709"/>
      <c r="S23709"/>
    </row>
    <row r="23710" spans="13:19" ht="13.95" customHeight="1">
      <c r="M23710"/>
      <c r="N23710"/>
      <c r="O23710"/>
      <c r="P23710"/>
      <c r="Q23710"/>
      <c r="R23710"/>
      <c r="S23710"/>
    </row>
    <row r="23711" spans="13:19" ht="13.95" customHeight="1">
      <c r="M23711"/>
      <c r="N23711"/>
      <c r="O23711"/>
      <c r="P23711"/>
      <c r="Q23711"/>
      <c r="R23711"/>
      <c r="S23711"/>
    </row>
    <row r="23712" spans="13:19" ht="13.95" customHeight="1">
      <c r="M23712"/>
      <c r="N23712"/>
      <c r="O23712"/>
      <c r="P23712"/>
      <c r="Q23712"/>
      <c r="R23712"/>
      <c r="S23712"/>
    </row>
    <row r="23713" spans="13:19" ht="13.95" customHeight="1">
      <c r="M23713"/>
      <c r="N23713"/>
      <c r="O23713"/>
      <c r="P23713"/>
      <c r="Q23713"/>
      <c r="R23713"/>
      <c r="S23713"/>
    </row>
    <row r="23714" spans="13:19" ht="13.95" customHeight="1">
      <c r="M23714"/>
      <c r="N23714"/>
      <c r="O23714"/>
      <c r="P23714"/>
      <c r="Q23714"/>
      <c r="R23714"/>
      <c r="S23714"/>
    </row>
    <row r="23715" spans="13:19" ht="13.95" customHeight="1">
      <c r="M23715"/>
      <c r="N23715"/>
      <c r="O23715"/>
      <c r="P23715"/>
      <c r="Q23715"/>
      <c r="R23715"/>
      <c r="S23715"/>
    </row>
    <row r="23716" spans="13:19" ht="13.95" customHeight="1">
      <c r="M23716"/>
      <c r="N23716"/>
      <c r="O23716"/>
      <c r="P23716"/>
      <c r="Q23716"/>
      <c r="R23716"/>
      <c r="S23716"/>
    </row>
    <row r="23717" spans="13:19" ht="13.95" customHeight="1">
      <c r="M23717"/>
      <c r="N23717"/>
      <c r="O23717"/>
      <c r="P23717"/>
      <c r="Q23717"/>
      <c r="R23717"/>
      <c r="S23717"/>
    </row>
    <row r="23718" spans="13:19" ht="13.95" customHeight="1">
      <c r="M23718"/>
      <c r="N23718"/>
      <c r="O23718"/>
      <c r="P23718"/>
      <c r="Q23718"/>
      <c r="R23718"/>
      <c r="S23718"/>
    </row>
    <row r="23719" spans="13:19" ht="13.95" customHeight="1">
      <c r="M23719"/>
      <c r="N23719"/>
      <c r="O23719"/>
      <c r="P23719"/>
      <c r="Q23719"/>
      <c r="R23719"/>
      <c r="S23719"/>
    </row>
    <row r="23720" spans="13:19" ht="13.95" customHeight="1">
      <c r="M23720"/>
      <c r="N23720"/>
      <c r="O23720"/>
      <c r="P23720"/>
      <c r="Q23720"/>
      <c r="R23720"/>
      <c r="S23720"/>
    </row>
    <row r="23721" spans="13:19" ht="13.95" customHeight="1">
      <c r="M23721"/>
      <c r="N23721"/>
      <c r="O23721"/>
      <c r="P23721"/>
      <c r="Q23721"/>
      <c r="R23721"/>
      <c r="S23721"/>
    </row>
    <row r="23722" spans="13:19" ht="13.95" customHeight="1">
      <c r="M23722"/>
      <c r="N23722"/>
      <c r="O23722"/>
      <c r="P23722"/>
      <c r="Q23722"/>
      <c r="R23722"/>
      <c r="S23722"/>
    </row>
    <row r="23723" spans="13:19" ht="13.95" customHeight="1">
      <c r="M23723"/>
      <c r="N23723"/>
      <c r="O23723"/>
      <c r="P23723"/>
      <c r="Q23723"/>
      <c r="R23723"/>
      <c r="S23723"/>
    </row>
    <row r="23724" spans="13:19" ht="13.95" customHeight="1">
      <c r="M23724"/>
      <c r="N23724"/>
      <c r="O23724"/>
      <c r="P23724"/>
      <c r="Q23724"/>
      <c r="R23724"/>
      <c r="S23724"/>
    </row>
    <row r="23725" spans="13:19" ht="13.95" customHeight="1">
      <c r="M23725"/>
      <c r="N23725"/>
      <c r="O23725"/>
      <c r="P23725"/>
      <c r="Q23725"/>
      <c r="R23725"/>
      <c r="S23725"/>
    </row>
    <row r="23726" spans="13:19" ht="13.95" customHeight="1">
      <c r="M23726"/>
      <c r="N23726"/>
      <c r="O23726"/>
      <c r="P23726"/>
      <c r="Q23726"/>
      <c r="R23726"/>
      <c r="S23726"/>
    </row>
    <row r="23727" spans="13:19" ht="13.95" customHeight="1">
      <c r="M23727"/>
      <c r="N23727"/>
      <c r="O23727"/>
      <c r="P23727"/>
      <c r="Q23727"/>
      <c r="R23727"/>
      <c r="S23727"/>
    </row>
    <row r="23728" spans="13:19" ht="13.95" customHeight="1">
      <c r="M23728"/>
      <c r="N23728"/>
      <c r="O23728"/>
      <c r="P23728"/>
      <c r="Q23728"/>
      <c r="R23728"/>
      <c r="S23728"/>
    </row>
    <row r="23729" spans="13:19" ht="13.95" customHeight="1">
      <c r="M23729"/>
      <c r="N23729"/>
      <c r="O23729"/>
      <c r="P23729"/>
      <c r="Q23729"/>
      <c r="R23729"/>
      <c r="S23729"/>
    </row>
    <row r="23730" spans="13:19" ht="13.95" customHeight="1">
      <c r="M23730"/>
      <c r="N23730"/>
      <c r="O23730"/>
      <c r="P23730"/>
      <c r="Q23730"/>
      <c r="R23730"/>
      <c r="S23730"/>
    </row>
    <row r="23731" spans="13:19" ht="13.95" customHeight="1">
      <c r="M23731"/>
      <c r="N23731"/>
      <c r="O23731"/>
      <c r="P23731"/>
      <c r="Q23731"/>
      <c r="R23731"/>
      <c r="S23731"/>
    </row>
    <row r="23732" spans="13:19" ht="13.95" customHeight="1">
      <c r="M23732"/>
      <c r="N23732"/>
      <c r="O23732"/>
      <c r="P23732"/>
      <c r="Q23732"/>
      <c r="R23732"/>
      <c r="S23732"/>
    </row>
    <row r="23733" spans="13:19" ht="13.95" customHeight="1">
      <c r="M23733"/>
      <c r="N23733"/>
      <c r="O23733"/>
      <c r="P23733"/>
      <c r="Q23733"/>
      <c r="R23733"/>
      <c r="S23733"/>
    </row>
    <row r="23734" spans="13:19" ht="13.95" customHeight="1">
      <c r="M23734"/>
      <c r="N23734"/>
      <c r="O23734"/>
      <c r="P23734"/>
      <c r="Q23734"/>
      <c r="R23734"/>
      <c r="S23734"/>
    </row>
    <row r="23735" spans="13:19" ht="13.95" customHeight="1">
      <c r="M23735"/>
      <c r="N23735"/>
      <c r="O23735"/>
      <c r="P23735"/>
      <c r="Q23735"/>
      <c r="R23735"/>
      <c r="S23735"/>
    </row>
    <row r="23736" spans="13:19" ht="13.95" customHeight="1">
      <c r="M23736"/>
      <c r="N23736"/>
      <c r="O23736"/>
      <c r="P23736"/>
      <c r="Q23736"/>
      <c r="R23736"/>
      <c r="S23736"/>
    </row>
    <row r="23737" spans="13:19" ht="13.95" customHeight="1">
      <c r="M23737"/>
      <c r="N23737"/>
      <c r="O23737"/>
      <c r="P23737"/>
      <c r="Q23737"/>
      <c r="R23737"/>
      <c r="S23737"/>
    </row>
    <row r="23738" spans="13:19" ht="13.95" customHeight="1">
      <c r="M23738"/>
      <c r="N23738"/>
      <c r="O23738"/>
      <c r="P23738"/>
      <c r="Q23738"/>
      <c r="R23738"/>
      <c r="S23738"/>
    </row>
    <row r="23739" spans="13:19" ht="13.95" customHeight="1">
      <c r="M23739"/>
      <c r="N23739"/>
      <c r="O23739"/>
      <c r="P23739"/>
      <c r="Q23739"/>
      <c r="R23739"/>
      <c r="S23739"/>
    </row>
    <row r="23740" spans="13:19" ht="13.95" customHeight="1">
      <c r="M23740"/>
      <c r="N23740"/>
      <c r="O23740"/>
      <c r="P23740"/>
      <c r="Q23740"/>
      <c r="R23740"/>
      <c r="S23740"/>
    </row>
    <row r="23741" spans="13:19" ht="13.95" customHeight="1">
      <c r="M23741"/>
      <c r="N23741"/>
      <c r="O23741"/>
      <c r="P23741"/>
      <c r="Q23741"/>
      <c r="R23741"/>
      <c r="S23741"/>
    </row>
    <row r="23742" spans="13:19" ht="13.95" customHeight="1">
      <c r="M23742"/>
      <c r="N23742"/>
      <c r="O23742"/>
      <c r="P23742"/>
      <c r="Q23742"/>
      <c r="R23742"/>
      <c r="S23742"/>
    </row>
    <row r="23743" spans="13:19" ht="13.95" customHeight="1">
      <c r="M23743"/>
      <c r="N23743"/>
      <c r="O23743"/>
      <c r="P23743"/>
      <c r="Q23743"/>
      <c r="R23743"/>
      <c r="S23743"/>
    </row>
    <row r="23744" spans="13:19" ht="13.95" customHeight="1">
      <c r="M23744"/>
      <c r="N23744"/>
      <c r="O23744"/>
      <c r="P23744"/>
      <c r="Q23744"/>
      <c r="R23744"/>
      <c r="S23744"/>
    </row>
    <row r="23745" spans="13:19" ht="13.95" customHeight="1">
      <c r="M23745"/>
      <c r="N23745"/>
      <c r="O23745"/>
      <c r="P23745"/>
      <c r="Q23745"/>
      <c r="R23745"/>
      <c r="S23745"/>
    </row>
    <row r="23746" spans="13:19" ht="13.95" customHeight="1">
      <c r="M23746"/>
      <c r="N23746"/>
      <c r="O23746"/>
      <c r="P23746"/>
      <c r="Q23746"/>
      <c r="R23746"/>
      <c r="S23746"/>
    </row>
    <row r="23747" spans="13:19" ht="13.95" customHeight="1">
      <c r="M23747"/>
      <c r="N23747"/>
      <c r="O23747"/>
      <c r="P23747"/>
      <c r="Q23747"/>
      <c r="R23747"/>
      <c r="S23747"/>
    </row>
    <row r="23748" spans="13:19" ht="13.95" customHeight="1">
      <c r="M23748"/>
      <c r="N23748"/>
      <c r="O23748"/>
      <c r="P23748"/>
      <c r="Q23748"/>
      <c r="R23748"/>
      <c r="S23748"/>
    </row>
    <row r="23749" spans="13:19" ht="13.95" customHeight="1">
      <c r="M23749"/>
      <c r="N23749"/>
      <c r="O23749"/>
      <c r="P23749"/>
      <c r="Q23749"/>
      <c r="R23749"/>
      <c r="S23749"/>
    </row>
    <row r="23750" spans="13:19" ht="13.95" customHeight="1">
      <c r="M23750"/>
      <c r="N23750"/>
      <c r="O23750"/>
      <c r="P23750"/>
      <c r="Q23750"/>
      <c r="R23750"/>
      <c r="S23750"/>
    </row>
    <row r="23751" spans="13:19" ht="13.95" customHeight="1">
      <c r="M23751"/>
      <c r="N23751"/>
      <c r="O23751"/>
      <c r="P23751"/>
      <c r="Q23751"/>
      <c r="R23751"/>
      <c r="S23751"/>
    </row>
    <row r="23752" spans="13:19" ht="13.95" customHeight="1">
      <c r="M23752"/>
      <c r="N23752"/>
      <c r="O23752"/>
      <c r="P23752"/>
      <c r="Q23752"/>
      <c r="R23752"/>
      <c r="S23752"/>
    </row>
    <row r="23753" spans="13:19" ht="13.95" customHeight="1">
      <c r="M23753"/>
      <c r="N23753"/>
      <c r="O23753"/>
      <c r="P23753"/>
      <c r="Q23753"/>
      <c r="R23753"/>
      <c r="S23753"/>
    </row>
    <row r="23754" spans="13:19" ht="13.95" customHeight="1">
      <c r="M23754"/>
      <c r="N23754"/>
      <c r="O23754"/>
      <c r="P23754"/>
      <c r="Q23754"/>
      <c r="R23754"/>
      <c r="S23754"/>
    </row>
    <row r="23755" spans="13:19" ht="13.95" customHeight="1">
      <c r="M23755"/>
      <c r="N23755"/>
      <c r="O23755"/>
      <c r="P23755"/>
      <c r="Q23755"/>
      <c r="R23755"/>
      <c r="S23755"/>
    </row>
    <row r="23756" spans="13:19" ht="13.95" customHeight="1">
      <c r="M23756"/>
      <c r="N23756"/>
      <c r="O23756"/>
      <c r="P23756"/>
      <c r="Q23756"/>
      <c r="R23756"/>
      <c r="S23756"/>
    </row>
    <row r="23757" spans="13:19" ht="13.95" customHeight="1">
      <c r="M23757"/>
      <c r="N23757"/>
      <c r="O23757"/>
      <c r="P23757"/>
      <c r="Q23757"/>
      <c r="R23757"/>
      <c r="S23757"/>
    </row>
    <row r="23758" spans="13:19" ht="13.95" customHeight="1">
      <c r="M23758"/>
      <c r="N23758"/>
      <c r="O23758"/>
      <c r="P23758"/>
      <c r="Q23758"/>
      <c r="R23758"/>
      <c r="S23758"/>
    </row>
    <row r="23759" spans="13:19" ht="13.95" customHeight="1">
      <c r="M23759"/>
      <c r="N23759"/>
      <c r="O23759"/>
      <c r="P23759"/>
      <c r="Q23759"/>
      <c r="R23759"/>
      <c r="S23759"/>
    </row>
    <row r="23760" spans="13:19" ht="13.95" customHeight="1">
      <c r="M23760"/>
      <c r="N23760"/>
      <c r="O23760"/>
      <c r="P23760"/>
      <c r="Q23760"/>
      <c r="R23760"/>
      <c r="S23760"/>
    </row>
    <row r="23761" spans="13:19" ht="13.95" customHeight="1">
      <c r="M23761"/>
      <c r="N23761"/>
      <c r="O23761"/>
      <c r="P23761"/>
      <c r="Q23761"/>
      <c r="R23761"/>
      <c r="S23761"/>
    </row>
    <row r="23762" spans="13:19" ht="13.95" customHeight="1">
      <c r="M23762"/>
      <c r="N23762"/>
      <c r="O23762"/>
      <c r="P23762"/>
      <c r="Q23762"/>
      <c r="R23762"/>
      <c r="S23762"/>
    </row>
    <row r="23763" spans="13:19" ht="13.95" customHeight="1">
      <c r="M23763"/>
      <c r="N23763"/>
      <c r="O23763"/>
      <c r="P23763"/>
      <c r="Q23763"/>
      <c r="R23763"/>
      <c r="S23763"/>
    </row>
    <row r="23764" spans="13:19" ht="13.95" customHeight="1">
      <c r="M23764"/>
      <c r="N23764"/>
      <c r="O23764"/>
      <c r="P23764"/>
      <c r="Q23764"/>
      <c r="R23764"/>
      <c r="S23764"/>
    </row>
    <row r="23765" spans="13:19" ht="13.95" customHeight="1">
      <c r="M23765"/>
      <c r="N23765"/>
      <c r="O23765"/>
      <c r="P23765"/>
      <c r="Q23765"/>
      <c r="R23765"/>
      <c r="S23765"/>
    </row>
    <row r="23766" spans="13:19" ht="13.95" customHeight="1">
      <c r="M23766"/>
      <c r="N23766"/>
      <c r="O23766"/>
      <c r="P23766"/>
      <c r="Q23766"/>
      <c r="R23766"/>
      <c r="S23766"/>
    </row>
    <row r="23767" spans="13:19" ht="13.95" customHeight="1">
      <c r="M23767"/>
      <c r="N23767"/>
      <c r="O23767"/>
      <c r="P23767"/>
      <c r="Q23767"/>
      <c r="R23767"/>
      <c r="S23767"/>
    </row>
    <row r="23768" spans="13:19" ht="13.95" customHeight="1">
      <c r="M23768"/>
      <c r="N23768"/>
      <c r="O23768"/>
      <c r="P23768"/>
      <c r="Q23768"/>
      <c r="R23768"/>
      <c r="S23768"/>
    </row>
    <row r="23769" spans="13:19" ht="13.95" customHeight="1">
      <c r="M23769"/>
      <c r="N23769"/>
      <c r="O23769"/>
      <c r="P23769"/>
      <c r="Q23769"/>
      <c r="R23769"/>
      <c r="S23769"/>
    </row>
    <row r="23770" spans="13:19" ht="13.95" customHeight="1">
      <c r="M23770"/>
      <c r="N23770"/>
      <c r="O23770"/>
      <c r="P23770"/>
      <c r="Q23770"/>
      <c r="R23770"/>
      <c r="S23770"/>
    </row>
    <row r="23771" spans="13:19" ht="13.95" customHeight="1">
      <c r="M23771"/>
      <c r="N23771"/>
      <c r="O23771"/>
      <c r="P23771"/>
      <c r="Q23771"/>
      <c r="R23771"/>
      <c r="S23771"/>
    </row>
    <row r="23772" spans="13:19" ht="13.95" customHeight="1">
      <c r="M23772"/>
      <c r="N23772"/>
      <c r="O23772"/>
      <c r="P23772"/>
      <c r="Q23772"/>
      <c r="R23772"/>
      <c r="S23772"/>
    </row>
    <row r="23773" spans="13:19" ht="13.95" customHeight="1">
      <c r="M23773"/>
      <c r="N23773"/>
      <c r="O23773"/>
      <c r="P23773"/>
      <c r="Q23773"/>
      <c r="R23773"/>
      <c r="S23773"/>
    </row>
    <row r="23774" spans="13:19" ht="13.95" customHeight="1">
      <c r="M23774"/>
      <c r="N23774"/>
      <c r="O23774"/>
      <c r="P23774"/>
      <c r="Q23774"/>
      <c r="R23774"/>
      <c r="S23774"/>
    </row>
    <row r="23775" spans="13:19" ht="13.95" customHeight="1">
      <c r="M23775"/>
      <c r="N23775"/>
      <c r="O23775"/>
      <c r="P23775"/>
      <c r="Q23775"/>
      <c r="R23775"/>
      <c r="S23775"/>
    </row>
    <row r="23776" spans="13:19" ht="13.95" customHeight="1">
      <c r="M23776"/>
      <c r="N23776"/>
      <c r="O23776"/>
      <c r="P23776"/>
      <c r="Q23776"/>
      <c r="R23776"/>
      <c r="S23776"/>
    </row>
    <row r="23777" spans="13:19" ht="13.95" customHeight="1">
      <c r="M23777"/>
      <c r="N23777"/>
      <c r="O23777"/>
      <c r="P23777"/>
      <c r="Q23777"/>
      <c r="R23777"/>
      <c r="S23777"/>
    </row>
    <row r="23778" spans="13:19" ht="13.95" customHeight="1">
      <c r="M23778"/>
      <c r="N23778"/>
      <c r="O23778"/>
      <c r="P23778"/>
      <c r="Q23778"/>
      <c r="R23778"/>
      <c r="S23778"/>
    </row>
    <row r="23779" spans="13:19" ht="13.95" customHeight="1">
      <c r="M23779"/>
      <c r="N23779"/>
      <c r="O23779"/>
      <c r="P23779"/>
      <c r="Q23779"/>
      <c r="R23779"/>
      <c r="S23779"/>
    </row>
    <row r="23780" spans="13:19" ht="13.95" customHeight="1">
      <c r="M23780"/>
      <c r="N23780"/>
      <c r="O23780"/>
      <c r="P23780"/>
      <c r="Q23780"/>
      <c r="R23780"/>
      <c r="S23780"/>
    </row>
    <row r="23781" spans="13:19" ht="13.95" customHeight="1">
      <c r="M23781"/>
      <c r="N23781"/>
      <c r="O23781"/>
      <c r="P23781"/>
      <c r="Q23781"/>
      <c r="R23781"/>
      <c r="S23781"/>
    </row>
    <row r="23782" spans="13:19" ht="13.95" customHeight="1">
      <c r="M23782"/>
      <c r="N23782"/>
      <c r="O23782"/>
      <c r="P23782"/>
      <c r="Q23782"/>
      <c r="R23782"/>
      <c r="S23782"/>
    </row>
    <row r="23783" spans="13:19" ht="13.95" customHeight="1">
      <c r="M23783"/>
      <c r="N23783"/>
      <c r="O23783"/>
      <c r="P23783"/>
      <c r="Q23783"/>
      <c r="R23783"/>
      <c r="S23783"/>
    </row>
    <row r="23784" spans="13:19" ht="13.95" customHeight="1">
      <c r="M23784"/>
      <c r="N23784"/>
      <c r="O23784"/>
      <c r="P23784"/>
      <c r="Q23784"/>
      <c r="R23784"/>
      <c r="S23784"/>
    </row>
    <row r="23785" spans="13:19" ht="13.95" customHeight="1">
      <c r="M23785"/>
      <c r="N23785"/>
      <c r="O23785"/>
      <c r="P23785"/>
      <c r="Q23785"/>
      <c r="R23785"/>
      <c r="S23785"/>
    </row>
    <row r="23786" spans="13:19" ht="13.95" customHeight="1">
      <c r="M23786"/>
      <c r="N23786"/>
      <c r="O23786"/>
      <c r="P23786"/>
      <c r="Q23786"/>
      <c r="R23786"/>
      <c r="S23786"/>
    </row>
    <row r="23787" spans="13:19" ht="13.95" customHeight="1">
      <c r="M23787"/>
      <c r="N23787"/>
      <c r="O23787"/>
      <c r="P23787"/>
      <c r="Q23787"/>
      <c r="R23787"/>
      <c r="S23787"/>
    </row>
    <row r="23788" spans="13:19" ht="13.95" customHeight="1">
      <c r="M23788"/>
      <c r="N23788"/>
      <c r="O23788"/>
      <c r="P23788"/>
      <c r="Q23788"/>
      <c r="R23788"/>
      <c r="S23788"/>
    </row>
    <row r="23789" spans="13:19" ht="13.95" customHeight="1">
      <c r="M23789"/>
      <c r="N23789"/>
      <c r="O23789"/>
      <c r="P23789"/>
      <c r="Q23789"/>
      <c r="R23789"/>
      <c r="S23789"/>
    </row>
    <row r="23790" spans="13:19" ht="13.95" customHeight="1">
      <c r="M23790"/>
      <c r="N23790"/>
      <c r="O23790"/>
      <c r="P23790"/>
      <c r="Q23790"/>
      <c r="R23790"/>
      <c r="S23790"/>
    </row>
    <row r="23791" spans="13:19" ht="13.95" customHeight="1">
      <c r="M23791"/>
      <c r="N23791"/>
      <c r="O23791"/>
      <c r="P23791"/>
      <c r="Q23791"/>
      <c r="R23791"/>
      <c r="S23791"/>
    </row>
    <row r="23792" spans="13:19" ht="13.95" customHeight="1">
      <c r="M23792"/>
      <c r="N23792"/>
      <c r="O23792"/>
      <c r="P23792"/>
      <c r="Q23792"/>
      <c r="R23792"/>
      <c r="S23792"/>
    </row>
    <row r="23793" spans="13:19" ht="13.95" customHeight="1">
      <c r="M23793"/>
      <c r="N23793"/>
      <c r="O23793"/>
      <c r="P23793"/>
      <c r="Q23793"/>
      <c r="R23793"/>
      <c r="S23793"/>
    </row>
    <row r="23794" spans="13:19" ht="13.95" customHeight="1">
      <c r="M23794"/>
      <c r="N23794"/>
      <c r="O23794"/>
      <c r="P23794"/>
      <c r="Q23794"/>
      <c r="R23794"/>
      <c r="S23794"/>
    </row>
    <row r="23795" spans="13:19" ht="13.95" customHeight="1">
      <c r="M23795"/>
      <c r="N23795"/>
      <c r="O23795"/>
      <c r="P23795"/>
      <c r="Q23795"/>
      <c r="R23795"/>
      <c r="S23795"/>
    </row>
    <row r="23796" spans="13:19" ht="13.95" customHeight="1">
      <c r="M23796"/>
      <c r="N23796"/>
      <c r="O23796"/>
      <c r="P23796"/>
      <c r="Q23796"/>
      <c r="R23796"/>
      <c r="S23796"/>
    </row>
    <row r="23797" spans="13:19" ht="13.95" customHeight="1">
      <c r="M23797"/>
      <c r="N23797"/>
      <c r="O23797"/>
      <c r="P23797"/>
      <c r="Q23797"/>
      <c r="R23797"/>
      <c r="S23797"/>
    </row>
    <row r="23798" spans="13:19" ht="13.95" customHeight="1">
      <c r="M23798"/>
      <c r="N23798"/>
      <c r="O23798"/>
      <c r="P23798"/>
      <c r="Q23798"/>
      <c r="R23798"/>
      <c r="S23798"/>
    </row>
    <row r="23799" spans="13:19" ht="13.95" customHeight="1">
      <c r="M23799"/>
      <c r="N23799"/>
      <c r="O23799"/>
      <c r="P23799"/>
      <c r="Q23799"/>
      <c r="R23799"/>
      <c r="S23799"/>
    </row>
    <row r="23800" spans="13:19" ht="13.95" customHeight="1">
      <c r="M23800"/>
      <c r="N23800"/>
      <c r="O23800"/>
      <c r="P23800"/>
      <c r="Q23800"/>
      <c r="R23800"/>
      <c r="S23800"/>
    </row>
    <row r="23801" spans="13:19" ht="13.95" customHeight="1">
      <c r="M23801"/>
      <c r="N23801"/>
      <c r="O23801"/>
      <c r="P23801"/>
      <c r="Q23801"/>
      <c r="R23801"/>
      <c r="S23801"/>
    </row>
    <row r="23802" spans="13:19" ht="13.95" customHeight="1">
      <c r="M23802"/>
      <c r="N23802"/>
      <c r="O23802"/>
      <c r="P23802"/>
      <c r="Q23802"/>
      <c r="R23802"/>
      <c r="S23802"/>
    </row>
    <row r="23803" spans="13:19" ht="13.95" customHeight="1">
      <c r="M23803"/>
      <c r="N23803"/>
      <c r="O23803"/>
      <c r="P23803"/>
      <c r="Q23803"/>
      <c r="R23803"/>
      <c r="S23803"/>
    </row>
    <row r="23804" spans="13:19" ht="13.95" customHeight="1">
      <c r="M23804"/>
      <c r="N23804"/>
      <c r="O23804"/>
      <c r="P23804"/>
      <c r="Q23804"/>
      <c r="R23804"/>
      <c r="S23804"/>
    </row>
    <row r="23805" spans="13:19" ht="13.95" customHeight="1">
      <c r="M23805"/>
      <c r="N23805"/>
      <c r="O23805"/>
      <c r="P23805"/>
      <c r="Q23805"/>
      <c r="R23805"/>
      <c r="S23805"/>
    </row>
    <row r="23806" spans="13:19" ht="13.95" customHeight="1">
      <c r="M23806"/>
      <c r="N23806"/>
      <c r="O23806"/>
      <c r="P23806"/>
      <c r="Q23806"/>
      <c r="R23806"/>
      <c r="S23806"/>
    </row>
    <row r="23807" spans="13:19" ht="13.95" customHeight="1">
      <c r="M23807"/>
      <c r="N23807"/>
      <c r="O23807"/>
      <c r="P23807"/>
      <c r="Q23807"/>
      <c r="R23807"/>
      <c r="S23807"/>
    </row>
    <row r="23808" spans="13:19" ht="13.95" customHeight="1">
      <c r="M23808"/>
      <c r="N23808"/>
      <c r="O23808"/>
      <c r="P23808"/>
      <c r="Q23808"/>
      <c r="R23808"/>
      <c r="S23808"/>
    </row>
    <row r="23809" spans="13:19" ht="13.95" customHeight="1">
      <c r="M23809"/>
      <c r="N23809"/>
      <c r="O23809"/>
      <c r="P23809"/>
      <c r="Q23809"/>
      <c r="R23809"/>
      <c r="S23809"/>
    </row>
    <row r="23810" spans="13:19" ht="13.95" customHeight="1">
      <c r="M23810"/>
      <c r="N23810"/>
      <c r="O23810"/>
      <c r="P23810"/>
      <c r="Q23810"/>
      <c r="R23810"/>
      <c r="S23810"/>
    </row>
    <row r="23811" spans="13:19" ht="13.95" customHeight="1">
      <c r="M23811"/>
      <c r="N23811"/>
      <c r="O23811"/>
      <c r="P23811"/>
      <c r="Q23811"/>
      <c r="R23811"/>
      <c r="S23811"/>
    </row>
    <row r="23812" spans="13:19" ht="13.95" customHeight="1">
      <c r="M23812"/>
      <c r="N23812"/>
      <c r="O23812"/>
      <c r="P23812"/>
      <c r="Q23812"/>
      <c r="R23812"/>
      <c r="S23812"/>
    </row>
    <row r="23813" spans="13:19" ht="13.95" customHeight="1">
      <c r="M23813"/>
      <c r="N23813"/>
      <c r="O23813"/>
      <c r="P23813"/>
      <c r="Q23813"/>
      <c r="R23813"/>
      <c r="S23813"/>
    </row>
    <row r="23814" spans="13:19" ht="13.95" customHeight="1">
      <c r="M23814"/>
      <c r="N23814"/>
      <c r="O23814"/>
      <c r="P23814"/>
      <c r="Q23814"/>
      <c r="R23814"/>
      <c r="S23814"/>
    </row>
    <row r="23815" spans="13:19" ht="13.95" customHeight="1">
      <c r="M23815"/>
      <c r="N23815"/>
      <c r="O23815"/>
      <c r="P23815"/>
      <c r="Q23815"/>
      <c r="R23815"/>
      <c r="S23815"/>
    </row>
    <row r="23816" spans="13:19" ht="13.95" customHeight="1">
      <c r="M23816"/>
      <c r="N23816"/>
      <c r="O23816"/>
      <c r="P23816"/>
      <c r="Q23816"/>
      <c r="R23816"/>
      <c r="S23816"/>
    </row>
    <row r="23817" spans="13:19" ht="13.95" customHeight="1">
      <c r="M23817"/>
      <c r="N23817"/>
      <c r="O23817"/>
      <c r="P23817"/>
      <c r="Q23817"/>
      <c r="R23817"/>
      <c r="S23817"/>
    </row>
    <row r="23818" spans="13:19" ht="13.95" customHeight="1">
      <c r="M23818"/>
      <c r="N23818"/>
      <c r="O23818"/>
      <c r="P23818"/>
      <c r="Q23818"/>
      <c r="R23818"/>
      <c r="S23818"/>
    </row>
    <row r="23819" spans="13:19" ht="13.95" customHeight="1">
      <c r="M23819"/>
      <c r="N23819"/>
      <c r="O23819"/>
      <c r="P23819"/>
      <c r="Q23819"/>
      <c r="R23819"/>
      <c r="S23819"/>
    </row>
    <row r="23820" spans="13:19" ht="13.95" customHeight="1">
      <c r="M23820"/>
      <c r="N23820"/>
      <c r="O23820"/>
      <c r="P23820"/>
      <c r="Q23820"/>
      <c r="R23820"/>
      <c r="S23820"/>
    </row>
    <row r="23821" spans="13:19" ht="13.95" customHeight="1">
      <c r="M23821"/>
      <c r="N23821"/>
      <c r="O23821"/>
      <c r="P23821"/>
      <c r="Q23821"/>
      <c r="R23821"/>
      <c r="S23821"/>
    </row>
    <row r="23822" spans="13:19" ht="13.95" customHeight="1">
      <c r="M23822"/>
      <c r="N23822"/>
      <c r="O23822"/>
      <c r="P23822"/>
      <c r="Q23822"/>
      <c r="R23822"/>
      <c r="S23822"/>
    </row>
    <row r="23823" spans="13:19" ht="13.95" customHeight="1">
      <c r="M23823"/>
      <c r="N23823"/>
      <c r="O23823"/>
      <c r="P23823"/>
      <c r="Q23823"/>
      <c r="R23823"/>
      <c r="S23823"/>
    </row>
    <row r="23824" spans="13:19" ht="13.95" customHeight="1">
      <c r="M23824"/>
      <c r="N23824"/>
      <c r="O23824"/>
      <c r="P23824"/>
      <c r="Q23824"/>
      <c r="R23824"/>
      <c r="S23824"/>
    </row>
    <row r="23825" spans="13:19" ht="13.95" customHeight="1">
      <c r="M23825"/>
      <c r="N23825"/>
      <c r="O23825"/>
      <c r="P23825"/>
      <c r="Q23825"/>
      <c r="R23825"/>
      <c r="S23825"/>
    </row>
    <row r="23826" spans="13:19" ht="13.95" customHeight="1">
      <c r="M23826"/>
      <c r="N23826"/>
      <c r="O23826"/>
      <c r="P23826"/>
      <c r="Q23826"/>
      <c r="R23826"/>
      <c r="S23826"/>
    </row>
    <row r="23827" spans="13:19" ht="13.95" customHeight="1">
      <c r="M23827"/>
      <c r="N23827"/>
      <c r="O23827"/>
      <c r="P23827"/>
      <c r="Q23827"/>
      <c r="R23827"/>
      <c r="S23827"/>
    </row>
    <row r="23828" spans="13:19" ht="13.95" customHeight="1">
      <c r="M23828"/>
      <c r="N23828"/>
      <c r="O23828"/>
      <c r="P23828"/>
      <c r="Q23828"/>
      <c r="R23828"/>
      <c r="S23828"/>
    </row>
    <row r="23829" spans="13:19" ht="13.95" customHeight="1">
      <c r="M23829"/>
      <c r="N23829"/>
      <c r="O23829"/>
      <c r="P23829"/>
      <c r="Q23829"/>
      <c r="R23829"/>
      <c r="S23829"/>
    </row>
    <row r="23830" spans="13:19" ht="13.95" customHeight="1">
      <c r="M23830"/>
      <c r="N23830"/>
      <c r="O23830"/>
      <c r="P23830"/>
      <c r="Q23830"/>
      <c r="R23830"/>
      <c r="S23830"/>
    </row>
    <row r="23831" spans="13:19" ht="13.95" customHeight="1">
      <c r="M23831"/>
      <c r="N23831"/>
      <c r="O23831"/>
      <c r="P23831"/>
      <c r="Q23831"/>
      <c r="R23831"/>
      <c r="S23831"/>
    </row>
    <row r="23832" spans="13:19" ht="13.95" customHeight="1">
      <c r="M23832"/>
      <c r="N23832"/>
      <c r="O23832"/>
      <c r="P23832"/>
      <c r="Q23832"/>
      <c r="R23832"/>
      <c r="S23832"/>
    </row>
    <row r="23833" spans="13:19" ht="13.95" customHeight="1">
      <c r="M23833"/>
      <c r="N23833"/>
      <c r="O23833"/>
      <c r="P23833"/>
      <c r="Q23833"/>
      <c r="R23833"/>
      <c r="S23833"/>
    </row>
    <row r="23834" spans="13:19" ht="13.95" customHeight="1">
      <c r="M23834"/>
      <c r="N23834"/>
      <c r="O23834"/>
      <c r="P23834"/>
      <c r="Q23834"/>
      <c r="R23834"/>
      <c r="S23834"/>
    </row>
    <row r="23835" spans="13:19" ht="13.95" customHeight="1">
      <c r="M23835"/>
      <c r="N23835"/>
      <c r="O23835"/>
      <c r="P23835"/>
      <c r="Q23835"/>
      <c r="R23835"/>
      <c r="S23835"/>
    </row>
    <row r="23836" spans="13:19" ht="13.95" customHeight="1">
      <c r="M23836"/>
      <c r="N23836"/>
      <c r="O23836"/>
      <c r="P23836"/>
      <c r="Q23836"/>
      <c r="R23836"/>
      <c r="S23836"/>
    </row>
    <row r="23837" spans="13:19" ht="13.95" customHeight="1">
      <c r="M23837"/>
      <c r="N23837"/>
      <c r="O23837"/>
      <c r="P23837"/>
      <c r="Q23837"/>
      <c r="R23837"/>
      <c r="S23837"/>
    </row>
    <row r="23838" spans="13:19" ht="13.95" customHeight="1">
      <c r="M23838"/>
      <c r="N23838"/>
      <c r="O23838"/>
      <c r="P23838"/>
      <c r="Q23838"/>
      <c r="R23838"/>
      <c r="S23838"/>
    </row>
    <row r="23839" spans="13:19" ht="13.95" customHeight="1">
      <c r="M23839"/>
      <c r="N23839"/>
      <c r="O23839"/>
      <c r="P23839"/>
      <c r="Q23839"/>
      <c r="R23839"/>
      <c r="S23839"/>
    </row>
    <row r="23840" spans="13:19" ht="13.95" customHeight="1">
      <c r="M23840"/>
      <c r="N23840"/>
      <c r="O23840"/>
      <c r="P23840"/>
      <c r="Q23840"/>
      <c r="R23840"/>
      <c r="S23840"/>
    </row>
    <row r="23841" spans="13:19" ht="13.95" customHeight="1">
      <c r="M23841"/>
      <c r="N23841"/>
      <c r="O23841"/>
      <c r="P23841"/>
      <c r="Q23841"/>
      <c r="R23841"/>
      <c r="S23841"/>
    </row>
    <row r="23842" spans="13:19" ht="13.95" customHeight="1">
      <c r="M23842"/>
      <c r="N23842"/>
      <c r="O23842"/>
      <c r="P23842"/>
      <c r="Q23842"/>
      <c r="R23842"/>
      <c r="S23842"/>
    </row>
    <row r="23843" spans="13:19" ht="13.95" customHeight="1">
      <c r="M23843"/>
      <c r="N23843"/>
      <c r="O23843"/>
      <c r="P23843"/>
      <c r="Q23843"/>
      <c r="R23843"/>
      <c r="S23843"/>
    </row>
    <row r="23844" spans="13:19" ht="13.95" customHeight="1">
      <c r="M23844"/>
      <c r="N23844"/>
      <c r="O23844"/>
      <c r="P23844"/>
      <c r="Q23844"/>
      <c r="R23844"/>
      <c r="S23844"/>
    </row>
    <row r="23845" spans="13:19" ht="13.95" customHeight="1">
      <c r="M23845"/>
      <c r="N23845"/>
      <c r="O23845"/>
      <c r="P23845"/>
      <c r="Q23845"/>
      <c r="R23845"/>
      <c r="S23845"/>
    </row>
    <row r="23846" spans="13:19" ht="13.95" customHeight="1">
      <c r="M23846"/>
      <c r="N23846"/>
      <c r="O23846"/>
      <c r="P23846"/>
      <c r="Q23846"/>
      <c r="R23846"/>
      <c r="S23846"/>
    </row>
    <row r="23847" spans="13:19" ht="13.95" customHeight="1">
      <c r="M23847"/>
      <c r="N23847"/>
      <c r="O23847"/>
      <c r="P23847"/>
      <c r="Q23847"/>
      <c r="R23847"/>
      <c r="S23847"/>
    </row>
    <row r="23848" spans="13:19" ht="13.95" customHeight="1">
      <c r="M23848"/>
      <c r="N23848"/>
      <c r="O23848"/>
      <c r="P23848"/>
      <c r="Q23848"/>
      <c r="R23848"/>
      <c r="S23848"/>
    </row>
    <row r="23849" spans="13:19" ht="13.95" customHeight="1">
      <c r="M23849"/>
      <c r="N23849"/>
      <c r="O23849"/>
      <c r="P23849"/>
      <c r="Q23849"/>
      <c r="R23849"/>
      <c r="S23849"/>
    </row>
    <row r="23850" spans="13:19" ht="13.95" customHeight="1">
      <c r="M23850"/>
      <c r="N23850"/>
      <c r="O23850"/>
      <c r="P23850"/>
      <c r="Q23850"/>
      <c r="R23850"/>
      <c r="S23850"/>
    </row>
    <row r="23851" spans="13:19" ht="13.95" customHeight="1">
      <c r="M23851"/>
      <c r="N23851"/>
      <c r="O23851"/>
      <c r="P23851"/>
      <c r="Q23851"/>
      <c r="R23851"/>
      <c r="S23851"/>
    </row>
    <row r="23852" spans="13:19" ht="13.95" customHeight="1">
      <c r="M23852"/>
      <c r="N23852"/>
      <c r="O23852"/>
      <c r="P23852"/>
      <c r="Q23852"/>
      <c r="R23852"/>
      <c r="S23852"/>
    </row>
    <row r="23853" spans="13:19" ht="13.95" customHeight="1">
      <c r="M23853"/>
      <c r="N23853"/>
      <c r="O23853"/>
      <c r="P23853"/>
      <c r="Q23853"/>
      <c r="R23853"/>
      <c r="S23853"/>
    </row>
    <row r="23854" spans="13:19" ht="13.95" customHeight="1">
      <c r="M23854"/>
      <c r="N23854"/>
      <c r="O23854"/>
      <c r="P23854"/>
      <c r="Q23854"/>
      <c r="R23854"/>
      <c r="S23854"/>
    </row>
    <row r="23855" spans="13:19" ht="13.95" customHeight="1">
      <c r="M23855"/>
      <c r="N23855"/>
      <c r="O23855"/>
      <c r="P23855"/>
      <c r="Q23855"/>
      <c r="R23855"/>
      <c r="S23855"/>
    </row>
    <row r="23856" spans="13:19" ht="13.95" customHeight="1">
      <c r="M23856"/>
      <c r="N23856"/>
      <c r="O23856"/>
      <c r="P23856"/>
      <c r="Q23856"/>
      <c r="R23856"/>
      <c r="S23856"/>
    </row>
    <row r="23857" spans="13:19" ht="13.95" customHeight="1">
      <c r="M23857"/>
      <c r="N23857"/>
      <c r="O23857"/>
      <c r="P23857"/>
      <c r="Q23857"/>
      <c r="R23857"/>
      <c r="S23857"/>
    </row>
    <row r="23858" spans="13:19" ht="13.95" customHeight="1">
      <c r="M23858"/>
      <c r="N23858"/>
      <c r="O23858"/>
      <c r="P23858"/>
      <c r="Q23858"/>
      <c r="R23858"/>
      <c r="S23858"/>
    </row>
    <row r="23859" spans="13:19" ht="13.95" customHeight="1">
      <c r="M23859"/>
      <c r="N23859"/>
      <c r="O23859"/>
      <c r="P23859"/>
      <c r="Q23859"/>
      <c r="R23859"/>
      <c r="S23859"/>
    </row>
    <row r="23860" spans="13:19" ht="13.95" customHeight="1">
      <c r="M23860"/>
      <c r="N23860"/>
      <c r="O23860"/>
      <c r="P23860"/>
      <c r="Q23860"/>
      <c r="R23860"/>
      <c r="S23860"/>
    </row>
    <row r="23861" spans="13:19" ht="13.95" customHeight="1">
      <c r="M23861"/>
      <c r="N23861"/>
      <c r="O23861"/>
      <c r="P23861"/>
      <c r="Q23861"/>
      <c r="R23861"/>
      <c r="S23861"/>
    </row>
    <row r="23862" spans="13:19" ht="13.95" customHeight="1">
      <c r="M23862"/>
      <c r="N23862"/>
      <c r="O23862"/>
      <c r="P23862"/>
      <c r="Q23862"/>
      <c r="R23862"/>
      <c r="S23862"/>
    </row>
    <row r="23863" spans="13:19" ht="13.95" customHeight="1">
      <c r="M23863"/>
      <c r="N23863"/>
      <c r="O23863"/>
      <c r="P23863"/>
      <c r="Q23863"/>
      <c r="R23863"/>
      <c r="S23863"/>
    </row>
    <row r="23864" spans="13:19" ht="13.95" customHeight="1">
      <c r="M23864"/>
      <c r="N23864"/>
      <c r="O23864"/>
      <c r="P23864"/>
      <c r="Q23864"/>
      <c r="R23864"/>
      <c r="S23864"/>
    </row>
    <row r="23865" spans="13:19" ht="13.95" customHeight="1">
      <c r="M23865"/>
      <c r="N23865"/>
      <c r="O23865"/>
      <c r="P23865"/>
      <c r="Q23865"/>
      <c r="R23865"/>
      <c r="S23865"/>
    </row>
    <row r="23866" spans="13:19" ht="13.95" customHeight="1">
      <c r="M23866"/>
      <c r="N23866"/>
      <c r="O23866"/>
      <c r="P23866"/>
      <c r="Q23866"/>
      <c r="R23866"/>
      <c r="S23866"/>
    </row>
    <row r="23867" spans="13:19" ht="13.95" customHeight="1">
      <c r="M23867"/>
      <c r="N23867"/>
      <c r="O23867"/>
      <c r="P23867"/>
      <c r="Q23867"/>
      <c r="R23867"/>
      <c r="S23867"/>
    </row>
    <row r="23868" spans="13:19" ht="13.95" customHeight="1">
      <c r="M23868"/>
      <c r="N23868"/>
      <c r="O23868"/>
      <c r="P23868"/>
      <c r="Q23868"/>
      <c r="R23868"/>
      <c r="S23868"/>
    </row>
    <row r="23869" spans="13:19" ht="13.95" customHeight="1">
      <c r="M23869"/>
      <c r="N23869"/>
      <c r="O23869"/>
      <c r="P23869"/>
      <c r="Q23869"/>
      <c r="R23869"/>
      <c r="S23869"/>
    </row>
    <row r="23870" spans="13:19" ht="13.95" customHeight="1">
      <c r="M23870"/>
      <c r="N23870"/>
      <c r="O23870"/>
      <c r="P23870"/>
      <c r="Q23870"/>
      <c r="R23870"/>
      <c r="S23870"/>
    </row>
    <row r="23871" spans="13:19" ht="13.95" customHeight="1">
      <c r="M23871"/>
      <c r="N23871"/>
      <c r="O23871"/>
      <c r="P23871"/>
      <c r="Q23871"/>
      <c r="R23871"/>
      <c r="S23871"/>
    </row>
    <row r="23872" spans="13:19" ht="13.95" customHeight="1">
      <c r="M23872"/>
      <c r="N23872"/>
      <c r="O23872"/>
      <c r="P23872"/>
      <c r="Q23872"/>
      <c r="R23872"/>
      <c r="S23872"/>
    </row>
    <row r="23873" spans="13:19" ht="13.95" customHeight="1">
      <c r="M23873"/>
      <c r="N23873"/>
      <c r="O23873"/>
      <c r="P23873"/>
      <c r="Q23873"/>
      <c r="R23873"/>
      <c r="S23873"/>
    </row>
    <row r="23874" spans="13:19" ht="13.95" customHeight="1">
      <c r="M23874"/>
      <c r="N23874"/>
      <c r="O23874"/>
      <c r="P23874"/>
      <c r="Q23874"/>
      <c r="R23874"/>
      <c r="S23874"/>
    </row>
    <row r="23875" spans="13:19" ht="13.95" customHeight="1">
      <c r="M23875"/>
      <c r="N23875"/>
      <c r="O23875"/>
      <c r="P23875"/>
      <c r="Q23875"/>
      <c r="R23875"/>
      <c r="S23875"/>
    </row>
    <row r="23876" spans="13:19" ht="13.95" customHeight="1">
      <c r="M23876"/>
      <c r="N23876"/>
      <c r="O23876"/>
      <c r="P23876"/>
      <c r="Q23876"/>
      <c r="R23876"/>
      <c r="S23876"/>
    </row>
    <row r="23877" spans="13:19" ht="13.95" customHeight="1">
      <c r="M23877"/>
      <c r="N23877"/>
      <c r="O23877"/>
      <c r="P23877"/>
      <c r="Q23877"/>
      <c r="R23877"/>
      <c r="S23877"/>
    </row>
    <row r="23878" spans="13:19" ht="13.95" customHeight="1">
      <c r="M23878"/>
      <c r="N23878"/>
      <c r="O23878"/>
      <c r="P23878"/>
      <c r="Q23878"/>
      <c r="R23878"/>
      <c r="S23878"/>
    </row>
    <row r="23879" spans="13:19" ht="13.95" customHeight="1">
      <c r="M23879"/>
      <c r="N23879"/>
      <c r="O23879"/>
      <c r="P23879"/>
      <c r="Q23879"/>
      <c r="R23879"/>
      <c r="S23879"/>
    </row>
    <row r="23880" spans="13:19" ht="13.95" customHeight="1">
      <c r="M23880"/>
      <c r="N23880"/>
      <c r="O23880"/>
      <c r="P23880"/>
      <c r="Q23880"/>
      <c r="R23880"/>
      <c r="S23880"/>
    </row>
    <row r="23881" spans="13:19" ht="13.95" customHeight="1">
      <c r="M23881"/>
      <c r="N23881"/>
      <c r="O23881"/>
      <c r="P23881"/>
      <c r="Q23881"/>
      <c r="R23881"/>
      <c r="S23881"/>
    </row>
    <row r="23882" spans="13:19" ht="13.95" customHeight="1">
      <c r="M23882"/>
      <c r="N23882"/>
      <c r="O23882"/>
      <c r="P23882"/>
      <c r="Q23882"/>
      <c r="R23882"/>
      <c r="S23882"/>
    </row>
    <row r="23883" spans="13:19" ht="13.95" customHeight="1">
      <c r="M23883"/>
      <c r="N23883"/>
      <c r="O23883"/>
      <c r="P23883"/>
      <c r="Q23883"/>
      <c r="R23883"/>
      <c r="S23883"/>
    </row>
    <row r="23884" spans="13:19" ht="13.95" customHeight="1">
      <c r="M23884"/>
      <c r="N23884"/>
      <c r="O23884"/>
      <c r="P23884"/>
      <c r="Q23884"/>
      <c r="R23884"/>
      <c r="S23884"/>
    </row>
    <row r="23885" spans="13:19" ht="13.95" customHeight="1">
      <c r="M23885"/>
      <c r="N23885"/>
      <c r="O23885"/>
      <c r="P23885"/>
      <c r="Q23885"/>
      <c r="R23885"/>
      <c r="S23885"/>
    </row>
    <row r="23886" spans="13:19" ht="13.95" customHeight="1">
      <c r="M23886"/>
      <c r="N23886"/>
      <c r="O23886"/>
      <c r="P23886"/>
      <c r="Q23886"/>
      <c r="R23886"/>
      <c r="S23886"/>
    </row>
    <row r="23887" spans="13:19" ht="13.95" customHeight="1">
      <c r="M23887"/>
      <c r="N23887"/>
      <c r="O23887"/>
      <c r="P23887"/>
      <c r="Q23887"/>
      <c r="R23887"/>
      <c r="S23887"/>
    </row>
    <row r="23888" spans="13:19" ht="13.95" customHeight="1">
      <c r="M23888"/>
      <c r="N23888"/>
      <c r="O23888"/>
      <c r="P23888"/>
      <c r="Q23888"/>
      <c r="R23888"/>
      <c r="S23888"/>
    </row>
    <row r="23889" spans="13:19" ht="13.95" customHeight="1">
      <c r="M23889"/>
      <c r="N23889"/>
      <c r="O23889"/>
      <c r="P23889"/>
      <c r="Q23889"/>
      <c r="R23889"/>
      <c r="S23889"/>
    </row>
    <row r="23890" spans="13:19" ht="13.95" customHeight="1">
      <c r="M23890"/>
      <c r="N23890"/>
      <c r="O23890"/>
      <c r="P23890"/>
      <c r="Q23890"/>
      <c r="R23890"/>
      <c r="S23890"/>
    </row>
    <row r="23891" spans="13:19" ht="13.95" customHeight="1">
      <c r="M23891"/>
      <c r="N23891"/>
      <c r="O23891"/>
      <c r="P23891"/>
      <c r="Q23891"/>
      <c r="R23891"/>
      <c r="S23891"/>
    </row>
    <row r="23892" spans="13:19" ht="13.95" customHeight="1">
      <c r="M23892"/>
      <c r="N23892"/>
      <c r="O23892"/>
      <c r="P23892"/>
      <c r="Q23892"/>
      <c r="R23892"/>
      <c r="S23892"/>
    </row>
    <row r="23893" spans="13:19" ht="13.95" customHeight="1">
      <c r="M23893"/>
      <c r="N23893"/>
      <c r="O23893"/>
      <c r="P23893"/>
      <c r="Q23893"/>
      <c r="R23893"/>
      <c r="S23893"/>
    </row>
    <row r="23894" spans="13:19" ht="13.95" customHeight="1">
      <c r="M23894"/>
      <c r="N23894"/>
      <c r="O23894"/>
      <c r="P23894"/>
      <c r="Q23894"/>
      <c r="R23894"/>
      <c r="S23894"/>
    </row>
    <row r="23895" spans="13:19" ht="13.95" customHeight="1">
      <c r="M23895"/>
      <c r="N23895"/>
      <c r="O23895"/>
      <c r="P23895"/>
      <c r="Q23895"/>
      <c r="R23895"/>
      <c r="S23895"/>
    </row>
    <row r="23896" spans="13:19" ht="13.95" customHeight="1">
      <c r="M23896"/>
      <c r="N23896"/>
      <c r="O23896"/>
      <c r="P23896"/>
      <c r="Q23896"/>
      <c r="R23896"/>
      <c r="S23896"/>
    </row>
    <row r="23897" spans="13:19" ht="13.95" customHeight="1">
      <c r="M23897"/>
      <c r="N23897"/>
      <c r="O23897"/>
      <c r="P23897"/>
      <c r="Q23897"/>
      <c r="R23897"/>
      <c r="S23897"/>
    </row>
    <row r="23898" spans="13:19" ht="13.95" customHeight="1">
      <c r="M23898"/>
      <c r="N23898"/>
      <c r="O23898"/>
      <c r="P23898"/>
      <c r="Q23898"/>
      <c r="R23898"/>
      <c r="S23898"/>
    </row>
    <row r="23899" spans="13:19" ht="13.95" customHeight="1">
      <c r="M23899"/>
      <c r="N23899"/>
      <c r="O23899"/>
      <c r="P23899"/>
      <c r="Q23899"/>
      <c r="R23899"/>
      <c r="S23899"/>
    </row>
    <row r="23900" spans="13:19" ht="13.95" customHeight="1">
      <c r="M23900"/>
      <c r="N23900"/>
      <c r="O23900"/>
      <c r="P23900"/>
      <c r="Q23900"/>
      <c r="R23900"/>
      <c r="S23900"/>
    </row>
    <row r="23901" spans="13:19" ht="13.95" customHeight="1">
      <c r="M23901"/>
      <c r="N23901"/>
      <c r="O23901"/>
      <c r="P23901"/>
      <c r="Q23901"/>
      <c r="R23901"/>
      <c r="S23901"/>
    </row>
    <row r="23902" spans="13:19" ht="13.95" customHeight="1">
      <c r="M23902"/>
      <c r="N23902"/>
      <c r="O23902"/>
      <c r="P23902"/>
      <c r="Q23902"/>
      <c r="R23902"/>
      <c r="S23902"/>
    </row>
    <row r="23903" spans="13:19" ht="13.95" customHeight="1">
      <c r="M23903"/>
      <c r="N23903"/>
      <c r="O23903"/>
      <c r="P23903"/>
      <c r="Q23903"/>
      <c r="R23903"/>
      <c r="S23903"/>
    </row>
    <row r="23904" spans="13:19" ht="13.95" customHeight="1">
      <c r="M23904"/>
      <c r="N23904"/>
      <c r="O23904"/>
      <c r="P23904"/>
      <c r="Q23904"/>
      <c r="R23904"/>
      <c r="S23904"/>
    </row>
    <row r="23905" spans="13:19" ht="13.95" customHeight="1">
      <c r="M23905"/>
      <c r="N23905"/>
      <c r="O23905"/>
      <c r="P23905"/>
      <c r="Q23905"/>
      <c r="R23905"/>
      <c r="S23905"/>
    </row>
    <row r="23906" spans="13:19" ht="13.95" customHeight="1">
      <c r="M23906"/>
      <c r="N23906"/>
      <c r="O23906"/>
      <c r="P23906"/>
      <c r="Q23906"/>
      <c r="R23906"/>
      <c r="S23906"/>
    </row>
    <row r="23907" spans="13:19" ht="13.95" customHeight="1">
      <c r="M23907"/>
      <c r="N23907"/>
      <c r="O23907"/>
      <c r="P23907"/>
      <c r="Q23907"/>
      <c r="R23907"/>
      <c r="S23907"/>
    </row>
    <row r="23908" spans="13:19" ht="13.95" customHeight="1">
      <c r="M23908"/>
      <c r="N23908"/>
      <c r="O23908"/>
      <c r="P23908"/>
      <c r="Q23908"/>
      <c r="R23908"/>
      <c r="S23908"/>
    </row>
    <row r="23909" spans="13:19" ht="13.95" customHeight="1">
      <c r="M23909"/>
      <c r="N23909"/>
      <c r="O23909"/>
      <c r="P23909"/>
      <c r="Q23909"/>
      <c r="R23909"/>
      <c r="S23909"/>
    </row>
    <row r="23910" spans="13:19" ht="13.95" customHeight="1">
      <c r="M23910"/>
      <c r="N23910"/>
      <c r="O23910"/>
      <c r="P23910"/>
      <c r="Q23910"/>
      <c r="R23910"/>
      <c r="S23910"/>
    </row>
    <row r="23911" spans="13:19" ht="13.95" customHeight="1">
      <c r="M23911"/>
      <c r="N23911"/>
      <c r="O23911"/>
      <c r="P23911"/>
      <c r="Q23911"/>
      <c r="R23911"/>
      <c r="S23911"/>
    </row>
    <row r="23912" spans="13:19" ht="13.95" customHeight="1">
      <c r="M23912"/>
      <c r="N23912"/>
      <c r="O23912"/>
      <c r="P23912"/>
      <c r="Q23912"/>
      <c r="R23912"/>
      <c r="S23912"/>
    </row>
    <row r="23913" spans="13:19" ht="13.95" customHeight="1">
      <c r="M23913"/>
      <c r="N23913"/>
      <c r="O23913"/>
      <c r="P23913"/>
      <c r="Q23913"/>
      <c r="R23913"/>
      <c r="S23913"/>
    </row>
    <row r="23914" spans="13:19" ht="13.95" customHeight="1">
      <c r="M23914"/>
      <c r="N23914"/>
      <c r="O23914"/>
      <c r="P23914"/>
      <c r="Q23914"/>
      <c r="R23914"/>
      <c r="S23914"/>
    </row>
    <row r="23915" spans="13:19" ht="13.95" customHeight="1">
      <c r="M23915"/>
      <c r="N23915"/>
      <c r="O23915"/>
      <c r="P23915"/>
      <c r="Q23915"/>
      <c r="R23915"/>
      <c r="S23915"/>
    </row>
    <row r="23916" spans="13:19" ht="13.95" customHeight="1">
      <c r="M23916"/>
      <c r="N23916"/>
      <c r="O23916"/>
      <c r="P23916"/>
      <c r="Q23916"/>
      <c r="R23916"/>
      <c r="S23916"/>
    </row>
    <row r="23917" spans="13:19" ht="13.95" customHeight="1">
      <c r="M23917"/>
      <c r="N23917"/>
      <c r="O23917"/>
      <c r="P23917"/>
      <c r="Q23917"/>
      <c r="R23917"/>
      <c r="S23917"/>
    </row>
    <row r="23918" spans="13:19" ht="13.95" customHeight="1">
      <c r="M23918"/>
      <c r="N23918"/>
      <c r="O23918"/>
      <c r="P23918"/>
      <c r="Q23918"/>
      <c r="R23918"/>
      <c r="S23918"/>
    </row>
    <row r="23919" spans="13:19" ht="13.95" customHeight="1">
      <c r="M23919"/>
      <c r="N23919"/>
      <c r="O23919"/>
      <c r="P23919"/>
      <c r="Q23919"/>
      <c r="R23919"/>
      <c r="S23919"/>
    </row>
    <row r="23920" spans="13:19" ht="13.95" customHeight="1">
      <c r="M23920"/>
      <c r="N23920"/>
      <c r="O23920"/>
      <c r="P23920"/>
      <c r="Q23920"/>
      <c r="R23920"/>
      <c r="S23920"/>
    </row>
    <row r="23921" spans="13:19" ht="13.95" customHeight="1">
      <c r="M23921"/>
      <c r="N23921"/>
      <c r="O23921"/>
      <c r="P23921"/>
      <c r="Q23921"/>
      <c r="R23921"/>
      <c r="S23921"/>
    </row>
    <row r="23922" spans="13:19" ht="13.95" customHeight="1">
      <c r="M23922"/>
      <c r="N23922"/>
      <c r="O23922"/>
      <c r="P23922"/>
      <c r="Q23922"/>
      <c r="R23922"/>
      <c r="S23922"/>
    </row>
    <row r="23923" spans="13:19" ht="13.95" customHeight="1">
      <c r="M23923"/>
      <c r="N23923"/>
      <c r="O23923"/>
      <c r="P23923"/>
      <c r="Q23923"/>
      <c r="R23923"/>
      <c r="S23923"/>
    </row>
    <row r="23924" spans="13:19" ht="13.95" customHeight="1">
      <c r="M23924"/>
      <c r="N23924"/>
      <c r="O23924"/>
      <c r="P23924"/>
      <c r="Q23924"/>
      <c r="R23924"/>
      <c r="S23924"/>
    </row>
    <row r="23925" spans="13:19" ht="13.95" customHeight="1">
      <c r="M23925"/>
      <c r="N23925"/>
      <c r="O23925"/>
      <c r="P23925"/>
      <c r="Q23925"/>
      <c r="R23925"/>
      <c r="S23925"/>
    </row>
    <row r="23926" spans="13:19" ht="13.95" customHeight="1">
      <c r="M23926"/>
      <c r="N23926"/>
      <c r="O23926"/>
      <c r="P23926"/>
      <c r="Q23926"/>
      <c r="R23926"/>
      <c r="S23926"/>
    </row>
    <row r="23927" spans="13:19" ht="13.95" customHeight="1">
      <c r="M23927"/>
      <c r="N23927"/>
      <c r="O23927"/>
      <c r="P23927"/>
      <c r="Q23927"/>
      <c r="R23927"/>
      <c r="S23927"/>
    </row>
    <row r="23928" spans="13:19" ht="13.95" customHeight="1">
      <c r="M23928"/>
      <c r="N23928"/>
      <c r="O23928"/>
      <c r="P23928"/>
      <c r="Q23928"/>
      <c r="R23928"/>
      <c r="S23928"/>
    </row>
    <row r="23929" spans="13:19" ht="13.95" customHeight="1">
      <c r="M23929"/>
      <c r="N23929"/>
      <c r="O23929"/>
      <c r="P23929"/>
      <c r="Q23929"/>
      <c r="R23929"/>
      <c r="S23929"/>
    </row>
    <row r="23930" spans="13:19" ht="13.95" customHeight="1">
      <c r="M23930"/>
      <c r="N23930"/>
      <c r="O23930"/>
      <c r="P23930"/>
      <c r="Q23930"/>
      <c r="R23930"/>
      <c r="S23930"/>
    </row>
    <row r="23931" spans="13:19" ht="13.95" customHeight="1">
      <c r="M23931"/>
      <c r="N23931"/>
      <c r="O23931"/>
      <c r="P23931"/>
      <c r="Q23931"/>
      <c r="R23931"/>
      <c r="S23931"/>
    </row>
    <row r="23932" spans="13:19" ht="13.95" customHeight="1">
      <c r="M23932"/>
      <c r="N23932"/>
      <c r="O23932"/>
      <c r="P23932"/>
      <c r="Q23932"/>
      <c r="R23932"/>
      <c r="S23932"/>
    </row>
    <row r="23933" spans="13:19" ht="13.95" customHeight="1">
      <c r="M23933"/>
      <c r="N23933"/>
      <c r="O23933"/>
      <c r="P23933"/>
      <c r="Q23933"/>
      <c r="R23933"/>
      <c r="S23933"/>
    </row>
    <row r="23934" spans="13:19" ht="13.95" customHeight="1">
      <c r="M23934"/>
      <c r="N23934"/>
      <c r="O23934"/>
      <c r="P23934"/>
      <c r="Q23934"/>
      <c r="R23934"/>
      <c r="S23934"/>
    </row>
    <row r="23935" spans="13:19" ht="13.95" customHeight="1">
      <c r="M23935"/>
      <c r="N23935"/>
      <c r="O23935"/>
      <c r="P23935"/>
      <c r="Q23935"/>
      <c r="R23935"/>
      <c r="S23935"/>
    </row>
    <row r="23936" spans="13:19" ht="13.95" customHeight="1">
      <c r="M23936"/>
      <c r="N23936"/>
      <c r="O23936"/>
      <c r="P23936"/>
      <c r="Q23936"/>
      <c r="R23936"/>
      <c r="S23936"/>
    </row>
    <row r="23937" spans="13:19" ht="13.95" customHeight="1">
      <c r="M23937"/>
      <c r="N23937"/>
      <c r="O23937"/>
      <c r="P23937"/>
      <c r="Q23937"/>
      <c r="R23937"/>
      <c r="S23937"/>
    </row>
    <row r="23938" spans="13:19" ht="13.95" customHeight="1">
      <c r="M23938"/>
      <c r="N23938"/>
      <c r="O23938"/>
      <c r="P23938"/>
      <c r="Q23938"/>
      <c r="R23938"/>
      <c r="S23938"/>
    </row>
    <row r="23939" spans="13:19" ht="13.95" customHeight="1">
      <c r="M23939"/>
      <c r="N23939"/>
      <c r="O23939"/>
      <c r="P23939"/>
      <c r="Q23939"/>
      <c r="R23939"/>
      <c r="S23939"/>
    </row>
    <row r="23940" spans="13:19" ht="13.95" customHeight="1">
      <c r="M23940"/>
      <c r="N23940"/>
      <c r="O23940"/>
      <c r="P23940"/>
      <c r="Q23940"/>
      <c r="R23940"/>
      <c r="S23940"/>
    </row>
    <row r="23941" spans="13:19" ht="13.95" customHeight="1">
      <c r="M23941"/>
      <c r="N23941"/>
      <c r="O23941"/>
      <c r="P23941"/>
      <c r="Q23941"/>
      <c r="R23941"/>
      <c r="S23941"/>
    </row>
    <row r="23942" spans="13:19" ht="13.95" customHeight="1">
      <c r="M23942"/>
      <c r="N23942"/>
      <c r="O23942"/>
      <c r="P23942"/>
      <c r="Q23942"/>
      <c r="R23942"/>
      <c r="S23942"/>
    </row>
    <row r="23943" spans="13:19" ht="13.95" customHeight="1">
      <c r="M23943"/>
      <c r="N23943"/>
      <c r="O23943"/>
      <c r="P23943"/>
      <c r="Q23943"/>
      <c r="R23943"/>
      <c r="S23943"/>
    </row>
    <row r="23944" spans="13:19" ht="13.95" customHeight="1">
      <c r="M23944"/>
      <c r="N23944"/>
      <c r="O23944"/>
      <c r="P23944"/>
      <c r="Q23944"/>
      <c r="R23944"/>
      <c r="S23944"/>
    </row>
    <row r="23945" spans="13:19" ht="13.95" customHeight="1">
      <c r="M23945"/>
      <c r="N23945"/>
      <c r="O23945"/>
      <c r="P23945"/>
      <c r="Q23945"/>
      <c r="R23945"/>
      <c r="S23945"/>
    </row>
    <row r="23946" spans="13:19" ht="13.95" customHeight="1">
      <c r="M23946"/>
      <c r="N23946"/>
      <c r="O23946"/>
      <c r="P23946"/>
      <c r="Q23946"/>
      <c r="R23946"/>
      <c r="S23946"/>
    </row>
    <row r="23947" spans="13:19" ht="13.95" customHeight="1">
      <c r="M23947"/>
      <c r="N23947"/>
      <c r="O23947"/>
      <c r="P23947"/>
      <c r="Q23947"/>
      <c r="R23947"/>
      <c r="S23947"/>
    </row>
    <row r="23948" spans="13:19" ht="13.95" customHeight="1">
      <c r="M23948"/>
      <c r="N23948"/>
      <c r="O23948"/>
      <c r="P23948"/>
      <c r="Q23948"/>
      <c r="R23948"/>
      <c r="S23948"/>
    </row>
    <row r="23949" spans="13:19" ht="13.95" customHeight="1">
      <c r="M23949"/>
      <c r="N23949"/>
      <c r="O23949"/>
      <c r="P23949"/>
      <c r="Q23949"/>
      <c r="R23949"/>
      <c r="S23949"/>
    </row>
    <row r="23950" spans="13:19" ht="13.95" customHeight="1">
      <c r="M23950"/>
      <c r="N23950"/>
      <c r="O23950"/>
      <c r="P23950"/>
      <c r="Q23950"/>
      <c r="R23950"/>
      <c r="S23950"/>
    </row>
    <row r="23951" spans="13:19" ht="13.95" customHeight="1">
      <c r="M23951"/>
      <c r="N23951"/>
      <c r="O23951"/>
      <c r="P23951"/>
      <c r="Q23951"/>
      <c r="R23951"/>
      <c r="S23951"/>
    </row>
    <row r="23952" spans="13:19" ht="13.95" customHeight="1">
      <c r="M23952"/>
      <c r="N23952"/>
      <c r="O23952"/>
      <c r="P23952"/>
      <c r="Q23952"/>
      <c r="R23952"/>
      <c r="S23952"/>
    </row>
    <row r="23953" spans="13:19" ht="13.95" customHeight="1">
      <c r="M23953"/>
      <c r="N23953"/>
      <c r="O23953"/>
      <c r="P23953"/>
      <c r="Q23953"/>
      <c r="R23953"/>
      <c r="S23953"/>
    </row>
    <row r="23954" spans="13:19" ht="13.95" customHeight="1">
      <c r="M23954"/>
      <c r="N23954"/>
      <c r="O23954"/>
      <c r="P23954"/>
      <c r="Q23954"/>
      <c r="R23954"/>
      <c r="S23954"/>
    </row>
    <row r="23955" spans="13:19" ht="13.95" customHeight="1">
      <c r="M23955"/>
      <c r="N23955"/>
      <c r="O23955"/>
      <c r="P23955"/>
      <c r="Q23955"/>
      <c r="R23955"/>
      <c r="S23955"/>
    </row>
    <row r="23956" spans="13:19" ht="13.95" customHeight="1">
      <c r="M23956"/>
      <c r="N23956"/>
      <c r="O23956"/>
      <c r="P23956"/>
      <c r="Q23956"/>
      <c r="R23956"/>
      <c r="S23956"/>
    </row>
    <row r="23957" spans="13:19" ht="13.95" customHeight="1">
      <c r="M23957"/>
      <c r="N23957"/>
      <c r="O23957"/>
      <c r="P23957"/>
      <c r="Q23957"/>
      <c r="R23957"/>
      <c r="S23957"/>
    </row>
    <row r="23958" spans="13:19" ht="13.95" customHeight="1">
      <c r="M23958"/>
      <c r="N23958"/>
      <c r="O23958"/>
      <c r="P23958"/>
      <c r="Q23958"/>
      <c r="R23958"/>
      <c r="S23958"/>
    </row>
    <row r="23959" spans="13:19" ht="13.95" customHeight="1">
      <c r="M23959"/>
      <c r="N23959"/>
      <c r="O23959"/>
      <c r="P23959"/>
      <c r="Q23959"/>
      <c r="R23959"/>
      <c r="S23959"/>
    </row>
    <row r="23960" spans="13:19" ht="13.95" customHeight="1">
      <c r="M23960"/>
      <c r="N23960"/>
      <c r="O23960"/>
      <c r="P23960"/>
      <c r="Q23960"/>
      <c r="R23960"/>
      <c r="S23960"/>
    </row>
    <row r="23961" spans="13:19" ht="13.95" customHeight="1">
      <c r="M23961"/>
      <c r="N23961"/>
      <c r="O23961"/>
      <c r="P23961"/>
      <c r="Q23961"/>
      <c r="R23961"/>
      <c r="S23961"/>
    </row>
    <row r="23962" spans="13:19" ht="13.95" customHeight="1">
      <c r="M23962"/>
      <c r="N23962"/>
      <c r="O23962"/>
      <c r="P23962"/>
      <c r="Q23962"/>
      <c r="R23962"/>
      <c r="S23962"/>
    </row>
    <row r="23963" spans="13:19" ht="13.95" customHeight="1">
      <c r="M23963"/>
      <c r="N23963"/>
      <c r="O23963"/>
      <c r="P23963"/>
      <c r="Q23963"/>
      <c r="R23963"/>
      <c r="S23963"/>
    </row>
    <row r="23964" spans="13:19" ht="13.95" customHeight="1">
      <c r="M23964"/>
      <c r="N23964"/>
      <c r="O23964"/>
      <c r="P23964"/>
      <c r="Q23964"/>
      <c r="R23964"/>
      <c r="S23964"/>
    </row>
    <row r="23965" spans="13:19" ht="13.95" customHeight="1">
      <c r="M23965"/>
      <c r="N23965"/>
      <c r="O23965"/>
      <c r="P23965"/>
      <c r="Q23965"/>
      <c r="R23965"/>
      <c r="S23965"/>
    </row>
    <row r="23966" spans="13:19" ht="13.95" customHeight="1">
      <c r="M23966"/>
      <c r="N23966"/>
      <c r="O23966"/>
      <c r="P23966"/>
      <c r="Q23966"/>
      <c r="R23966"/>
      <c r="S23966"/>
    </row>
    <row r="23967" spans="13:19" ht="13.95" customHeight="1">
      <c r="M23967"/>
      <c r="N23967"/>
      <c r="O23967"/>
      <c r="P23967"/>
      <c r="Q23967"/>
      <c r="R23967"/>
      <c r="S23967"/>
    </row>
    <row r="23968" spans="13:19" ht="13.95" customHeight="1">
      <c r="M23968"/>
      <c r="N23968"/>
      <c r="O23968"/>
      <c r="P23968"/>
      <c r="Q23968"/>
      <c r="R23968"/>
      <c r="S23968"/>
    </row>
    <row r="23969" spans="13:19" ht="13.95" customHeight="1">
      <c r="M23969"/>
      <c r="N23969"/>
      <c r="O23969"/>
      <c r="P23969"/>
      <c r="Q23969"/>
      <c r="R23969"/>
      <c r="S23969"/>
    </row>
    <row r="23970" spans="13:19" ht="13.95" customHeight="1">
      <c r="M23970"/>
      <c r="N23970"/>
      <c r="O23970"/>
      <c r="P23970"/>
      <c r="Q23970"/>
      <c r="R23970"/>
      <c r="S23970"/>
    </row>
    <row r="23971" spans="13:19" ht="13.95" customHeight="1">
      <c r="M23971"/>
      <c r="N23971"/>
      <c r="O23971"/>
      <c r="P23971"/>
      <c r="Q23971"/>
      <c r="R23971"/>
      <c r="S23971"/>
    </row>
    <row r="23972" spans="13:19" ht="13.95" customHeight="1">
      <c r="M23972"/>
      <c r="N23972"/>
      <c r="O23972"/>
      <c r="P23972"/>
      <c r="Q23972"/>
      <c r="R23972"/>
      <c r="S23972"/>
    </row>
    <row r="23973" spans="13:19" ht="13.95" customHeight="1">
      <c r="M23973"/>
      <c r="N23973"/>
      <c r="O23973"/>
      <c r="P23973"/>
      <c r="Q23973"/>
      <c r="R23973"/>
      <c r="S23973"/>
    </row>
    <row r="23974" spans="13:19" ht="13.95" customHeight="1">
      <c r="M23974"/>
      <c r="N23974"/>
      <c r="O23974"/>
      <c r="P23974"/>
      <c r="Q23974"/>
      <c r="R23974"/>
      <c r="S23974"/>
    </row>
    <row r="23975" spans="13:19" ht="13.95" customHeight="1">
      <c r="M23975"/>
      <c r="N23975"/>
      <c r="O23975"/>
      <c r="P23975"/>
      <c r="Q23975"/>
      <c r="R23975"/>
      <c r="S23975"/>
    </row>
    <row r="23976" spans="13:19" ht="13.95" customHeight="1">
      <c r="M23976"/>
      <c r="N23976"/>
      <c r="O23976"/>
      <c r="P23976"/>
      <c r="Q23976"/>
      <c r="R23976"/>
      <c r="S23976"/>
    </row>
    <row r="23977" spans="13:19" ht="13.95" customHeight="1">
      <c r="M23977"/>
      <c r="N23977"/>
      <c r="O23977"/>
      <c r="P23977"/>
      <c r="Q23977"/>
      <c r="R23977"/>
      <c r="S23977"/>
    </row>
    <row r="23978" spans="13:19" ht="13.95" customHeight="1">
      <c r="M23978"/>
      <c r="N23978"/>
      <c r="O23978"/>
      <c r="P23978"/>
      <c r="Q23978"/>
      <c r="R23978"/>
      <c r="S23978"/>
    </row>
    <row r="23979" spans="13:19" ht="13.95" customHeight="1">
      <c r="M23979"/>
      <c r="N23979"/>
      <c r="O23979"/>
      <c r="P23979"/>
      <c r="Q23979"/>
      <c r="R23979"/>
      <c r="S23979"/>
    </row>
    <row r="23980" spans="13:19" ht="13.95" customHeight="1">
      <c r="M23980"/>
      <c r="N23980"/>
      <c r="O23980"/>
      <c r="P23980"/>
      <c r="Q23980"/>
      <c r="R23980"/>
      <c r="S23980"/>
    </row>
    <row r="23981" spans="13:19" ht="13.95" customHeight="1">
      <c r="M23981"/>
      <c r="N23981"/>
      <c r="O23981"/>
      <c r="P23981"/>
      <c r="Q23981"/>
      <c r="R23981"/>
      <c r="S23981"/>
    </row>
    <row r="23982" spans="13:19" ht="13.95" customHeight="1">
      <c r="M23982"/>
      <c r="N23982"/>
      <c r="O23982"/>
      <c r="P23982"/>
      <c r="Q23982"/>
      <c r="R23982"/>
      <c r="S23982"/>
    </row>
    <row r="23983" spans="13:19" ht="13.95" customHeight="1">
      <c r="M23983"/>
      <c r="N23983"/>
      <c r="O23983"/>
      <c r="P23983"/>
      <c r="Q23983"/>
      <c r="R23983"/>
      <c r="S23983"/>
    </row>
    <row r="23984" spans="13:19" ht="13.95" customHeight="1">
      <c r="M23984"/>
      <c r="N23984"/>
      <c r="O23984"/>
      <c r="P23984"/>
      <c r="Q23984"/>
      <c r="R23984"/>
      <c r="S23984"/>
    </row>
    <row r="23985" spans="13:19" ht="13.95" customHeight="1">
      <c r="M23985"/>
      <c r="N23985"/>
      <c r="O23985"/>
      <c r="P23985"/>
      <c r="Q23985"/>
      <c r="R23985"/>
      <c r="S23985"/>
    </row>
    <row r="23986" spans="13:19" ht="13.95" customHeight="1">
      <c r="M23986"/>
      <c r="N23986"/>
      <c r="O23986"/>
      <c r="P23986"/>
      <c r="Q23986"/>
      <c r="R23986"/>
      <c r="S23986"/>
    </row>
    <row r="23987" spans="13:19" ht="13.95" customHeight="1">
      <c r="M23987"/>
      <c r="N23987"/>
      <c r="O23987"/>
      <c r="P23987"/>
      <c r="Q23987"/>
      <c r="R23987"/>
      <c r="S23987"/>
    </row>
    <row r="23988" spans="13:19" ht="13.95" customHeight="1">
      <c r="M23988"/>
      <c r="N23988"/>
      <c r="O23988"/>
      <c r="P23988"/>
      <c r="Q23988"/>
      <c r="R23988"/>
      <c r="S23988"/>
    </row>
    <row r="23989" spans="13:19" ht="13.95" customHeight="1">
      <c r="M23989"/>
      <c r="N23989"/>
      <c r="O23989"/>
      <c r="P23989"/>
      <c r="Q23989"/>
      <c r="R23989"/>
      <c r="S23989"/>
    </row>
    <row r="23990" spans="13:19" ht="13.95" customHeight="1">
      <c r="M23990"/>
      <c r="N23990"/>
      <c r="O23990"/>
      <c r="P23990"/>
      <c r="Q23990"/>
      <c r="R23990"/>
      <c r="S23990"/>
    </row>
    <row r="23991" spans="13:19" ht="13.95" customHeight="1">
      <c r="M23991"/>
      <c r="N23991"/>
      <c r="O23991"/>
      <c r="P23991"/>
      <c r="Q23991"/>
      <c r="R23991"/>
      <c r="S23991"/>
    </row>
    <row r="23992" spans="13:19" ht="13.95" customHeight="1">
      <c r="M23992"/>
      <c r="N23992"/>
      <c r="O23992"/>
      <c r="P23992"/>
      <c r="Q23992"/>
      <c r="R23992"/>
      <c r="S23992"/>
    </row>
    <row r="23993" spans="13:19" ht="13.95" customHeight="1">
      <c r="M23993"/>
      <c r="N23993"/>
      <c r="O23993"/>
      <c r="P23993"/>
      <c r="Q23993"/>
      <c r="R23993"/>
      <c r="S23993"/>
    </row>
    <row r="23994" spans="13:19" ht="13.95" customHeight="1">
      <c r="M23994"/>
      <c r="N23994"/>
      <c r="O23994"/>
      <c r="P23994"/>
      <c r="Q23994"/>
      <c r="R23994"/>
      <c r="S23994"/>
    </row>
    <row r="23995" spans="13:19" ht="13.95" customHeight="1">
      <c r="M23995"/>
      <c r="N23995"/>
      <c r="O23995"/>
      <c r="P23995"/>
      <c r="Q23995"/>
      <c r="R23995"/>
      <c r="S23995"/>
    </row>
    <row r="23996" spans="13:19" ht="13.95" customHeight="1">
      <c r="M23996"/>
      <c r="N23996"/>
      <c r="O23996"/>
      <c r="P23996"/>
      <c r="Q23996"/>
      <c r="R23996"/>
      <c r="S23996"/>
    </row>
    <row r="23997" spans="13:19" ht="13.95" customHeight="1">
      <c r="M23997"/>
      <c r="N23997"/>
      <c r="O23997"/>
      <c r="P23997"/>
      <c r="Q23997"/>
      <c r="R23997"/>
      <c r="S23997"/>
    </row>
    <row r="23998" spans="13:19" ht="13.95" customHeight="1">
      <c r="M23998"/>
      <c r="N23998"/>
      <c r="O23998"/>
      <c r="P23998"/>
      <c r="Q23998"/>
      <c r="R23998"/>
      <c r="S23998"/>
    </row>
    <row r="23999" spans="13:19" ht="13.95" customHeight="1">
      <c r="M23999"/>
      <c r="N23999"/>
      <c r="O23999"/>
      <c r="P23999"/>
      <c r="Q23999"/>
      <c r="R23999"/>
      <c r="S23999"/>
    </row>
    <row r="24000" spans="13:19" ht="13.95" customHeight="1">
      <c r="M24000"/>
      <c r="N24000"/>
      <c r="O24000"/>
      <c r="P24000"/>
      <c r="Q24000"/>
      <c r="R24000"/>
      <c r="S24000"/>
    </row>
    <row r="24001" spans="13:19" ht="13.95" customHeight="1">
      <c r="M24001"/>
      <c r="N24001"/>
      <c r="O24001"/>
      <c r="P24001"/>
      <c r="Q24001"/>
      <c r="R24001"/>
      <c r="S24001"/>
    </row>
    <row r="24002" spans="13:19" ht="13.95" customHeight="1">
      <c r="M24002"/>
      <c r="N24002"/>
      <c r="O24002"/>
      <c r="P24002"/>
      <c r="Q24002"/>
      <c r="R24002"/>
      <c r="S24002"/>
    </row>
    <row r="24003" spans="13:19" ht="13.95" customHeight="1">
      <c r="M24003"/>
      <c r="N24003"/>
      <c r="O24003"/>
      <c r="P24003"/>
      <c r="Q24003"/>
      <c r="R24003"/>
      <c r="S24003"/>
    </row>
    <row r="24004" spans="13:19" ht="13.95" customHeight="1">
      <c r="M24004"/>
      <c r="N24004"/>
      <c r="O24004"/>
      <c r="P24004"/>
      <c r="Q24004"/>
      <c r="R24004"/>
      <c r="S24004"/>
    </row>
    <row r="24005" spans="13:19" ht="13.95" customHeight="1">
      <c r="M24005"/>
      <c r="N24005"/>
      <c r="O24005"/>
      <c r="P24005"/>
      <c r="Q24005"/>
      <c r="R24005"/>
      <c r="S24005"/>
    </row>
    <row r="24006" spans="13:19" ht="13.95" customHeight="1">
      <c r="M24006"/>
      <c r="N24006"/>
      <c r="O24006"/>
      <c r="P24006"/>
      <c r="Q24006"/>
      <c r="R24006"/>
      <c r="S24006"/>
    </row>
    <row r="24007" spans="13:19" ht="13.95" customHeight="1">
      <c r="M24007"/>
      <c r="N24007"/>
      <c r="O24007"/>
      <c r="P24007"/>
      <c r="Q24007"/>
      <c r="R24007"/>
      <c r="S24007"/>
    </row>
    <row r="24008" spans="13:19" ht="13.95" customHeight="1">
      <c r="M24008"/>
      <c r="N24008"/>
      <c r="O24008"/>
      <c r="P24008"/>
      <c r="Q24008"/>
      <c r="R24008"/>
      <c r="S24008"/>
    </row>
    <row r="24009" spans="13:19" ht="13.95" customHeight="1">
      <c r="M24009"/>
      <c r="N24009"/>
      <c r="O24009"/>
      <c r="P24009"/>
      <c r="Q24009"/>
      <c r="R24009"/>
      <c r="S24009"/>
    </row>
    <row r="24010" spans="13:19" ht="13.95" customHeight="1">
      <c r="M24010"/>
      <c r="N24010"/>
      <c r="O24010"/>
      <c r="P24010"/>
      <c r="Q24010"/>
      <c r="R24010"/>
      <c r="S24010"/>
    </row>
    <row r="24011" spans="13:19" ht="13.95" customHeight="1">
      <c r="M24011"/>
      <c r="N24011"/>
      <c r="O24011"/>
      <c r="P24011"/>
      <c r="Q24011"/>
      <c r="R24011"/>
      <c r="S24011"/>
    </row>
    <row r="24012" spans="13:19" ht="13.95" customHeight="1">
      <c r="M24012"/>
      <c r="N24012"/>
      <c r="O24012"/>
      <c r="P24012"/>
      <c r="Q24012"/>
      <c r="R24012"/>
      <c r="S24012"/>
    </row>
    <row r="24013" spans="13:19" ht="13.95" customHeight="1">
      <c r="M24013"/>
      <c r="N24013"/>
      <c r="O24013"/>
      <c r="P24013"/>
      <c r="Q24013"/>
      <c r="R24013"/>
      <c r="S24013"/>
    </row>
    <row r="24014" spans="13:19" ht="13.95" customHeight="1">
      <c r="M24014"/>
      <c r="N24014"/>
      <c r="O24014"/>
      <c r="P24014"/>
      <c r="Q24014"/>
      <c r="R24014"/>
      <c r="S24014"/>
    </row>
    <row r="24015" spans="13:19" ht="13.95" customHeight="1">
      <c r="M24015"/>
      <c r="N24015"/>
      <c r="O24015"/>
      <c r="P24015"/>
      <c r="Q24015"/>
      <c r="R24015"/>
      <c r="S24015"/>
    </row>
    <row r="24016" spans="13:19" ht="13.95" customHeight="1">
      <c r="M24016"/>
      <c r="N24016"/>
      <c r="O24016"/>
      <c r="P24016"/>
      <c r="Q24016"/>
      <c r="R24016"/>
      <c r="S24016"/>
    </row>
    <row r="24017" spans="13:19" ht="13.95" customHeight="1">
      <c r="M24017"/>
      <c r="N24017"/>
      <c r="O24017"/>
      <c r="P24017"/>
      <c r="Q24017"/>
      <c r="R24017"/>
      <c r="S24017"/>
    </row>
    <row r="24018" spans="13:19" ht="13.95" customHeight="1">
      <c r="M24018"/>
      <c r="N24018"/>
      <c r="O24018"/>
      <c r="P24018"/>
      <c r="Q24018"/>
      <c r="R24018"/>
      <c r="S24018"/>
    </row>
    <row r="24019" spans="13:19" ht="13.95" customHeight="1">
      <c r="M24019"/>
      <c r="N24019"/>
      <c r="O24019"/>
      <c r="P24019"/>
      <c r="Q24019"/>
      <c r="R24019"/>
      <c r="S24019"/>
    </row>
    <row r="24020" spans="13:19" ht="13.95" customHeight="1">
      <c r="M24020"/>
      <c r="N24020"/>
      <c r="O24020"/>
      <c r="P24020"/>
      <c r="Q24020"/>
      <c r="R24020"/>
      <c r="S24020"/>
    </row>
    <row r="24021" spans="13:19" ht="13.95" customHeight="1">
      <c r="M24021"/>
      <c r="N24021"/>
      <c r="O24021"/>
      <c r="P24021"/>
      <c r="Q24021"/>
      <c r="R24021"/>
      <c r="S24021"/>
    </row>
    <row r="24022" spans="13:19" ht="13.95" customHeight="1">
      <c r="M24022"/>
      <c r="N24022"/>
      <c r="O24022"/>
      <c r="P24022"/>
      <c r="Q24022"/>
      <c r="R24022"/>
      <c r="S24022"/>
    </row>
    <row r="24023" spans="13:19" ht="13.95" customHeight="1">
      <c r="M24023"/>
      <c r="N24023"/>
      <c r="O24023"/>
      <c r="P24023"/>
      <c r="Q24023"/>
      <c r="R24023"/>
      <c r="S24023"/>
    </row>
    <row r="24024" spans="13:19" ht="13.95" customHeight="1">
      <c r="M24024"/>
      <c r="N24024"/>
      <c r="O24024"/>
      <c r="P24024"/>
      <c r="Q24024"/>
      <c r="R24024"/>
      <c r="S24024"/>
    </row>
    <row r="24025" spans="13:19" ht="13.95" customHeight="1">
      <c r="M24025"/>
      <c r="N24025"/>
      <c r="O24025"/>
      <c r="P24025"/>
      <c r="Q24025"/>
      <c r="R24025"/>
      <c r="S24025"/>
    </row>
    <row r="24026" spans="13:19" ht="13.95" customHeight="1">
      <c r="M24026"/>
      <c r="N24026"/>
      <c r="O24026"/>
      <c r="P24026"/>
      <c r="Q24026"/>
      <c r="R24026"/>
      <c r="S24026"/>
    </row>
    <row r="24027" spans="13:19" ht="13.95" customHeight="1">
      <c r="M24027"/>
      <c r="N24027"/>
      <c r="O24027"/>
      <c r="P24027"/>
      <c r="Q24027"/>
      <c r="R24027"/>
      <c r="S24027"/>
    </row>
    <row r="24028" spans="13:19" ht="13.95" customHeight="1">
      <c r="M24028"/>
      <c r="N24028"/>
      <c r="O24028"/>
      <c r="P24028"/>
      <c r="Q24028"/>
      <c r="R24028"/>
      <c r="S24028"/>
    </row>
    <row r="24029" spans="13:19" ht="13.95" customHeight="1">
      <c r="M24029"/>
      <c r="N24029"/>
      <c r="O24029"/>
      <c r="P24029"/>
      <c r="Q24029"/>
      <c r="R24029"/>
      <c r="S24029"/>
    </row>
    <row r="24030" spans="13:19" ht="13.95" customHeight="1">
      <c r="M24030"/>
      <c r="N24030"/>
      <c r="O24030"/>
      <c r="P24030"/>
      <c r="Q24030"/>
      <c r="R24030"/>
      <c r="S24030"/>
    </row>
    <row r="24031" spans="13:19" ht="13.95" customHeight="1">
      <c r="M24031"/>
      <c r="N24031"/>
      <c r="O24031"/>
      <c r="P24031"/>
      <c r="Q24031"/>
      <c r="R24031"/>
      <c r="S24031"/>
    </row>
    <row r="24032" spans="13:19" ht="13.95" customHeight="1">
      <c r="M24032"/>
      <c r="N24032"/>
      <c r="O24032"/>
      <c r="P24032"/>
      <c r="Q24032"/>
      <c r="R24032"/>
      <c r="S24032"/>
    </row>
    <row r="24033" spans="13:19" ht="13.95" customHeight="1">
      <c r="M24033"/>
      <c r="N24033"/>
      <c r="O24033"/>
      <c r="P24033"/>
      <c r="Q24033"/>
      <c r="R24033"/>
      <c r="S24033"/>
    </row>
    <row r="24034" spans="13:19" ht="13.95" customHeight="1">
      <c r="M24034"/>
      <c r="N24034"/>
      <c r="O24034"/>
      <c r="P24034"/>
      <c r="Q24034"/>
      <c r="R24034"/>
      <c r="S24034"/>
    </row>
    <row r="24035" spans="13:19" ht="13.95" customHeight="1">
      <c r="M24035"/>
      <c r="N24035"/>
      <c r="O24035"/>
      <c r="P24035"/>
      <c r="Q24035"/>
      <c r="R24035"/>
      <c r="S24035"/>
    </row>
    <row r="24036" spans="13:19" ht="13.95" customHeight="1">
      <c r="M24036"/>
      <c r="N24036"/>
      <c r="O24036"/>
      <c r="P24036"/>
      <c r="Q24036"/>
      <c r="R24036"/>
      <c r="S24036"/>
    </row>
    <row r="24037" spans="13:19" ht="13.95" customHeight="1">
      <c r="M24037"/>
      <c r="N24037"/>
      <c r="O24037"/>
      <c r="P24037"/>
      <c r="Q24037"/>
      <c r="R24037"/>
      <c r="S24037"/>
    </row>
    <row r="24038" spans="13:19" ht="13.95" customHeight="1">
      <c r="M24038"/>
      <c r="N24038"/>
      <c r="O24038"/>
      <c r="P24038"/>
      <c r="Q24038"/>
      <c r="R24038"/>
      <c r="S24038"/>
    </row>
    <row r="24039" spans="13:19" ht="13.95" customHeight="1">
      <c r="M24039"/>
      <c r="N24039"/>
      <c r="O24039"/>
      <c r="P24039"/>
      <c r="Q24039"/>
      <c r="R24039"/>
      <c r="S24039"/>
    </row>
    <row r="24040" spans="13:19" ht="13.95" customHeight="1">
      <c r="M24040"/>
      <c r="N24040"/>
      <c r="O24040"/>
      <c r="P24040"/>
      <c r="Q24040"/>
      <c r="R24040"/>
      <c r="S24040"/>
    </row>
    <row r="24041" spans="13:19" ht="13.95" customHeight="1">
      <c r="M24041"/>
      <c r="N24041"/>
      <c r="O24041"/>
      <c r="P24041"/>
      <c r="Q24041"/>
      <c r="R24041"/>
      <c r="S24041"/>
    </row>
    <row r="24042" spans="13:19" ht="13.95" customHeight="1">
      <c r="M24042"/>
      <c r="N24042"/>
      <c r="O24042"/>
      <c r="P24042"/>
      <c r="Q24042"/>
      <c r="R24042"/>
      <c r="S24042"/>
    </row>
    <row r="24043" spans="13:19" ht="13.95" customHeight="1">
      <c r="M24043"/>
      <c r="N24043"/>
      <c r="O24043"/>
      <c r="P24043"/>
      <c r="Q24043"/>
      <c r="R24043"/>
      <c r="S24043"/>
    </row>
    <row r="24044" spans="13:19" ht="13.95" customHeight="1">
      <c r="M24044"/>
      <c r="N24044"/>
      <c r="O24044"/>
      <c r="P24044"/>
      <c r="Q24044"/>
      <c r="R24044"/>
      <c r="S24044"/>
    </row>
    <row r="24045" spans="13:19" ht="13.95" customHeight="1">
      <c r="M24045"/>
      <c r="N24045"/>
      <c r="O24045"/>
      <c r="P24045"/>
      <c r="Q24045"/>
      <c r="R24045"/>
      <c r="S24045"/>
    </row>
    <row r="24046" spans="13:19" ht="13.95" customHeight="1">
      <c r="M24046"/>
      <c r="N24046"/>
      <c r="O24046"/>
      <c r="P24046"/>
      <c r="Q24046"/>
      <c r="R24046"/>
      <c r="S24046"/>
    </row>
    <row r="24047" spans="13:19" ht="13.95" customHeight="1">
      <c r="M24047"/>
      <c r="N24047"/>
      <c r="O24047"/>
      <c r="P24047"/>
      <c r="Q24047"/>
      <c r="R24047"/>
      <c r="S24047"/>
    </row>
    <row r="24048" spans="13:19" ht="13.95" customHeight="1">
      <c r="M24048"/>
      <c r="N24048"/>
      <c r="O24048"/>
      <c r="P24048"/>
      <c r="Q24048"/>
      <c r="R24048"/>
      <c r="S24048"/>
    </row>
    <row r="24049" spans="13:19" ht="13.95" customHeight="1">
      <c r="M24049"/>
      <c r="N24049"/>
      <c r="O24049"/>
      <c r="P24049"/>
      <c r="Q24049"/>
      <c r="R24049"/>
      <c r="S24049"/>
    </row>
    <row r="24050" spans="13:19" ht="13.95" customHeight="1">
      <c r="M24050"/>
      <c r="N24050"/>
      <c r="O24050"/>
      <c r="P24050"/>
      <c r="Q24050"/>
      <c r="R24050"/>
      <c r="S24050"/>
    </row>
    <row r="24051" spans="13:19" ht="13.95" customHeight="1">
      <c r="M24051"/>
      <c r="N24051"/>
      <c r="O24051"/>
      <c r="P24051"/>
      <c r="Q24051"/>
      <c r="R24051"/>
      <c r="S24051"/>
    </row>
    <row r="24052" spans="13:19" ht="13.95" customHeight="1">
      <c r="M24052"/>
      <c r="N24052"/>
      <c r="O24052"/>
      <c r="P24052"/>
      <c r="Q24052"/>
      <c r="R24052"/>
      <c r="S24052"/>
    </row>
    <row r="24053" spans="13:19" ht="13.95" customHeight="1">
      <c r="M24053"/>
      <c r="N24053"/>
      <c r="O24053"/>
      <c r="P24053"/>
      <c r="Q24053"/>
      <c r="R24053"/>
      <c r="S24053"/>
    </row>
    <row r="24054" spans="13:19" ht="13.95" customHeight="1">
      <c r="M24054"/>
      <c r="N24054"/>
      <c r="O24054"/>
      <c r="P24054"/>
      <c r="Q24054"/>
      <c r="R24054"/>
      <c r="S24054"/>
    </row>
    <row r="24055" spans="13:19" ht="13.95" customHeight="1">
      <c r="M24055"/>
      <c r="N24055"/>
      <c r="O24055"/>
      <c r="P24055"/>
      <c r="Q24055"/>
      <c r="R24055"/>
      <c r="S24055"/>
    </row>
    <row r="24056" spans="13:19" ht="13.95" customHeight="1">
      <c r="M24056"/>
      <c r="N24056"/>
      <c r="O24056"/>
      <c r="P24056"/>
      <c r="Q24056"/>
      <c r="R24056"/>
      <c r="S24056"/>
    </row>
    <row r="24057" spans="13:19" ht="13.95" customHeight="1">
      <c r="M24057"/>
      <c r="N24057"/>
      <c r="O24057"/>
      <c r="P24057"/>
      <c r="Q24057"/>
      <c r="R24057"/>
      <c r="S24057"/>
    </row>
    <row r="24058" spans="13:19" ht="13.95" customHeight="1">
      <c r="M24058"/>
      <c r="N24058"/>
      <c r="O24058"/>
      <c r="P24058"/>
      <c r="Q24058"/>
      <c r="R24058"/>
      <c r="S24058"/>
    </row>
    <row r="24059" spans="13:19" ht="13.95" customHeight="1">
      <c r="M24059"/>
      <c r="N24059"/>
      <c r="O24059"/>
      <c r="P24059"/>
      <c r="Q24059"/>
      <c r="R24059"/>
      <c r="S24059"/>
    </row>
    <row r="24060" spans="13:19" ht="13.95" customHeight="1">
      <c r="M24060"/>
      <c r="N24060"/>
      <c r="O24060"/>
      <c r="P24060"/>
      <c r="Q24060"/>
      <c r="R24060"/>
      <c r="S24060"/>
    </row>
    <row r="24061" spans="13:19" ht="13.95" customHeight="1">
      <c r="M24061"/>
      <c r="N24061"/>
      <c r="O24061"/>
      <c r="P24061"/>
      <c r="Q24061"/>
      <c r="R24061"/>
      <c r="S24061"/>
    </row>
    <row r="24062" spans="13:19" ht="13.95" customHeight="1">
      <c r="M24062"/>
      <c r="N24062"/>
      <c r="O24062"/>
      <c r="P24062"/>
      <c r="Q24062"/>
      <c r="R24062"/>
      <c r="S24062"/>
    </row>
    <row r="24063" spans="13:19" ht="13.95" customHeight="1">
      <c r="M24063"/>
      <c r="N24063"/>
      <c r="O24063"/>
      <c r="P24063"/>
      <c r="Q24063"/>
      <c r="R24063"/>
      <c r="S24063"/>
    </row>
    <row r="24064" spans="13:19" ht="13.95" customHeight="1">
      <c r="M24064"/>
      <c r="N24064"/>
      <c r="O24064"/>
      <c r="P24064"/>
      <c r="Q24064"/>
      <c r="R24064"/>
      <c r="S24064"/>
    </row>
    <row r="24065" spans="13:19" ht="13.95" customHeight="1">
      <c r="M24065"/>
      <c r="N24065"/>
      <c r="O24065"/>
      <c r="P24065"/>
      <c r="Q24065"/>
      <c r="R24065"/>
      <c r="S24065"/>
    </row>
    <row r="24066" spans="13:19" ht="13.95" customHeight="1">
      <c r="M24066"/>
      <c r="N24066"/>
      <c r="O24066"/>
      <c r="P24066"/>
      <c r="Q24066"/>
      <c r="R24066"/>
      <c r="S24066"/>
    </row>
    <row r="24067" spans="13:19" ht="13.95" customHeight="1">
      <c r="M24067"/>
      <c r="N24067"/>
      <c r="O24067"/>
      <c r="P24067"/>
      <c r="Q24067"/>
      <c r="R24067"/>
      <c r="S24067"/>
    </row>
    <row r="24068" spans="13:19" ht="13.95" customHeight="1">
      <c r="M24068"/>
      <c r="N24068"/>
      <c r="O24068"/>
      <c r="P24068"/>
      <c r="Q24068"/>
      <c r="R24068"/>
      <c r="S24068"/>
    </row>
    <row r="24069" spans="13:19" ht="13.95" customHeight="1">
      <c r="M24069"/>
      <c r="N24069"/>
      <c r="O24069"/>
      <c r="P24069"/>
      <c r="Q24069"/>
      <c r="R24069"/>
      <c r="S24069"/>
    </row>
    <row r="24070" spans="13:19" ht="13.95" customHeight="1">
      <c r="M24070"/>
      <c r="N24070"/>
      <c r="O24070"/>
      <c r="P24070"/>
      <c r="Q24070"/>
      <c r="R24070"/>
      <c r="S24070"/>
    </row>
    <row r="24071" spans="13:19" ht="13.95" customHeight="1">
      <c r="M24071"/>
      <c r="N24071"/>
      <c r="O24071"/>
      <c r="P24071"/>
      <c r="Q24071"/>
      <c r="R24071"/>
      <c r="S24071"/>
    </row>
    <row r="24072" spans="13:19" ht="13.95" customHeight="1">
      <c r="M24072"/>
      <c r="N24072"/>
      <c r="O24072"/>
      <c r="P24072"/>
      <c r="Q24072"/>
      <c r="R24072"/>
      <c r="S24072"/>
    </row>
    <row r="24073" spans="13:19" ht="13.95" customHeight="1">
      <c r="M24073"/>
      <c r="N24073"/>
      <c r="O24073"/>
      <c r="P24073"/>
      <c r="Q24073"/>
      <c r="R24073"/>
      <c r="S24073"/>
    </row>
    <row r="24074" spans="13:19" ht="13.95" customHeight="1">
      <c r="M24074"/>
      <c r="N24074"/>
      <c r="O24074"/>
      <c r="P24074"/>
      <c r="Q24074"/>
      <c r="R24074"/>
      <c r="S24074"/>
    </row>
    <row r="24075" spans="13:19" ht="13.95" customHeight="1">
      <c r="M24075"/>
      <c r="N24075"/>
      <c r="O24075"/>
      <c r="P24075"/>
      <c r="Q24075"/>
      <c r="R24075"/>
      <c r="S24075"/>
    </row>
    <row r="24076" spans="13:19" ht="13.95" customHeight="1">
      <c r="M24076"/>
      <c r="N24076"/>
      <c r="O24076"/>
      <c r="P24076"/>
      <c r="Q24076"/>
      <c r="R24076"/>
      <c r="S24076"/>
    </row>
    <row r="24077" spans="13:19" ht="13.95" customHeight="1">
      <c r="M24077"/>
      <c r="N24077"/>
      <c r="O24077"/>
      <c r="P24077"/>
      <c r="Q24077"/>
      <c r="R24077"/>
      <c r="S24077"/>
    </row>
    <row r="24078" spans="13:19" ht="13.95" customHeight="1">
      <c r="M24078"/>
      <c r="N24078"/>
      <c r="O24078"/>
      <c r="P24078"/>
      <c r="Q24078"/>
      <c r="R24078"/>
      <c r="S24078"/>
    </row>
    <row r="24079" spans="13:19" ht="13.95" customHeight="1">
      <c r="M24079"/>
      <c r="N24079"/>
      <c r="O24079"/>
      <c r="P24079"/>
      <c r="Q24079"/>
      <c r="R24079"/>
      <c r="S24079"/>
    </row>
    <row r="24080" spans="13:19" ht="13.95" customHeight="1">
      <c r="M24080"/>
      <c r="N24080"/>
      <c r="O24080"/>
      <c r="P24080"/>
      <c r="Q24080"/>
      <c r="R24080"/>
      <c r="S24080"/>
    </row>
    <row r="24081" spans="13:19" ht="13.95" customHeight="1">
      <c r="M24081"/>
      <c r="N24081"/>
      <c r="O24081"/>
      <c r="P24081"/>
      <c r="Q24081"/>
      <c r="R24081"/>
      <c r="S24081"/>
    </row>
    <row r="24082" spans="13:19" ht="13.95" customHeight="1">
      <c r="M24082"/>
      <c r="N24082"/>
      <c r="O24082"/>
      <c r="P24082"/>
      <c r="Q24082"/>
      <c r="R24082"/>
      <c r="S24082"/>
    </row>
    <row r="24083" spans="13:19" ht="13.95" customHeight="1">
      <c r="M24083"/>
      <c r="N24083"/>
      <c r="O24083"/>
      <c r="P24083"/>
      <c r="Q24083"/>
      <c r="R24083"/>
      <c r="S24083"/>
    </row>
    <row r="24084" spans="13:19" ht="13.95" customHeight="1">
      <c r="M24084"/>
      <c r="N24084"/>
      <c r="O24084"/>
      <c r="P24084"/>
      <c r="Q24084"/>
      <c r="R24084"/>
      <c r="S24084"/>
    </row>
    <row r="24085" spans="13:19" ht="13.95" customHeight="1">
      <c r="M24085"/>
      <c r="N24085"/>
      <c r="O24085"/>
      <c r="P24085"/>
      <c r="Q24085"/>
      <c r="R24085"/>
      <c r="S24085"/>
    </row>
    <row r="24086" spans="13:19" ht="13.95" customHeight="1">
      <c r="M24086"/>
      <c r="N24086"/>
      <c r="O24086"/>
      <c r="P24086"/>
      <c r="Q24086"/>
      <c r="R24086"/>
      <c r="S24086"/>
    </row>
    <row r="24087" spans="13:19" ht="13.95" customHeight="1">
      <c r="M24087"/>
      <c r="N24087"/>
      <c r="O24087"/>
      <c r="P24087"/>
      <c r="Q24087"/>
      <c r="R24087"/>
      <c r="S24087"/>
    </row>
    <row r="24088" spans="13:19" ht="13.95" customHeight="1">
      <c r="M24088"/>
      <c r="N24088"/>
      <c r="O24088"/>
      <c r="P24088"/>
      <c r="Q24088"/>
      <c r="R24088"/>
      <c r="S24088"/>
    </row>
    <row r="24089" spans="13:19" ht="13.95" customHeight="1">
      <c r="M24089"/>
      <c r="N24089"/>
      <c r="O24089"/>
      <c r="P24089"/>
      <c r="Q24089"/>
      <c r="R24089"/>
      <c r="S24089"/>
    </row>
    <row r="24090" spans="13:19" ht="13.95" customHeight="1">
      <c r="M24090"/>
      <c r="N24090"/>
      <c r="O24090"/>
      <c r="P24090"/>
      <c r="Q24090"/>
      <c r="R24090"/>
      <c r="S24090"/>
    </row>
    <row r="24091" spans="13:19" ht="13.95" customHeight="1">
      <c r="M24091"/>
      <c r="N24091"/>
      <c r="O24091"/>
      <c r="P24091"/>
      <c r="Q24091"/>
      <c r="R24091"/>
      <c r="S24091"/>
    </row>
    <row r="24092" spans="13:19" ht="13.95" customHeight="1">
      <c r="M24092"/>
      <c r="N24092"/>
      <c r="O24092"/>
      <c r="P24092"/>
      <c r="Q24092"/>
      <c r="R24092"/>
      <c r="S24092"/>
    </row>
    <row r="24093" spans="13:19" ht="13.95" customHeight="1">
      <c r="M24093"/>
      <c r="N24093"/>
      <c r="O24093"/>
      <c r="P24093"/>
      <c r="Q24093"/>
      <c r="R24093"/>
      <c r="S24093"/>
    </row>
    <row r="24094" spans="13:19" ht="13.95" customHeight="1">
      <c r="M24094"/>
      <c r="N24094"/>
      <c r="O24094"/>
      <c r="P24094"/>
      <c r="Q24094"/>
      <c r="R24094"/>
      <c r="S24094"/>
    </row>
    <row r="24095" spans="13:19" ht="13.95" customHeight="1">
      <c r="M24095"/>
      <c r="N24095"/>
      <c r="O24095"/>
      <c r="P24095"/>
      <c r="Q24095"/>
      <c r="R24095"/>
      <c r="S24095"/>
    </row>
    <row r="24096" spans="13:19" ht="13.95" customHeight="1">
      <c r="M24096"/>
      <c r="N24096"/>
      <c r="O24096"/>
      <c r="P24096"/>
      <c r="Q24096"/>
      <c r="R24096"/>
      <c r="S24096"/>
    </row>
    <row r="24097" spans="13:19" ht="13.95" customHeight="1">
      <c r="M24097"/>
      <c r="N24097"/>
      <c r="O24097"/>
      <c r="P24097"/>
      <c r="Q24097"/>
      <c r="R24097"/>
      <c r="S24097"/>
    </row>
    <row r="24098" spans="13:19" ht="13.95" customHeight="1">
      <c r="M24098"/>
      <c r="N24098"/>
      <c r="O24098"/>
      <c r="P24098"/>
      <c r="Q24098"/>
      <c r="R24098"/>
      <c r="S24098"/>
    </row>
    <row r="24099" spans="13:19" ht="13.95" customHeight="1">
      <c r="M24099"/>
      <c r="N24099"/>
      <c r="O24099"/>
      <c r="P24099"/>
      <c r="Q24099"/>
      <c r="R24099"/>
      <c r="S24099"/>
    </row>
    <row r="24100" spans="13:19" ht="13.95" customHeight="1">
      <c r="M24100"/>
      <c r="N24100"/>
      <c r="O24100"/>
      <c r="P24100"/>
      <c r="Q24100"/>
      <c r="R24100"/>
      <c r="S24100"/>
    </row>
    <row r="24101" spans="13:19" ht="13.95" customHeight="1">
      <c r="M24101"/>
      <c r="N24101"/>
      <c r="O24101"/>
      <c r="P24101"/>
      <c r="Q24101"/>
      <c r="R24101"/>
      <c r="S24101"/>
    </row>
    <row r="24102" spans="13:19" ht="13.95" customHeight="1">
      <c r="M24102"/>
      <c r="N24102"/>
      <c r="O24102"/>
      <c r="P24102"/>
      <c r="Q24102"/>
      <c r="R24102"/>
      <c r="S24102"/>
    </row>
    <row r="24103" spans="13:19" ht="13.95" customHeight="1">
      <c r="M24103"/>
      <c r="N24103"/>
      <c r="O24103"/>
      <c r="P24103"/>
      <c r="Q24103"/>
      <c r="R24103"/>
      <c r="S24103"/>
    </row>
    <row r="24104" spans="13:19" ht="13.95" customHeight="1">
      <c r="M24104"/>
      <c r="N24104"/>
      <c r="O24104"/>
      <c r="P24104"/>
      <c r="Q24104"/>
      <c r="R24104"/>
      <c r="S24104"/>
    </row>
    <row r="24105" spans="13:19" ht="13.95" customHeight="1">
      <c r="M24105"/>
      <c r="N24105"/>
      <c r="O24105"/>
      <c r="P24105"/>
      <c r="Q24105"/>
      <c r="R24105"/>
      <c r="S24105"/>
    </row>
    <row r="24106" spans="13:19" ht="13.95" customHeight="1">
      <c r="M24106"/>
      <c r="N24106"/>
      <c r="O24106"/>
      <c r="P24106"/>
      <c r="Q24106"/>
      <c r="R24106"/>
      <c r="S24106"/>
    </row>
    <row r="24107" spans="13:19" ht="13.95" customHeight="1">
      <c r="M24107"/>
      <c r="N24107"/>
      <c r="O24107"/>
      <c r="P24107"/>
      <c r="Q24107"/>
      <c r="R24107"/>
      <c r="S24107"/>
    </row>
    <row r="24108" spans="13:19" ht="13.95" customHeight="1">
      <c r="M24108"/>
      <c r="N24108"/>
      <c r="O24108"/>
      <c r="P24108"/>
      <c r="Q24108"/>
      <c r="R24108"/>
      <c r="S24108"/>
    </row>
    <row r="24109" spans="13:19" ht="13.95" customHeight="1">
      <c r="M24109"/>
      <c r="N24109"/>
      <c r="O24109"/>
      <c r="P24109"/>
      <c r="Q24109"/>
      <c r="R24109"/>
      <c r="S24109"/>
    </row>
    <row r="24110" spans="13:19" ht="13.95" customHeight="1">
      <c r="M24110"/>
      <c r="N24110"/>
      <c r="O24110"/>
      <c r="P24110"/>
      <c r="Q24110"/>
      <c r="R24110"/>
      <c r="S24110"/>
    </row>
    <row r="24111" spans="13:19" ht="13.95" customHeight="1">
      <c r="M24111"/>
      <c r="N24111"/>
      <c r="O24111"/>
      <c r="P24111"/>
      <c r="Q24111"/>
      <c r="R24111"/>
      <c r="S24111"/>
    </row>
    <row r="24112" spans="13:19" ht="13.95" customHeight="1">
      <c r="M24112"/>
      <c r="N24112"/>
      <c r="O24112"/>
      <c r="P24112"/>
      <c r="Q24112"/>
      <c r="R24112"/>
      <c r="S24112"/>
    </row>
    <row r="24113" spans="13:19" ht="13.95" customHeight="1">
      <c r="M24113"/>
      <c r="N24113"/>
      <c r="O24113"/>
      <c r="P24113"/>
      <c r="Q24113"/>
      <c r="R24113"/>
      <c r="S24113"/>
    </row>
    <row r="24114" spans="13:19" ht="13.95" customHeight="1">
      <c r="M24114"/>
      <c r="N24114"/>
      <c r="O24114"/>
      <c r="P24114"/>
      <c r="Q24114"/>
      <c r="R24114"/>
      <c r="S24114"/>
    </row>
    <row r="24115" spans="13:19" ht="13.95" customHeight="1">
      <c r="M24115"/>
      <c r="N24115"/>
      <c r="O24115"/>
      <c r="P24115"/>
      <c r="Q24115"/>
      <c r="R24115"/>
      <c r="S24115"/>
    </row>
    <row r="24116" spans="13:19" ht="13.95" customHeight="1">
      <c r="M24116"/>
      <c r="N24116"/>
      <c r="O24116"/>
      <c r="P24116"/>
      <c r="Q24116"/>
      <c r="R24116"/>
      <c r="S24116"/>
    </row>
    <row r="24117" spans="13:19" ht="13.95" customHeight="1">
      <c r="M24117"/>
      <c r="N24117"/>
      <c r="O24117"/>
      <c r="P24117"/>
      <c r="Q24117"/>
      <c r="R24117"/>
      <c r="S24117"/>
    </row>
    <row r="24118" spans="13:19" ht="13.95" customHeight="1">
      <c r="M24118"/>
      <c r="N24118"/>
      <c r="O24118"/>
      <c r="P24118"/>
      <c r="Q24118"/>
      <c r="R24118"/>
      <c r="S24118"/>
    </row>
    <row r="24119" spans="13:19" ht="13.95" customHeight="1">
      <c r="M24119"/>
      <c r="N24119"/>
      <c r="O24119"/>
      <c r="P24119"/>
      <c r="Q24119"/>
      <c r="R24119"/>
      <c r="S24119"/>
    </row>
    <row r="24120" spans="13:19" ht="13.95" customHeight="1">
      <c r="M24120"/>
      <c r="N24120"/>
      <c r="O24120"/>
      <c r="P24120"/>
      <c r="Q24120"/>
      <c r="R24120"/>
      <c r="S24120"/>
    </row>
    <row r="24121" spans="13:19" ht="13.95" customHeight="1">
      <c r="M24121"/>
      <c r="N24121"/>
      <c r="O24121"/>
      <c r="P24121"/>
      <c r="Q24121"/>
      <c r="R24121"/>
      <c r="S24121"/>
    </row>
    <row r="24122" spans="13:19" ht="13.95" customHeight="1">
      <c r="M24122"/>
      <c r="N24122"/>
      <c r="O24122"/>
      <c r="P24122"/>
      <c r="Q24122"/>
      <c r="R24122"/>
      <c r="S24122"/>
    </row>
    <row r="24123" spans="13:19" ht="13.95" customHeight="1">
      <c r="M24123"/>
      <c r="N24123"/>
      <c r="O24123"/>
      <c r="P24123"/>
      <c r="Q24123"/>
      <c r="R24123"/>
      <c r="S24123"/>
    </row>
    <row r="24124" spans="13:19" ht="13.95" customHeight="1">
      <c r="M24124"/>
      <c r="N24124"/>
      <c r="O24124"/>
      <c r="P24124"/>
      <c r="Q24124"/>
      <c r="R24124"/>
      <c r="S24124"/>
    </row>
    <row r="24125" spans="13:19" ht="13.95" customHeight="1">
      <c r="M24125"/>
      <c r="N24125"/>
      <c r="O24125"/>
      <c r="P24125"/>
      <c r="Q24125"/>
      <c r="R24125"/>
      <c r="S24125"/>
    </row>
    <row r="24126" spans="13:19" ht="13.95" customHeight="1">
      <c r="M24126"/>
      <c r="N24126"/>
      <c r="O24126"/>
      <c r="P24126"/>
      <c r="Q24126"/>
      <c r="R24126"/>
      <c r="S24126"/>
    </row>
    <row r="24127" spans="13:19" ht="13.95" customHeight="1">
      <c r="M24127"/>
      <c r="N24127"/>
      <c r="O24127"/>
      <c r="P24127"/>
      <c r="Q24127"/>
      <c r="R24127"/>
      <c r="S24127"/>
    </row>
    <row r="24128" spans="13:19" ht="13.95" customHeight="1">
      <c r="M24128"/>
      <c r="N24128"/>
      <c r="O24128"/>
      <c r="P24128"/>
      <c r="Q24128"/>
      <c r="R24128"/>
      <c r="S24128"/>
    </row>
    <row r="24129" spans="13:19" ht="13.95" customHeight="1">
      <c r="M24129"/>
      <c r="N24129"/>
      <c r="O24129"/>
      <c r="P24129"/>
      <c r="Q24129"/>
      <c r="R24129"/>
      <c r="S24129"/>
    </row>
    <row r="24130" spans="13:19" ht="13.95" customHeight="1">
      <c r="M24130"/>
      <c r="N24130"/>
      <c r="O24130"/>
      <c r="P24130"/>
      <c r="Q24130"/>
      <c r="R24130"/>
      <c r="S24130"/>
    </row>
    <row r="24131" spans="13:19" ht="13.95" customHeight="1">
      <c r="M24131"/>
      <c r="N24131"/>
      <c r="O24131"/>
      <c r="P24131"/>
      <c r="Q24131"/>
      <c r="R24131"/>
      <c r="S24131"/>
    </row>
    <row r="24132" spans="13:19" ht="13.95" customHeight="1">
      <c r="M24132"/>
      <c r="N24132"/>
      <c r="O24132"/>
      <c r="P24132"/>
      <c r="Q24132"/>
      <c r="R24132"/>
      <c r="S24132"/>
    </row>
    <row r="24133" spans="13:19" ht="13.95" customHeight="1">
      <c r="M24133"/>
      <c r="N24133"/>
      <c r="O24133"/>
      <c r="P24133"/>
      <c r="Q24133"/>
      <c r="R24133"/>
      <c r="S24133"/>
    </row>
    <row r="24134" spans="13:19" ht="13.95" customHeight="1">
      <c r="M24134"/>
      <c r="N24134"/>
      <c r="O24134"/>
      <c r="P24134"/>
      <c r="Q24134"/>
      <c r="R24134"/>
      <c r="S24134"/>
    </row>
    <row r="24135" spans="13:19" ht="13.95" customHeight="1">
      <c r="M24135"/>
      <c r="N24135"/>
      <c r="O24135"/>
      <c r="P24135"/>
      <c r="Q24135"/>
      <c r="R24135"/>
      <c r="S24135"/>
    </row>
    <row r="24136" spans="13:19" ht="13.95" customHeight="1">
      <c r="M24136"/>
      <c r="N24136"/>
      <c r="O24136"/>
      <c r="P24136"/>
      <c r="Q24136"/>
      <c r="R24136"/>
      <c r="S24136"/>
    </row>
    <row r="24137" spans="13:19" ht="13.95" customHeight="1">
      <c r="M24137"/>
      <c r="N24137"/>
      <c r="O24137"/>
      <c r="P24137"/>
      <c r="Q24137"/>
      <c r="R24137"/>
      <c r="S24137"/>
    </row>
    <row r="24138" spans="13:19" ht="13.95" customHeight="1">
      <c r="M24138"/>
      <c r="N24138"/>
      <c r="O24138"/>
      <c r="P24138"/>
      <c r="Q24138"/>
      <c r="R24138"/>
      <c r="S24138"/>
    </row>
    <row r="24139" spans="13:19" ht="13.95" customHeight="1">
      <c r="M24139"/>
      <c r="N24139"/>
      <c r="O24139"/>
      <c r="P24139"/>
      <c r="Q24139"/>
      <c r="R24139"/>
      <c r="S24139"/>
    </row>
    <row r="24140" spans="13:19" ht="13.95" customHeight="1">
      <c r="M24140"/>
      <c r="N24140"/>
      <c r="O24140"/>
      <c r="P24140"/>
      <c r="Q24140"/>
      <c r="R24140"/>
      <c r="S24140"/>
    </row>
    <row r="24141" spans="13:19" ht="13.95" customHeight="1">
      <c r="M24141"/>
      <c r="N24141"/>
      <c r="O24141"/>
      <c r="P24141"/>
      <c r="Q24141"/>
      <c r="R24141"/>
      <c r="S24141"/>
    </row>
    <row r="24142" spans="13:19" ht="13.95" customHeight="1">
      <c r="M24142"/>
      <c r="N24142"/>
      <c r="O24142"/>
      <c r="P24142"/>
      <c r="Q24142"/>
      <c r="R24142"/>
      <c r="S24142"/>
    </row>
    <row r="24143" spans="13:19" ht="13.95" customHeight="1">
      <c r="M24143"/>
      <c r="N24143"/>
      <c r="O24143"/>
      <c r="P24143"/>
      <c r="Q24143"/>
      <c r="R24143"/>
      <c r="S24143"/>
    </row>
    <row r="24144" spans="13:19" ht="13.95" customHeight="1">
      <c r="M24144"/>
      <c r="N24144"/>
      <c r="O24144"/>
      <c r="P24144"/>
      <c r="Q24144"/>
      <c r="R24144"/>
      <c r="S24144"/>
    </row>
    <row r="24145" spans="13:19" ht="13.95" customHeight="1">
      <c r="M24145"/>
      <c r="N24145"/>
      <c r="O24145"/>
      <c r="P24145"/>
      <c r="Q24145"/>
      <c r="R24145"/>
      <c r="S24145"/>
    </row>
    <row r="24146" spans="13:19" ht="13.95" customHeight="1">
      <c r="M24146"/>
      <c r="N24146"/>
      <c r="O24146"/>
      <c r="P24146"/>
      <c r="Q24146"/>
      <c r="R24146"/>
      <c r="S24146"/>
    </row>
    <row r="24147" spans="13:19" ht="13.95" customHeight="1">
      <c r="M24147"/>
      <c r="N24147"/>
      <c r="O24147"/>
      <c r="P24147"/>
      <c r="Q24147"/>
      <c r="R24147"/>
      <c r="S24147"/>
    </row>
    <row r="24148" spans="13:19" ht="13.95" customHeight="1">
      <c r="M24148"/>
      <c r="N24148"/>
      <c r="O24148"/>
      <c r="P24148"/>
      <c r="Q24148"/>
      <c r="R24148"/>
      <c r="S24148"/>
    </row>
    <row r="24149" spans="13:19" ht="13.95" customHeight="1">
      <c r="M24149"/>
      <c r="N24149"/>
      <c r="O24149"/>
      <c r="P24149"/>
      <c r="Q24149"/>
      <c r="R24149"/>
      <c r="S24149"/>
    </row>
    <row r="24150" spans="13:19" ht="13.95" customHeight="1">
      <c r="M24150"/>
      <c r="N24150"/>
      <c r="O24150"/>
      <c r="P24150"/>
      <c r="Q24150"/>
      <c r="R24150"/>
      <c r="S24150"/>
    </row>
    <row r="24151" spans="13:19" ht="13.95" customHeight="1">
      <c r="M24151"/>
      <c r="N24151"/>
      <c r="O24151"/>
      <c r="P24151"/>
      <c r="Q24151"/>
      <c r="R24151"/>
      <c r="S24151"/>
    </row>
    <row r="24152" spans="13:19" ht="13.95" customHeight="1">
      <c r="M24152"/>
      <c r="N24152"/>
      <c r="O24152"/>
      <c r="P24152"/>
      <c r="Q24152"/>
      <c r="R24152"/>
      <c r="S24152"/>
    </row>
    <row r="24153" spans="13:19" ht="13.95" customHeight="1">
      <c r="M24153"/>
      <c r="N24153"/>
      <c r="O24153"/>
      <c r="P24153"/>
      <c r="Q24153"/>
      <c r="R24153"/>
      <c r="S24153"/>
    </row>
    <row r="24154" spans="13:19" ht="13.95" customHeight="1">
      <c r="M24154"/>
      <c r="N24154"/>
      <c r="O24154"/>
      <c r="P24154"/>
      <c r="Q24154"/>
      <c r="R24154"/>
      <c r="S24154"/>
    </row>
    <row r="24155" spans="13:19" ht="13.95" customHeight="1">
      <c r="M24155"/>
      <c r="N24155"/>
      <c r="O24155"/>
      <c r="P24155"/>
      <c r="Q24155"/>
      <c r="R24155"/>
      <c r="S24155"/>
    </row>
    <row r="24156" spans="13:19" ht="13.95" customHeight="1">
      <c r="M24156"/>
      <c r="N24156"/>
      <c r="O24156"/>
      <c r="P24156"/>
      <c r="Q24156"/>
      <c r="R24156"/>
      <c r="S24156"/>
    </row>
    <row r="24157" spans="13:19" ht="13.95" customHeight="1">
      <c r="M24157"/>
      <c r="N24157"/>
      <c r="O24157"/>
      <c r="P24157"/>
      <c r="Q24157"/>
      <c r="R24157"/>
      <c r="S24157"/>
    </row>
    <row r="24158" spans="13:19" ht="13.95" customHeight="1">
      <c r="M24158"/>
      <c r="N24158"/>
      <c r="O24158"/>
      <c r="P24158"/>
      <c r="Q24158"/>
      <c r="R24158"/>
      <c r="S24158"/>
    </row>
    <row r="24159" spans="13:19" ht="13.95" customHeight="1">
      <c r="M24159"/>
      <c r="N24159"/>
      <c r="O24159"/>
      <c r="P24159"/>
      <c r="Q24159"/>
      <c r="R24159"/>
      <c r="S24159"/>
    </row>
    <row r="24160" spans="13:19" ht="13.95" customHeight="1">
      <c r="M24160"/>
      <c r="N24160"/>
      <c r="O24160"/>
      <c r="P24160"/>
      <c r="Q24160"/>
      <c r="R24160"/>
      <c r="S24160"/>
    </row>
    <row r="24161" spans="13:19" ht="13.95" customHeight="1">
      <c r="M24161"/>
      <c r="N24161"/>
      <c r="O24161"/>
      <c r="P24161"/>
      <c r="Q24161"/>
      <c r="R24161"/>
      <c r="S24161"/>
    </row>
    <row r="24162" spans="13:19" ht="13.95" customHeight="1">
      <c r="M24162"/>
      <c r="N24162"/>
      <c r="O24162"/>
      <c r="P24162"/>
      <c r="Q24162"/>
      <c r="R24162"/>
      <c r="S24162"/>
    </row>
    <row r="24163" spans="13:19" ht="13.95" customHeight="1">
      <c r="M24163"/>
      <c r="N24163"/>
      <c r="O24163"/>
      <c r="P24163"/>
      <c r="Q24163"/>
      <c r="R24163"/>
      <c r="S24163"/>
    </row>
    <row r="24164" spans="13:19" ht="13.95" customHeight="1">
      <c r="M24164"/>
      <c r="N24164"/>
      <c r="O24164"/>
      <c r="P24164"/>
      <c r="Q24164"/>
      <c r="R24164"/>
      <c r="S24164"/>
    </row>
    <row r="24165" spans="13:19" ht="13.95" customHeight="1">
      <c r="M24165"/>
      <c r="N24165"/>
      <c r="O24165"/>
      <c r="P24165"/>
      <c r="Q24165"/>
      <c r="R24165"/>
      <c r="S24165"/>
    </row>
    <row r="24166" spans="13:19" ht="13.95" customHeight="1">
      <c r="M24166"/>
      <c r="N24166"/>
      <c r="O24166"/>
      <c r="P24166"/>
      <c r="Q24166"/>
      <c r="R24166"/>
      <c r="S24166"/>
    </row>
    <row r="24167" spans="13:19" ht="13.95" customHeight="1">
      <c r="M24167"/>
      <c r="N24167"/>
      <c r="O24167"/>
      <c r="P24167"/>
      <c r="Q24167"/>
      <c r="R24167"/>
      <c r="S24167"/>
    </row>
    <row r="24168" spans="13:19" ht="13.95" customHeight="1">
      <c r="M24168"/>
      <c r="N24168"/>
      <c r="O24168"/>
      <c r="P24168"/>
      <c r="Q24168"/>
      <c r="R24168"/>
      <c r="S24168"/>
    </row>
    <row r="24169" spans="13:19" ht="13.95" customHeight="1">
      <c r="M24169"/>
      <c r="N24169"/>
      <c r="O24169"/>
      <c r="P24169"/>
      <c r="Q24169"/>
      <c r="R24169"/>
      <c r="S24169"/>
    </row>
    <row r="24170" spans="13:19" ht="13.95" customHeight="1">
      <c r="M24170"/>
      <c r="N24170"/>
      <c r="O24170"/>
      <c r="P24170"/>
      <c r="Q24170"/>
      <c r="R24170"/>
      <c r="S24170"/>
    </row>
    <row r="24171" spans="13:19" ht="13.95" customHeight="1">
      <c r="M24171"/>
      <c r="N24171"/>
      <c r="O24171"/>
      <c r="P24171"/>
      <c r="Q24171"/>
      <c r="R24171"/>
      <c r="S24171"/>
    </row>
    <row r="24172" spans="13:19" ht="13.95" customHeight="1">
      <c r="M24172"/>
      <c r="N24172"/>
      <c r="O24172"/>
      <c r="P24172"/>
      <c r="Q24172"/>
      <c r="R24172"/>
      <c r="S24172"/>
    </row>
    <row r="24173" spans="13:19" ht="13.95" customHeight="1">
      <c r="M24173"/>
      <c r="N24173"/>
      <c r="O24173"/>
      <c r="P24173"/>
      <c r="Q24173"/>
      <c r="R24173"/>
      <c r="S24173"/>
    </row>
    <row r="24174" spans="13:19" ht="13.95" customHeight="1">
      <c r="M24174"/>
      <c r="N24174"/>
      <c r="O24174"/>
      <c r="P24174"/>
      <c r="Q24174"/>
      <c r="R24174"/>
      <c r="S24174"/>
    </row>
    <row r="24175" spans="13:19" ht="13.95" customHeight="1">
      <c r="M24175"/>
      <c r="N24175"/>
      <c r="O24175"/>
      <c r="P24175"/>
      <c r="Q24175"/>
      <c r="R24175"/>
      <c r="S24175"/>
    </row>
    <row r="24176" spans="13:19" ht="13.95" customHeight="1">
      <c r="M24176"/>
      <c r="N24176"/>
      <c r="O24176"/>
      <c r="P24176"/>
      <c r="Q24176"/>
      <c r="R24176"/>
      <c r="S24176"/>
    </row>
    <row r="24177" spans="13:19" ht="13.95" customHeight="1">
      <c r="M24177"/>
      <c r="N24177"/>
      <c r="O24177"/>
      <c r="P24177"/>
      <c r="Q24177"/>
      <c r="R24177"/>
      <c r="S24177"/>
    </row>
    <row r="24178" spans="13:19" ht="13.95" customHeight="1">
      <c r="M24178"/>
      <c r="N24178"/>
      <c r="O24178"/>
      <c r="P24178"/>
      <c r="Q24178"/>
      <c r="R24178"/>
      <c r="S24178"/>
    </row>
    <row r="24179" spans="13:19" ht="13.95" customHeight="1">
      <c r="M24179"/>
      <c r="N24179"/>
      <c r="O24179"/>
      <c r="P24179"/>
      <c r="Q24179"/>
      <c r="R24179"/>
      <c r="S24179"/>
    </row>
    <row r="24180" spans="13:19" ht="13.95" customHeight="1">
      <c r="M24180"/>
      <c r="N24180"/>
      <c r="O24180"/>
      <c r="P24180"/>
      <c r="Q24180"/>
      <c r="R24180"/>
      <c r="S24180"/>
    </row>
    <row r="24181" spans="13:19" ht="13.95" customHeight="1">
      <c r="M24181"/>
      <c r="N24181"/>
      <c r="O24181"/>
      <c r="P24181"/>
      <c r="Q24181"/>
      <c r="R24181"/>
      <c r="S24181"/>
    </row>
    <row r="24182" spans="13:19" ht="13.95" customHeight="1">
      <c r="M24182"/>
      <c r="N24182"/>
      <c r="O24182"/>
      <c r="P24182"/>
      <c r="Q24182"/>
      <c r="R24182"/>
      <c r="S24182"/>
    </row>
    <row r="24183" spans="13:19" ht="13.95" customHeight="1">
      <c r="M24183"/>
      <c r="N24183"/>
      <c r="O24183"/>
      <c r="P24183"/>
      <c r="Q24183"/>
      <c r="R24183"/>
      <c r="S24183"/>
    </row>
    <row r="24184" spans="13:19" ht="13.95" customHeight="1">
      <c r="M24184"/>
      <c r="N24184"/>
      <c r="O24184"/>
      <c r="P24184"/>
      <c r="Q24184"/>
      <c r="R24184"/>
      <c r="S24184"/>
    </row>
    <row r="24185" spans="13:19" ht="13.95" customHeight="1">
      <c r="M24185"/>
      <c r="N24185"/>
      <c r="O24185"/>
      <c r="P24185"/>
      <c r="Q24185"/>
      <c r="R24185"/>
      <c r="S24185"/>
    </row>
    <row r="24186" spans="13:19" ht="13.95" customHeight="1">
      <c r="M24186"/>
      <c r="N24186"/>
      <c r="O24186"/>
      <c r="P24186"/>
      <c r="Q24186"/>
      <c r="R24186"/>
      <c r="S24186"/>
    </row>
    <row r="24187" spans="13:19" ht="13.95" customHeight="1">
      <c r="M24187"/>
      <c r="N24187"/>
      <c r="O24187"/>
      <c r="P24187"/>
      <c r="Q24187"/>
      <c r="R24187"/>
      <c r="S24187"/>
    </row>
    <row r="24188" spans="13:19" ht="13.95" customHeight="1">
      <c r="M24188"/>
      <c r="N24188"/>
      <c r="O24188"/>
      <c r="P24188"/>
      <c r="Q24188"/>
      <c r="R24188"/>
      <c r="S24188"/>
    </row>
    <row r="24189" spans="13:19" ht="13.95" customHeight="1">
      <c r="M24189"/>
      <c r="N24189"/>
      <c r="O24189"/>
      <c r="P24189"/>
      <c r="Q24189"/>
      <c r="R24189"/>
      <c r="S24189"/>
    </row>
    <row r="24190" spans="13:19" ht="13.95" customHeight="1">
      <c r="M24190"/>
      <c r="N24190"/>
      <c r="O24190"/>
      <c r="P24190"/>
      <c r="Q24190"/>
      <c r="R24190"/>
      <c r="S24190"/>
    </row>
    <row r="24191" spans="13:19" ht="13.95" customHeight="1">
      <c r="M24191"/>
      <c r="N24191"/>
      <c r="O24191"/>
      <c r="P24191"/>
      <c r="Q24191"/>
      <c r="R24191"/>
      <c r="S24191"/>
    </row>
    <row r="24192" spans="13:19" ht="13.95" customHeight="1">
      <c r="M24192"/>
      <c r="N24192"/>
      <c r="O24192"/>
      <c r="P24192"/>
      <c r="Q24192"/>
      <c r="R24192"/>
      <c r="S24192"/>
    </row>
    <row r="24193" spans="13:19" ht="13.95" customHeight="1">
      <c r="M24193"/>
      <c r="N24193"/>
      <c r="O24193"/>
      <c r="P24193"/>
      <c r="Q24193"/>
      <c r="R24193"/>
      <c r="S24193"/>
    </row>
    <row r="24194" spans="13:19" ht="13.95" customHeight="1">
      <c r="M24194"/>
      <c r="N24194"/>
      <c r="O24194"/>
      <c r="P24194"/>
      <c r="Q24194"/>
      <c r="R24194"/>
      <c r="S24194"/>
    </row>
    <row r="24195" spans="13:19" ht="13.95" customHeight="1">
      <c r="M24195"/>
      <c r="N24195"/>
      <c r="O24195"/>
      <c r="P24195"/>
      <c r="Q24195"/>
      <c r="R24195"/>
      <c r="S24195"/>
    </row>
    <row r="24196" spans="13:19" ht="13.95" customHeight="1">
      <c r="M24196"/>
      <c r="N24196"/>
      <c r="O24196"/>
      <c r="P24196"/>
      <c r="Q24196"/>
      <c r="R24196"/>
      <c r="S24196"/>
    </row>
    <row r="24197" spans="13:19" ht="13.95" customHeight="1">
      <c r="M24197"/>
      <c r="N24197"/>
      <c r="O24197"/>
      <c r="P24197"/>
      <c r="Q24197"/>
      <c r="R24197"/>
      <c r="S24197"/>
    </row>
    <row r="24198" spans="13:19" ht="13.95" customHeight="1">
      <c r="M24198"/>
      <c r="N24198"/>
      <c r="O24198"/>
      <c r="P24198"/>
      <c r="Q24198"/>
      <c r="R24198"/>
      <c r="S24198"/>
    </row>
    <row r="24199" spans="13:19" ht="13.95" customHeight="1">
      <c r="M24199"/>
      <c r="N24199"/>
      <c r="O24199"/>
      <c r="P24199"/>
      <c r="Q24199"/>
      <c r="R24199"/>
      <c r="S24199"/>
    </row>
    <row r="24200" spans="13:19" ht="13.95" customHeight="1">
      <c r="M24200"/>
      <c r="N24200"/>
      <c r="O24200"/>
      <c r="P24200"/>
      <c r="Q24200"/>
      <c r="R24200"/>
      <c r="S24200"/>
    </row>
    <row r="24201" spans="13:19" ht="13.95" customHeight="1">
      <c r="M24201"/>
      <c r="N24201"/>
      <c r="O24201"/>
      <c r="P24201"/>
      <c r="Q24201"/>
      <c r="R24201"/>
      <c r="S24201"/>
    </row>
    <row r="24202" spans="13:19" ht="13.95" customHeight="1">
      <c r="M24202"/>
      <c r="N24202"/>
      <c r="O24202"/>
      <c r="P24202"/>
      <c r="Q24202"/>
      <c r="R24202"/>
      <c r="S24202"/>
    </row>
    <row r="24203" spans="13:19" ht="13.95" customHeight="1">
      <c r="M24203"/>
      <c r="N24203"/>
      <c r="O24203"/>
      <c r="P24203"/>
      <c r="Q24203"/>
      <c r="R24203"/>
      <c r="S24203"/>
    </row>
    <row r="24204" spans="13:19" ht="13.95" customHeight="1">
      <c r="M24204"/>
      <c r="N24204"/>
      <c r="O24204"/>
      <c r="P24204"/>
      <c r="Q24204"/>
      <c r="R24204"/>
      <c r="S24204"/>
    </row>
    <row r="24205" spans="13:19" ht="13.95" customHeight="1">
      <c r="M24205"/>
      <c r="N24205"/>
      <c r="O24205"/>
      <c r="P24205"/>
      <c r="Q24205"/>
      <c r="R24205"/>
      <c r="S24205"/>
    </row>
    <row r="24206" spans="13:19" ht="13.95" customHeight="1">
      <c r="M24206"/>
      <c r="N24206"/>
      <c r="O24206"/>
      <c r="P24206"/>
      <c r="Q24206"/>
      <c r="R24206"/>
      <c r="S24206"/>
    </row>
    <row r="24207" spans="13:19" ht="13.95" customHeight="1">
      <c r="M24207"/>
      <c r="N24207"/>
      <c r="O24207"/>
      <c r="P24207"/>
      <c r="Q24207"/>
      <c r="R24207"/>
      <c r="S24207"/>
    </row>
    <row r="24208" spans="13:19" ht="13.95" customHeight="1">
      <c r="M24208"/>
      <c r="N24208"/>
      <c r="O24208"/>
      <c r="P24208"/>
      <c r="Q24208"/>
      <c r="R24208"/>
      <c r="S24208"/>
    </row>
    <row r="24209" spans="13:19" ht="13.95" customHeight="1">
      <c r="M24209"/>
      <c r="N24209"/>
      <c r="O24209"/>
      <c r="P24209"/>
      <c r="Q24209"/>
      <c r="R24209"/>
      <c r="S24209"/>
    </row>
    <row r="24210" spans="13:19" ht="13.95" customHeight="1">
      <c r="M24210"/>
      <c r="N24210"/>
      <c r="O24210"/>
      <c r="P24210"/>
      <c r="Q24210"/>
      <c r="R24210"/>
      <c r="S24210"/>
    </row>
    <row r="24211" spans="13:19" ht="13.95" customHeight="1">
      <c r="M24211"/>
      <c r="N24211"/>
      <c r="O24211"/>
      <c r="P24211"/>
      <c r="Q24211"/>
      <c r="R24211"/>
      <c r="S24211"/>
    </row>
    <row r="24212" spans="13:19" ht="13.95" customHeight="1">
      <c r="M24212"/>
      <c r="N24212"/>
      <c r="O24212"/>
      <c r="P24212"/>
      <c r="Q24212"/>
      <c r="R24212"/>
      <c r="S24212"/>
    </row>
    <row r="24213" spans="13:19" ht="13.95" customHeight="1">
      <c r="M24213"/>
      <c r="N24213"/>
      <c r="O24213"/>
      <c r="P24213"/>
      <c r="Q24213"/>
      <c r="R24213"/>
      <c r="S24213"/>
    </row>
    <row r="24214" spans="13:19" ht="13.95" customHeight="1">
      <c r="M24214"/>
      <c r="N24214"/>
      <c r="O24214"/>
      <c r="P24214"/>
      <c r="Q24214"/>
      <c r="R24214"/>
      <c r="S24214"/>
    </row>
    <row r="24215" spans="13:19" ht="13.95" customHeight="1">
      <c r="M24215"/>
      <c r="N24215"/>
      <c r="O24215"/>
      <c r="P24215"/>
      <c r="Q24215"/>
      <c r="R24215"/>
      <c r="S24215"/>
    </row>
    <row r="24216" spans="13:19" ht="13.95" customHeight="1">
      <c r="M24216"/>
      <c r="N24216"/>
      <c r="O24216"/>
      <c r="P24216"/>
      <c r="Q24216"/>
      <c r="R24216"/>
      <c r="S24216"/>
    </row>
    <row r="24217" spans="13:19" ht="13.95" customHeight="1">
      <c r="M24217"/>
      <c r="N24217"/>
      <c r="O24217"/>
      <c r="P24217"/>
      <c r="Q24217"/>
      <c r="R24217"/>
      <c r="S24217"/>
    </row>
    <row r="24218" spans="13:19" ht="13.95" customHeight="1">
      <c r="M24218"/>
      <c r="N24218"/>
      <c r="O24218"/>
      <c r="P24218"/>
      <c r="Q24218"/>
      <c r="R24218"/>
      <c r="S24218"/>
    </row>
    <row r="24219" spans="13:19" ht="13.95" customHeight="1">
      <c r="M24219"/>
      <c r="N24219"/>
      <c r="O24219"/>
      <c r="P24219"/>
      <c r="Q24219"/>
      <c r="R24219"/>
      <c r="S24219"/>
    </row>
    <row r="24220" spans="13:19" ht="13.95" customHeight="1">
      <c r="M24220"/>
      <c r="N24220"/>
      <c r="O24220"/>
      <c r="P24220"/>
      <c r="Q24220"/>
      <c r="R24220"/>
      <c r="S24220"/>
    </row>
    <row r="24221" spans="13:19" ht="13.95" customHeight="1">
      <c r="M24221"/>
      <c r="N24221"/>
      <c r="O24221"/>
      <c r="P24221"/>
      <c r="Q24221"/>
      <c r="R24221"/>
      <c r="S24221"/>
    </row>
    <row r="24222" spans="13:19" ht="13.95" customHeight="1">
      <c r="M24222"/>
      <c r="N24222"/>
      <c r="O24222"/>
      <c r="P24222"/>
      <c r="Q24222"/>
      <c r="R24222"/>
      <c r="S24222"/>
    </row>
    <row r="24223" spans="13:19" ht="13.95" customHeight="1">
      <c r="M24223"/>
      <c r="N24223"/>
      <c r="O24223"/>
      <c r="P24223"/>
      <c r="Q24223"/>
      <c r="R24223"/>
      <c r="S24223"/>
    </row>
    <row r="24224" spans="13:19" ht="13.95" customHeight="1">
      <c r="M24224"/>
      <c r="N24224"/>
      <c r="O24224"/>
      <c r="P24224"/>
      <c r="Q24224"/>
      <c r="R24224"/>
      <c r="S24224"/>
    </row>
    <row r="24225" spans="13:19" ht="13.95" customHeight="1">
      <c r="M24225"/>
      <c r="N24225"/>
      <c r="O24225"/>
      <c r="P24225"/>
      <c r="Q24225"/>
      <c r="R24225"/>
      <c r="S24225"/>
    </row>
    <row r="24226" spans="13:19" ht="13.95" customHeight="1">
      <c r="M24226"/>
      <c r="N24226"/>
      <c r="O24226"/>
      <c r="P24226"/>
      <c r="Q24226"/>
      <c r="R24226"/>
      <c r="S24226"/>
    </row>
    <row r="24227" spans="13:19" ht="13.95" customHeight="1">
      <c r="M24227"/>
      <c r="N24227"/>
      <c r="O24227"/>
      <c r="P24227"/>
      <c r="Q24227"/>
      <c r="R24227"/>
      <c r="S24227"/>
    </row>
    <row r="24228" spans="13:19" ht="13.95" customHeight="1">
      <c r="M24228"/>
      <c r="N24228"/>
      <c r="O24228"/>
      <c r="P24228"/>
      <c r="Q24228"/>
      <c r="R24228"/>
      <c r="S24228"/>
    </row>
    <row r="24229" spans="13:19" ht="13.95" customHeight="1">
      <c r="M24229"/>
      <c r="N24229"/>
      <c r="O24229"/>
      <c r="P24229"/>
      <c r="Q24229"/>
      <c r="R24229"/>
      <c r="S24229"/>
    </row>
    <row r="24230" spans="13:19" ht="13.95" customHeight="1">
      <c r="M24230"/>
      <c r="N24230"/>
      <c r="O24230"/>
      <c r="P24230"/>
      <c r="Q24230"/>
      <c r="R24230"/>
      <c r="S24230"/>
    </row>
    <row r="24231" spans="13:19" ht="13.95" customHeight="1">
      <c r="M24231"/>
      <c r="N24231"/>
      <c r="O24231"/>
      <c r="P24231"/>
      <c r="Q24231"/>
      <c r="R24231"/>
      <c r="S24231"/>
    </row>
    <row r="24232" spans="13:19" ht="13.95" customHeight="1">
      <c r="M24232"/>
      <c r="N24232"/>
      <c r="O24232"/>
      <c r="P24232"/>
      <c r="Q24232"/>
      <c r="R24232"/>
      <c r="S24232"/>
    </row>
    <row r="24233" spans="13:19" ht="13.95" customHeight="1">
      <c r="M24233"/>
      <c r="N24233"/>
      <c r="O24233"/>
      <c r="P24233"/>
      <c r="Q24233"/>
      <c r="R24233"/>
      <c r="S24233"/>
    </row>
    <row r="24234" spans="13:19" ht="13.95" customHeight="1">
      <c r="M24234"/>
      <c r="N24234"/>
      <c r="O24234"/>
      <c r="P24234"/>
      <c r="Q24234"/>
      <c r="R24234"/>
      <c r="S24234"/>
    </row>
    <row r="24235" spans="13:19" ht="13.95" customHeight="1">
      <c r="M24235"/>
      <c r="N24235"/>
      <c r="O24235"/>
      <c r="P24235"/>
      <c r="Q24235"/>
      <c r="R24235"/>
      <c r="S24235"/>
    </row>
    <row r="24236" spans="13:19" ht="13.95" customHeight="1">
      <c r="M24236"/>
      <c r="N24236"/>
      <c r="O24236"/>
      <c r="P24236"/>
      <c r="Q24236"/>
      <c r="R24236"/>
      <c r="S24236"/>
    </row>
    <row r="24237" spans="13:19" ht="13.95" customHeight="1">
      <c r="M24237"/>
      <c r="N24237"/>
      <c r="O24237"/>
      <c r="P24237"/>
      <c r="Q24237"/>
      <c r="R24237"/>
      <c r="S24237"/>
    </row>
    <row r="24238" spans="13:19" ht="13.95" customHeight="1">
      <c r="M24238"/>
      <c r="N24238"/>
      <c r="O24238"/>
      <c r="P24238"/>
      <c r="Q24238"/>
      <c r="R24238"/>
      <c r="S24238"/>
    </row>
    <row r="24239" spans="13:19" ht="13.95" customHeight="1">
      <c r="M24239"/>
      <c r="N24239"/>
      <c r="O24239"/>
      <c r="P24239"/>
      <c r="Q24239"/>
      <c r="R24239"/>
      <c r="S24239"/>
    </row>
    <row r="24240" spans="13:19" ht="13.95" customHeight="1">
      <c r="M24240"/>
      <c r="N24240"/>
      <c r="O24240"/>
      <c r="P24240"/>
      <c r="Q24240"/>
      <c r="R24240"/>
      <c r="S24240"/>
    </row>
    <row r="24241" spans="13:19" ht="13.95" customHeight="1">
      <c r="M24241"/>
      <c r="N24241"/>
      <c r="O24241"/>
      <c r="P24241"/>
      <c r="Q24241"/>
      <c r="R24241"/>
      <c r="S24241"/>
    </row>
    <row r="24242" spans="13:19" ht="13.95" customHeight="1">
      <c r="M24242"/>
      <c r="N24242"/>
      <c r="O24242"/>
      <c r="P24242"/>
      <c r="Q24242"/>
      <c r="R24242"/>
      <c r="S24242"/>
    </row>
    <row r="24243" spans="13:19" ht="13.95" customHeight="1">
      <c r="M24243"/>
      <c r="N24243"/>
      <c r="O24243"/>
      <c r="P24243"/>
      <c r="Q24243"/>
      <c r="R24243"/>
      <c r="S24243"/>
    </row>
    <row r="24244" spans="13:19" ht="13.95" customHeight="1">
      <c r="M24244"/>
      <c r="N24244"/>
      <c r="O24244"/>
      <c r="P24244"/>
      <c r="Q24244"/>
      <c r="R24244"/>
      <c r="S24244"/>
    </row>
    <row r="24245" spans="13:19" ht="13.95" customHeight="1">
      <c r="M24245"/>
      <c r="N24245"/>
      <c r="O24245"/>
      <c r="P24245"/>
      <c r="Q24245"/>
      <c r="R24245"/>
      <c r="S24245"/>
    </row>
    <row r="24246" spans="13:19" ht="13.95" customHeight="1">
      <c r="M24246"/>
      <c r="N24246"/>
      <c r="O24246"/>
      <c r="P24246"/>
      <c r="Q24246"/>
      <c r="R24246"/>
      <c r="S24246"/>
    </row>
    <row r="24247" spans="13:19" ht="13.95" customHeight="1">
      <c r="M24247"/>
      <c r="N24247"/>
      <c r="O24247"/>
      <c r="P24247"/>
      <c r="Q24247"/>
      <c r="R24247"/>
      <c r="S24247"/>
    </row>
    <row r="24248" spans="13:19" ht="13.95" customHeight="1">
      <c r="M24248"/>
      <c r="N24248"/>
      <c r="O24248"/>
      <c r="P24248"/>
      <c r="Q24248"/>
      <c r="R24248"/>
      <c r="S24248"/>
    </row>
    <row r="24249" spans="13:19" ht="13.95" customHeight="1">
      <c r="M24249"/>
      <c r="N24249"/>
      <c r="O24249"/>
      <c r="P24249"/>
      <c r="Q24249"/>
      <c r="R24249"/>
      <c r="S24249"/>
    </row>
    <row r="24250" spans="13:19" ht="13.95" customHeight="1">
      <c r="M24250"/>
      <c r="N24250"/>
      <c r="O24250"/>
      <c r="P24250"/>
      <c r="Q24250"/>
      <c r="R24250"/>
      <c r="S24250"/>
    </row>
    <row r="24251" spans="13:19" ht="13.95" customHeight="1">
      <c r="M24251"/>
      <c r="N24251"/>
      <c r="O24251"/>
      <c r="P24251"/>
      <c r="Q24251"/>
      <c r="R24251"/>
      <c r="S24251"/>
    </row>
    <row r="24252" spans="13:19" ht="13.95" customHeight="1">
      <c r="M24252"/>
      <c r="N24252"/>
      <c r="O24252"/>
      <c r="P24252"/>
      <c r="Q24252"/>
      <c r="R24252"/>
      <c r="S24252"/>
    </row>
    <row r="24253" spans="13:19" ht="13.95" customHeight="1">
      <c r="M24253"/>
      <c r="N24253"/>
      <c r="O24253"/>
      <c r="P24253"/>
      <c r="Q24253"/>
      <c r="R24253"/>
      <c r="S24253"/>
    </row>
    <row r="24254" spans="13:19" ht="13.95" customHeight="1">
      <c r="M24254"/>
      <c r="N24254"/>
      <c r="O24254"/>
      <c r="P24254"/>
      <c r="Q24254"/>
      <c r="R24254"/>
      <c r="S24254"/>
    </row>
    <row r="24255" spans="13:19" ht="13.95" customHeight="1">
      <c r="M24255"/>
      <c r="N24255"/>
      <c r="O24255"/>
      <c r="P24255"/>
      <c r="Q24255"/>
      <c r="R24255"/>
      <c r="S24255"/>
    </row>
    <row r="24256" spans="13:19" ht="13.95" customHeight="1">
      <c r="M24256"/>
      <c r="N24256"/>
      <c r="O24256"/>
      <c r="P24256"/>
      <c r="Q24256"/>
      <c r="R24256"/>
      <c r="S24256"/>
    </row>
    <row r="24257" spans="13:19" ht="13.95" customHeight="1">
      <c r="M24257"/>
      <c r="N24257"/>
      <c r="O24257"/>
      <c r="P24257"/>
      <c r="Q24257"/>
      <c r="R24257"/>
      <c r="S24257"/>
    </row>
    <row r="24258" spans="13:19" ht="13.95" customHeight="1">
      <c r="M24258"/>
      <c r="N24258"/>
      <c r="O24258"/>
      <c r="P24258"/>
      <c r="Q24258"/>
      <c r="R24258"/>
      <c r="S24258"/>
    </row>
    <row r="24259" spans="13:19" ht="13.95" customHeight="1">
      <c r="M24259"/>
      <c r="N24259"/>
      <c r="O24259"/>
      <c r="P24259"/>
      <c r="Q24259"/>
      <c r="R24259"/>
      <c r="S24259"/>
    </row>
    <row r="24260" spans="13:19" ht="13.95" customHeight="1">
      <c r="M24260"/>
      <c r="N24260"/>
      <c r="O24260"/>
      <c r="P24260"/>
      <c r="Q24260"/>
      <c r="R24260"/>
      <c r="S24260"/>
    </row>
    <row r="24261" spans="13:19" ht="13.95" customHeight="1">
      <c r="M24261"/>
      <c r="N24261"/>
      <c r="O24261"/>
      <c r="P24261"/>
      <c r="Q24261"/>
      <c r="R24261"/>
      <c r="S24261"/>
    </row>
    <row r="24262" spans="13:19" ht="13.95" customHeight="1">
      <c r="M24262"/>
      <c r="N24262"/>
      <c r="O24262"/>
      <c r="P24262"/>
      <c r="Q24262"/>
      <c r="R24262"/>
      <c r="S24262"/>
    </row>
    <row r="24263" spans="13:19" ht="13.95" customHeight="1">
      <c r="M24263"/>
      <c r="N24263"/>
      <c r="O24263"/>
      <c r="P24263"/>
      <c r="Q24263"/>
      <c r="R24263"/>
      <c r="S24263"/>
    </row>
    <row r="24264" spans="13:19" ht="13.95" customHeight="1">
      <c r="M24264"/>
      <c r="N24264"/>
      <c r="O24264"/>
      <c r="P24264"/>
      <c r="Q24264"/>
      <c r="R24264"/>
      <c r="S24264"/>
    </row>
    <row r="24265" spans="13:19" ht="13.95" customHeight="1">
      <c r="M24265"/>
      <c r="N24265"/>
      <c r="O24265"/>
      <c r="P24265"/>
      <c r="Q24265"/>
      <c r="R24265"/>
      <c r="S24265"/>
    </row>
    <row r="24266" spans="13:19" ht="13.95" customHeight="1">
      <c r="M24266"/>
      <c r="N24266"/>
      <c r="O24266"/>
      <c r="P24266"/>
      <c r="Q24266"/>
      <c r="R24266"/>
      <c r="S24266"/>
    </row>
    <row r="24267" spans="13:19" ht="13.95" customHeight="1">
      <c r="M24267"/>
      <c r="N24267"/>
      <c r="O24267"/>
      <c r="P24267"/>
      <c r="Q24267"/>
      <c r="R24267"/>
      <c r="S24267"/>
    </row>
    <row r="24268" spans="13:19" ht="13.95" customHeight="1">
      <c r="M24268"/>
      <c r="N24268"/>
      <c r="O24268"/>
      <c r="P24268"/>
      <c r="Q24268"/>
      <c r="R24268"/>
      <c r="S24268"/>
    </row>
    <row r="24269" spans="13:19" ht="13.95" customHeight="1">
      <c r="M24269"/>
      <c r="N24269"/>
      <c r="O24269"/>
      <c r="P24269"/>
      <c r="Q24269"/>
      <c r="R24269"/>
      <c r="S24269"/>
    </row>
    <row r="24270" spans="13:19" ht="13.95" customHeight="1">
      <c r="M24270"/>
      <c r="N24270"/>
      <c r="O24270"/>
      <c r="P24270"/>
      <c r="Q24270"/>
      <c r="R24270"/>
      <c r="S24270"/>
    </row>
    <row r="24271" spans="13:19" ht="13.95" customHeight="1">
      <c r="M24271"/>
      <c r="N24271"/>
      <c r="O24271"/>
      <c r="P24271"/>
      <c r="Q24271"/>
      <c r="R24271"/>
      <c r="S24271"/>
    </row>
    <row r="24272" spans="13:19" ht="13.95" customHeight="1">
      <c r="M24272"/>
      <c r="N24272"/>
      <c r="O24272"/>
      <c r="P24272"/>
      <c r="Q24272"/>
      <c r="R24272"/>
      <c r="S24272"/>
    </row>
    <row r="24273" spans="13:19" ht="13.95" customHeight="1">
      <c r="M24273"/>
      <c r="N24273"/>
      <c r="O24273"/>
      <c r="P24273"/>
      <c r="Q24273"/>
      <c r="R24273"/>
      <c r="S24273"/>
    </row>
    <row r="24274" spans="13:19" ht="13.95" customHeight="1">
      <c r="M24274"/>
      <c r="N24274"/>
      <c r="O24274"/>
      <c r="P24274"/>
      <c r="Q24274"/>
      <c r="R24274"/>
      <c r="S24274"/>
    </row>
    <row r="24275" spans="13:19" ht="13.95" customHeight="1">
      <c r="M24275"/>
      <c r="N24275"/>
      <c r="O24275"/>
      <c r="P24275"/>
      <c r="Q24275"/>
      <c r="R24275"/>
      <c r="S24275"/>
    </row>
    <row r="24276" spans="13:19" ht="13.95" customHeight="1">
      <c r="M24276"/>
      <c r="N24276"/>
      <c r="O24276"/>
      <c r="P24276"/>
      <c r="Q24276"/>
      <c r="R24276"/>
      <c r="S24276"/>
    </row>
    <row r="24277" spans="13:19" ht="13.95" customHeight="1">
      <c r="M24277"/>
      <c r="N24277"/>
      <c r="O24277"/>
      <c r="P24277"/>
      <c r="Q24277"/>
      <c r="R24277"/>
      <c r="S24277"/>
    </row>
    <row r="24278" spans="13:19" ht="13.95" customHeight="1">
      <c r="M24278"/>
      <c r="N24278"/>
      <c r="O24278"/>
      <c r="P24278"/>
      <c r="Q24278"/>
      <c r="R24278"/>
      <c r="S24278"/>
    </row>
    <row r="24279" spans="13:19" ht="13.95" customHeight="1">
      <c r="M24279"/>
      <c r="N24279"/>
      <c r="O24279"/>
      <c r="P24279"/>
      <c r="Q24279"/>
      <c r="R24279"/>
      <c r="S24279"/>
    </row>
    <row r="24280" spans="13:19" ht="13.95" customHeight="1">
      <c r="M24280"/>
      <c r="N24280"/>
      <c r="O24280"/>
      <c r="P24280"/>
      <c r="Q24280"/>
      <c r="R24280"/>
      <c r="S24280"/>
    </row>
    <row r="24281" spans="13:19" ht="13.95" customHeight="1">
      <c r="M24281"/>
      <c r="N24281"/>
      <c r="O24281"/>
      <c r="P24281"/>
      <c r="Q24281"/>
      <c r="R24281"/>
      <c r="S24281"/>
    </row>
    <row r="24282" spans="13:19" ht="13.95" customHeight="1">
      <c r="M24282"/>
      <c r="N24282"/>
      <c r="O24282"/>
      <c r="P24282"/>
      <c r="Q24282"/>
      <c r="R24282"/>
      <c r="S24282"/>
    </row>
    <row r="24283" spans="13:19" ht="13.95" customHeight="1">
      <c r="M24283"/>
      <c r="N24283"/>
      <c r="O24283"/>
      <c r="P24283"/>
      <c r="Q24283"/>
      <c r="R24283"/>
      <c r="S24283"/>
    </row>
    <row r="24284" spans="13:19" ht="13.95" customHeight="1">
      <c r="M24284"/>
      <c r="N24284"/>
      <c r="O24284"/>
      <c r="P24284"/>
      <c r="Q24284"/>
      <c r="R24284"/>
      <c r="S24284"/>
    </row>
    <row r="24285" spans="13:19" ht="13.95" customHeight="1">
      <c r="M24285"/>
      <c r="N24285"/>
      <c r="O24285"/>
      <c r="P24285"/>
      <c r="Q24285"/>
      <c r="R24285"/>
      <c r="S24285"/>
    </row>
    <row r="24286" spans="13:19" ht="13.95" customHeight="1">
      <c r="M24286"/>
      <c r="N24286"/>
      <c r="O24286"/>
      <c r="P24286"/>
      <c r="Q24286"/>
      <c r="R24286"/>
      <c r="S24286"/>
    </row>
    <row r="24287" spans="13:19" ht="13.95" customHeight="1">
      <c r="M24287"/>
      <c r="N24287"/>
      <c r="O24287"/>
      <c r="P24287"/>
      <c r="Q24287"/>
      <c r="R24287"/>
      <c r="S24287"/>
    </row>
    <row r="24288" spans="13:19" ht="13.95" customHeight="1">
      <c r="M24288"/>
      <c r="N24288"/>
      <c r="O24288"/>
      <c r="P24288"/>
      <c r="Q24288"/>
      <c r="R24288"/>
      <c r="S24288"/>
    </row>
    <row r="24289" spans="13:19" ht="13.95" customHeight="1">
      <c r="M24289"/>
      <c r="N24289"/>
      <c r="O24289"/>
      <c r="P24289"/>
      <c r="Q24289"/>
      <c r="R24289"/>
      <c r="S24289"/>
    </row>
    <row r="24290" spans="13:19" ht="13.95" customHeight="1">
      <c r="M24290"/>
      <c r="N24290"/>
      <c r="O24290"/>
      <c r="P24290"/>
      <c r="Q24290"/>
      <c r="R24290"/>
      <c r="S24290"/>
    </row>
    <row r="24291" spans="13:19" ht="13.95" customHeight="1">
      <c r="M24291"/>
      <c r="N24291"/>
      <c r="O24291"/>
      <c r="P24291"/>
      <c r="Q24291"/>
      <c r="R24291"/>
      <c r="S24291"/>
    </row>
    <row r="24292" spans="13:19" ht="13.95" customHeight="1">
      <c r="M24292"/>
      <c r="N24292"/>
      <c r="O24292"/>
      <c r="P24292"/>
      <c r="Q24292"/>
      <c r="R24292"/>
      <c r="S24292"/>
    </row>
    <row r="24293" spans="13:19" ht="13.95" customHeight="1">
      <c r="M24293"/>
      <c r="N24293"/>
      <c r="O24293"/>
      <c r="P24293"/>
      <c r="Q24293"/>
      <c r="R24293"/>
      <c r="S24293"/>
    </row>
    <row r="24294" spans="13:19" ht="13.95" customHeight="1">
      <c r="M24294"/>
      <c r="N24294"/>
      <c r="O24294"/>
      <c r="P24294"/>
      <c r="Q24294"/>
      <c r="R24294"/>
      <c r="S24294"/>
    </row>
    <row r="24295" spans="13:19" ht="13.95" customHeight="1">
      <c r="M24295"/>
      <c r="N24295"/>
      <c r="O24295"/>
      <c r="P24295"/>
      <c r="Q24295"/>
      <c r="R24295"/>
      <c r="S24295"/>
    </row>
    <row r="24296" spans="13:19" ht="13.95" customHeight="1">
      <c r="M24296"/>
      <c r="N24296"/>
      <c r="O24296"/>
      <c r="P24296"/>
      <c r="Q24296"/>
      <c r="R24296"/>
      <c r="S24296"/>
    </row>
    <row r="24297" spans="13:19" ht="13.95" customHeight="1">
      <c r="M24297"/>
      <c r="N24297"/>
      <c r="O24297"/>
      <c r="P24297"/>
      <c r="Q24297"/>
      <c r="R24297"/>
      <c r="S24297"/>
    </row>
    <row r="24298" spans="13:19" ht="13.95" customHeight="1">
      <c r="M24298"/>
      <c r="N24298"/>
      <c r="O24298"/>
      <c r="P24298"/>
      <c r="Q24298"/>
      <c r="R24298"/>
      <c r="S24298"/>
    </row>
    <row r="24299" spans="13:19" ht="13.95" customHeight="1">
      <c r="M24299"/>
      <c r="N24299"/>
      <c r="O24299"/>
      <c r="P24299"/>
      <c r="Q24299"/>
      <c r="R24299"/>
      <c r="S24299"/>
    </row>
    <row r="24300" spans="13:19" ht="13.95" customHeight="1">
      <c r="M24300"/>
      <c r="N24300"/>
      <c r="O24300"/>
      <c r="P24300"/>
      <c r="Q24300"/>
      <c r="R24300"/>
      <c r="S24300"/>
    </row>
    <row r="24301" spans="13:19" ht="13.95" customHeight="1">
      <c r="M24301"/>
      <c r="N24301"/>
      <c r="O24301"/>
      <c r="P24301"/>
      <c r="Q24301"/>
      <c r="R24301"/>
      <c r="S24301"/>
    </row>
    <row r="24302" spans="13:19" ht="13.95" customHeight="1">
      <c r="M24302"/>
      <c r="N24302"/>
      <c r="O24302"/>
      <c r="P24302"/>
      <c r="Q24302"/>
      <c r="R24302"/>
      <c r="S24302"/>
    </row>
    <row r="24303" spans="13:19" ht="13.95" customHeight="1">
      <c r="M24303"/>
      <c r="N24303"/>
      <c r="O24303"/>
      <c r="P24303"/>
      <c r="Q24303"/>
      <c r="R24303"/>
      <c r="S24303"/>
    </row>
    <row r="24304" spans="13:19" ht="13.95" customHeight="1">
      <c r="M24304"/>
      <c r="N24304"/>
      <c r="O24304"/>
      <c r="P24304"/>
      <c r="Q24304"/>
      <c r="R24304"/>
      <c r="S24304"/>
    </row>
    <row r="24305" spans="13:19" ht="13.95" customHeight="1">
      <c r="M24305"/>
      <c r="N24305"/>
      <c r="O24305"/>
      <c r="P24305"/>
      <c r="Q24305"/>
      <c r="R24305"/>
      <c r="S24305"/>
    </row>
    <row r="24306" spans="13:19" ht="13.95" customHeight="1">
      <c r="M24306"/>
      <c r="N24306"/>
      <c r="O24306"/>
      <c r="P24306"/>
      <c r="Q24306"/>
      <c r="R24306"/>
      <c r="S24306"/>
    </row>
    <row r="24307" spans="13:19" ht="13.95" customHeight="1">
      <c r="M24307"/>
      <c r="N24307"/>
      <c r="O24307"/>
      <c r="P24307"/>
      <c r="Q24307"/>
      <c r="R24307"/>
      <c r="S24307"/>
    </row>
    <row r="24308" spans="13:19" ht="13.95" customHeight="1">
      <c r="M24308"/>
      <c r="N24308"/>
      <c r="O24308"/>
      <c r="P24308"/>
      <c r="Q24308"/>
      <c r="R24308"/>
      <c r="S24308"/>
    </row>
    <row r="24309" spans="13:19" ht="13.95" customHeight="1">
      <c r="M24309"/>
      <c r="N24309"/>
      <c r="O24309"/>
      <c r="P24309"/>
      <c r="Q24309"/>
      <c r="R24309"/>
      <c r="S24309"/>
    </row>
    <row r="24310" spans="13:19" ht="13.95" customHeight="1">
      <c r="M24310"/>
      <c r="N24310"/>
      <c r="O24310"/>
      <c r="P24310"/>
      <c r="Q24310"/>
      <c r="R24310"/>
      <c r="S24310"/>
    </row>
    <row r="24311" spans="13:19" ht="13.95" customHeight="1">
      <c r="M24311"/>
      <c r="N24311"/>
      <c r="O24311"/>
      <c r="P24311"/>
      <c r="Q24311"/>
      <c r="R24311"/>
      <c r="S24311"/>
    </row>
    <row r="24312" spans="13:19" ht="13.95" customHeight="1">
      <c r="M24312"/>
      <c r="N24312"/>
      <c r="O24312"/>
      <c r="P24312"/>
      <c r="Q24312"/>
      <c r="R24312"/>
      <c r="S24312"/>
    </row>
    <row r="24313" spans="13:19" ht="13.95" customHeight="1">
      <c r="M24313"/>
      <c r="N24313"/>
      <c r="O24313"/>
      <c r="P24313"/>
      <c r="Q24313"/>
      <c r="R24313"/>
      <c r="S24313"/>
    </row>
    <row r="24314" spans="13:19" ht="13.95" customHeight="1">
      <c r="M24314"/>
      <c r="N24314"/>
      <c r="O24314"/>
      <c r="P24314"/>
      <c r="Q24314"/>
      <c r="R24314"/>
      <c r="S24314"/>
    </row>
    <row r="24315" spans="13:19" ht="13.95" customHeight="1">
      <c r="M24315"/>
      <c r="N24315"/>
      <c r="O24315"/>
      <c r="P24315"/>
      <c r="Q24315"/>
      <c r="R24315"/>
      <c r="S24315"/>
    </row>
    <row r="24316" spans="13:19" ht="13.95" customHeight="1">
      <c r="M24316"/>
      <c r="N24316"/>
      <c r="O24316"/>
      <c r="P24316"/>
      <c r="Q24316"/>
      <c r="R24316"/>
      <c r="S24316"/>
    </row>
    <row r="24317" spans="13:19" ht="13.95" customHeight="1">
      <c r="M24317"/>
      <c r="N24317"/>
      <c r="O24317"/>
      <c r="P24317"/>
      <c r="Q24317"/>
      <c r="R24317"/>
      <c r="S24317"/>
    </row>
    <row r="24318" spans="13:19" ht="13.95" customHeight="1">
      <c r="M24318"/>
      <c r="N24318"/>
      <c r="O24318"/>
      <c r="P24318"/>
      <c r="Q24318"/>
      <c r="R24318"/>
      <c r="S24318"/>
    </row>
    <row r="24319" spans="13:19" ht="13.95" customHeight="1">
      <c r="M24319"/>
      <c r="N24319"/>
      <c r="O24319"/>
      <c r="P24319"/>
      <c r="Q24319"/>
      <c r="R24319"/>
      <c r="S24319"/>
    </row>
    <row r="24320" spans="13:19" ht="13.95" customHeight="1">
      <c r="M24320"/>
      <c r="N24320"/>
      <c r="O24320"/>
      <c r="P24320"/>
      <c r="Q24320"/>
      <c r="R24320"/>
      <c r="S24320"/>
    </row>
    <row r="24321" spans="13:19" ht="13.95" customHeight="1">
      <c r="M24321"/>
      <c r="N24321"/>
      <c r="O24321"/>
      <c r="P24321"/>
      <c r="Q24321"/>
      <c r="R24321"/>
      <c r="S24321"/>
    </row>
    <row r="24322" spans="13:19" ht="13.95" customHeight="1">
      <c r="M24322"/>
      <c r="N24322"/>
      <c r="O24322"/>
      <c r="P24322"/>
      <c r="Q24322"/>
      <c r="R24322"/>
      <c r="S24322"/>
    </row>
    <row r="24323" spans="13:19" ht="13.95" customHeight="1">
      <c r="M24323"/>
      <c r="N24323"/>
      <c r="O24323"/>
      <c r="P24323"/>
      <c r="Q24323"/>
      <c r="R24323"/>
      <c r="S24323"/>
    </row>
    <row r="24324" spans="13:19" ht="13.95" customHeight="1">
      <c r="M24324"/>
      <c r="N24324"/>
      <c r="O24324"/>
      <c r="P24324"/>
      <c r="Q24324"/>
      <c r="R24324"/>
      <c r="S24324"/>
    </row>
    <row r="24325" spans="13:19" ht="13.95" customHeight="1">
      <c r="M24325"/>
      <c r="N24325"/>
      <c r="O24325"/>
      <c r="P24325"/>
      <c r="Q24325"/>
      <c r="R24325"/>
      <c r="S24325"/>
    </row>
    <row r="24326" spans="13:19" ht="13.95" customHeight="1">
      <c r="M24326"/>
      <c r="N24326"/>
      <c r="O24326"/>
      <c r="P24326"/>
      <c r="Q24326"/>
      <c r="R24326"/>
      <c r="S24326"/>
    </row>
    <row r="24327" spans="13:19" ht="13.95" customHeight="1">
      <c r="M24327"/>
      <c r="N24327"/>
      <c r="O24327"/>
      <c r="P24327"/>
      <c r="Q24327"/>
      <c r="R24327"/>
      <c r="S24327"/>
    </row>
    <row r="24328" spans="13:19" ht="13.95" customHeight="1">
      <c r="M24328"/>
      <c r="N24328"/>
      <c r="O24328"/>
      <c r="P24328"/>
      <c r="Q24328"/>
      <c r="R24328"/>
      <c r="S24328"/>
    </row>
    <row r="24329" spans="13:19" ht="13.95" customHeight="1">
      <c r="M24329"/>
      <c r="N24329"/>
      <c r="O24329"/>
      <c r="P24329"/>
      <c r="Q24329"/>
      <c r="R24329"/>
      <c r="S24329"/>
    </row>
    <row r="24330" spans="13:19" ht="13.95" customHeight="1">
      <c r="M24330"/>
      <c r="N24330"/>
      <c r="O24330"/>
      <c r="P24330"/>
      <c r="Q24330"/>
      <c r="R24330"/>
      <c r="S24330"/>
    </row>
    <row r="24331" spans="13:19" ht="13.95" customHeight="1">
      <c r="M24331"/>
      <c r="N24331"/>
      <c r="O24331"/>
      <c r="P24331"/>
      <c r="Q24331"/>
      <c r="R24331"/>
      <c r="S24331"/>
    </row>
    <row r="24332" spans="13:19" ht="13.95" customHeight="1">
      <c r="M24332"/>
      <c r="N24332"/>
      <c r="O24332"/>
      <c r="P24332"/>
      <c r="Q24332"/>
      <c r="R24332"/>
      <c r="S24332"/>
    </row>
    <row r="24333" spans="13:19" ht="13.95" customHeight="1">
      <c r="M24333"/>
      <c r="N24333"/>
      <c r="O24333"/>
      <c r="P24333"/>
      <c r="Q24333"/>
      <c r="R24333"/>
      <c r="S24333"/>
    </row>
    <row r="24334" spans="13:19" ht="13.95" customHeight="1">
      <c r="M24334"/>
      <c r="N24334"/>
      <c r="O24334"/>
      <c r="P24334"/>
      <c r="Q24334"/>
      <c r="R24334"/>
      <c r="S24334"/>
    </row>
    <row r="24335" spans="13:19" ht="13.95" customHeight="1">
      <c r="M24335"/>
      <c r="N24335"/>
      <c r="O24335"/>
      <c r="P24335"/>
      <c r="Q24335"/>
      <c r="R24335"/>
      <c r="S24335"/>
    </row>
    <row r="24336" spans="13:19" ht="13.95" customHeight="1">
      <c r="M24336"/>
      <c r="N24336"/>
      <c r="O24336"/>
      <c r="P24336"/>
      <c r="Q24336"/>
      <c r="R24336"/>
      <c r="S24336"/>
    </row>
    <row r="24337" spans="13:19" ht="13.95" customHeight="1">
      <c r="M24337"/>
      <c r="N24337"/>
      <c r="O24337"/>
      <c r="P24337"/>
      <c r="Q24337"/>
      <c r="R24337"/>
      <c r="S24337"/>
    </row>
    <row r="24338" spans="13:19" ht="13.95" customHeight="1">
      <c r="M24338"/>
      <c r="N24338"/>
      <c r="O24338"/>
      <c r="P24338"/>
      <c r="Q24338"/>
      <c r="R24338"/>
      <c r="S24338"/>
    </row>
    <row r="24339" spans="13:19" ht="13.95" customHeight="1">
      <c r="M24339"/>
      <c r="N24339"/>
      <c r="O24339"/>
      <c r="P24339"/>
      <c r="Q24339"/>
      <c r="R24339"/>
      <c r="S24339"/>
    </row>
    <row r="24340" spans="13:19" ht="13.95" customHeight="1">
      <c r="M24340"/>
      <c r="N24340"/>
      <c r="O24340"/>
      <c r="P24340"/>
      <c r="Q24340"/>
      <c r="R24340"/>
      <c r="S24340"/>
    </row>
    <row r="24341" spans="13:19" ht="13.95" customHeight="1">
      <c r="M24341"/>
      <c r="N24341"/>
      <c r="O24341"/>
      <c r="P24341"/>
      <c r="Q24341"/>
      <c r="R24341"/>
      <c r="S24341"/>
    </row>
    <row r="24342" spans="13:19" ht="13.95" customHeight="1">
      <c r="M24342"/>
      <c r="N24342"/>
      <c r="O24342"/>
      <c r="P24342"/>
      <c r="Q24342"/>
      <c r="R24342"/>
      <c r="S24342"/>
    </row>
    <row r="24343" spans="13:19" ht="13.95" customHeight="1">
      <c r="M24343"/>
      <c r="N24343"/>
      <c r="O24343"/>
      <c r="P24343"/>
      <c r="Q24343"/>
      <c r="R24343"/>
      <c r="S24343"/>
    </row>
    <row r="24344" spans="13:19" ht="13.95" customHeight="1">
      <c r="M24344"/>
      <c r="N24344"/>
      <c r="O24344"/>
      <c r="P24344"/>
      <c r="Q24344"/>
      <c r="R24344"/>
      <c r="S24344"/>
    </row>
    <row r="24345" spans="13:19" ht="13.95" customHeight="1">
      <c r="M24345"/>
      <c r="N24345"/>
      <c r="O24345"/>
      <c r="P24345"/>
      <c r="Q24345"/>
      <c r="R24345"/>
      <c r="S24345"/>
    </row>
    <row r="24346" spans="13:19" ht="13.95" customHeight="1">
      <c r="M24346"/>
      <c r="N24346"/>
      <c r="O24346"/>
      <c r="P24346"/>
      <c r="Q24346"/>
      <c r="R24346"/>
      <c r="S24346"/>
    </row>
    <row r="24347" spans="13:19" ht="13.95" customHeight="1">
      <c r="M24347"/>
      <c r="N24347"/>
      <c r="O24347"/>
      <c r="P24347"/>
      <c r="Q24347"/>
      <c r="R24347"/>
      <c r="S24347"/>
    </row>
    <row r="24348" spans="13:19" ht="13.95" customHeight="1">
      <c r="M24348"/>
      <c r="N24348"/>
      <c r="O24348"/>
      <c r="P24348"/>
      <c r="Q24348"/>
      <c r="R24348"/>
      <c r="S24348"/>
    </row>
    <row r="24349" spans="13:19" ht="13.95" customHeight="1">
      <c r="M24349"/>
      <c r="N24349"/>
      <c r="O24349"/>
      <c r="P24349"/>
      <c r="Q24349"/>
      <c r="R24349"/>
      <c r="S24349"/>
    </row>
    <row r="24350" spans="13:19" ht="13.95" customHeight="1">
      <c r="M24350"/>
      <c r="N24350"/>
      <c r="O24350"/>
      <c r="P24350"/>
      <c r="Q24350"/>
      <c r="R24350"/>
      <c r="S24350"/>
    </row>
    <row r="24351" spans="13:19" ht="13.95" customHeight="1">
      <c r="M24351"/>
      <c r="N24351"/>
      <c r="O24351"/>
      <c r="P24351"/>
      <c r="Q24351"/>
      <c r="R24351"/>
      <c r="S24351"/>
    </row>
    <row r="24352" spans="13:19" ht="13.95" customHeight="1">
      <c r="M24352"/>
      <c r="N24352"/>
      <c r="O24352"/>
      <c r="P24352"/>
      <c r="Q24352"/>
      <c r="R24352"/>
      <c r="S24352"/>
    </row>
    <row r="24353" spans="13:19" ht="13.95" customHeight="1">
      <c r="M24353"/>
      <c r="N24353"/>
      <c r="O24353"/>
      <c r="P24353"/>
      <c r="Q24353"/>
      <c r="R24353"/>
      <c r="S24353"/>
    </row>
    <row r="24354" spans="13:19" ht="13.95" customHeight="1">
      <c r="M24354"/>
      <c r="N24354"/>
      <c r="O24354"/>
      <c r="P24354"/>
      <c r="Q24354"/>
      <c r="R24354"/>
      <c r="S24354"/>
    </row>
    <row r="24355" spans="13:19" ht="13.95" customHeight="1">
      <c r="M24355"/>
      <c r="N24355"/>
      <c r="O24355"/>
      <c r="P24355"/>
      <c r="Q24355"/>
      <c r="R24355"/>
      <c r="S24355"/>
    </row>
    <row r="24356" spans="13:19" ht="13.95" customHeight="1">
      <c r="M24356"/>
      <c r="N24356"/>
      <c r="O24356"/>
      <c r="P24356"/>
      <c r="Q24356"/>
      <c r="R24356"/>
      <c r="S24356"/>
    </row>
    <row r="24357" spans="13:19" ht="13.95" customHeight="1">
      <c r="M24357"/>
      <c r="N24357"/>
      <c r="O24357"/>
      <c r="P24357"/>
      <c r="Q24357"/>
      <c r="R24357"/>
      <c r="S24357"/>
    </row>
    <row r="24358" spans="13:19" ht="13.95" customHeight="1">
      <c r="M24358"/>
      <c r="N24358"/>
      <c r="O24358"/>
      <c r="P24358"/>
      <c r="Q24358"/>
      <c r="R24358"/>
      <c r="S24358"/>
    </row>
    <row r="24359" spans="13:19" ht="13.95" customHeight="1">
      <c r="M24359"/>
      <c r="N24359"/>
      <c r="O24359"/>
      <c r="P24359"/>
      <c r="Q24359"/>
      <c r="R24359"/>
      <c r="S24359"/>
    </row>
    <row r="24360" spans="13:19" ht="13.95" customHeight="1">
      <c r="M24360"/>
      <c r="N24360"/>
      <c r="O24360"/>
      <c r="P24360"/>
      <c r="Q24360"/>
      <c r="R24360"/>
      <c r="S24360"/>
    </row>
    <row r="24361" spans="13:19" ht="13.95" customHeight="1">
      <c r="M24361"/>
      <c r="N24361"/>
      <c r="O24361"/>
      <c r="P24361"/>
      <c r="Q24361"/>
      <c r="R24361"/>
      <c r="S24361"/>
    </row>
    <row r="24362" spans="13:19" ht="13.95" customHeight="1">
      <c r="M24362"/>
      <c r="N24362"/>
      <c r="O24362"/>
      <c r="P24362"/>
      <c r="Q24362"/>
      <c r="R24362"/>
      <c r="S24362"/>
    </row>
    <row r="24363" spans="13:19" ht="13.95" customHeight="1">
      <c r="M24363"/>
      <c r="N24363"/>
      <c r="O24363"/>
      <c r="P24363"/>
      <c r="Q24363"/>
      <c r="R24363"/>
      <c r="S24363"/>
    </row>
    <row r="24364" spans="13:19" ht="13.95" customHeight="1">
      <c r="M24364"/>
      <c r="N24364"/>
      <c r="O24364"/>
      <c r="P24364"/>
      <c r="Q24364"/>
      <c r="R24364"/>
      <c r="S24364"/>
    </row>
    <row r="24365" spans="13:19" ht="13.95" customHeight="1">
      <c r="M24365"/>
      <c r="N24365"/>
      <c r="O24365"/>
      <c r="P24365"/>
      <c r="Q24365"/>
      <c r="R24365"/>
      <c r="S24365"/>
    </row>
    <row r="24366" spans="13:19" ht="13.95" customHeight="1">
      <c r="M24366"/>
      <c r="N24366"/>
      <c r="O24366"/>
      <c r="P24366"/>
      <c r="Q24366"/>
      <c r="R24366"/>
      <c r="S24366"/>
    </row>
    <row r="24367" spans="13:19" ht="13.95" customHeight="1">
      <c r="M24367"/>
      <c r="N24367"/>
      <c r="O24367"/>
      <c r="P24367"/>
      <c r="Q24367"/>
      <c r="R24367"/>
      <c r="S24367"/>
    </row>
    <row r="24368" spans="13:19" ht="13.95" customHeight="1">
      <c r="M24368"/>
      <c r="N24368"/>
      <c r="O24368"/>
      <c r="P24368"/>
      <c r="Q24368"/>
      <c r="R24368"/>
      <c r="S24368"/>
    </row>
    <row r="24369" spans="13:19" ht="13.95" customHeight="1">
      <c r="M24369"/>
      <c r="N24369"/>
      <c r="O24369"/>
      <c r="P24369"/>
      <c r="Q24369"/>
      <c r="R24369"/>
      <c r="S24369"/>
    </row>
    <row r="24370" spans="13:19" ht="13.95" customHeight="1">
      <c r="M24370"/>
      <c r="N24370"/>
      <c r="O24370"/>
      <c r="P24370"/>
      <c r="Q24370"/>
      <c r="R24370"/>
      <c r="S24370"/>
    </row>
    <row r="24371" spans="13:19" ht="13.95" customHeight="1">
      <c r="M24371"/>
      <c r="N24371"/>
      <c r="O24371"/>
      <c r="P24371"/>
      <c r="Q24371"/>
      <c r="R24371"/>
      <c r="S24371"/>
    </row>
    <row r="24372" spans="13:19" ht="13.95" customHeight="1">
      <c r="M24372"/>
      <c r="N24372"/>
      <c r="O24372"/>
      <c r="P24372"/>
      <c r="Q24372"/>
      <c r="R24372"/>
      <c r="S24372"/>
    </row>
    <row r="24373" spans="13:19" ht="13.95" customHeight="1">
      <c r="M24373"/>
      <c r="N24373"/>
      <c r="O24373"/>
      <c r="P24373"/>
      <c r="Q24373"/>
      <c r="R24373"/>
      <c r="S24373"/>
    </row>
    <row r="24374" spans="13:19" ht="13.95" customHeight="1">
      <c r="M24374"/>
      <c r="N24374"/>
      <c r="O24374"/>
      <c r="P24374"/>
      <c r="Q24374"/>
      <c r="R24374"/>
      <c r="S24374"/>
    </row>
    <row r="24375" spans="13:19" ht="13.95" customHeight="1">
      <c r="M24375"/>
      <c r="N24375"/>
      <c r="O24375"/>
      <c r="P24375"/>
      <c r="Q24375"/>
      <c r="R24375"/>
      <c r="S24375"/>
    </row>
    <row r="24376" spans="13:19" ht="13.95" customHeight="1">
      <c r="M24376"/>
      <c r="N24376"/>
      <c r="O24376"/>
      <c r="P24376"/>
      <c r="Q24376"/>
      <c r="R24376"/>
      <c r="S24376"/>
    </row>
    <row r="24377" spans="13:19" ht="13.95" customHeight="1">
      <c r="M24377"/>
      <c r="N24377"/>
      <c r="O24377"/>
      <c r="P24377"/>
      <c r="Q24377"/>
      <c r="R24377"/>
      <c r="S24377"/>
    </row>
    <row r="24378" spans="13:19" ht="13.95" customHeight="1">
      <c r="M24378"/>
      <c r="N24378"/>
      <c r="O24378"/>
      <c r="P24378"/>
      <c r="Q24378"/>
      <c r="R24378"/>
      <c r="S24378"/>
    </row>
    <row r="24379" spans="13:19" ht="13.95" customHeight="1">
      <c r="M24379"/>
      <c r="N24379"/>
      <c r="O24379"/>
      <c r="P24379"/>
      <c r="Q24379"/>
      <c r="R24379"/>
      <c r="S24379"/>
    </row>
    <row r="24380" spans="13:19" ht="13.95" customHeight="1">
      <c r="M24380"/>
      <c r="N24380"/>
      <c r="O24380"/>
      <c r="P24380"/>
      <c r="Q24380"/>
      <c r="R24380"/>
      <c r="S24380"/>
    </row>
    <row r="24381" spans="13:19" ht="13.95" customHeight="1">
      <c r="M24381"/>
      <c r="N24381"/>
      <c r="O24381"/>
      <c r="P24381"/>
      <c r="Q24381"/>
      <c r="R24381"/>
      <c r="S24381"/>
    </row>
    <row r="24382" spans="13:19" ht="13.95" customHeight="1">
      <c r="M24382"/>
      <c r="N24382"/>
      <c r="O24382"/>
      <c r="P24382"/>
      <c r="Q24382"/>
      <c r="R24382"/>
      <c r="S24382"/>
    </row>
    <row r="24383" spans="13:19" ht="13.95" customHeight="1">
      <c r="M24383"/>
      <c r="N24383"/>
      <c r="O24383"/>
      <c r="P24383"/>
      <c r="Q24383"/>
      <c r="R24383"/>
      <c r="S24383"/>
    </row>
    <row r="24384" spans="13:19" ht="13.95" customHeight="1">
      <c r="M24384"/>
      <c r="N24384"/>
      <c r="O24384"/>
      <c r="P24384"/>
      <c r="Q24384"/>
      <c r="R24384"/>
      <c r="S24384"/>
    </row>
    <row r="24385" spans="13:19" ht="13.95" customHeight="1">
      <c r="M24385"/>
      <c r="N24385"/>
      <c r="O24385"/>
      <c r="P24385"/>
      <c r="Q24385"/>
      <c r="R24385"/>
      <c r="S24385"/>
    </row>
    <row r="24386" spans="13:19" ht="13.95" customHeight="1">
      <c r="M24386"/>
      <c r="N24386"/>
      <c r="O24386"/>
      <c r="P24386"/>
      <c r="Q24386"/>
      <c r="R24386"/>
      <c r="S24386"/>
    </row>
    <row r="24387" spans="13:19" ht="13.95" customHeight="1">
      <c r="M24387"/>
      <c r="N24387"/>
      <c r="O24387"/>
      <c r="P24387"/>
      <c r="Q24387"/>
      <c r="R24387"/>
      <c r="S24387"/>
    </row>
    <row r="24388" spans="13:19" ht="13.95" customHeight="1">
      <c r="M24388"/>
      <c r="N24388"/>
      <c r="O24388"/>
      <c r="P24388"/>
      <c r="Q24388"/>
      <c r="R24388"/>
      <c r="S24388"/>
    </row>
    <row r="24389" spans="13:19" ht="13.95" customHeight="1">
      <c r="M24389"/>
      <c r="N24389"/>
      <c r="O24389"/>
      <c r="P24389"/>
      <c r="Q24389"/>
      <c r="R24389"/>
      <c r="S24389"/>
    </row>
    <row r="24390" spans="13:19" ht="13.95" customHeight="1">
      <c r="M24390"/>
      <c r="N24390"/>
      <c r="O24390"/>
      <c r="P24390"/>
      <c r="Q24390"/>
      <c r="R24390"/>
      <c r="S24390"/>
    </row>
    <row r="24391" spans="13:19" ht="13.95" customHeight="1">
      <c r="M24391"/>
      <c r="N24391"/>
      <c r="O24391"/>
      <c r="P24391"/>
      <c r="Q24391"/>
      <c r="R24391"/>
      <c r="S24391"/>
    </row>
    <row r="24392" spans="13:19" ht="13.95" customHeight="1">
      <c r="M24392"/>
      <c r="N24392"/>
      <c r="O24392"/>
      <c r="P24392"/>
      <c r="Q24392"/>
      <c r="R24392"/>
      <c r="S24392"/>
    </row>
    <row r="24393" spans="13:19" ht="13.95" customHeight="1">
      <c r="M24393"/>
      <c r="N24393"/>
      <c r="O24393"/>
      <c r="P24393"/>
      <c r="Q24393"/>
      <c r="R24393"/>
      <c r="S24393"/>
    </row>
    <row r="24394" spans="13:19" ht="13.95" customHeight="1">
      <c r="M24394"/>
      <c r="N24394"/>
      <c r="O24394"/>
      <c r="P24394"/>
      <c r="Q24394"/>
      <c r="R24394"/>
      <c r="S24394"/>
    </row>
    <row r="24395" spans="13:19" ht="13.95" customHeight="1">
      <c r="M24395"/>
      <c r="N24395"/>
      <c r="O24395"/>
      <c r="P24395"/>
      <c r="Q24395"/>
      <c r="R24395"/>
      <c r="S24395"/>
    </row>
    <row r="24396" spans="13:19" ht="13.95" customHeight="1">
      <c r="M24396"/>
      <c r="N24396"/>
      <c r="O24396"/>
      <c r="P24396"/>
      <c r="Q24396"/>
      <c r="R24396"/>
      <c r="S24396"/>
    </row>
    <row r="24397" spans="13:19" ht="13.95" customHeight="1">
      <c r="M24397"/>
      <c r="N24397"/>
      <c r="O24397"/>
      <c r="P24397"/>
      <c r="Q24397"/>
      <c r="R24397"/>
      <c r="S24397"/>
    </row>
    <row r="24398" spans="13:19" ht="13.95" customHeight="1">
      <c r="M24398"/>
      <c r="N24398"/>
      <c r="O24398"/>
      <c r="P24398"/>
      <c r="Q24398"/>
      <c r="R24398"/>
      <c r="S24398"/>
    </row>
    <row r="24399" spans="13:19" ht="13.95" customHeight="1">
      <c r="M24399"/>
      <c r="N24399"/>
      <c r="O24399"/>
      <c r="P24399"/>
      <c r="Q24399"/>
      <c r="R24399"/>
      <c r="S24399"/>
    </row>
    <row r="24400" spans="13:19" ht="13.95" customHeight="1">
      <c r="M24400"/>
      <c r="N24400"/>
      <c r="O24400"/>
      <c r="P24400"/>
      <c r="Q24400"/>
      <c r="R24400"/>
      <c r="S24400"/>
    </row>
    <row r="24401" spans="13:19" ht="13.95" customHeight="1">
      <c r="M24401"/>
      <c r="N24401"/>
      <c r="O24401"/>
      <c r="P24401"/>
      <c r="Q24401"/>
      <c r="R24401"/>
      <c r="S24401"/>
    </row>
    <row r="24402" spans="13:19" ht="13.95" customHeight="1">
      <c r="M24402"/>
      <c r="N24402"/>
      <c r="O24402"/>
      <c r="P24402"/>
      <c r="Q24402"/>
      <c r="R24402"/>
      <c r="S24402"/>
    </row>
    <row r="24403" spans="13:19" ht="13.95" customHeight="1">
      <c r="M24403"/>
      <c r="N24403"/>
      <c r="O24403"/>
      <c r="P24403"/>
      <c r="Q24403"/>
      <c r="R24403"/>
      <c r="S24403"/>
    </row>
    <row r="24404" spans="13:19" ht="13.95" customHeight="1">
      <c r="M24404"/>
      <c r="N24404"/>
      <c r="O24404"/>
      <c r="P24404"/>
      <c r="Q24404"/>
      <c r="R24404"/>
      <c r="S24404"/>
    </row>
    <row r="24405" spans="13:19" ht="13.95" customHeight="1">
      <c r="M24405"/>
      <c r="N24405"/>
      <c r="O24405"/>
      <c r="P24405"/>
      <c r="Q24405"/>
      <c r="R24405"/>
      <c r="S24405"/>
    </row>
    <row r="24406" spans="13:19" ht="13.95" customHeight="1">
      <c r="M24406"/>
      <c r="N24406"/>
      <c r="O24406"/>
      <c r="P24406"/>
      <c r="Q24406"/>
      <c r="R24406"/>
      <c r="S24406"/>
    </row>
    <row r="24407" spans="13:19" ht="13.95" customHeight="1">
      <c r="M24407"/>
      <c r="N24407"/>
      <c r="O24407"/>
      <c r="P24407"/>
      <c r="Q24407"/>
      <c r="R24407"/>
      <c r="S24407"/>
    </row>
    <row r="24408" spans="13:19" ht="13.95" customHeight="1">
      <c r="M24408"/>
      <c r="N24408"/>
      <c r="O24408"/>
      <c r="P24408"/>
      <c r="Q24408"/>
      <c r="R24408"/>
      <c r="S24408"/>
    </row>
    <row r="24409" spans="13:19" ht="13.95" customHeight="1">
      <c r="M24409"/>
      <c r="N24409"/>
      <c r="O24409"/>
      <c r="P24409"/>
      <c r="Q24409"/>
      <c r="R24409"/>
      <c r="S24409"/>
    </row>
    <row r="24410" spans="13:19" ht="13.95" customHeight="1">
      <c r="M24410"/>
      <c r="N24410"/>
      <c r="O24410"/>
      <c r="P24410"/>
      <c r="Q24410"/>
      <c r="R24410"/>
      <c r="S24410"/>
    </row>
    <row r="24411" spans="13:19" ht="13.95" customHeight="1">
      <c r="M24411"/>
      <c r="N24411"/>
      <c r="O24411"/>
      <c r="P24411"/>
      <c r="Q24411"/>
      <c r="R24411"/>
      <c r="S24411"/>
    </row>
    <row r="24412" spans="13:19" ht="13.95" customHeight="1">
      <c r="M24412"/>
      <c r="N24412"/>
      <c r="O24412"/>
      <c r="P24412"/>
      <c r="Q24412"/>
      <c r="R24412"/>
      <c r="S24412"/>
    </row>
    <row r="24413" spans="13:19" ht="13.95" customHeight="1">
      <c r="M24413"/>
      <c r="N24413"/>
      <c r="O24413"/>
      <c r="P24413"/>
      <c r="Q24413"/>
      <c r="R24413"/>
      <c r="S24413"/>
    </row>
    <row r="24414" spans="13:19" ht="13.95" customHeight="1">
      <c r="M24414"/>
      <c r="N24414"/>
      <c r="O24414"/>
      <c r="P24414"/>
      <c r="Q24414"/>
      <c r="R24414"/>
      <c r="S24414"/>
    </row>
    <row r="24415" spans="13:19" ht="13.95" customHeight="1">
      <c r="M24415"/>
      <c r="N24415"/>
      <c r="O24415"/>
      <c r="P24415"/>
      <c r="Q24415"/>
      <c r="R24415"/>
      <c r="S24415"/>
    </row>
    <row r="24416" spans="13:19" ht="13.95" customHeight="1">
      <c r="M24416"/>
      <c r="N24416"/>
      <c r="O24416"/>
      <c r="P24416"/>
      <c r="Q24416"/>
      <c r="R24416"/>
      <c r="S24416"/>
    </row>
    <row r="24417" spans="13:19" ht="13.95" customHeight="1">
      <c r="M24417"/>
      <c r="N24417"/>
      <c r="O24417"/>
      <c r="P24417"/>
      <c r="Q24417"/>
      <c r="R24417"/>
      <c r="S24417"/>
    </row>
    <row r="24418" spans="13:19" ht="13.95" customHeight="1">
      <c r="M24418"/>
      <c r="N24418"/>
      <c r="O24418"/>
      <c r="P24418"/>
      <c r="Q24418"/>
      <c r="R24418"/>
      <c r="S24418"/>
    </row>
    <row r="24419" spans="13:19" ht="13.95" customHeight="1">
      <c r="M24419"/>
      <c r="N24419"/>
      <c r="O24419"/>
      <c r="P24419"/>
      <c r="Q24419"/>
      <c r="R24419"/>
      <c r="S24419"/>
    </row>
    <row r="24420" spans="13:19" ht="13.95" customHeight="1">
      <c r="M24420"/>
      <c r="N24420"/>
      <c r="O24420"/>
      <c r="P24420"/>
      <c r="Q24420"/>
      <c r="R24420"/>
      <c r="S24420"/>
    </row>
    <row r="24421" spans="13:19" ht="13.95" customHeight="1">
      <c r="M24421"/>
      <c r="N24421"/>
      <c r="O24421"/>
      <c r="P24421"/>
      <c r="Q24421"/>
      <c r="R24421"/>
      <c r="S24421"/>
    </row>
    <row r="24422" spans="13:19" ht="13.95" customHeight="1">
      <c r="M24422"/>
      <c r="N24422"/>
      <c r="O24422"/>
      <c r="P24422"/>
      <c r="Q24422"/>
      <c r="R24422"/>
      <c r="S24422"/>
    </row>
    <row r="24423" spans="13:19" ht="13.95" customHeight="1">
      <c r="M24423"/>
      <c r="N24423"/>
      <c r="O24423"/>
      <c r="P24423"/>
      <c r="Q24423"/>
      <c r="R24423"/>
      <c r="S24423"/>
    </row>
    <row r="24424" spans="13:19" ht="13.95" customHeight="1">
      <c r="M24424"/>
      <c r="N24424"/>
      <c r="O24424"/>
      <c r="P24424"/>
      <c r="Q24424"/>
      <c r="R24424"/>
      <c r="S24424"/>
    </row>
    <row r="24425" spans="13:19" ht="13.95" customHeight="1">
      <c r="M24425"/>
      <c r="N24425"/>
      <c r="O24425"/>
      <c r="P24425"/>
      <c r="Q24425"/>
      <c r="R24425"/>
      <c r="S24425"/>
    </row>
    <row r="24426" spans="13:19" ht="13.95" customHeight="1">
      <c r="M24426"/>
      <c r="N24426"/>
      <c r="O24426"/>
      <c r="P24426"/>
      <c r="Q24426"/>
      <c r="R24426"/>
      <c r="S24426"/>
    </row>
    <row r="24427" spans="13:19" ht="13.95" customHeight="1">
      <c r="M24427"/>
      <c r="N24427"/>
      <c r="O24427"/>
      <c r="P24427"/>
      <c r="Q24427"/>
      <c r="R24427"/>
      <c r="S24427"/>
    </row>
    <row r="24428" spans="13:19" ht="13.95" customHeight="1">
      <c r="M24428"/>
      <c r="N24428"/>
      <c r="O24428"/>
      <c r="P24428"/>
      <c r="Q24428"/>
      <c r="R24428"/>
      <c r="S24428"/>
    </row>
    <row r="24429" spans="13:19" ht="13.95" customHeight="1">
      <c r="M24429"/>
      <c r="N24429"/>
      <c r="O24429"/>
      <c r="P24429"/>
      <c r="Q24429"/>
      <c r="R24429"/>
      <c r="S24429"/>
    </row>
    <row r="24430" spans="13:19" ht="13.95" customHeight="1">
      <c r="M24430"/>
      <c r="N24430"/>
      <c r="O24430"/>
      <c r="P24430"/>
      <c r="Q24430"/>
      <c r="R24430"/>
      <c r="S24430"/>
    </row>
    <row r="24431" spans="13:19" ht="13.95" customHeight="1">
      <c r="M24431"/>
      <c r="N24431"/>
      <c r="O24431"/>
      <c r="P24431"/>
      <c r="Q24431"/>
      <c r="R24431"/>
      <c r="S24431"/>
    </row>
    <row r="24432" spans="13:19" ht="13.95" customHeight="1">
      <c r="M24432"/>
      <c r="N24432"/>
      <c r="O24432"/>
      <c r="P24432"/>
      <c r="Q24432"/>
      <c r="R24432"/>
      <c r="S24432"/>
    </row>
    <row r="24433" spans="13:19" ht="13.95" customHeight="1">
      <c r="M24433"/>
      <c r="N24433"/>
      <c r="O24433"/>
      <c r="P24433"/>
      <c r="Q24433"/>
      <c r="R24433"/>
      <c r="S24433"/>
    </row>
    <row r="24434" spans="13:19" ht="13.95" customHeight="1">
      <c r="M24434"/>
      <c r="N24434"/>
      <c r="O24434"/>
      <c r="P24434"/>
      <c r="Q24434"/>
      <c r="R24434"/>
      <c r="S24434"/>
    </row>
    <row r="24435" spans="13:19" ht="13.95" customHeight="1">
      <c r="M24435"/>
      <c r="N24435"/>
      <c r="O24435"/>
      <c r="P24435"/>
      <c r="Q24435"/>
      <c r="R24435"/>
      <c r="S24435"/>
    </row>
    <row r="24436" spans="13:19" ht="13.95" customHeight="1">
      <c r="M24436"/>
      <c r="N24436"/>
      <c r="O24436"/>
      <c r="P24436"/>
      <c r="Q24436"/>
      <c r="R24436"/>
      <c r="S24436"/>
    </row>
    <row r="24437" spans="13:19" ht="13.95" customHeight="1">
      <c r="M24437"/>
      <c r="N24437"/>
      <c r="O24437"/>
      <c r="P24437"/>
      <c r="Q24437"/>
      <c r="R24437"/>
      <c r="S24437"/>
    </row>
    <row r="24438" spans="13:19" ht="13.95" customHeight="1">
      <c r="M24438"/>
      <c r="N24438"/>
      <c r="O24438"/>
      <c r="P24438"/>
      <c r="Q24438"/>
      <c r="R24438"/>
      <c r="S24438"/>
    </row>
    <row r="24439" spans="13:19" ht="13.95" customHeight="1">
      <c r="M24439"/>
      <c r="N24439"/>
      <c r="O24439"/>
      <c r="P24439"/>
      <c r="Q24439"/>
      <c r="R24439"/>
      <c r="S24439"/>
    </row>
    <row r="24440" spans="13:19" ht="13.95" customHeight="1">
      <c r="M24440"/>
      <c r="N24440"/>
      <c r="O24440"/>
      <c r="P24440"/>
      <c r="Q24440"/>
      <c r="R24440"/>
      <c r="S24440"/>
    </row>
    <row r="24441" spans="13:19" ht="13.95" customHeight="1">
      <c r="M24441"/>
      <c r="N24441"/>
      <c r="O24441"/>
      <c r="P24441"/>
      <c r="Q24441"/>
      <c r="R24441"/>
      <c r="S24441"/>
    </row>
    <row r="24442" spans="13:19" ht="13.95" customHeight="1">
      <c r="M24442"/>
      <c r="N24442"/>
      <c r="O24442"/>
      <c r="P24442"/>
      <c r="Q24442"/>
      <c r="R24442"/>
      <c r="S24442"/>
    </row>
    <row r="24443" spans="13:19" ht="13.95" customHeight="1">
      <c r="M24443"/>
      <c r="N24443"/>
      <c r="O24443"/>
      <c r="P24443"/>
      <c r="Q24443"/>
      <c r="R24443"/>
      <c r="S24443"/>
    </row>
    <row r="24444" spans="13:19" ht="13.95" customHeight="1">
      <c r="M24444"/>
      <c r="N24444"/>
      <c r="O24444"/>
      <c r="P24444"/>
      <c r="Q24444"/>
      <c r="R24444"/>
      <c r="S24444"/>
    </row>
    <row r="24445" spans="13:19" ht="13.95" customHeight="1">
      <c r="M24445"/>
      <c r="N24445"/>
      <c r="O24445"/>
      <c r="P24445"/>
      <c r="Q24445"/>
      <c r="R24445"/>
      <c r="S24445"/>
    </row>
    <row r="24446" spans="13:19" ht="13.95" customHeight="1">
      <c r="M24446"/>
      <c r="N24446"/>
      <c r="O24446"/>
      <c r="P24446"/>
      <c r="Q24446"/>
      <c r="R24446"/>
      <c r="S24446"/>
    </row>
    <row r="24447" spans="13:19" ht="13.95" customHeight="1">
      <c r="M24447"/>
      <c r="N24447"/>
      <c r="O24447"/>
      <c r="P24447"/>
      <c r="Q24447"/>
      <c r="R24447"/>
      <c r="S24447"/>
    </row>
    <row r="24448" spans="13:19" ht="13.95" customHeight="1">
      <c r="M24448"/>
      <c r="N24448"/>
      <c r="O24448"/>
      <c r="P24448"/>
      <c r="Q24448"/>
      <c r="R24448"/>
      <c r="S24448"/>
    </row>
    <row r="24449" spans="13:19" ht="13.95" customHeight="1">
      <c r="M24449"/>
      <c r="N24449"/>
      <c r="O24449"/>
      <c r="P24449"/>
      <c r="Q24449"/>
      <c r="R24449"/>
      <c r="S24449"/>
    </row>
    <row r="24450" spans="13:19" ht="13.95" customHeight="1">
      <c r="M24450"/>
      <c r="N24450"/>
      <c r="O24450"/>
      <c r="P24450"/>
      <c r="Q24450"/>
      <c r="R24450"/>
      <c r="S24450"/>
    </row>
    <row r="24451" spans="13:19" ht="13.95" customHeight="1">
      <c r="M24451"/>
      <c r="N24451"/>
      <c r="O24451"/>
      <c r="P24451"/>
      <c r="Q24451"/>
      <c r="R24451"/>
      <c r="S24451"/>
    </row>
    <row r="24452" spans="13:19" ht="13.95" customHeight="1">
      <c r="M24452"/>
      <c r="N24452"/>
      <c r="O24452"/>
      <c r="P24452"/>
      <c r="Q24452"/>
      <c r="R24452"/>
      <c r="S24452"/>
    </row>
    <row r="24453" spans="13:19" ht="13.95" customHeight="1">
      <c r="M24453"/>
      <c r="N24453"/>
      <c r="O24453"/>
      <c r="P24453"/>
      <c r="Q24453"/>
      <c r="R24453"/>
      <c r="S24453"/>
    </row>
    <row r="24454" spans="13:19" ht="13.95" customHeight="1">
      <c r="M24454"/>
      <c r="N24454"/>
      <c r="O24454"/>
      <c r="P24454"/>
      <c r="Q24454"/>
      <c r="R24454"/>
      <c r="S24454"/>
    </row>
    <row r="24455" spans="13:19" ht="13.95" customHeight="1">
      <c r="M24455"/>
      <c r="N24455"/>
      <c r="O24455"/>
      <c r="P24455"/>
      <c r="Q24455"/>
      <c r="R24455"/>
      <c r="S24455"/>
    </row>
    <row r="24456" spans="13:19" ht="13.95" customHeight="1">
      <c r="M24456"/>
      <c r="N24456"/>
      <c r="O24456"/>
      <c r="P24456"/>
      <c r="Q24456"/>
      <c r="R24456"/>
      <c r="S24456"/>
    </row>
    <row r="24457" spans="13:19" ht="13.95" customHeight="1">
      <c r="M24457"/>
      <c r="N24457"/>
      <c r="O24457"/>
      <c r="P24457"/>
      <c r="Q24457"/>
      <c r="R24457"/>
      <c r="S24457"/>
    </row>
    <row r="24458" spans="13:19" ht="13.95" customHeight="1">
      <c r="M24458"/>
      <c r="N24458"/>
      <c r="O24458"/>
      <c r="P24458"/>
      <c r="Q24458"/>
      <c r="R24458"/>
      <c r="S24458"/>
    </row>
    <row r="24459" spans="13:19" ht="13.95" customHeight="1">
      <c r="M24459"/>
      <c r="N24459"/>
      <c r="O24459"/>
      <c r="P24459"/>
      <c r="Q24459"/>
      <c r="R24459"/>
      <c r="S24459"/>
    </row>
    <row r="24460" spans="13:19" ht="13.95" customHeight="1">
      <c r="M24460"/>
      <c r="N24460"/>
      <c r="O24460"/>
      <c r="P24460"/>
      <c r="Q24460"/>
      <c r="R24460"/>
      <c r="S24460"/>
    </row>
    <row r="24461" spans="13:19" ht="13.95" customHeight="1">
      <c r="M24461"/>
      <c r="N24461"/>
      <c r="O24461"/>
      <c r="P24461"/>
      <c r="Q24461"/>
      <c r="R24461"/>
      <c r="S24461"/>
    </row>
    <row r="24462" spans="13:19" ht="13.95" customHeight="1">
      <c r="M24462"/>
      <c r="N24462"/>
      <c r="O24462"/>
      <c r="P24462"/>
      <c r="Q24462"/>
      <c r="R24462"/>
      <c r="S24462"/>
    </row>
    <row r="24463" spans="13:19" ht="13.95" customHeight="1">
      <c r="M24463"/>
      <c r="N24463"/>
      <c r="O24463"/>
      <c r="P24463"/>
      <c r="Q24463"/>
      <c r="R24463"/>
      <c r="S24463"/>
    </row>
    <row r="24464" spans="13:19" ht="13.95" customHeight="1">
      <c r="M24464"/>
      <c r="N24464"/>
      <c r="O24464"/>
      <c r="P24464"/>
      <c r="Q24464"/>
      <c r="R24464"/>
      <c r="S24464"/>
    </row>
    <row r="24465" spans="13:19" ht="13.95" customHeight="1">
      <c r="M24465"/>
      <c r="N24465"/>
      <c r="O24465"/>
      <c r="P24465"/>
      <c r="Q24465"/>
      <c r="R24465"/>
      <c r="S24465"/>
    </row>
    <row r="24466" spans="13:19" ht="13.95" customHeight="1">
      <c r="M24466"/>
      <c r="N24466"/>
      <c r="O24466"/>
      <c r="P24466"/>
      <c r="Q24466"/>
      <c r="R24466"/>
      <c r="S24466"/>
    </row>
    <row r="24467" spans="13:19" ht="13.95" customHeight="1">
      <c r="M24467"/>
      <c r="N24467"/>
      <c r="O24467"/>
      <c r="P24467"/>
      <c r="Q24467"/>
      <c r="R24467"/>
      <c r="S24467"/>
    </row>
    <row r="24468" spans="13:19" ht="13.95" customHeight="1">
      <c r="M24468"/>
      <c r="N24468"/>
      <c r="O24468"/>
      <c r="P24468"/>
      <c r="Q24468"/>
      <c r="R24468"/>
      <c r="S24468"/>
    </row>
    <row r="24469" spans="13:19" ht="13.95" customHeight="1">
      <c r="M24469"/>
      <c r="N24469"/>
      <c r="O24469"/>
      <c r="P24469"/>
      <c r="Q24469"/>
      <c r="R24469"/>
      <c r="S24469"/>
    </row>
    <row r="24470" spans="13:19" ht="13.95" customHeight="1">
      <c r="M24470"/>
      <c r="N24470"/>
      <c r="O24470"/>
      <c r="P24470"/>
      <c r="Q24470"/>
      <c r="R24470"/>
      <c r="S24470"/>
    </row>
    <row r="24471" spans="13:19" ht="13.95" customHeight="1">
      <c r="M24471"/>
      <c r="N24471"/>
      <c r="O24471"/>
      <c r="P24471"/>
      <c r="Q24471"/>
      <c r="R24471"/>
      <c r="S24471"/>
    </row>
    <row r="24472" spans="13:19" ht="13.95" customHeight="1">
      <c r="M24472"/>
      <c r="N24472"/>
      <c r="O24472"/>
      <c r="P24472"/>
      <c r="Q24472"/>
      <c r="R24472"/>
      <c r="S24472"/>
    </row>
    <row r="24473" spans="13:19" ht="13.95" customHeight="1">
      <c r="M24473"/>
      <c r="N24473"/>
      <c r="O24473"/>
      <c r="P24473"/>
      <c r="Q24473"/>
      <c r="R24473"/>
      <c r="S24473"/>
    </row>
    <row r="24474" spans="13:19" ht="13.95" customHeight="1">
      <c r="M24474"/>
      <c r="N24474"/>
      <c r="O24474"/>
      <c r="P24474"/>
      <c r="Q24474"/>
      <c r="R24474"/>
      <c r="S24474"/>
    </row>
    <row r="24475" spans="13:19" ht="13.95" customHeight="1">
      <c r="M24475"/>
      <c r="N24475"/>
      <c r="O24475"/>
      <c r="P24475"/>
      <c r="Q24475"/>
      <c r="R24475"/>
      <c r="S24475"/>
    </row>
    <row r="24476" spans="13:19" ht="13.95" customHeight="1">
      <c r="M24476"/>
      <c r="N24476"/>
      <c r="O24476"/>
      <c r="P24476"/>
      <c r="Q24476"/>
      <c r="R24476"/>
      <c r="S24476"/>
    </row>
    <row r="24477" spans="13:19" ht="13.95" customHeight="1">
      <c r="M24477"/>
      <c r="N24477"/>
      <c r="O24477"/>
      <c r="P24477"/>
      <c r="Q24477"/>
      <c r="R24477"/>
      <c r="S24477"/>
    </row>
    <row r="24478" spans="13:19" ht="13.95" customHeight="1">
      <c r="M24478"/>
      <c r="N24478"/>
      <c r="O24478"/>
      <c r="P24478"/>
      <c r="Q24478"/>
      <c r="R24478"/>
      <c r="S24478"/>
    </row>
    <row r="24479" spans="13:19" ht="13.95" customHeight="1">
      <c r="M24479"/>
      <c r="N24479"/>
      <c r="O24479"/>
      <c r="P24479"/>
      <c r="Q24479"/>
      <c r="R24479"/>
      <c r="S24479"/>
    </row>
    <row r="24480" spans="13:19" ht="13.95" customHeight="1">
      <c r="M24480"/>
      <c r="N24480"/>
      <c r="O24480"/>
      <c r="P24480"/>
      <c r="Q24480"/>
      <c r="R24480"/>
      <c r="S24480"/>
    </row>
    <row r="24481" spans="13:19" ht="13.95" customHeight="1">
      <c r="M24481"/>
      <c r="N24481"/>
      <c r="O24481"/>
      <c r="P24481"/>
      <c r="Q24481"/>
      <c r="R24481"/>
      <c r="S24481"/>
    </row>
    <row r="24482" spans="13:19" ht="13.95" customHeight="1">
      <c r="M24482"/>
      <c r="N24482"/>
      <c r="O24482"/>
      <c r="P24482"/>
      <c r="Q24482"/>
      <c r="R24482"/>
      <c r="S24482"/>
    </row>
    <row r="24483" spans="13:19" ht="13.95" customHeight="1">
      <c r="M24483"/>
      <c r="N24483"/>
      <c r="O24483"/>
      <c r="P24483"/>
      <c r="Q24483"/>
      <c r="R24483"/>
      <c r="S24483"/>
    </row>
    <row r="24484" spans="13:19" ht="13.95" customHeight="1">
      <c r="M24484"/>
      <c r="N24484"/>
      <c r="O24484"/>
      <c r="P24484"/>
      <c r="Q24484"/>
      <c r="R24484"/>
      <c r="S24484"/>
    </row>
    <row r="24485" spans="13:19" ht="13.95" customHeight="1">
      <c r="M24485"/>
      <c r="N24485"/>
      <c r="O24485"/>
      <c r="P24485"/>
      <c r="Q24485"/>
      <c r="R24485"/>
      <c r="S24485"/>
    </row>
    <row r="24486" spans="13:19" ht="13.95" customHeight="1">
      <c r="M24486"/>
      <c r="N24486"/>
      <c r="O24486"/>
      <c r="P24486"/>
      <c r="Q24486"/>
      <c r="R24486"/>
      <c r="S24486"/>
    </row>
    <row r="24487" spans="13:19" ht="13.95" customHeight="1">
      <c r="M24487"/>
      <c r="N24487"/>
      <c r="O24487"/>
      <c r="P24487"/>
      <c r="Q24487"/>
      <c r="R24487"/>
      <c r="S24487"/>
    </row>
    <row r="24488" spans="13:19" ht="13.95" customHeight="1">
      <c r="M24488"/>
      <c r="N24488"/>
      <c r="O24488"/>
      <c r="P24488"/>
      <c r="Q24488"/>
      <c r="R24488"/>
      <c r="S24488"/>
    </row>
    <row r="24489" spans="13:19" ht="13.95" customHeight="1">
      <c r="M24489"/>
      <c r="N24489"/>
      <c r="O24489"/>
      <c r="P24489"/>
      <c r="Q24489"/>
      <c r="R24489"/>
      <c r="S24489"/>
    </row>
    <row r="24490" spans="13:19" ht="13.95" customHeight="1">
      <c r="M24490"/>
      <c r="N24490"/>
      <c r="O24490"/>
      <c r="P24490"/>
      <c r="Q24490"/>
      <c r="R24490"/>
      <c r="S24490"/>
    </row>
    <row r="24491" spans="13:19" ht="13.95" customHeight="1">
      <c r="M24491"/>
      <c r="N24491"/>
      <c r="O24491"/>
      <c r="P24491"/>
      <c r="Q24491"/>
      <c r="R24491"/>
      <c r="S24491"/>
    </row>
    <row r="24492" spans="13:19" ht="13.95" customHeight="1">
      <c r="M24492"/>
      <c r="N24492"/>
      <c r="O24492"/>
      <c r="P24492"/>
      <c r="Q24492"/>
      <c r="R24492"/>
      <c r="S24492"/>
    </row>
    <row r="24493" spans="13:19" ht="13.95" customHeight="1">
      <c r="M24493"/>
      <c r="N24493"/>
      <c r="O24493"/>
      <c r="P24493"/>
      <c r="Q24493"/>
      <c r="R24493"/>
      <c r="S24493"/>
    </row>
    <row r="24494" spans="13:19" ht="13.95" customHeight="1">
      <c r="M24494"/>
      <c r="N24494"/>
      <c r="O24494"/>
      <c r="P24494"/>
      <c r="Q24494"/>
      <c r="R24494"/>
      <c r="S24494"/>
    </row>
    <row r="24495" spans="13:19" ht="13.95" customHeight="1">
      <c r="M24495"/>
      <c r="N24495"/>
      <c r="O24495"/>
      <c r="P24495"/>
      <c r="Q24495"/>
      <c r="R24495"/>
      <c r="S24495"/>
    </row>
    <row r="24496" spans="13:19" ht="13.95" customHeight="1">
      <c r="M24496"/>
      <c r="N24496"/>
      <c r="O24496"/>
      <c r="P24496"/>
      <c r="Q24496"/>
      <c r="R24496"/>
      <c r="S24496"/>
    </row>
    <row r="24497" spans="13:19" ht="13.95" customHeight="1">
      <c r="M24497"/>
      <c r="N24497"/>
      <c r="O24497"/>
      <c r="P24497"/>
      <c r="Q24497"/>
      <c r="R24497"/>
      <c r="S24497"/>
    </row>
    <row r="24498" spans="13:19" ht="13.95" customHeight="1">
      <c r="M24498"/>
      <c r="N24498"/>
      <c r="O24498"/>
      <c r="P24498"/>
      <c r="Q24498"/>
      <c r="R24498"/>
      <c r="S24498"/>
    </row>
    <row r="24499" spans="13:19" ht="13.95" customHeight="1">
      <c r="M24499"/>
      <c r="N24499"/>
      <c r="O24499"/>
      <c r="P24499"/>
      <c r="Q24499"/>
      <c r="R24499"/>
      <c r="S24499"/>
    </row>
    <row r="24500" spans="13:19" ht="13.95" customHeight="1">
      <c r="M24500"/>
      <c r="N24500"/>
      <c r="O24500"/>
      <c r="P24500"/>
      <c r="Q24500"/>
      <c r="R24500"/>
      <c r="S24500"/>
    </row>
    <row r="24501" spans="13:19" ht="13.95" customHeight="1">
      <c r="M24501"/>
      <c r="N24501"/>
      <c r="O24501"/>
      <c r="P24501"/>
      <c r="Q24501"/>
      <c r="R24501"/>
      <c r="S24501"/>
    </row>
    <row r="24502" spans="13:19" ht="13.95" customHeight="1">
      <c r="M24502"/>
      <c r="N24502"/>
      <c r="O24502"/>
      <c r="P24502"/>
      <c r="Q24502"/>
      <c r="R24502"/>
      <c r="S24502"/>
    </row>
    <row r="24503" spans="13:19" ht="13.95" customHeight="1">
      <c r="M24503"/>
      <c r="N24503"/>
      <c r="O24503"/>
      <c r="P24503"/>
      <c r="Q24503"/>
      <c r="R24503"/>
      <c r="S24503"/>
    </row>
    <row r="24504" spans="13:19" ht="13.95" customHeight="1">
      <c r="M24504"/>
      <c r="N24504"/>
      <c r="O24504"/>
      <c r="P24504"/>
      <c r="Q24504"/>
      <c r="R24504"/>
      <c r="S24504"/>
    </row>
    <row r="24505" spans="13:19" ht="13.95" customHeight="1">
      <c r="M24505"/>
      <c r="N24505"/>
      <c r="O24505"/>
      <c r="P24505"/>
      <c r="Q24505"/>
      <c r="R24505"/>
      <c r="S24505"/>
    </row>
    <row r="24506" spans="13:19" ht="13.95" customHeight="1">
      <c r="M24506"/>
      <c r="N24506"/>
      <c r="O24506"/>
      <c r="P24506"/>
      <c r="Q24506"/>
      <c r="R24506"/>
      <c r="S24506"/>
    </row>
    <row r="24507" spans="13:19" ht="13.95" customHeight="1">
      <c r="M24507"/>
      <c r="N24507"/>
      <c r="O24507"/>
      <c r="P24507"/>
      <c r="Q24507"/>
      <c r="R24507"/>
      <c r="S24507"/>
    </row>
    <row r="24508" spans="13:19" ht="13.95" customHeight="1">
      <c r="M24508"/>
      <c r="N24508"/>
      <c r="O24508"/>
      <c r="P24508"/>
      <c r="Q24508"/>
      <c r="R24508"/>
      <c r="S24508"/>
    </row>
    <row r="24509" spans="13:19" ht="13.95" customHeight="1">
      <c r="M24509"/>
      <c r="N24509"/>
      <c r="O24509"/>
      <c r="P24509"/>
      <c r="Q24509"/>
      <c r="R24509"/>
      <c r="S24509"/>
    </row>
    <row r="24510" spans="13:19" ht="13.95" customHeight="1">
      <c r="M24510"/>
      <c r="N24510"/>
      <c r="O24510"/>
      <c r="P24510"/>
      <c r="Q24510"/>
      <c r="R24510"/>
      <c r="S24510"/>
    </row>
    <row r="24511" spans="13:19" ht="13.95" customHeight="1">
      <c r="M24511"/>
      <c r="N24511"/>
      <c r="O24511"/>
      <c r="P24511"/>
      <c r="Q24511"/>
      <c r="R24511"/>
      <c r="S24511"/>
    </row>
    <row r="24512" spans="13:19" ht="13.95" customHeight="1">
      <c r="M24512"/>
      <c r="N24512"/>
      <c r="O24512"/>
      <c r="P24512"/>
      <c r="Q24512"/>
      <c r="R24512"/>
      <c r="S24512"/>
    </row>
    <row r="24513" spans="13:19" ht="13.95" customHeight="1">
      <c r="M24513"/>
      <c r="N24513"/>
      <c r="O24513"/>
      <c r="P24513"/>
      <c r="Q24513"/>
      <c r="R24513"/>
      <c r="S24513"/>
    </row>
    <row r="24514" spans="13:19" ht="13.95" customHeight="1">
      <c r="M24514"/>
      <c r="N24514"/>
      <c r="O24514"/>
      <c r="P24514"/>
      <c r="Q24514"/>
      <c r="R24514"/>
      <c r="S24514"/>
    </row>
    <row r="24515" spans="13:19" ht="13.95" customHeight="1">
      <c r="M24515"/>
      <c r="N24515"/>
      <c r="O24515"/>
      <c r="P24515"/>
      <c r="Q24515"/>
      <c r="R24515"/>
      <c r="S24515"/>
    </row>
    <row r="24516" spans="13:19" ht="13.95" customHeight="1">
      <c r="M24516"/>
      <c r="N24516"/>
      <c r="O24516"/>
      <c r="P24516"/>
      <c r="Q24516"/>
      <c r="R24516"/>
      <c r="S24516"/>
    </row>
    <row r="24517" spans="13:19" ht="13.95" customHeight="1">
      <c r="M24517"/>
      <c r="N24517"/>
      <c r="O24517"/>
      <c r="P24517"/>
      <c r="Q24517"/>
      <c r="R24517"/>
      <c r="S24517"/>
    </row>
    <row r="24518" spans="13:19" ht="13.95" customHeight="1">
      <c r="M24518"/>
      <c r="N24518"/>
      <c r="O24518"/>
      <c r="P24518"/>
      <c r="Q24518"/>
      <c r="R24518"/>
      <c r="S24518"/>
    </row>
    <row r="24519" spans="13:19" ht="13.95" customHeight="1">
      <c r="M24519"/>
      <c r="N24519"/>
      <c r="O24519"/>
      <c r="P24519"/>
      <c r="Q24519"/>
      <c r="R24519"/>
      <c r="S24519"/>
    </row>
    <row r="24520" spans="13:19" ht="13.95" customHeight="1">
      <c r="M24520"/>
      <c r="N24520"/>
      <c r="O24520"/>
      <c r="P24520"/>
      <c r="Q24520"/>
      <c r="R24520"/>
      <c r="S24520"/>
    </row>
    <row r="24521" spans="13:19" ht="13.95" customHeight="1">
      <c r="M24521"/>
      <c r="N24521"/>
      <c r="O24521"/>
      <c r="P24521"/>
      <c r="Q24521"/>
      <c r="R24521"/>
      <c r="S24521"/>
    </row>
    <row r="24522" spans="13:19" ht="13.95" customHeight="1">
      <c r="M24522"/>
      <c r="N24522"/>
      <c r="O24522"/>
      <c r="P24522"/>
      <c r="Q24522"/>
      <c r="R24522"/>
      <c r="S24522"/>
    </row>
    <row r="24523" spans="13:19" ht="13.95" customHeight="1">
      <c r="M24523"/>
      <c r="N24523"/>
      <c r="O24523"/>
      <c r="P24523"/>
      <c r="Q24523"/>
      <c r="R24523"/>
      <c r="S24523"/>
    </row>
    <row r="24524" spans="13:19" ht="13.95" customHeight="1">
      <c r="M24524"/>
      <c r="N24524"/>
      <c r="O24524"/>
      <c r="P24524"/>
      <c r="Q24524"/>
      <c r="R24524"/>
      <c r="S24524"/>
    </row>
    <row r="24525" spans="13:19" ht="13.95" customHeight="1">
      <c r="M24525"/>
      <c r="N24525"/>
      <c r="O24525"/>
      <c r="P24525"/>
      <c r="Q24525"/>
      <c r="R24525"/>
      <c r="S24525"/>
    </row>
    <row r="24526" spans="13:19" ht="13.95" customHeight="1">
      <c r="M24526"/>
      <c r="N24526"/>
      <c r="O24526"/>
      <c r="P24526"/>
      <c r="Q24526"/>
      <c r="R24526"/>
      <c r="S24526"/>
    </row>
    <row r="24527" spans="13:19" ht="13.95" customHeight="1">
      <c r="M24527"/>
      <c r="N24527"/>
      <c r="O24527"/>
      <c r="P24527"/>
      <c r="Q24527"/>
      <c r="R24527"/>
      <c r="S24527"/>
    </row>
    <row r="24528" spans="13:19" ht="13.95" customHeight="1">
      <c r="M24528"/>
      <c r="N24528"/>
      <c r="O24528"/>
      <c r="P24528"/>
      <c r="Q24528"/>
      <c r="R24528"/>
      <c r="S24528"/>
    </row>
    <row r="24529" spans="13:19" ht="13.95" customHeight="1">
      <c r="M24529"/>
      <c r="N24529"/>
      <c r="O24529"/>
      <c r="P24529"/>
      <c r="Q24529"/>
      <c r="R24529"/>
      <c r="S24529"/>
    </row>
    <row r="24530" spans="13:19" ht="13.95" customHeight="1">
      <c r="M24530"/>
      <c r="N24530"/>
      <c r="O24530"/>
      <c r="P24530"/>
      <c r="Q24530"/>
      <c r="R24530"/>
      <c r="S24530"/>
    </row>
    <row r="24531" spans="13:19" ht="13.95" customHeight="1">
      <c r="M24531"/>
      <c r="N24531"/>
      <c r="O24531"/>
      <c r="P24531"/>
      <c r="Q24531"/>
      <c r="R24531"/>
      <c r="S24531"/>
    </row>
    <row r="24532" spans="13:19" ht="13.95" customHeight="1">
      <c r="M24532"/>
      <c r="N24532"/>
      <c r="O24532"/>
      <c r="P24532"/>
      <c r="Q24532"/>
      <c r="R24532"/>
      <c r="S24532"/>
    </row>
    <row r="24533" spans="13:19" ht="13.95" customHeight="1">
      <c r="M24533"/>
      <c r="N24533"/>
      <c r="O24533"/>
      <c r="P24533"/>
      <c r="Q24533"/>
      <c r="R24533"/>
      <c r="S24533"/>
    </row>
    <row r="24534" spans="13:19" ht="13.95" customHeight="1">
      <c r="M24534"/>
      <c r="N24534"/>
      <c r="O24534"/>
      <c r="P24534"/>
      <c r="Q24534"/>
      <c r="R24534"/>
      <c r="S24534"/>
    </row>
    <row r="24535" spans="13:19" ht="13.95" customHeight="1">
      <c r="M24535"/>
      <c r="N24535"/>
      <c r="O24535"/>
      <c r="P24535"/>
      <c r="Q24535"/>
      <c r="R24535"/>
      <c r="S24535"/>
    </row>
    <row r="24536" spans="13:19" ht="13.95" customHeight="1">
      <c r="M24536"/>
      <c r="N24536"/>
      <c r="O24536"/>
      <c r="P24536"/>
      <c r="Q24536"/>
      <c r="R24536"/>
      <c r="S24536"/>
    </row>
    <row r="24537" spans="13:19" ht="13.95" customHeight="1">
      <c r="M24537"/>
      <c r="N24537"/>
      <c r="O24537"/>
      <c r="P24537"/>
      <c r="Q24537"/>
      <c r="R24537"/>
      <c r="S24537"/>
    </row>
    <row r="24538" spans="13:19" ht="13.95" customHeight="1">
      <c r="M24538"/>
      <c r="N24538"/>
      <c r="O24538"/>
      <c r="P24538"/>
      <c r="Q24538"/>
      <c r="R24538"/>
      <c r="S24538"/>
    </row>
    <row r="24539" spans="13:19" ht="13.95" customHeight="1">
      <c r="M24539"/>
      <c r="N24539"/>
      <c r="O24539"/>
      <c r="P24539"/>
      <c r="Q24539"/>
      <c r="R24539"/>
      <c r="S24539"/>
    </row>
    <row r="24540" spans="13:19" ht="13.95" customHeight="1">
      <c r="M24540"/>
      <c r="N24540"/>
      <c r="O24540"/>
      <c r="P24540"/>
      <c r="Q24540"/>
      <c r="R24540"/>
      <c r="S24540"/>
    </row>
    <row r="24541" spans="13:19" ht="13.95" customHeight="1">
      <c r="M24541"/>
      <c r="N24541"/>
      <c r="O24541"/>
      <c r="P24541"/>
      <c r="Q24541"/>
      <c r="R24541"/>
      <c r="S24541"/>
    </row>
    <row r="24542" spans="13:19" ht="13.95" customHeight="1">
      <c r="M24542"/>
      <c r="N24542"/>
      <c r="O24542"/>
      <c r="P24542"/>
      <c r="Q24542"/>
      <c r="R24542"/>
      <c r="S24542"/>
    </row>
    <row r="24543" spans="13:19" ht="13.95" customHeight="1">
      <c r="M24543"/>
      <c r="N24543"/>
      <c r="O24543"/>
      <c r="P24543"/>
      <c r="Q24543"/>
      <c r="R24543"/>
      <c r="S24543"/>
    </row>
    <row r="24544" spans="13:19" ht="13.95" customHeight="1">
      <c r="M24544"/>
      <c r="N24544"/>
      <c r="O24544"/>
      <c r="P24544"/>
      <c r="Q24544"/>
      <c r="R24544"/>
      <c r="S24544"/>
    </row>
    <row r="24545" spans="13:19" ht="13.95" customHeight="1">
      <c r="M24545"/>
      <c r="N24545"/>
      <c r="O24545"/>
      <c r="P24545"/>
      <c r="Q24545"/>
      <c r="R24545"/>
      <c r="S24545"/>
    </row>
    <row r="24546" spans="13:19" ht="13.95" customHeight="1">
      <c r="M24546"/>
      <c r="N24546"/>
      <c r="O24546"/>
      <c r="P24546"/>
      <c r="Q24546"/>
      <c r="R24546"/>
      <c r="S24546"/>
    </row>
    <row r="24547" spans="13:19" ht="13.95" customHeight="1">
      <c r="M24547"/>
      <c r="N24547"/>
      <c r="O24547"/>
      <c r="P24547"/>
      <c r="Q24547"/>
      <c r="R24547"/>
      <c r="S24547"/>
    </row>
    <row r="24548" spans="13:19" ht="13.95" customHeight="1">
      <c r="M24548"/>
      <c r="N24548"/>
      <c r="O24548"/>
      <c r="P24548"/>
      <c r="Q24548"/>
      <c r="R24548"/>
      <c r="S24548"/>
    </row>
    <row r="24549" spans="13:19" ht="13.95" customHeight="1">
      <c r="M24549"/>
      <c r="N24549"/>
      <c r="O24549"/>
      <c r="P24549"/>
      <c r="Q24549"/>
      <c r="R24549"/>
      <c r="S24549"/>
    </row>
    <row r="24550" spans="13:19" ht="13.95" customHeight="1">
      <c r="M24550"/>
      <c r="N24550"/>
      <c r="O24550"/>
      <c r="P24550"/>
      <c r="Q24550"/>
      <c r="R24550"/>
      <c r="S24550"/>
    </row>
    <row r="24551" spans="13:19" ht="13.95" customHeight="1">
      <c r="M24551"/>
      <c r="N24551"/>
      <c r="O24551"/>
      <c r="P24551"/>
      <c r="Q24551"/>
      <c r="R24551"/>
      <c r="S24551"/>
    </row>
    <row r="24552" spans="13:19" ht="13.95" customHeight="1">
      <c r="M24552"/>
      <c r="N24552"/>
      <c r="O24552"/>
      <c r="P24552"/>
      <c r="Q24552"/>
      <c r="R24552"/>
      <c r="S24552"/>
    </row>
    <row r="24553" spans="13:19" ht="13.95" customHeight="1">
      <c r="M24553"/>
      <c r="N24553"/>
      <c r="O24553"/>
      <c r="P24553"/>
      <c r="Q24553"/>
      <c r="R24553"/>
      <c r="S24553"/>
    </row>
    <row r="24554" spans="13:19" ht="13.95" customHeight="1">
      <c r="M24554"/>
      <c r="N24554"/>
      <c r="O24554"/>
      <c r="P24554"/>
      <c r="Q24554"/>
      <c r="R24554"/>
      <c r="S24554"/>
    </row>
    <row r="24555" spans="13:19" ht="13.95" customHeight="1">
      <c r="M24555"/>
      <c r="N24555"/>
      <c r="O24555"/>
      <c r="P24555"/>
      <c r="Q24555"/>
      <c r="R24555"/>
      <c r="S24555"/>
    </row>
    <row r="24556" spans="13:19" ht="13.95" customHeight="1">
      <c r="M24556"/>
      <c r="N24556"/>
      <c r="O24556"/>
      <c r="P24556"/>
      <c r="Q24556"/>
      <c r="R24556"/>
      <c r="S24556"/>
    </row>
    <row r="24557" spans="13:19" ht="13.95" customHeight="1">
      <c r="M24557"/>
      <c r="N24557"/>
      <c r="O24557"/>
      <c r="P24557"/>
      <c r="Q24557"/>
      <c r="R24557"/>
      <c r="S24557"/>
    </row>
    <row r="24558" spans="13:19" ht="13.95" customHeight="1">
      <c r="M24558"/>
      <c r="N24558"/>
      <c r="O24558"/>
      <c r="P24558"/>
      <c r="Q24558"/>
      <c r="R24558"/>
      <c r="S24558"/>
    </row>
    <row r="24559" spans="13:19" ht="13.95" customHeight="1">
      <c r="M24559"/>
      <c r="N24559"/>
      <c r="O24559"/>
      <c r="P24559"/>
      <c r="Q24559"/>
      <c r="R24559"/>
      <c r="S24559"/>
    </row>
    <row r="24560" spans="13:19" ht="13.95" customHeight="1">
      <c r="M24560"/>
      <c r="N24560"/>
      <c r="O24560"/>
      <c r="P24560"/>
      <c r="Q24560"/>
      <c r="R24560"/>
      <c r="S24560"/>
    </row>
    <row r="24561" spans="13:19" ht="13.95" customHeight="1">
      <c r="M24561"/>
      <c r="N24561"/>
      <c r="O24561"/>
      <c r="P24561"/>
      <c r="Q24561"/>
      <c r="R24561"/>
      <c r="S24561"/>
    </row>
    <row r="24562" spans="13:19" ht="13.95" customHeight="1">
      <c r="M24562"/>
      <c r="N24562"/>
      <c r="O24562"/>
      <c r="P24562"/>
      <c r="Q24562"/>
      <c r="R24562"/>
      <c r="S24562"/>
    </row>
    <row r="24563" spans="13:19" ht="13.95" customHeight="1">
      <c r="M24563"/>
      <c r="N24563"/>
      <c r="O24563"/>
      <c r="P24563"/>
      <c r="Q24563"/>
      <c r="R24563"/>
      <c r="S24563"/>
    </row>
    <row r="24564" spans="13:19" ht="13.95" customHeight="1">
      <c r="M24564"/>
      <c r="N24564"/>
      <c r="O24564"/>
      <c r="P24564"/>
      <c r="Q24564"/>
      <c r="R24564"/>
      <c r="S24564"/>
    </row>
    <row r="24565" spans="13:19" ht="13.95" customHeight="1">
      <c r="M24565"/>
      <c r="N24565"/>
      <c r="O24565"/>
      <c r="P24565"/>
      <c r="Q24565"/>
      <c r="R24565"/>
      <c r="S24565"/>
    </row>
    <row r="24566" spans="13:19" ht="13.95" customHeight="1">
      <c r="M24566"/>
      <c r="N24566"/>
      <c r="O24566"/>
      <c r="P24566"/>
      <c r="Q24566"/>
      <c r="R24566"/>
      <c r="S24566"/>
    </row>
    <row r="24567" spans="13:19" ht="13.95" customHeight="1">
      <c r="M24567"/>
      <c r="N24567"/>
      <c r="O24567"/>
      <c r="P24567"/>
      <c r="Q24567"/>
      <c r="R24567"/>
      <c r="S24567"/>
    </row>
    <row r="24568" spans="13:19" ht="13.95" customHeight="1">
      <c r="M24568"/>
      <c r="N24568"/>
      <c r="O24568"/>
      <c r="P24568"/>
      <c r="Q24568"/>
      <c r="R24568"/>
      <c r="S24568"/>
    </row>
    <row r="24569" spans="13:19" ht="13.95" customHeight="1">
      <c r="M24569"/>
      <c r="N24569"/>
      <c r="O24569"/>
      <c r="P24569"/>
      <c r="Q24569"/>
      <c r="R24569"/>
      <c r="S24569"/>
    </row>
    <row r="24570" spans="13:19" ht="13.95" customHeight="1">
      <c r="M24570"/>
      <c r="N24570"/>
      <c r="O24570"/>
      <c r="P24570"/>
      <c r="Q24570"/>
      <c r="R24570"/>
      <c r="S24570"/>
    </row>
    <row r="24571" spans="13:19" ht="13.95" customHeight="1">
      <c r="M24571"/>
      <c r="N24571"/>
      <c r="O24571"/>
      <c r="P24571"/>
      <c r="Q24571"/>
      <c r="R24571"/>
      <c r="S24571"/>
    </row>
    <row r="24572" spans="13:19" ht="13.95" customHeight="1">
      <c r="M24572"/>
      <c r="N24572"/>
      <c r="O24572"/>
      <c r="P24572"/>
      <c r="Q24572"/>
      <c r="R24572"/>
      <c r="S24572"/>
    </row>
    <row r="24573" spans="13:19" ht="13.95" customHeight="1">
      <c r="M24573"/>
      <c r="N24573"/>
      <c r="O24573"/>
      <c r="P24573"/>
      <c r="Q24573"/>
      <c r="R24573"/>
      <c r="S24573"/>
    </row>
    <row r="24574" spans="13:19" ht="13.95" customHeight="1">
      <c r="M24574"/>
      <c r="N24574"/>
      <c r="O24574"/>
      <c r="P24574"/>
      <c r="Q24574"/>
      <c r="R24574"/>
      <c r="S24574"/>
    </row>
    <row r="24575" spans="13:19" ht="13.95" customHeight="1">
      <c r="M24575"/>
      <c r="N24575"/>
      <c r="O24575"/>
      <c r="P24575"/>
      <c r="Q24575"/>
      <c r="R24575"/>
      <c r="S24575"/>
    </row>
    <row r="24576" spans="13:19" ht="13.95" customHeight="1">
      <c r="M24576"/>
      <c r="N24576"/>
      <c r="O24576"/>
      <c r="P24576"/>
      <c r="Q24576"/>
      <c r="R24576"/>
      <c r="S24576"/>
    </row>
    <row r="24577" spans="13:19" ht="13.95" customHeight="1">
      <c r="M24577"/>
      <c r="N24577"/>
      <c r="O24577"/>
      <c r="P24577"/>
      <c r="Q24577"/>
      <c r="R24577"/>
      <c r="S24577"/>
    </row>
    <row r="24578" spans="13:19" ht="13.95" customHeight="1">
      <c r="M24578"/>
      <c r="N24578"/>
      <c r="O24578"/>
      <c r="P24578"/>
      <c r="Q24578"/>
      <c r="R24578"/>
      <c r="S24578"/>
    </row>
    <row r="24579" spans="13:19" ht="13.95" customHeight="1">
      <c r="M24579"/>
      <c r="N24579"/>
      <c r="O24579"/>
      <c r="P24579"/>
      <c r="Q24579"/>
      <c r="R24579"/>
      <c r="S24579"/>
    </row>
    <row r="24580" spans="13:19" ht="13.95" customHeight="1">
      <c r="M24580"/>
      <c r="N24580"/>
      <c r="O24580"/>
      <c r="P24580"/>
      <c r="Q24580"/>
      <c r="R24580"/>
      <c r="S24580"/>
    </row>
    <row r="24581" spans="13:19" ht="13.95" customHeight="1">
      <c r="M24581"/>
      <c r="N24581"/>
      <c r="O24581"/>
      <c r="P24581"/>
      <c r="Q24581"/>
      <c r="R24581"/>
      <c r="S24581"/>
    </row>
    <row r="24582" spans="13:19" ht="13.95" customHeight="1">
      <c r="M24582"/>
      <c r="N24582"/>
      <c r="O24582"/>
      <c r="P24582"/>
      <c r="Q24582"/>
      <c r="R24582"/>
      <c r="S24582"/>
    </row>
    <row r="24583" spans="13:19" ht="13.95" customHeight="1">
      <c r="M24583"/>
      <c r="N24583"/>
      <c r="O24583"/>
      <c r="P24583"/>
      <c r="Q24583"/>
      <c r="R24583"/>
      <c r="S24583"/>
    </row>
    <row r="24584" spans="13:19" ht="13.95" customHeight="1">
      <c r="M24584"/>
      <c r="N24584"/>
      <c r="O24584"/>
      <c r="P24584"/>
      <c r="Q24584"/>
      <c r="R24584"/>
      <c r="S24584"/>
    </row>
    <row r="24585" spans="13:19" ht="13.95" customHeight="1">
      <c r="M24585"/>
      <c r="N24585"/>
      <c r="O24585"/>
      <c r="P24585"/>
      <c r="Q24585"/>
      <c r="R24585"/>
      <c r="S24585"/>
    </row>
    <row r="24586" spans="13:19" ht="13.95" customHeight="1">
      <c r="M24586"/>
      <c r="N24586"/>
      <c r="O24586"/>
      <c r="P24586"/>
      <c r="Q24586"/>
      <c r="R24586"/>
      <c r="S24586"/>
    </row>
    <row r="24587" spans="13:19" ht="13.95" customHeight="1">
      <c r="M24587"/>
      <c r="N24587"/>
      <c r="O24587"/>
      <c r="P24587"/>
      <c r="Q24587"/>
      <c r="R24587"/>
      <c r="S24587"/>
    </row>
    <row r="24588" spans="13:19" ht="13.95" customHeight="1">
      <c r="M24588"/>
      <c r="N24588"/>
      <c r="O24588"/>
      <c r="P24588"/>
      <c r="Q24588"/>
      <c r="R24588"/>
      <c r="S24588"/>
    </row>
    <row r="24589" spans="13:19" ht="13.95" customHeight="1">
      <c r="M24589"/>
      <c r="N24589"/>
      <c r="O24589"/>
      <c r="P24589"/>
      <c r="Q24589"/>
      <c r="R24589"/>
      <c r="S24589"/>
    </row>
    <row r="24590" spans="13:19" ht="13.95" customHeight="1">
      <c r="M24590"/>
      <c r="N24590"/>
      <c r="O24590"/>
      <c r="P24590"/>
      <c r="Q24590"/>
      <c r="R24590"/>
      <c r="S24590"/>
    </row>
    <row r="24591" spans="13:19" ht="13.95" customHeight="1">
      <c r="M24591"/>
      <c r="N24591"/>
      <c r="O24591"/>
      <c r="P24591"/>
      <c r="Q24591"/>
      <c r="R24591"/>
      <c r="S24591"/>
    </row>
    <row r="24592" spans="13:19" ht="13.95" customHeight="1">
      <c r="M24592"/>
      <c r="N24592"/>
      <c r="O24592"/>
      <c r="P24592"/>
      <c r="Q24592"/>
      <c r="R24592"/>
      <c r="S24592"/>
    </row>
    <row r="24593" spans="13:19" ht="13.95" customHeight="1">
      <c r="M24593"/>
      <c r="N24593"/>
      <c r="O24593"/>
      <c r="P24593"/>
      <c r="Q24593"/>
      <c r="R24593"/>
      <c r="S24593"/>
    </row>
    <row r="24594" spans="13:19" ht="13.95" customHeight="1">
      <c r="M24594"/>
      <c r="N24594"/>
      <c r="O24594"/>
      <c r="P24594"/>
      <c r="Q24594"/>
      <c r="R24594"/>
      <c r="S24594"/>
    </row>
    <row r="24595" spans="13:19" ht="13.95" customHeight="1">
      <c r="M24595"/>
      <c r="N24595"/>
      <c r="O24595"/>
      <c r="P24595"/>
      <c r="Q24595"/>
      <c r="R24595"/>
      <c r="S24595"/>
    </row>
    <row r="24596" spans="13:19" ht="13.95" customHeight="1">
      <c r="M24596"/>
      <c r="N24596"/>
      <c r="O24596"/>
      <c r="P24596"/>
      <c r="Q24596"/>
      <c r="R24596"/>
      <c r="S24596"/>
    </row>
    <row r="24597" spans="13:19" ht="13.95" customHeight="1">
      <c r="M24597"/>
      <c r="N24597"/>
      <c r="O24597"/>
      <c r="P24597"/>
      <c r="Q24597"/>
      <c r="R24597"/>
      <c r="S24597"/>
    </row>
    <row r="24598" spans="13:19" ht="13.95" customHeight="1">
      <c r="M24598"/>
      <c r="N24598"/>
      <c r="O24598"/>
      <c r="P24598"/>
      <c r="Q24598"/>
      <c r="R24598"/>
      <c r="S24598"/>
    </row>
    <row r="24599" spans="13:19" ht="13.95" customHeight="1">
      <c r="M24599"/>
      <c r="N24599"/>
      <c r="O24599"/>
      <c r="P24599"/>
      <c r="Q24599"/>
      <c r="R24599"/>
      <c r="S24599"/>
    </row>
    <row r="24600" spans="13:19" ht="13.95" customHeight="1">
      <c r="M24600"/>
      <c r="N24600"/>
      <c r="O24600"/>
      <c r="P24600"/>
      <c r="Q24600"/>
      <c r="R24600"/>
      <c r="S24600"/>
    </row>
    <row r="24601" spans="13:19" ht="13.95" customHeight="1">
      <c r="M24601"/>
      <c r="N24601"/>
      <c r="O24601"/>
      <c r="P24601"/>
      <c r="Q24601"/>
      <c r="R24601"/>
      <c r="S24601"/>
    </row>
    <row r="24602" spans="13:19" ht="13.95" customHeight="1">
      <c r="M24602"/>
      <c r="N24602"/>
      <c r="O24602"/>
      <c r="P24602"/>
      <c r="Q24602"/>
      <c r="R24602"/>
      <c r="S24602"/>
    </row>
    <row r="24603" spans="13:19" ht="13.95" customHeight="1">
      <c r="M24603"/>
      <c r="N24603"/>
      <c r="O24603"/>
      <c r="P24603"/>
      <c r="Q24603"/>
      <c r="R24603"/>
      <c r="S24603"/>
    </row>
    <row r="24604" spans="13:19" ht="13.95" customHeight="1">
      <c r="M24604"/>
      <c r="N24604"/>
      <c r="O24604"/>
      <c r="P24604"/>
      <c r="Q24604"/>
      <c r="R24604"/>
      <c r="S24604"/>
    </row>
    <row r="24605" spans="13:19" ht="13.95" customHeight="1">
      <c r="M24605"/>
      <c r="N24605"/>
      <c r="O24605"/>
      <c r="P24605"/>
      <c r="Q24605"/>
      <c r="R24605"/>
      <c r="S24605"/>
    </row>
    <row r="24606" spans="13:19" ht="13.95" customHeight="1">
      <c r="M24606"/>
      <c r="N24606"/>
      <c r="O24606"/>
      <c r="P24606"/>
      <c r="Q24606"/>
      <c r="R24606"/>
      <c r="S24606"/>
    </row>
    <row r="24607" spans="13:19" ht="13.95" customHeight="1">
      <c r="M24607"/>
      <c r="N24607"/>
      <c r="O24607"/>
      <c r="P24607"/>
      <c r="Q24607"/>
      <c r="R24607"/>
      <c r="S24607"/>
    </row>
    <row r="24608" spans="13:19" ht="13.95" customHeight="1">
      <c r="M24608"/>
      <c r="N24608"/>
      <c r="O24608"/>
      <c r="P24608"/>
      <c r="Q24608"/>
      <c r="R24608"/>
      <c r="S24608"/>
    </row>
    <row r="24609" spans="13:19" ht="13.95" customHeight="1">
      <c r="M24609"/>
      <c r="N24609"/>
      <c r="O24609"/>
      <c r="P24609"/>
      <c r="Q24609"/>
      <c r="R24609"/>
      <c r="S24609"/>
    </row>
    <row r="24610" spans="13:19" ht="13.95" customHeight="1">
      <c r="M24610"/>
      <c r="N24610"/>
      <c r="O24610"/>
      <c r="P24610"/>
      <c r="Q24610"/>
      <c r="R24610"/>
      <c r="S24610"/>
    </row>
    <row r="24611" spans="13:19" ht="13.95" customHeight="1">
      <c r="M24611"/>
      <c r="N24611"/>
      <c r="O24611"/>
      <c r="P24611"/>
      <c r="Q24611"/>
      <c r="R24611"/>
      <c r="S24611"/>
    </row>
    <row r="24612" spans="13:19" ht="13.95" customHeight="1">
      <c r="M24612"/>
      <c r="N24612"/>
      <c r="O24612"/>
      <c r="P24612"/>
      <c r="Q24612"/>
      <c r="R24612"/>
      <c r="S24612"/>
    </row>
    <row r="24613" spans="13:19" ht="13.95" customHeight="1">
      <c r="M24613"/>
      <c r="N24613"/>
      <c r="O24613"/>
      <c r="P24613"/>
      <c r="Q24613"/>
      <c r="R24613"/>
      <c r="S24613"/>
    </row>
    <row r="24614" spans="13:19" ht="13.95" customHeight="1">
      <c r="M24614"/>
      <c r="N24614"/>
      <c r="O24614"/>
      <c r="P24614"/>
      <c r="Q24614"/>
      <c r="R24614"/>
      <c r="S24614"/>
    </row>
    <row r="24615" spans="13:19" ht="13.95" customHeight="1">
      <c r="M24615"/>
      <c r="N24615"/>
      <c r="O24615"/>
      <c r="P24615"/>
      <c r="Q24615"/>
      <c r="R24615"/>
      <c r="S24615"/>
    </row>
    <row r="24616" spans="13:19" ht="13.95" customHeight="1">
      <c r="M24616"/>
      <c r="N24616"/>
      <c r="O24616"/>
      <c r="P24616"/>
      <c r="Q24616"/>
      <c r="R24616"/>
      <c r="S24616"/>
    </row>
    <row r="24617" spans="13:19" ht="13.95" customHeight="1">
      <c r="M24617"/>
      <c r="N24617"/>
      <c r="O24617"/>
      <c r="P24617"/>
      <c r="Q24617"/>
      <c r="R24617"/>
      <c r="S24617"/>
    </row>
    <row r="24618" spans="13:19" ht="13.95" customHeight="1">
      <c r="M24618"/>
      <c r="N24618"/>
      <c r="O24618"/>
      <c r="P24618"/>
      <c r="Q24618"/>
      <c r="R24618"/>
      <c r="S24618"/>
    </row>
    <row r="24619" spans="13:19" ht="13.95" customHeight="1">
      <c r="M24619"/>
      <c r="N24619"/>
      <c r="O24619"/>
      <c r="P24619"/>
      <c r="Q24619"/>
      <c r="R24619"/>
      <c r="S24619"/>
    </row>
    <row r="24620" spans="13:19" ht="13.95" customHeight="1">
      <c r="M24620"/>
      <c r="N24620"/>
      <c r="O24620"/>
      <c r="P24620"/>
      <c r="Q24620"/>
      <c r="R24620"/>
      <c r="S24620"/>
    </row>
    <row r="24621" spans="13:19" ht="13.95" customHeight="1">
      <c r="M24621"/>
      <c r="N24621"/>
      <c r="O24621"/>
      <c r="P24621"/>
      <c r="Q24621"/>
      <c r="R24621"/>
      <c r="S24621"/>
    </row>
    <row r="24622" spans="13:19" ht="13.95" customHeight="1">
      <c r="M24622"/>
      <c r="N24622"/>
      <c r="O24622"/>
      <c r="P24622"/>
      <c r="Q24622"/>
      <c r="R24622"/>
      <c r="S24622"/>
    </row>
    <row r="24623" spans="13:19" ht="13.95" customHeight="1">
      <c r="M24623"/>
      <c r="N24623"/>
      <c r="O24623"/>
      <c r="P24623"/>
      <c r="Q24623"/>
      <c r="R24623"/>
      <c r="S24623"/>
    </row>
    <row r="24624" spans="13:19" ht="13.95" customHeight="1">
      <c r="M24624"/>
      <c r="N24624"/>
      <c r="O24624"/>
      <c r="P24624"/>
      <c r="Q24624"/>
      <c r="R24624"/>
      <c r="S24624"/>
    </row>
    <row r="24625" spans="13:19" ht="13.95" customHeight="1">
      <c r="M24625"/>
      <c r="N24625"/>
      <c r="O24625"/>
      <c r="P24625"/>
      <c r="Q24625"/>
      <c r="R24625"/>
      <c r="S24625"/>
    </row>
    <row r="24626" spans="13:19" ht="13.95" customHeight="1">
      <c r="M24626"/>
      <c r="N24626"/>
      <c r="O24626"/>
      <c r="P24626"/>
      <c r="Q24626"/>
      <c r="R24626"/>
      <c r="S24626"/>
    </row>
    <row r="24627" spans="13:19" ht="13.95" customHeight="1">
      <c r="M24627"/>
      <c r="N24627"/>
      <c r="O24627"/>
      <c r="P24627"/>
      <c r="Q24627"/>
      <c r="R24627"/>
      <c r="S24627"/>
    </row>
    <row r="24628" spans="13:19" ht="13.95" customHeight="1">
      <c r="M24628"/>
      <c r="N24628"/>
      <c r="O24628"/>
      <c r="P24628"/>
      <c r="Q24628"/>
      <c r="R24628"/>
      <c r="S24628"/>
    </row>
    <row r="24629" spans="13:19" ht="13.95" customHeight="1">
      <c r="M24629"/>
      <c r="N24629"/>
      <c r="O24629"/>
      <c r="P24629"/>
      <c r="Q24629"/>
      <c r="R24629"/>
      <c r="S24629"/>
    </row>
    <row r="24630" spans="13:19" ht="13.95" customHeight="1">
      <c r="M24630"/>
      <c r="N24630"/>
      <c r="O24630"/>
      <c r="P24630"/>
      <c r="Q24630"/>
      <c r="R24630"/>
      <c r="S24630"/>
    </row>
    <row r="24631" spans="13:19" ht="13.95" customHeight="1">
      <c r="M24631"/>
      <c r="N24631"/>
      <c r="O24631"/>
      <c r="P24631"/>
      <c r="Q24631"/>
      <c r="R24631"/>
      <c r="S24631"/>
    </row>
    <row r="24632" spans="13:19" ht="13.95" customHeight="1">
      <c r="M24632"/>
      <c r="N24632"/>
      <c r="O24632"/>
      <c r="P24632"/>
      <c r="Q24632"/>
      <c r="R24632"/>
      <c r="S24632"/>
    </row>
    <row r="24633" spans="13:19" ht="13.95" customHeight="1">
      <c r="M24633"/>
      <c r="N24633"/>
      <c r="O24633"/>
      <c r="P24633"/>
      <c r="Q24633"/>
      <c r="R24633"/>
      <c r="S24633"/>
    </row>
    <row r="24634" spans="13:19" ht="13.95" customHeight="1">
      <c r="M24634"/>
      <c r="N24634"/>
      <c r="O24634"/>
      <c r="P24634"/>
      <c r="Q24634"/>
      <c r="R24634"/>
      <c r="S24634"/>
    </row>
    <row r="24635" spans="13:19" ht="13.95" customHeight="1">
      <c r="M24635"/>
      <c r="N24635"/>
      <c r="O24635"/>
      <c r="P24635"/>
      <c r="Q24635"/>
      <c r="R24635"/>
      <c r="S24635"/>
    </row>
    <row r="24636" spans="13:19" ht="13.95" customHeight="1">
      <c r="M24636"/>
      <c r="N24636"/>
      <c r="O24636"/>
      <c r="P24636"/>
      <c r="Q24636"/>
      <c r="R24636"/>
      <c r="S24636"/>
    </row>
    <row r="24637" spans="13:19" ht="13.95" customHeight="1">
      <c r="M24637"/>
      <c r="N24637"/>
      <c r="O24637"/>
      <c r="P24637"/>
      <c r="Q24637"/>
      <c r="R24637"/>
      <c r="S24637"/>
    </row>
    <row r="24638" spans="13:19" ht="13.95" customHeight="1">
      <c r="M24638"/>
      <c r="N24638"/>
      <c r="O24638"/>
      <c r="P24638"/>
      <c r="Q24638"/>
      <c r="R24638"/>
      <c r="S24638"/>
    </row>
    <row r="24639" spans="13:19" ht="13.95" customHeight="1">
      <c r="M24639"/>
      <c r="N24639"/>
      <c r="O24639"/>
      <c r="P24639"/>
      <c r="Q24639"/>
      <c r="R24639"/>
      <c r="S24639"/>
    </row>
    <row r="24640" spans="13:19" ht="13.95" customHeight="1">
      <c r="M24640"/>
      <c r="N24640"/>
      <c r="O24640"/>
      <c r="P24640"/>
      <c r="Q24640"/>
      <c r="R24640"/>
      <c r="S24640"/>
    </row>
    <row r="24641" spans="13:19" ht="13.95" customHeight="1">
      <c r="M24641"/>
      <c r="N24641"/>
      <c r="O24641"/>
      <c r="P24641"/>
      <c r="Q24641"/>
      <c r="R24641"/>
      <c r="S24641"/>
    </row>
    <row r="24642" spans="13:19" ht="13.95" customHeight="1">
      <c r="M24642"/>
      <c r="N24642"/>
      <c r="O24642"/>
      <c r="P24642"/>
      <c r="Q24642"/>
      <c r="R24642"/>
      <c r="S24642"/>
    </row>
    <row r="24643" spans="13:19" ht="13.95" customHeight="1">
      <c r="M24643"/>
      <c r="N24643"/>
      <c r="O24643"/>
      <c r="P24643"/>
      <c r="Q24643"/>
      <c r="R24643"/>
      <c r="S24643"/>
    </row>
    <row r="24644" spans="13:19" ht="13.95" customHeight="1">
      <c r="M24644"/>
      <c r="N24644"/>
      <c r="O24644"/>
      <c r="P24644"/>
      <c r="Q24644"/>
      <c r="R24644"/>
      <c r="S24644"/>
    </row>
    <row r="24645" spans="13:19" ht="13.95" customHeight="1">
      <c r="M24645"/>
      <c r="N24645"/>
      <c r="O24645"/>
      <c r="P24645"/>
      <c r="Q24645"/>
      <c r="R24645"/>
      <c r="S24645"/>
    </row>
    <row r="24646" spans="13:19" ht="13.95" customHeight="1">
      <c r="M24646"/>
      <c r="N24646"/>
      <c r="O24646"/>
      <c r="P24646"/>
      <c r="Q24646"/>
      <c r="R24646"/>
      <c r="S24646"/>
    </row>
    <row r="24647" spans="13:19" ht="13.95" customHeight="1">
      <c r="M24647"/>
      <c r="N24647"/>
      <c r="O24647"/>
      <c r="P24647"/>
      <c r="Q24647"/>
      <c r="R24647"/>
      <c r="S24647"/>
    </row>
    <row r="24648" spans="13:19" ht="13.95" customHeight="1">
      <c r="M24648"/>
      <c r="N24648"/>
      <c r="O24648"/>
      <c r="P24648"/>
      <c r="Q24648"/>
      <c r="R24648"/>
      <c r="S24648"/>
    </row>
    <row r="24649" spans="13:19" ht="13.95" customHeight="1">
      <c r="M24649"/>
      <c r="N24649"/>
      <c r="O24649"/>
      <c r="P24649"/>
      <c r="Q24649"/>
      <c r="R24649"/>
      <c r="S24649"/>
    </row>
    <row r="24650" spans="13:19" ht="13.95" customHeight="1">
      <c r="M24650"/>
      <c r="N24650"/>
      <c r="O24650"/>
      <c r="P24650"/>
      <c r="Q24650"/>
      <c r="R24650"/>
      <c r="S24650"/>
    </row>
    <row r="24651" spans="13:19" ht="13.95" customHeight="1">
      <c r="M24651"/>
      <c r="N24651"/>
      <c r="O24651"/>
      <c r="P24651"/>
      <c r="Q24651"/>
      <c r="R24651"/>
      <c r="S24651"/>
    </row>
    <row r="24652" spans="13:19" ht="13.95" customHeight="1">
      <c r="M24652"/>
      <c r="N24652"/>
      <c r="O24652"/>
      <c r="P24652"/>
      <c r="Q24652"/>
      <c r="R24652"/>
      <c r="S24652"/>
    </row>
    <row r="24653" spans="13:19" ht="13.95" customHeight="1">
      <c r="M24653"/>
      <c r="N24653"/>
      <c r="O24653"/>
      <c r="P24653"/>
      <c r="Q24653"/>
      <c r="R24653"/>
      <c r="S24653"/>
    </row>
    <row r="24654" spans="13:19" ht="13.95" customHeight="1">
      <c r="M24654"/>
      <c r="N24654"/>
      <c r="O24654"/>
      <c r="P24654"/>
      <c r="Q24654"/>
      <c r="R24654"/>
      <c r="S24654"/>
    </row>
    <row r="24655" spans="13:19" ht="13.95" customHeight="1">
      <c r="M24655"/>
      <c r="N24655"/>
      <c r="O24655"/>
      <c r="P24655"/>
      <c r="Q24655"/>
      <c r="R24655"/>
      <c r="S24655"/>
    </row>
    <row r="24656" spans="13:19" ht="13.95" customHeight="1">
      <c r="M24656"/>
      <c r="N24656"/>
      <c r="O24656"/>
      <c r="P24656"/>
      <c r="Q24656"/>
      <c r="R24656"/>
      <c r="S24656"/>
    </row>
    <row r="24657" spans="13:19" ht="13.95" customHeight="1">
      <c r="M24657"/>
      <c r="N24657"/>
      <c r="O24657"/>
      <c r="P24657"/>
      <c r="Q24657"/>
      <c r="R24657"/>
      <c r="S24657"/>
    </row>
    <row r="24658" spans="13:19" ht="13.95" customHeight="1">
      <c r="M24658"/>
      <c r="N24658"/>
      <c r="O24658"/>
      <c r="P24658"/>
      <c r="Q24658"/>
      <c r="R24658"/>
      <c r="S24658"/>
    </row>
    <row r="24659" spans="13:19" ht="13.95" customHeight="1">
      <c r="M24659"/>
      <c r="N24659"/>
      <c r="O24659"/>
      <c r="P24659"/>
      <c r="Q24659"/>
      <c r="R24659"/>
      <c r="S24659"/>
    </row>
    <row r="24660" spans="13:19" ht="13.95" customHeight="1">
      <c r="M24660"/>
      <c r="N24660"/>
      <c r="O24660"/>
      <c r="P24660"/>
      <c r="Q24660"/>
      <c r="R24660"/>
      <c r="S24660"/>
    </row>
    <row r="24661" spans="13:19" ht="13.95" customHeight="1">
      <c r="M24661"/>
      <c r="N24661"/>
      <c r="O24661"/>
      <c r="P24661"/>
      <c r="Q24661"/>
      <c r="R24661"/>
      <c r="S24661"/>
    </row>
    <row r="24662" spans="13:19" ht="13.95" customHeight="1">
      <c r="M24662"/>
      <c r="N24662"/>
      <c r="O24662"/>
      <c r="P24662"/>
      <c r="Q24662"/>
      <c r="R24662"/>
      <c r="S24662"/>
    </row>
    <row r="24663" spans="13:19" ht="13.95" customHeight="1">
      <c r="M24663"/>
      <c r="N24663"/>
      <c r="O24663"/>
      <c r="P24663"/>
      <c r="Q24663"/>
      <c r="R24663"/>
      <c r="S24663"/>
    </row>
    <row r="24664" spans="13:19" ht="13.95" customHeight="1">
      <c r="M24664"/>
      <c r="N24664"/>
      <c r="O24664"/>
      <c r="P24664"/>
      <c r="Q24664"/>
      <c r="R24664"/>
      <c r="S24664"/>
    </row>
    <row r="24665" spans="13:19" ht="13.95" customHeight="1">
      <c r="M24665"/>
      <c r="N24665"/>
      <c r="O24665"/>
      <c r="P24665"/>
      <c r="Q24665"/>
      <c r="R24665"/>
      <c r="S24665"/>
    </row>
    <row r="24666" spans="13:19" ht="13.95" customHeight="1">
      <c r="M24666"/>
      <c r="N24666"/>
      <c r="O24666"/>
      <c r="P24666"/>
      <c r="Q24666"/>
      <c r="R24666"/>
      <c r="S24666"/>
    </row>
    <row r="24667" spans="13:19" ht="13.95" customHeight="1">
      <c r="M24667"/>
      <c r="N24667"/>
      <c r="O24667"/>
      <c r="P24667"/>
      <c r="Q24667"/>
      <c r="R24667"/>
      <c r="S24667"/>
    </row>
    <row r="24668" spans="13:19" ht="13.95" customHeight="1">
      <c r="M24668"/>
      <c r="N24668"/>
      <c r="O24668"/>
      <c r="P24668"/>
      <c r="Q24668"/>
      <c r="R24668"/>
      <c r="S24668"/>
    </row>
    <row r="24669" spans="13:19" ht="13.95" customHeight="1">
      <c r="M24669"/>
      <c r="N24669"/>
      <c r="O24669"/>
      <c r="P24669"/>
      <c r="Q24669"/>
      <c r="R24669"/>
      <c r="S24669"/>
    </row>
    <row r="24670" spans="13:19" ht="13.95" customHeight="1">
      <c r="M24670"/>
      <c r="N24670"/>
      <c r="O24670"/>
      <c r="P24670"/>
      <c r="Q24670"/>
      <c r="R24670"/>
      <c r="S24670"/>
    </row>
    <row r="24671" spans="13:19" ht="13.95" customHeight="1">
      <c r="M24671"/>
      <c r="N24671"/>
      <c r="O24671"/>
      <c r="P24671"/>
      <c r="Q24671"/>
      <c r="R24671"/>
      <c r="S24671"/>
    </row>
    <row r="24672" spans="13:19" ht="13.95" customHeight="1">
      <c r="M24672"/>
      <c r="N24672"/>
      <c r="O24672"/>
      <c r="P24672"/>
      <c r="Q24672"/>
      <c r="R24672"/>
      <c r="S24672"/>
    </row>
    <row r="24673" spans="13:19" ht="13.95" customHeight="1">
      <c r="M24673"/>
      <c r="N24673"/>
      <c r="O24673"/>
      <c r="P24673"/>
      <c r="Q24673"/>
      <c r="R24673"/>
      <c r="S24673"/>
    </row>
    <row r="24674" spans="13:19" ht="13.95" customHeight="1">
      <c r="M24674"/>
      <c r="N24674"/>
      <c r="O24674"/>
      <c r="P24674"/>
      <c r="Q24674"/>
      <c r="R24674"/>
      <c r="S24674"/>
    </row>
    <row r="24675" spans="13:19" ht="13.95" customHeight="1">
      <c r="M24675"/>
      <c r="N24675"/>
      <c r="O24675"/>
      <c r="P24675"/>
      <c r="Q24675"/>
      <c r="R24675"/>
      <c r="S24675"/>
    </row>
    <row r="24676" spans="13:19" ht="13.95" customHeight="1">
      <c r="M24676"/>
      <c r="N24676"/>
      <c r="O24676"/>
      <c r="P24676"/>
      <c r="Q24676"/>
      <c r="R24676"/>
      <c r="S24676"/>
    </row>
    <row r="24677" spans="13:19" ht="13.95" customHeight="1">
      <c r="M24677"/>
      <c r="N24677"/>
      <c r="O24677"/>
      <c r="P24677"/>
      <c r="Q24677"/>
      <c r="R24677"/>
      <c r="S24677"/>
    </row>
    <row r="24678" spans="13:19" ht="13.95" customHeight="1">
      <c r="M24678"/>
      <c r="N24678"/>
      <c r="O24678"/>
      <c r="P24678"/>
      <c r="Q24678"/>
      <c r="R24678"/>
      <c r="S24678"/>
    </row>
    <row r="24679" spans="13:19" ht="13.95" customHeight="1">
      <c r="M24679"/>
      <c r="N24679"/>
      <c r="O24679"/>
      <c r="P24679"/>
      <c r="Q24679"/>
      <c r="R24679"/>
      <c r="S24679"/>
    </row>
    <row r="24680" spans="13:19" ht="13.95" customHeight="1">
      <c r="M24680"/>
      <c r="N24680"/>
      <c r="O24680"/>
      <c r="P24680"/>
      <c r="Q24680"/>
      <c r="R24680"/>
      <c r="S24680"/>
    </row>
    <row r="24681" spans="13:19" ht="13.95" customHeight="1">
      <c r="M24681"/>
      <c r="N24681"/>
      <c r="O24681"/>
      <c r="P24681"/>
      <c r="Q24681"/>
      <c r="R24681"/>
      <c r="S24681"/>
    </row>
  </sheetData>
  <mergeCells count="21">
    <mergeCell ref="E27:J28"/>
    <mergeCell ref="N10:N13"/>
    <mergeCell ref="O10:O13"/>
    <mergeCell ref="Q10:Q13"/>
    <mergeCell ref="G4:I6"/>
    <mergeCell ref="K3:O3"/>
    <mergeCell ref="B79:H80"/>
    <mergeCell ref="K10:K13"/>
    <mergeCell ref="M10:M13"/>
    <mergeCell ref="T10:T13"/>
    <mergeCell ref="L10:L13"/>
    <mergeCell ref="B10:H11"/>
    <mergeCell ref="I10:I13"/>
    <mergeCell ref="J10:J13"/>
    <mergeCell ref="P10:P13"/>
    <mergeCell ref="S38:S39"/>
    <mergeCell ref="S10:S13"/>
    <mergeCell ref="R10:R13"/>
    <mergeCell ref="B51:S52"/>
    <mergeCell ref="B38:Q39"/>
    <mergeCell ref="B4:F6"/>
  </mergeCells>
  <phoneticPr fontId="3" type="noConversion"/>
  <printOptions gridLines="1"/>
  <pageMargins left="0.4" right="0.4" top="0.4" bottom="0.4" header="0.5" footer="0.5"/>
  <pageSetup scale="90" orientation="landscape" r:id="rId1"/>
  <headerFooter alignWithMargins="0"/>
</worksheet>
</file>

<file path=xl/worksheets/sheet13.xml><?xml version="1.0" encoding="utf-8"?>
<worksheet xmlns="http://schemas.openxmlformats.org/spreadsheetml/2006/main" xmlns:r="http://schemas.openxmlformats.org/officeDocument/2006/relationships">
  <dimension ref="B1:BK117"/>
  <sheetViews>
    <sheetView workbookViewId="0"/>
  </sheetViews>
  <sheetFormatPr defaultColWidth="9.25" defaultRowHeight="13.95" customHeight="1"/>
  <cols>
    <col min="1" max="1" width="2.625" customWidth="1"/>
    <col min="3" max="3" width="14.875" customWidth="1"/>
    <col min="9" max="9" width="9.25" customWidth="1"/>
    <col min="45" max="45" width="1.625" customWidth="1"/>
  </cols>
  <sheetData>
    <row r="1" spans="2:63" ht="13.95" customHeight="1">
      <c r="B1" s="57" t="s">
        <v>1130</v>
      </c>
      <c r="M1" s="67"/>
      <c r="N1" s="67"/>
      <c r="O1" s="215">
        <f>Summary!I1</f>
        <v>42552</v>
      </c>
      <c r="AS1" s="7">
        <f>ROW()</f>
        <v>1</v>
      </c>
    </row>
    <row r="2" spans="2:63" ht="13.95" customHeight="1">
      <c r="AS2" s="7">
        <f>ROW()</f>
        <v>2</v>
      </c>
    </row>
    <row r="3" spans="2:63" ht="13.95" customHeight="1">
      <c r="B3" s="1143" t="s">
        <v>1230</v>
      </c>
      <c r="C3" s="1155"/>
      <c r="D3" s="1155"/>
      <c r="E3" s="1155"/>
      <c r="F3" s="1155"/>
      <c r="G3" s="1155"/>
      <c r="K3" s="1257" t="str">
        <f>CONCATENATE("Tax Inputs (copied from 'Summary' Tab, Rows ",Summary!AR53,"-",Summary!AR73,")")</f>
        <v>Tax Inputs (copied from 'Summary' Tab, Rows 53-73)</v>
      </c>
      <c r="L3" s="1258"/>
      <c r="M3" s="1258"/>
      <c r="N3" s="1258"/>
      <c r="O3" s="1259"/>
      <c r="AS3" s="7">
        <f>ROW()</f>
        <v>3</v>
      </c>
    </row>
    <row r="4" spans="2:63" ht="13.95" customHeight="1">
      <c r="B4" s="1155"/>
      <c r="C4" s="1155"/>
      <c r="D4" s="1155"/>
      <c r="E4" s="1155"/>
      <c r="F4" s="1155"/>
      <c r="G4" s="1155"/>
      <c r="K4" s="848" t="s">
        <v>360</v>
      </c>
      <c r="L4" s="849"/>
      <c r="M4" s="849"/>
      <c r="N4" s="849"/>
      <c r="O4" s="850">
        <f>Summary!I56</f>
        <v>11.337868480725623</v>
      </c>
      <c r="AS4" s="7">
        <f>ROW()</f>
        <v>4</v>
      </c>
    </row>
    <row r="5" spans="2:63" ht="13.95" customHeight="1">
      <c r="B5" s="92"/>
      <c r="C5" s="92"/>
      <c r="D5" s="92"/>
      <c r="E5" s="92"/>
      <c r="F5" s="92"/>
      <c r="K5" s="848" t="s">
        <v>361</v>
      </c>
      <c r="L5" s="849"/>
      <c r="M5" s="849"/>
      <c r="N5" s="849"/>
      <c r="O5" s="851" t="str">
        <f>IF(Summary!I58=1,"By Constant Amount","By Constant Percent")</f>
        <v>By Constant Amount</v>
      </c>
      <c r="AS5" s="7"/>
    </row>
    <row r="6" spans="2:63" ht="13.95" customHeight="1">
      <c r="B6" s="1143" t="s">
        <v>1223</v>
      </c>
      <c r="C6" s="1155"/>
      <c r="D6" s="1155"/>
      <c r="E6" s="1155"/>
      <c r="F6" s="1155"/>
      <c r="G6" s="1155"/>
      <c r="K6" s="848" t="s">
        <v>362</v>
      </c>
      <c r="L6" s="849"/>
      <c r="M6" s="849"/>
      <c r="N6" s="849"/>
      <c r="O6" s="850" t="str">
        <f>IF(Summary!$I$58=1,CONCATENATE("$",ROUND(Summary!$I$60,2),""),CONCATENATE("",Summary!$I$64*100,"%"))</f>
        <v>$11.34</v>
      </c>
      <c r="AS6" s="7">
        <f>ROW()</f>
        <v>6</v>
      </c>
    </row>
    <row r="7" spans="2:63" ht="13.95" customHeight="1">
      <c r="B7" s="1155"/>
      <c r="C7" s="1155"/>
      <c r="D7" s="1155"/>
      <c r="E7" s="1155"/>
      <c r="F7" s="1155"/>
      <c r="G7" s="1155"/>
      <c r="K7" s="848" t="s">
        <v>363</v>
      </c>
      <c r="L7" s="849"/>
      <c r="M7" s="849"/>
      <c r="N7" s="849"/>
      <c r="O7" s="851" t="str">
        <f>Summary!I69</f>
        <v>real</v>
      </c>
      <c r="AS7" s="7">
        <f>ROW()</f>
        <v>7</v>
      </c>
    </row>
    <row r="8" spans="2:63" ht="13.95" customHeight="1">
      <c r="B8" s="1155"/>
      <c r="C8" s="1155"/>
      <c r="D8" s="1155"/>
      <c r="E8" s="1155"/>
      <c r="F8" s="1155"/>
      <c r="G8" s="1155"/>
      <c r="K8" s="852" t="s">
        <v>884</v>
      </c>
      <c r="L8" s="853"/>
      <c r="M8" s="853"/>
      <c r="N8" s="853"/>
      <c r="O8" s="854">
        <f>Summary!I73</f>
        <v>12.5</v>
      </c>
      <c r="AS8" s="7">
        <f>ROW()</f>
        <v>8</v>
      </c>
    </row>
    <row r="9" spans="2:63" ht="13.95" customHeight="1">
      <c r="B9" s="1155"/>
      <c r="C9" s="1155"/>
      <c r="D9" s="1155"/>
      <c r="E9" s="1155"/>
      <c r="F9" s="1155"/>
      <c r="G9" s="1155"/>
      <c r="AS9" s="7">
        <f>ROW()</f>
        <v>9</v>
      </c>
    </row>
    <row r="10" spans="2:63" ht="13.95" customHeight="1">
      <c r="B10" s="1245"/>
      <c r="C10" s="1245"/>
      <c r="D10" s="1245"/>
      <c r="E10" s="1245"/>
      <c r="F10" s="1245"/>
      <c r="G10" s="1245"/>
      <c r="I10" s="1125" t="s">
        <v>157</v>
      </c>
      <c r="J10" s="1125" t="s">
        <v>157</v>
      </c>
      <c r="K10" s="1125" t="s">
        <v>157</v>
      </c>
      <c r="L10" s="1125" t="s">
        <v>157</v>
      </c>
      <c r="M10" s="1125" t="s">
        <v>157</v>
      </c>
      <c r="N10" s="1125" t="s">
        <v>157</v>
      </c>
      <c r="O10" s="1125" t="s">
        <v>157</v>
      </c>
      <c r="P10" s="1125" t="s">
        <v>157</v>
      </c>
      <c r="Q10" s="1125" t="s">
        <v>157</v>
      </c>
      <c r="R10" s="1107" t="s">
        <v>157</v>
      </c>
      <c r="S10" s="1109" t="s">
        <v>366</v>
      </c>
      <c r="T10" s="1112" t="s">
        <v>80</v>
      </c>
      <c r="V10" s="12"/>
      <c r="W10" s="12"/>
      <c r="X10" s="12"/>
      <c r="Y10" s="12"/>
      <c r="Z10" s="12"/>
      <c r="AA10" s="12"/>
      <c r="AB10" s="12"/>
      <c r="AC10" s="12"/>
      <c r="AD10" s="12"/>
      <c r="AE10" s="12"/>
      <c r="AF10" s="12"/>
      <c r="AG10" s="12"/>
      <c r="AH10" s="12"/>
      <c r="AI10" s="12"/>
      <c r="AJ10" s="12"/>
      <c r="AK10" s="12"/>
      <c r="AL10" s="12"/>
      <c r="AM10" s="12"/>
      <c r="AN10" s="12"/>
      <c r="AO10" s="12"/>
      <c r="AP10" s="12"/>
      <c r="AQ10" s="12"/>
      <c r="AS10" s="7">
        <f>ROW()</f>
        <v>10</v>
      </c>
    </row>
    <row r="11" spans="2:63" ht="13.95" customHeight="1">
      <c r="B11" s="1143" t="s">
        <v>1220</v>
      </c>
      <c r="C11" s="1155"/>
      <c r="D11" s="1155"/>
      <c r="E11" s="1155"/>
      <c r="F11" s="1155"/>
      <c r="G11" s="1155"/>
      <c r="I11" s="1126"/>
      <c r="J11" s="1126"/>
      <c r="K11" s="1126"/>
      <c r="L11" s="1126"/>
      <c r="M11" s="1126"/>
      <c r="N11" s="1126"/>
      <c r="O11" s="1126"/>
      <c r="P11" s="1126"/>
      <c r="Q11" s="1126"/>
      <c r="R11" s="1108"/>
      <c r="S11" s="1110"/>
      <c r="T11" s="1113"/>
      <c r="V11" s="12"/>
      <c r="W11" s="12"/>
      <c r="X11" s="12"/>
      <c r="Y11" s="12"/>
      <c r="Z11" s="12"/>
      <c r="AA11" s="12"/>
      <c r="AB11" s="12"/>
      <c r="AC11" s="12"/>
      <c r="AD11" s="12"/>
      <c r="AE11" s="12"/>
      <c r="AF11" s="12"/>
      <c r="AG11" s="12"/>
      <c r="AH11" s="12"/>
      <c r="AI11" s="12"/>
      <c r="AJ11" s="12"/>
      <c r="AK11" s="12"/>
      <c r="AL11" s="12"/>
      <c r="AM11" s="12"/>
      <c r="AN11" s="12"/>
      <c r="AO11" s="12"/>
      <c r="AP11" s="12"/>
      <c r="AQ11" s="12"/>
      <c r="AS11" s="7">
        <f>ROW()</f>
        <v>11</v>
      </c>
    </row>
    <row r="12" spans="2:63" ht="13.95" customHeight="1">
      <c r="B12" s="1155"/>
      <c r="C12" s="1155"/>
      <c r="D12" s="1155"/>
      <c r="E12" s="1155"/>
      <c r="F12" s="1155"/>
      <c r="G12" s="1155"/>
      <c r="I12" s="1126"/>
      <c r="J12" s="1126"/>
      <c r="K12" s="1126"/>
      <c r="L12" s="1126"/>
      <c r="M12" s="1126"/>
      <c r="N12" s="1126"/>
      <c r="O12" s="1126"/>
      <c r="P12" s="1126"/>
      <c r="Q12" s="1126"/>
      <c r="R12" s="1108"/>
      <c r="S12" s="1110"/>
      <c r="T12" s="1113"/>
      <c r="V12" s="12"/>
      <c r="W12" s="12"/>
      <c r="X12" s="12"/>
      <c r="Y12" s="12"/>
      <c r="Z12" s="12"/>
      <c r="AA12" s="12"/>
      <c r="AB12" s="12"/>
      <c r="AC12" s="12"/>
      <c r="AD12" s="12"/>
      <c r="AE12" s="12"/>
      <c r="AF12" s="12"/>
      <c r="AG12" s="12"/>
      <c r="AH12" s="12"/>
      <c r="AI12" s="12"/>
      <c r="AJ12" s="12"/>
      <c r="AK12" s="12"/>
      <c r="AL12" s="12"/>
      <c r="AM12" s="12"/>
      <c r="AN12" s="12"/>
      <c r="AO12" s="12"/>
      <c r="AP12" s="12"/>
      <c r="AQ12" s="12"/>
      <c r="AS12" s="7">
        <f>ROW()</f>
        <v>12</v>
      </c>
    </row>
    <row r="13" spans="2:63" ht="13.95" customHeight="1">
      <c r="B13" s="1155"/>
      <c r="C13" s="1155"/>
      <c r="D13" s="1155"/>
      <c r="E13" s="1155"/>
      <c r="F13" s="1155"/>
      <c r="G13" s="1155"/>
      <c r="I13" s="1126"/>
      <c r="J13" s="1126"/>
      <c r="K13" s="1126"/>
      <c r="L13" s="1126"/>
      <c r="M13" s="1126"/>
      <c r="N13" s="1126"/>
      <c r="O13" s="1126"/>
      <c r="P13" s="1126"/>
      <c r="Q13" s="1126"/>
      <c r="R13" s="1108"/>
      <c r="S13" s="1111"/>
      <c r="T13" s="1114"/>
      <c r="V13" s="12"/>
      <c r="W13" s="12"/>
      <c r="X13" s="12"/>
      <c r="Y13" s="12"/>
      <c r="Z13" s="12"/>
      <c r="AA13" s="12"/>
      <c r="AB13" s="12"/>
      <c r="AC13" s="12"/>
      <c r="AD13" s="12"/>
      <c r="AE13" s="12"/>
      <c r="AF13" s="12"/>
      <c r="AG13" s="12"/>
      <c r="AH13" s="12"/>
      <c r="AI13" s="12"/>
      <c r="AJ13" s="12"/>
      <c r="AK13" s="12"/>
      <c r="AL13" s="12"/>
      <c r="AM13" s="12"/>
      <c r="AN13" s="12"/>
      <c r="AO13" s="12"/>
      <c r="AP13" s="12"/>
      <c r="AQ13" s="12"/>
      <c r="AS13" s="7">
        <f>ROW()</f>
        <v>13</v>
      </c>
    </row>
    <row r="14" spans="2:63" ht="13.95" customHeight="1">
      <c r="B14" s="1155"/>
      <c r="C14" s="1155"/>
      <c r="D14" s="1155"/>
      <c r="E14" s="1155"/>
      <c r="F14" s="1155"/>
      <c r="G14" s="1155"/>
      <c r="I14" s="122">
        <f>Summary!I110</f>
        <v>2005</v>
      </c>
      <c r="J14" s="122">
        <f>Summary!J110</f>
        <v>2006</v>
      </c>
      <c r="K14" s="122">
        <f>Summary!K110</f>
        <v>2007</v>
      </c>
      <c r="L14" s="122">
        <f>Summary!L110</f>
        <v>2008</v>
      </c>
      <c r="M14" s="122">
        <f>Summary!M110</f>
        <v>2009</v>
      </c>
      <c r="N14" s="122">
        <f>Summary!N110</f>
        <v>2010</v>
      </c>
      <c r="O14" s="122">
        <f>Summary!O110</f>
        <v>2011</v>
      </c>
      <c r="P14" s="122">
        <f>Summary!P110</f>
        <v>2012</v>
      </c>
      <c r="Q14" s="122">
        <f>Summary!Q110</f>
        <v>2013</v>
      </c>
      <c r="R14" s="212">
        <f>Summary!R110</f>
        <v>2014</v>
      </c>
      <c r="S14" s="212">
        <f>Summary!S110</f>
        <v>2015</v>
      </c>
      <c r="T14" s="101">
        <f>Summary!T110</f>
        <v>2017</v>
      </c>
      <c r="U14" s="12">
        <f t="shared" ref="U14:AQ14" si="0">T14+1</f>
        <v>2018</v>
      </c>
      <c r="V14" s="12">
        <f t="shared" si="0"/>
        <v>2019</v>
      </c>
      <c r="W14" s="12">
        <f t="shared" si="0"/>
        <v>2020</v>
      </c>
      <c r="X14" s="12">
        <f t="shared" si="0"/>
        <v>2021</v>
      </c>
      <c r="Y14" s="12">
        <f t="shared" si="0"/>
        <v>2022</v>
      </c>
      <c r="Z14" s="12">
        <f t="shared" si="0"/>
        <v>2023</v>
      </c>
      <c r="AA14" s="12">
        <f t="shared" si="0"/>
        <v>2024</v>
      </c>
      <c r="AB14" s="12">
        <f t="shared" si="0"/>
        <v>2025</v>
      </c>
      <c r="AC14" s="12">
        <f t="shared" si="0"/>
        <v>2026</v>
      </c>
      <c r="AD14" s="12">
        <f t="shared" si="0"/>
        <v>2027</v>
      </c>
      <c r="AE14" s="12">
        <f t="shared" si="0"/>
        <v>2028</v>
      </c>
      <c r="AF14" s="12">
        <f t="shared" si="0"/>
        <v>2029</v>
      </c>
      <c r="AG14" s="12">
        <f t="shared" si="0"/>
        <v>2030</v>
      </c>
      <c r="AH14" s="12">
        <f t="shared" si="0"/>
        <v>2031</v>
      </c>
      <c r="AI14" s="12">
        <f t="shared" si="0"/>
        <v>2032</v>
      </c>
      <c r="AJ14" s="12">
        <f t="shared" si="0"/>
        <v>2033</v>
      </c>
      <c r="AK14" s="12">
        <f t="shared" si="0"/>
        <v>2034</v>
      </c>
      <c r="AL14" s="12">
        <f t="shared" si="0"/>
        <v>2035</v>
      </c>
      <c r="AM14" s="12">
        <f t="shared" si="0"/>
        <v>2036</v>
      </c>
      <c r="AN14" s="12">
        <f t="shared" si="0"/>
        <v>2037</v>
      </c>
      <c r="AO14" s="12">
        <f t="shared" si="0"/>
        <v>2038</v>
      </c>
      <c r="AP14" s="12">
        <f t="shared" si="0"/>
        <v>2039</v>
      </c>
      <c r="AQ14" s="12">
        <f t="shared" si="0"/>
        <v>2040</v>
      </c>
      <c r="AR14" s="13"/>
      <c r="AS14" s="7">
        <f>ROW()</f>
        <v>14</v>
      </c>
      <c r="AT14" s="13"/>
      <c r="AU14" s="13"/>
      <c r="AV14" s="13"/>
      <c r="AW14" s="13"/>
      <c r="AX14" s="13"/>
      <c r="AY14" s="13"/>
      <c r="AZ14" s="13"/>
      <c r="BA14" s="13"/>
      <c r="BB14" s="13"/>
      <c r="BC14" s="13"/>
      <c r="BD14" s="13"/>
      <c r="BE14" s="13"/>
      <c r="BF14" s="13"/>
      <c r="BG14" s="13"/>
      <c r="BH14" s="13"/>
      <c r="BI14" s="13"/>
      <c r="BJ14" s="13"/>
      <c r="BK14" s="13"/>
    </row>
    <row r="15" spans="2:63" ht="13.95" customHeight="1">
      <c r="B15" s="1245"/>
      <c r="C15" s="1245"/>
      <c r="D15" s="1245"/>
      <c r="E15" s="1245"/>
      <c r="F15" s="1245"/>
      <c r="G15" s="1245"/>
      <c r="I15" s="118"/>
      <c r="J15" s="118"/>
      <c r="K15" s="118"/>
      <c r="L15" s="118"/>
      <c r="M15" s="118"/>
      <c r="N15" s="118"/>
      <c r="O15" s="118"/>
      <c r="P15" s="118"/>
      <c r="Q15" s="118"/>
      <c r="R15" s="118"/>
      <c r="S15" s="118"/>
      <c r="T15" s="118"/>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3"/>
      <c r="AS15" s="7">
        <f>ROW()</f>
        <v>15</v>
      </c>
      <c r="AT15" s="13"/>
      <c r="AU15" s="13"/>
      <c r="AV15" s="13"/>
      <c r="AW15" s="13"/>
      <c r="AX15" s="13"/>
      <c r="AY15" s="13"/>
      <c r="AZ15" s="13"/>
      <c r="BA15" s="13"/>
      <c r="BB15" s="13"/>
      <c r="BC15" s="13"/>
      <c r="BD15" s="13"/>
      <c r="BE15" s="13"/>
      <c r="BF15" s="13"/>
      <c r="BG15" s="13"/>
      <c r="BH15" s="13"/>
      <c r="BI15" s="13"/>
      <c r="BJ15" s="13"/>
      <c r="BK15" s="13"/>
    </row>
    <row r="16" spans="2:63" s="802" customFormat="1" ht="13.8" customHeight="1">
      <c r="B16" s="802" t="s">
        <v>187</v>
      </c>
      <c r="M16" s="807">
        <f>Summary!$P79</f>
        <v>0</v>
      </c>
      <c r="N16" s="807">
        <f>Summary!$P79</f>
        <v>0</v>
      </c>
      <c r="O16" s="807">
        <f>Summary!$P79</f>
        <v>0</v>
      </c>
      <c r="P16" s="807">
        <f>Summary!P79</f>
        <v>0</v>
      </c>
      <c r="Q16" s="807">
        <f>Summary!Q79</f>
        <v>0</v>
      </c>
      <c r="R16" s="807">
        <f>Summary!R79</f>
        <v>0</v>
      </c>
      <c r="S16" s="807">
        <f>Summary!S79</f>
        <v>0</v>
      </c>
      <c r="T16" s="807">
        <f>Summary!T79</f>
        <v>1</v>
      </c>
      <c r="U16" s="802">
        <f>Summary!U79</f>
        <v>2</v>
      </c>
      <c r="V16" s="802">
        <f>Summary!V79</f>
        <v>3</v>
      </c>
      <c r="W16" s="802">
        <f>Summary!W79</f>
        <v>4</v>
      </c>
      <c r="X16" s="802">
        <f>Summary!X79</f>
        <v>5</v>
      </c>
      <c r="Y16" s="802">
        <f>Summary!Y79</f>
        <v>6</v>
      </c>
      <c r="Z16" s="802">
        <f>Summary!Z79</f>
        <v>7</v>
      </c>
      <c r="AA16" s="802">
        <f>Summary!AA79</f>
        <v>8</v>
      </c>
      <c r="AB16" s="802">
        <f>Summary!AB79</f>
        <v>9</v>
      </c>
      <c r="AC16" s="802">
        <f>Summary!AC79</f>
        <v>10</v>
      </c>
      <c r="AD16" s="802">
        <f>Summary!AD79</f>
        <v>11</v>
      </c>
      <c r="AE16" s="802">
        <f>Summary!AE79</f>
        <v>12</v>
      </c>
      <c r="AF16" s="802">
        <f>Summary!AF79</f>
        <v>13</v>
      </c>
      <c r="AG16" s="802">
        <f>Summary!AG79</f>
        <v>14</v>
      </c>
      <c r="AH16" s="802">
        <f>Summary!AH79</f>
        <v>15</v>
      </c>
      <c r="AI16" s="802">
        <f>Summary!AI79</f>
        <v>16</v>
      </c>
      <c r="AJ16" s="802">
        <f>Summary!AJ79</f>
        <v>17</v>
      </c>
      <c r="AK16" s="802">
        <f>Summary!AK79</f>
        <v>18</v>
      </c>
      <c r="AL16" s="802">
        <f>Summary!AL79</f>
        <v>19</v>
      </c>
      <c r="AM16" s="802">
        <f>Summary!AM79</f>
        <v>20</v>
      </c>
      <c r="AN16" s="802">
        <f>Summary!AN79</f>
        <v>21</v>
      </c>
      <c r="AO16" s="802">
        <f>Summary!AO79</f>
        <v>22</v>
      </c>
      <c r="AP16" s="802">
        <f>Summary!AP79</f>
        <v>23</v>
      </c>
      <c r="AQ16" s="802">
        <f>Summary!AQ79</f>
        <v>24</v>
      </c>
      <c r="AS16" s="7">
        <f>ROW()</f>
        <v>16</v>
      </c>
    </row>
    <row r="17" spans="2:63" ht="13.95" customHeight="1">
      <c r="B17" s="802" t="s">
        <v>847</v>
      </c>
      <c r="H17" s="2"/>
      <c r="I17" s="2"/>
      <c r="J17" s="2"/>
      <c r="L17" s="363"/>
      <c r="R17" s="67"/>
      <c r="S17" s="67"/>
      <c r="AR17" s="67"/>
      <c r="AS17" s="7">
        <f>ROW()</f>
        <v>17</v>
      </c>
    </row>
    <row r="18" spans="2:63" s="31" customFormat="1" ht="13.95" customHeight="1">
      <c r="B18" s="803" t="s">
        <v>857</v>
      </c>
      <c r="C18" s="17"/>
      <c r="H18" s="17"/>
      <c r="I18" s="17"/>
      <c r="J18" s="17"/>
      <c r="M18" s="399"/>
      <c r="N18" s="399"/>
      <c r="O18" s="399"/>
      <c r="P18" s="399"/>
      <c r="Q18" s="399"/>
      <c r="R18" s="399"/>
      <c r="S18" s="399"/>
      <c r="T18" s="399">
        <f>Summary!T82*Parameters!$I$18/2000</f>
        <v>12.5</v>
      </c>
      <c r="U18" s="399">
        <f>Summary!U82*Parameters!$I$18/2000</f>
        <v>25.527176677389129</v>
      </c>
      <c r="V18" s="399">
        <f>Summary!V82*Parameters!$I$18/2000</f>
        <v>39.098204947118361</v>
      </c>
      <c r="W18" s="399">
        <f>Summary!W82*Parameters!$I$18/2000</f>
        <v>53.230228557539213</v>
      </c>
      <c r="X18" s="399">
        <f>Summary!X82*Parameters!$I$18/2000</f>
        <v>67.940872448305385</v>
      </c>
      <c r="Y18" s="399">
        <f>Summary!Y82*Parameters!$I$18/2000</f>
        <v>83.248255420984847</v>
      </c>
      <c r="Z18" s="399">
        <f>Summary!Z82*Parameters!$I$18/2000</f>
        <v>99.171003130075206</v>
      </c>
      <c r="AA18" s="399">
        <f>Summary!AA82*Parameters!$I$18/2000</f>
        <v>115.72826140230127</v>
      </c>
      <c r="AB18" s="399">
        <f>Summary!AB82*Parameters!$I$18/2000</f>
        <v>132.93970989226278</v>
      </c>
      <c r="AC18" s="399">
        <f>Summary!AC82*Parameters!$I$18/2000</f>
        <v>150.82557608269548</v>
      </c>
      <c r="AD18" s="399">
        <f>Summary!AD82*Parameters!$I$18/2000</f>
        <v>169.4066496378064</v>
      </c>
      <c r="AE18" s="399">
        <f>Summary!AE82*Parameters!$I$18/2000</f>
        <v>188.70429711834947</v>
      </c>
      <c r="AF18" s="399">
        <f>Summary!AF82*Parameters!$I$18/2000</f>
        <v>208.74047706731437</v>
      </c>
      <c r="AG18" s="399">
        <f>Summary!AG82*Parameters!$I$18/2000</f>
        <v>229.53775547531569</v>
      </c>
      <c r="AH18" s="399">
        <f>Summary!AH82*Parameters!$I$18/2000</f>
        <v>251.11932163498832</v>
      </c>
      <c r="AI18" s="399">
        <f>Summary!AI82*Parameters!$I$18/2000</f>
        <v>273.50900439391796</v>
      </c>
      <c r="AJ18" s="399">
        <f>Summary!AJ82*Parameters!$I$18/2000</f>
        <v>296.73128881586467</v>
      </c>
      <c r="AK18" s="399">
        <f>Summary!AK82*Parameters!$I$18/2000</f>
        <v>320.81133326027117</v>
      </c>
      <c r="AL18" s="399">
        <f>Summary!AL82*Parameters!$I$18/2000</f>
        <v>345.77498689028977</v>
      </c>
      <c r="AM18" s="399">
        <f>Summary!AM82*Parameters!$I$18/2000</f>
        <v>371.64880761980356</v>
      </c>
      <c r="AN18" s="399">
        <f>Summary!AN82*Parameters!$I$18/2000</f>
        <v>398.4600805101727</v>
      </c>
      <c r="AO18" s="399">
        <f>Summary!AO82*Parameters!$I$18/2000</f>
        <v>426.23683662769008</v>
      </c>
      <c r="AP18" s="399">
        <f>Summary!AP82*Parameters!$I$18/2000</f>
        <v>455.00787237299863</v>
      </c>
      <c r="AQ18" s="399">
        <f>Summary!AQ82*Parameters!$I$18/2000</f>
        <v>484.80276929398781</v>
      </c>
      <c r="AS18" s="7">
        <f>ROW()</f>
        <v>18</v>
      </c>
    </row>
    <row r="19" spans="2:63" ht="13.95" customHeight="1">
      <c r="B19" s="1037"/>
      <c r="C19" s="1037"/>
      <c r="D19" s="1037"/>
      <c r="E19" s="1037"/>
      <c r="F19" s="1037"/>
      <c r="G19" s="1037"/>
      <c r="I19" s="118"/>
      <c r="J19" s="118"/>
      <c r="K19" s="118"/>
      <c r="L19" s="118"/>
      <c r="M19" s="118"/>
      <c r="N19" s="118"/>
      <c r="O19" s="118"/>
      <c r="P19" s="118"/>
      <c r="Q19" s="118"/>
      <c r="R19" s="118"/>
      <c r="S19" s="118"/>
      <c r="T19" s="118"/>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3"/>
      <c r="AS19" s="7">
        <f>ROW()</f>
        <v>19</v>
      </c>
      <c r="AT19" s="13"/>
      <c r="AU19" s="13"/>
      <c r="AV19" s="13"/>
      <c r="AW19" s="13"/>
      <c r="AX19" s="13"/>
      <c r="AY19" s="13"/>
      <c r="AZ19" s="13"/>
      <c r="BA19" s="13"/>
      <c r="BB19" s="13"/>
      <c r="BC19" s="13"/>
      <c r="BD19" s="13"/>
      <c r="BE19" s="13"/>
      <c r="BF19" s="13"/>
      <c r="BG19" s="13"/>
      <c r="BH19" s="13"/>
      <c r="BI19" s="13"/>
      <c r="BJ19" s="13"/>
      <c r="BK19" s="13"/>
    </row>
    <row r="20" spans="2:63" ht="13.95" customHeight="1">
      <c r="B20" s="8" t="s">
        <v>1213</v>
      </c>
      <c r="I20" s="1038">
        <f>Energy!G38</f>
        <v>0.87078429636304144</v>
      </c>
      <c r="J20" s="1038">
        <f>Energy!H38</f>
        <v>0.8779629241309862</v>
      </c>
      <c r="K20" s="1038">
        <f>Energy!I38</f>
        <v>0.89295166655077585</v>
      </c>
      <c r="L20" s="1038">
        <f>Energy!J38</f>
        <v>0.92081055232228348</v>
      </c>
      <c r="M20" s="1038">
        <f>Energy!K38</f>
        <v>0.95500511416303535</v>
      </c>
      <c r="N20" s="1038">
        <f>Energy!L38</f>
        <v>0.97965706794626894</v>
      </c>
      <c r="O20" s="1038">
        <f>Energy!M38</f>
        <v>1.0173993087199329</v>
      </c>
      <c r="P20" s="1038">
        <f>Energy!N38</f>
        <v>1.0513807465938469</v>
      </c>
      <c r="Q20" s="1038">
        <f>Energy!O38</f>
        <v>1.0649578442801504</v>
      </c>
      <c r="R20" s="1038">
        <f>Energy!P38</f>
        <v>1.0952709502034323</v>
      </c>
      <c r="S20" s="1038">
        <f>Energy!Q38</f>
        <v>1.1098043884261997</v>
      </c>
      <c r="T20" s="1038">
        <f t="shared" ref="T20:AQ20" si="1">$S$20</f>
        <v>1.1098043884261997</v>
      </c>
      <c r="U20" s="1038">
        <f t="shared" si="1"/>
        <v>1.1098043884261997</v>
      </c>
      <c r="V20" s="1038">
        <f t="shared" si="1"/>
        <v>1.1098043884261997</v>
      </c>
      <c r="W20" s="1038">
        <f t="shared" si="1"/>
        <v>1.1098043884261997</v>
      </c>
      <c r="X20" s="1038">
        <f t="shared" si="1"/>
        <v>1.1098043884261997</v>
      </c>
      <c r="Y20" s="1038">
        <f t="shared" si="1"/>
        <v>1.1098043884261997</v>
      </c>
      <c r="Z20" s="1038">
        <f t="shared" si="1"/>
        <v>1.1098043884261997</v>
      </c>
      <c r="AA20" s="1038">
        <f t="shared" si="1"/>
        <v>1.1098043884261997</v>
      </c>
      <c r="AB20" s="1038">
        <f t="shared" si="1"/>
        <v>1.1098043884261997</v>
      </c>
      <c r="AC20" s="1038">
        <f t="shared" si="1"/>
        <v>1.1098043884261997</v>
      </c>
      <c r="AD20" s="1038">
        <f t="shared" si="1"/>
        <v>1.1098043884261997</v>
      </c>
      <c r="AE20" s="1038">
        <f t="shared" si="1"/>
        <v>1.1098043884261997</v>
      </c>
      <c r="AF20" s="1038">
        <f t="shared" si="1"/>
        <v>1.1098043884261997</v>
      </c>
      <c r="AG20" s="1038">
        <f t="shared" si="1"/>
        <v>1.1098043884261997</v>
      </c>
      <c r="AH20" s="1038">
        <f t="shared" si="1"/>
        <v>1.1098043884261997</v>
      </c>
      <c r="AI20" s="1038">
        <f t="shared" si="1"/>
        <v>1.1098043884261997</v>
      </c>
      <c r="AJ20" s="1038">
        <f t="shared" si="1"/>
        <v>1.1098043884261997</v>
      </c>
      <c r="AK20" s="1038">
        <f t="shared" si="1"/>
        <v>1.1098043884261997</v>
      </c>
      <c r="AL20" s="1038">
        <f t="shared" si="1"/>
        <v>1.1098043884261997</v>
      </c>
      <c r="AM20" s="1038">
        <f t="shared" si="1"/>
        <v>1.1098043884261997</v>
      </c>
      <c r="AN20" s="1038">
        <f t="shared" si="1"/>
        <v>1.1098043884261997</v>
      </c>
      <c r="AO20" s="1038">
        <f t="shared" si="1"/>
        <v>1.1098043884261997</v>
      </c>
      <c r="AP20" s="1038">
        <f t="shared" si="1"/>
        <v>1.1098043884261997</v>
      </c>
      <c r="AQ20" s="1038">
        <f t="shared" si="1"/>
        <v>1.1098043884261997</v>
      </c>
      <c r="AR20" s="13"/>
      <c r="AS20" s="7">
        <f>ROW()</f>
        <v>20</v>
      </c>
      <c r="AT20" s="13"/>
      <c r="AU20" s="13"/>
      <c r="AV20" s="13"/>
      <c r="AW20" s="13"/>
      <c r="AX20" s="13"/>
      <c r="AY20" s="13"/>
      <c r="AZ20" s="13"/>
      <c r="BA20" s="13"/>
      <c r="BB20" s="13"/>
      <c r="BC20" s="13"/>
      <c r="BD20" s="13"/>
      <c r="BE20" s="13"/>
      <c r="BF20" s="13"/>
      <c r="BG20" s="13"/>
      <c r="BH20" s="13"/>
      <c r="BI20" s="13"/>
      <c r="BJ20" s="13"/>
      <c r="BK20" s="13"/>
    </row>
    <row r="21" spans="2:63" ht="13.95" customHeight="1">
      <c r="B21" s="84" t="str">
        <f>CONCATENATE("Values through ",S14, " are copied from 'Energy' tab, Row ",Energy!R38, ", which in turn is drawn from EIA data. Values starting in ",T14, " are set equal to ",S14, " value.")</f>
        <v>Values through 2015 are copied from 'Energy' tab, Row 38, which in turn is drawn from EIA data. Values starting in 2017 are set equal to 2015 value.</v>
      </c>
      <c r="I21" s="118"/>
      <c r="J21" s="118"/>
      <c r="K21" s="118"/>
      <c r="L21" s="118"/>
      <c r="M21" s="118"/>
      <c r="N21" s="118"/>
      <c r="O21" s="118"/>
      <c r="P21" s="118"/>
      <c r="Q21" s="118"/>
      <c r="R21" s="118"/>
      <c r="S21" s="118"/>
      <c r="T21" s="118"/>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3"/>
      <c r="AS21" s="7">
        <f>ROW()</f>
        <v>21</v>
      </c>
      <c r="AT21" s="13"/>
      <c r="AU21" s="13"/>
      <c r="AV21" s="13"/>
      <c r="AW21" s="13"/>
      <c r="AX21" s="13"/>
      <c r="AY21" s="13"/>
      <c r="AZ21" s="13"/>
      <c r="BA21" s="13"/>
      <c r="BB21" s="13"/>
      <c r="BC21" s="13"/>
      <c r="BD21" s="13"/>
      <c r="BE21" s="13"/>
      <c r="BF21" s="13"/>
      <c r="BG21" s="13"/>
      <c r="BH21" s="13"/>
      <c r="BI21" s="13"/>
      <c r="BJ21" s="13"/>
      <c r="BK21" s="13"/>
    </row>
    <row r="22" spans="2:63" ht="13.95" customHeight="1">
      <c r="AS22" s="7">
        <f>ROW()</f>
        <v>22</v>
      </c>
    </row>
    <row r="23" spans="2:63" ht="13.95" customHeight="1">
      <c r="B23" s="8" t="s">
        <v>134</v>
      </c>
      <c r="AS23" s="7">
        <f>ROW()</f>
        <v>23</v>
      </c>
    </row>
    <row r="24" spans="2:63" ht="13.95" customHeight="1">
      <c r="B24" s="92" t="s">
        <v>1163</v>
      </c>
      <c r="AS24" s="7">
        <f>ROW()</f>
        <v>24</v>
      </c>
    </row>
    <row r="25" spans="2:63" ht="13.95" customHeight="1">
      <c r="B25" s="1028" t="s">
        <v>1164</v>
      </c>
      <c r="I25" s="21">
        <f>'Personal Ground Travel'!I49</f>
        <v>134424.83128748415</v>
      </c>
      <c r="J25" s="21">
        <f>'Personal Ground Travel'!J49</f>
        <v>133890.21235885876</v>
      </c>
      <c r="K25" s="21">
        <f>'Personal Ground Travel'!K49</f>
        <v>131568.08462040336</v>
      </c>
      <c r="L25" s="21">
        <f>'Personal Ground Travel'!L49</f>
        <v>125483.90713973423</v>
      </c>
      <c r="M25" s="21">
        <f>'Personal Ground Travel'!M49</f>
        <v>122585.47258991537</v>
      </c>
      <c r="N25" s="21">
        <f>'Personal Ground Travel'!N49</f>
        <v>121811.43001043031</v>
      </c>
      <c r="O25" s="21">
        <f>'Personal Ground Travel'!O49</f>
        <v>119516.34306077783</v>
      </c>
      <c r="P25" s="21">
        <f>'Personal Ground Travel'!P49</f>
        <v>118898.91171644333</v>
      </c>
      <c r="Q25" s="21">
        <f>'Personal Ground Travel'!Q49</f>
        <v>118807.08570446653</v>
      </c>
      <c r="R25" s="21">
        <f>'Personal Ground Travel'!R49</f>
        <v>120675.71688070541</v>
      </c>
      <c r="S25" s="21">
        <f>'Personal Ground Travel'!S49</f>
        <v>123794.96305542911</v>
      </c>
      <c r="T25" s="21">
        <f>'Personal Ground Travel'!T49</f>
        <v>122566.50636680782</v>
      </c>
      <c r="U25" s="21">
        <f>'Personal Ground Travel'!U49</f>
        <v>122787.82178239427</v>
      </c>
      <c r="V25" s="21">
        <f>'Personal Ground Travel'!V49</f>
        <v>123113.18125207555</v>
      </c>
      <c r="W25" s="21">
        <f>'Personal Ground Travel'!W49</f>
        <v>123757.78758050512</v>
      </c>
      <c r="X25" s="21">
        <f>'Personal Ground Travel'!X49</f>
        <v>123317.79591556719</v>
      </c>
      <c r="Y25" s="21">
        <f>'Personal Ground Travel'!Y49</f>
        <v>123333.09204729718</v>
      </c>
      <c r="Z25" s="21">
        <f>'Personal Ground Travel'!Z49</f>
        <v>123981.36887306861</v>
      </c>
      <c r="AA25" s="21">
        <f>'Personal Ground Travel'!AA49</f>
        <v>124621.67013791695</v>
      </c>
      <c r="AB25" s="21">
        <f>'Personal Ground Travel'!AB49</f>
        <v>125079.03672176112</v>
      </c>
      <c r="AC25" s="21">
        <f>'Personal Ground Travel'!AC49</f>
        <v>125348.5514652094</v>
      </c>
      <c r="AD25" s="21">
        <f>'Personal Ground Travel'!AD49</f>
        <v>124730.44322252538</v>
      </c>
      <c r="AE25" s="21">
        <f>'Personal Ground Travel'!AE49</f>
        <v>124119.06117559111</v>
      </c>
      <c r="AF25" s="21">
        <f>'Personal Ground Travel'!AF49</f>
        <v>123514.33665198254</v>
      </c>
      <c r="AG25" s="21">
        <f>'Personal Ground Travel'!AG49</f>
        <v>122916.20189894234</v>
      </c>
      <c r="AH25" s="21">
        <f>'Personal Ground Travel'!AH49</f>
        <v>122240.41288346576</v>
      </c>
      <c r="AI25" s="21">
        <f>'Personal Ground Travel'!AI49</f>
        <v>121531.34257899591</v>
      </c>
      <c r="AJ25" s="21">
        <f>'Personal Ground Travel'!AJ49</f>
        <v>120818.84401741879</v>
      </c>
      <c r="AK25" s="21">
        <f>'Personal Ground Travel'!AK49</f>
        <v>120103.02789754498</v>
      </c>
      <c r="AL25" s="21">
        <f>'Personal Ground Travel'!AL49</f>
        <v>119384.00484983457</v>
      </c>
      <c r="AM25" s="21">
        <f>'Personal Ground Travel'!AM49</f>
        <v>118661.88540898768</v>
      </c>
      <c r="AN25" s="21">
        <f>'Personal Ground Travel'!AN49</f>
        <v>117936.7799867455</v>
      </c>
      <c r="AO25" s="21">
        <f>'Personal Ground Travel'!AO49</f>
        <v>117208.79884491152</v>
      </c>
      <c r="AP25" s="21">
        <f>'Personal Ground Travel'!AP49</f>
        <v>116478.05206860059</v>
      </c>
      <c r="AQ25" s="21">
        <f>'Personal Ground Travel'!AQ49</f>
        <v>116942.32697375269</v>
      </c>
      <c r="AR25" s="21"/>
      <c r="AS25" s="7">
        <f>ROW()</f>
        <v>25</v>
      </c>
    </row>
    <row r="26" spans="2:63" ht="13.95" customHeight="1">
      <c r="B26" s="1028" t="s">
        <v>1214</v>
      </c>
      <c r="I26" s="21">
        <f t="shared" ref="I26:AQ26" si="2">I25*$Q$96*I20</f>
        <v>18425.32913100622</v>
      </c>
      <c r="J26" s="21">
        <f t="shared" si="2"/>
        <v>18503.341852192039</v>
      </c>
      <c r="K26" s="21">
        <f t="shared" si="2"/>
        <v>18492.842474570425</v>
      </c>
      <c r="L26" s="21">
        <f t="shared" si="2"/>
        <v>18187.938882363389</v>
      </c>
      <c r="M26" s="21">
        <f t="shared" si="2"/>
        <v>18427.646344193061</v>
      </c>
      <c r="N26" s="21">
        <f t="shared" si="2"/>
        <v>18783.965576186351</v>
      </c>
      <c r="O26" s="21">
        <f t="shared" si="2"/>
        <v>19140.086683176716</v>
      </c>
      <c r="P26" s="21">
        <f t="shared" si="2"/>
        <v>19677.189367441773</v>
      </c>
      <c r="Q26" s="21">
        <f t="shared" si="2"/>
        <v>19915.899480644519</v>
      </c>
      <c r="R26" s="21">
        <f t="shared" si="2"/>
        <v>20804.947413009082</v>
      </c>
      <c r="S26" s="21">
        <f t="shared" si="2"/>
        <v>21625.919310070061</v>
      </c>
      <c r="T26" s="21">
        <f t="shared" si="2"/>
        <v>21411.318452584896</v>
      </c>
      <c r="U26" s="21">
        <f t="shared" si="2"/>
        <v>21449.980359349262</v>
      </c>
      <c r="V26" s="21">
        <f t="shared" si="2"/>
        <v>21506.817870863717</v>
      </c>
      <c r="W26" s="21">
        <f t="shared" si="2"/>
        <v>21619.425073138471</v>
      </c>
      <c r="X26" s="21">
        <f t="shared" si="2"/>
        <v>21542.562299337318</v>
      </c>
      <c r="Y26" s="21">
        <f t="shared" si="2"/>
        <v>21545.234402485821</v>
      </c>
      <c r="Z26" s="21">
        <f t="shared" si="2"/>
        <v>21658.482809195586</v>
      </c>
      <c r="AA26" s="21">
        <f t="shared" si="2"/>
        <v>21770.337953750583</v>
      </c>
      <c r="AB26" s="21">
        <f t="shared" si="2"/>
        <v>21850.235977007862</v>
      </c>
      <c r="AC26" s="21">
        <f t="shared" si="2"/>
        <v>21897.317893354306</v>
      </c>
      <c r="AD26" s="21">
        <f t="shared" si="2"/>
        <v>21789.339679610759</v>
      </c>
      <c r="AE26" s="21">
        <f t="shared" si="2"/>
        <v>21682.536474631357</v>
      </c>
      <c r="AF26" s="21">
        <f t="shared" si="2"/>
        <v>21576.896281932048</v>
      </c>
      <c r="AG26" s="21">
        <f t="shared" si="2"/>
        <v>21472.407265686659</v>
      </c>
      <c r="AH26" s="21">
        <f t="shared" si="2"/>
        <v>21354.352715173289</v>
      </c>
      <c r="AI26" s="21">
        <f t="shared" si="2"/>
        <v>21230.484208643131</v>
      </c>
      <c r="AJ26" s="21">
        <f t="shared" si="2"/>
        <v>21106.016814971317</v>
      </c>
      <c r="AK26" s="21">
        <f t="shared" si="2"/>
        <v>20980.969872291531</v>
      </c>
      <c r="AL26" s="21">
        <f t="shared" si="2"/>
        <v>20855.362706797219</v>
      </c>
      <c r="AM26" s="21">
        <f t="shared" si="2"/>
        <v>20729.214627953366</v>
      </c>
      <c r="AN26" s="21">
        <f t="shared" si="2"/>
        <v>20602.544923745107</v>
      </c>
      <c r="AO26" s="21">
        <f t="shared" si="2"/>
        <v>20475.372855964728</v>
      </c>
      <c r="AP26" s="21">
        <f t="shared" si="2"/>
        <v>20347.717655538538</v>
      </c>
      <c r="AQ26" s="21">
        <f t="shared" si="2"/>
        <v>20428.822503334435</v>
      </c>
      <c r="AR26" s="21"/>
      <c r="AS26" s="7">
        <f>ROW()</f>
        <v>26</v>
      </c>
    </row>
    <row r="27" spans="2:63" ht="13.95" customHeight="1">
      <c r="B27" s="92" t="s">
        <v>1165</v>
      </c>
      <c r="AS27" s="7">
        <f>ROW()</f>
        <v>27</v>
      </c>
    </row>
    <row r="28" spans="2:63" ht="13.95" customHeight="1">
      <c r="B28" s="1028" t="s">
        <v>1164</v>
      </c>
      <c r="I28" s="21">
        <f>'Personal Ground Travel'!I68</f>
        <v>134424.83128748415</v>
      </c>
      <c r="J28" s="21">
        <f>'Personal Ground Travel'!J68</f>
        <v>133890.21235885876</v>
      </c>
      <c r="K28" s="21">
        <f>'Personal Ground Travel'!K68</f>
        <v>131568.08462040336</v>
      </c>
      <c r="L28" s="21">
        <f>'Personal Ground Travel'!L68</f>
        <v>125483.90713973423</v>
      </c>
      <c r="M28" s="21">
        <f>'Personal Ground Travel'!M68</f>
        <v>122585.47258991537</v>
      </c>
      <c r="N28" s="21">
        <f>'Personal Ground Travel'!N68</f>
        <v>121811.43001043031</v>
      </c>
      <c r="O28" s="21">
        <f>'Personal Ground Travel'!O68</f>
        <v>119516.34306077783</v>
      </c>
      <c r="P28" s="21">
        <f>'Personal Ground Travel'!P68</f>
        <v>118898.91171644333</v>
      </c>
      <c r="Q28" s="21">
        <f>'Personal Ground Travel'!Q68</f>
        <v>118807.08570446653</v>
      </c>
      <c r="R28" s="21">
        <f>'Personal Ground Travel'!R68</f>
        <v>120675.71688070541</v>
      </c>
      <c r="S28" s="21">
        <f>'Personal Ground Travel'!S68</f>
        <v>123794.96305542911</v>
      </c>
      <c r="T28" s="21">
        <f>'Personal Ground Travel'!T68</f>
        <v>123488.34339544931</v>
      </c>
      <c r="U28" s="21">
        <f>'Personal Ground Travel'!U68</f>
        <v>123072.30457167888</v>
      </c>
      <c r="V28" s="21">
        <f>'Personal Ground Travel'!V68</f>
        <v>122700.28205467845</v>
      </c>
      <c r="W28" s="21">
        <f>'Personal Ground Travel'!W68</f>
        <v>122586.53495538345</v>
      </c>
      <c r="X28" s="21">
        <f>'Personal Ground Travel'!X68</f>
        <v>121360.88710242728</v>
      </c>
      <c r="Y28" s="21">
        <f>'Personal Ground Travel'!Y68</f>
        <v>120519.12897935361</v>
      </c>
      <c r="Z28" s="21">
        <f>'Personal Ground Travel'!Z68</f>
        <v>120241.00649362325</v>
      </c>
      <c r="AA28" s="21">
        <f>'Personal Ground Travel'!AA68</f>
        <v>119909.46369272987</v>
      </c>
      <c r="AB28" s="21">
        <f>'Personal Ground Travel'!AB68</f>
        <v>119365.3412826039</v>
      </c>
      <c r="AC28" s="21">
        <f>'Personal Ground Travel'!AC68</f>
        <v>118612.72135669141</v>
      </c>
      <c r="AD28" s="21">
        <f>'Personal Ground Travel'!AD68</f>
        <v>117020.63721544464</v>
      </c>
      <c r="AE28" s="21">
        <f>'Personal Ground Travel'!AE68</f>
        <v>115477.48375765441</v>
      </c>
      <c r="AF28" s="21">
        <f>'Personal Ground Travel'!AF68</f>
        <v>114032.12215180929</v>
      </c>
      <c r="AG28" s="21">
        <f>'Personal Ground Travel'!AG68</f>
        <v>112674.59498359014</v>
      </c>
      <c r="AH28" s="21">
        <f>'Personal Ground Travel'!AH68</f>
        <v>111319.65555808246</v>
      </c>
      <c r="AI28" s="21">
        <f>'Personal Ground Travel'!AI68</f>
        <v>110004.7287061145</v>
      </c>
      <c r="AJ28" s="21">
        <f>'Personal Ground Travel'!AJ68</f>
        <v>108752.29690328118</v>
      </c>
      <c r="AK28" s="21">
        <f>'Personal Ground Travel'!AK68</f>
        <v>107556.62515163791</v>
      </c>
      <c r="AL28" s="21">
        <f>'Personal Ground Travel'!AL68</f>
        <v>106412.65025562869</v>
      </c>
      <c r="AM28" s="21">
        <f>'Personal Ground Travel'!AM68</f>
        <v>105322.96441913306</v>
      </c>
      <c r="AN28" s="21">
        <f>'Personal Ground Travel'!AN68</f>
        <v>104277.55472786351</v>
      </c>
      <c r="AO28" s="21">
        <f>'Personal Ground Travel'!AO68</f>
        <v>103272.81324480067</v>
      </c>
      <c r="AP28" s="21">
        <f>'Personal Ground Travel'!AP68</f>
        <v>102305.49979102729</v>
      </c>
      <c r="AQ28" s="21">
        <f>'Personal Ground Travel'!AQ68</f>
        <v>102387.96678716563</v>
      </c>
      <c r="AR28" s="21"/>
      <c r="AS28" s="7">
        <f>ROW()</f>
        <v>28</v>
      </c>
    </row>
    <row r="29" spans="2:63" ht="13.95" customHeight="1">
      <c r="B29" s="1028" t="s">
        <v>1214</v>
      </c>
      <c r="I29" s="21">
        <f t="shared" ref="I29:AQ29" si="3">I28*$Q$96*I20</f>
        <v>18425.32913100622</v>
      </c>
      <c r="J29" s="21">
        <f t="shared" si="3"/>
        <v>18503.341852192039</v>
      </c>
      <c r="K29" s="21">
        <f t="shared" si="3"/>
        <v>18492.842474570425</v>
      </c>
      <c r="L29" s="21">
        <f t="shared" si="3"/>
        <v>18187.938882363389</v>
      </c>
      <c r="M29" s="21">
        <f t="shared" si="3"/>
        <v>18427.646344193061</v>
      </c>
      <c r="N29" s="21">
        <f t="shared" si="3"/>
        <v>18783.965576186351</v>
      </c>
      <c r="O29" s="21">
        <f t="shared" si="3"/>
        <v>19140.086683176716</v>
      </c>
      <c r="P29" s="21">
        <f t="shared" si="3"/>
        <v>19677.189367441773</v>
      </c>
      <c r="Q29" s="21">
        <f t="shared" si="3"/>
        <v>19915.899480644519</v>
      </c>
      <c r="R29" s="21">
        <f t="shared" si="3"/>
        <v>20804.947413009082</v>
      </c>
      <c r="S29" s="21">
        <f t="shared" si="3"/>
        <v>21625.919310070061</v>
      </c>
      <c r="T29" s="21">
        <f t="shared" si="3"/>
        <v>21572.355482738611</v>
      </c>
      <c r="U29" s="21">
        <f t="shared" si="3"/>
        <v>21499.677065049778</v>
      </c>
      <c r="V29" s="21">
        <f t="shared" si="3"/>
        <v>21434.687919000451</v>
      </c>
      <c r="W29" s="21">
        <f t="shared" si="3"/>
        <v>21414.817275394325</v>
      </c>
      <c r="X29" s="21">
        <f t="shared" si="3"/>
        <v>21200.707097432376</v>
      </c>
      <c r="Y29" s="21">
        <f t="shared" si="3"/>
        <v>21053.659165926179</v>
      </c>
      <c r="Z29" s="21">
        <f t="shared" si="3"/>
        <v>21005.073550758396</v>
      </c>
      <c r="AA29" s="21">
        <f t="shared" si="3"/>
        <v>20947.15586426299</v>
      </c>
      <c r="AB29" s="21">
        <f t="shared" si="3"/>
        <v>20852.102341520578</v>
      </c>
      <c r="AC29" s="21">
        <f t="shared" si="3"/>
        <v>20720.626089278823</v>
      </c>
      <c r="AD29" s="21">
        <f t="shared" si="3"/>
        <v>20442.502631557618</v>
      </c>
      <c r="AE29" s="21">
        <f t="shared" si="3"/>
        <v>20172.926944974275</v>
      </c>
      <c r="AF29" s="21">
        <f t="shared" si="3"/>
        <v>19920.434656997386</v>
      </c>
      <c r="AG29" s="21">
        <f t="shared" si="3"/>
        <v>19683.286292665383</v>
      </c>
      <c r="AH29" s="21">
        <f t="shared" si="3"/>
        <v>19446.589984812035</v>
      </c>
      <c r="AI29" s="21">
        <f t="shared" si="3"/>
        <v>19216.883530708801</v>
      </c>
      <c r="AJ29" s="21">
        <f t="shared" si="3"/>
        <v>18998.094426201282</v>
      </c>
      <c r="AK29" s="21">
        <f t="shared" si="3"/>
        <v>18789.22081628882</v>
      </c>
      <c r="AL29" s="21">
        <f t="shared" si="3"/>
        <v>18589.378204091707</v>
      </c>
      <c r="AM29" s="21">
        <f t="shared" si="3"/>
        <v>18399.019425416449</v>
      </c>
      <c r="AN29" s="21">
        <f t="shared" si="3"/>
        <v>18216.395309932541</v>
      </c>
      <c r="AO29" s="21">
        <f t="shared" si="3"/>
        <v>18040.875581957276</v>
      </c>
      <c r="AP29" s="21">
        <f t="shared" si="3"/>
        <v>17871.894209997241</v>
      </c>
      <c r="AQ29" s="21">
        <f t="shared" si="3"/>
        <v>17886.300487605102</v>
      </c>
      <c r="AR29" s="21"/>
      <c r="AS29" s="7">
        <f>ROW()</f>
        <v>29</v>
      </c>
    </row>
    <row r="30" spans="2:63" ht="13.95" customHeight="1">
      <c r="B30" s="92" t="s">
        <v>1166</v>
      </c>
      <c r="AS30" s="7">
        <f>ROW()</f>
        <v>30</v>
      </c>
    </row>
    <row r="31" spans="2:63" ht="13.95" customHeight="1">
      <c r="B31" s="1028" t="s">
        <v>1164</v>
      </c>
      <c r="I31" s="36">
        <f>I28-I25</f>
        <v>0</v>
      </c>
      <c r="J31" s="36">
        <f t="shared" ref="J31:AQ31" si="4">J28-J25</f>
        <v>0</v>
      </c>
      <c r="K31" s="36">
        <f t="shared" si="4"/>
        <v>0</v>
      </c>
      <c r="L31" s="36">
        <f t="shared" si="4"/>
        <v>0</v>
      </c>
      <c r="M31" s="36">
        <f t="shared" si="4"/>
        <v>0</v>
      </c>
      <c r="N31" s="36">
        <f t="shared" si="4"/>
        <v>0</v>
      </c>
      <c r="O31" s="36">
        <f t="shared" si="4"/>
        <v>0</v>
      </c>
      <c r="P31" s="36">
        <f t="shared" si="4"/>
        <v>0</v>
      </c>
      <c r="Q31" s="36">
        <f t="shared" ref="Q31:T31" si="5">Q28-Q25</f>
        <v>0</v>
      </c>
      <c r="R31" s="36">
        <f t="shared" si="5"/>
        <v>0</v>
      </c>
      <c r="S31" s="36">
        <f t="shared" si="5"/>
        <v>0</v>
      </c>
      <c r="T31" s="36">
        <f t="shared" si="5"/>
        <v>921.83702864148654</v>
      </c>
      <c r="U31" s="36">
        <f t="shared" si="4"/>
        <v>284.48278928460786</v>
      </c>
      <c r="V31" s="36">
        <f t="shared" si="4"/>
        <v>-412.89919739709876</v>
      </c>
      <c r="W31" s="36">
        <f t="shared" si="4"/>
        <v>-1171.2526251216623</v>
      </c>
      <c r="X31" s="36">
        <f t="shared" si="4"/>
        <v>-1956.9088131399039</v>
      </c>
      <c r="Y31" s="36">
        <f t="shared" si="4"/>
        <v>-2813.963067943565</v>
      </c>
      <c r="Z31" s="36">
        <f t="shared" si="4"/>
        <v>-3740.3623794453597</v>
      </c>
      <c r="AA31" s="36">
        <f t="shared" si="4"/>
        <v>-4712.2064451870829</v>
      </c>
      <c r="AB31" s="36">
        <f t="shared" si="4"/>
        <v>-5713.6954391572217</v>
      </c>
      <c r="AC31" s="36">
        <f t="shared" si="4"/>
        <v>-6735.8301085179846</v>
      </c>
      <c r="AD31" s="36">
        <f t="shared" si="4"/>
        <v>-7709.8060070807405</v>
      </c>
      <c r="AE31" s="36">
        <f t="shared" si="4"/>
        <v>-8641.5774179366999</v>
      </c>
      <c r="AF31" s="36">
        <f t="shared" si="4"/>
        <v>-9482.2145001732424</v>
      </c>
      <c r="AG31" s="36">
        <f t="shared" si="4"/>
        <v>-10241.606915352197</v>
      </c>
      <c r="AH31" s="36">
        <f t="shared" si="4"/>
        <v>-10920.757325383296</v>
      </c>
      <c r="AI31" s="36">
        <f t="shared" si="4"/>
        <v>-11526.613872881411</v>
      </c>
      <c r="AJ31" s="36">
        <f t="shared" si="4"/>
        <v>-12066.547114137604</v>
      </c>
      <c r="AK31" s="36">
        <f t="shared" si="4"/>
        <v>-12546.402745907064</v>
      </c>
      <c r="AL31" s="36">
        <f t="shared" si="4"/>
        <v>-12971.354594205884</v>
      </c>
      <c r="AM31" s="36">
        <f t="shared" si="4"/>
        <v>-13338.920989854625</v>
      </c>
      <c r="AN31" s="36">
        <f t="shared" si="4"/>
        <v>-13659.225258881997</v>
      </c>
      <c r="AO31" s="36">
        <f t="shared" si="4"/>
        <v>-13935.985600110856</v>
      </c>
      <c r="AP31" s="36">
        <f t="shared" si="4"/>
        <v>-14172.552277573297</v>
      </c>
      <c r="AQ31" s="36">
        <f t="shared" si="4"/>
        <v>-14554.360186587059</v>
      </c>
      <c r="AR31" s="36"/>
      <c r="AS31" s="7">
        <f>ROW()</f>
        <v>31</v>
      </c>
    </row>
    <row r="32" spans="2:63" ht="13.95" customHeight="1">
      <c r="B32" s="1028" t="s">
        <v>1214</v>
      </c>
      <c r="I32" s="36">
        <f t="shared" ref="I32:AQ32" si="6">I29-I26</f>
        <v>0</v>
      </c>
      <c r="J32" s="36">
        <f t="shared" si="6"/>
        <v>0</v>
      </c>
      <c r="K32" s="36">
        <f t="shared" si="6"/>
        <v>0</v>
      </c>
      <c r="L32" s="36">
        <f t="shared" si="6"/>
        <v>0</v>
      </c>
      <c r="M32" s="36">
        <f t="shared" si="6"/>
        <v>0</v>
      </c>
      <c r="N32" s="36">
        <f t="shared" si="6"/>
        <v>0</v>
      </c>
      <c r="O32" s="36">
        <f t="shared" si="6"/>
        <v>0</v>
      </c>
      <c r="P32" s="36">
        <f t="shared" si="6"/>
        <v>0</v>
      </c>
      <c r="Q32" s="36">
        <f t="shared" ref="Q32:T32" si="7">Q29-Q26</f>
        <v>0</v>
      </c>
      <c r="R32" s="36">
        <f t="shared" si="7"/>
        <v>0</v>
      </c>
      <c r="S32" s="36">
        <f t="shared" si="7"/>
        <v>0</v>
      </c>
      <c r="T32" s="36">
        <f t="shared" si="7"/>
        <v>161.03703015371502</v>
      </c>
      <c r="U32" s="36">
        <f t="shared" si="6"/>
        <v>49.696705700516759</v>
      </c>
      <c r="V32" s="36">
        <f t="shared" si="6"/>
        <v>-72.129951863265887</v>
      </c>
      <c r="W32" s="36">
        <f t="shared" si="6"/>
        <v>-204.6077977441455</v>
      </c>
      <c r="X32" s="36">
        <f t="shared" si="6"/>
        <v>-341.85520190494208</v>
      </c>
      <c r="Y32" s="36">
        <f t="shared" si="6"/>
        <v>-491.57523655964178</v>
      </c>
      <c r="Z32" s="36">
        <f t="shared" si="6"/>
        <v>-653.40925843719015</v>
      </c>
      <c r="AA32" s="36">
        <f t="shared" si="6"/>
        <v>-823.18208948759275</v>
      </c>
      <c r="AB32" s="36">
        <f t="shared" si="6"/>
        <v>-998.13363548728375</v>
      </c>
      <c r="AC32" s="36">
        <f t="shared" si="6"/>
        <v>-1176.6918040754827</v>
      </c>
      <c r="AD32" s="36">
        <f t="shared" si="6"/>
        <v>-1346.8370480531412</v>
      </c>
      <c r="AE32" s="36">
        <f t="shared" si="6"/>
        <v>-1509.609529657082</v>
      </c>
      <c r="AF32" s="36">
        <f t="shared" si="6"/>
        <v>-1656.4616249346618</v>
      </c>
      <c r="AG32" s="36">
        <f t="shared" si="6"/>
        <v>-1789.1209730212759</v>
      </c>
      <c r="AH32" s="36">
        <f t="shared" si="6"/>
        <v>-1907.7627303612535</v>
      </c>
      <c r="AI32" s="36">
        <f t="shared" si="6"/>
        <v>-2013.6006779343297</v>
      </c>
      <c r="AJ32" s="36">
        <f t="shared" si="6"/>
        <v>-2107.9223887700355</v>
      </c>
      <c r="AK32" s="36">
        <f t="shared" si="6"/>
        <v>-2191.7490560027109</v>
      </c>
      <c r="AL32" s="36">
        <f t="shared" si="6"/>
        <v>-2265.9845027055126</v>
      </c>
      <c r="AM32" s="36">
        <f t="shared" si="6"/>
        <v>-2330.1952025369173</v>
      </c>
      <c r="AN32" s="36">
        <f t="shared" si="6"/>
        <v>-2386.1496138125658</v>
      </c>
      <c r="AO32" s="36">
        <f t="shared" si="6"/>
        <v>-2434.4972740074518</v>
      </c>
      <c r="AP32" s="36">
        <f t="shared" si="6"/>
        <v>-2475.8234455412967</v>
      </c>
      <c r="AQ32" s="36">
        <f t="shared" si="6"/>
        <v>-2542.5220157293334</v>
      </c>
      <c r="AR32" s="36"/>
      <c r="AS32" s="7">
        <f>ROW()</f>
        <v>32</v>
      </c>
    </row>
    <row r="33" spans="2:45" ht="13.95" customHeight="1">
      <c r="B33" s="84" t="str">
        <f>CONCATENATE("Rows ",AS25, " and ",AS28, " are copied from Rows ",'Personal Ground Travel'!AS49, " and ",'Personal Ground Travel'!AS68, " of 'Personal Ground Travel' tab. Rows ",AS26, " and ",AS29, " multiply their respective preceding rows by refinery fuel factor for gasoline in Cell Q", ,AS96, " and ratio of domestic refinery production to product supplied given in Row ",$AS$20, ". Impact rows are differences between respective preceding rows.")</f>
        <v>Rows 25 and 28 are copied from Rows 49 and 68 of 'Personal Ground Travel' tab. Rows 26 and 29 multiply their respective preceding rows by refinery fuel factor for gasoline in Cell Q96 and ratio of domestic refinery production to product supplied given in Row 20. Impact rows are differences between respective preceding rows.</v>
      </c>
      <c r="AS33" s="7">
        <f>ROW()</f>
        <v>33</v>
      </c>
    </row>
    <row r="34" spans="2:45" ht="13.95" customHeight="1">
      <c r="AS34" s="7">
        <f>ROW()</f>
        <v>34</v>
      </c>
    </row>
    <row r="35" spans="2:45" ht="13.95" customHeight="1">
      <c r="B35" s="8" t="s">
        <v>139</v>
      </c>
      <c r="AS35" s="7">
        <f>ROW()</f>
        <v>35</v>
      </c>
    </row>
    <row r="36" spans="2:45" ht="13.95" customHeight="1">
      <c r="B36" s="92" t="s">
        <v>1163</v>
      </c>
      <c r="AS36" s="7">
        <f>ROW()</f>
        <v>36</v>
      </c>
    </row>
    <row r="37" spans="2:45" ht="13.95" customHeight="1">
      <c r="B37" s="1028" t="s">
        <v>1164</v>
      </c>
      <c r="I37" s="21">
        <f>Freight!I44</f>
        <v>50098.40334638796</v>
      </c>
      <c r="J37" s="21">
        <f>Freight!J44</f>
        <v>51635.579839410908</v>
      </c>
      <c r="K37" s="21">
        <f>Freight!K44</f>
        <v>54591.121994632289</v>
      </c>
      <c r="L37" s="21">
        <f>Freight!L44</f>
        <v>52126.533685793198</v>
      </c>
      <c r="M37" s="21">
        <f>Freight!M44</f>
        <v>46708.857990964629</v>
      </c>
      <c r="N37" s="21">
        <f>Freight!N44</f>
        <v>49033.033499738391</v>
      </c>
      <c r="O37" s="21">
        <f>Freight!O44</f>
        <v>48558.772084133096</v>
      </c>
      <c r="P37" s="21">
        <f>Freight!P44</f>
        <v>47299.966422008911</v>
      </c>
      <c r="Q37" s="21">
        <f>Freight!Q44</f>
        <v>47360.353745113935</v>
      </c>
      <c r="R37" s="21">
        <f>Freight!R44</f>
        <v>47381.464760508374</v>
      </c>
      <c r="S37" s="21">
        <f>Freight!S44</f>
        <v>47139.435900602482</v>
      </c>
      <c r="T37" s="21">
        <f>Freight!T44</f>
        <v>46448.125729731546</v>
      </c>
      <c r="U37" s="21">
        <f>Freight!U44</f>
        <v>46110.205927511044</v>
      </c>
      <c r="V37" s="21">
        <f>Freight!V44</f>
        <v>45774.744562330547</v>
      </c>
      <c r="W37" s="21">
        <f>Freight!W44</f>
        <v>45441.72374854784</v>
      </c>
      <c r="X37" s="21">
        <f>Freight!X44</f>
        <v>45020.572642184103</v>
      </c>
      <c r="Y37" s="21">
        <f>Freight!Y44</f>
        <v>44815.528501235145</v>
      </c>
      <c r="Z37" s="21">
        <f>Freight!Z44</f>
        <v>44611.418224456953</v>
      </c>
      <c r="AA37" s="21">
        <f>Freight!AA44</f>
        <v>44408.23755860782</v>
      </c>
      <c r="AB37" s="21">
        <f>Freight!AB44</f>
        <v>44205.982269817243</v>
      </c>
      <c r="AC37" s="21">
        <f>Freight!AC44</f>
        <v>44004.648143497703</v>
      </c>
      <c r="AD37" s="21">
        <f>Freight!AD44</f>
        <v>43804.230984256814</v>
      </c>
      <c r="AE37" s="21">
        <f>Freight!AE44</f>
        <v>43604.726615809923</v>
      </c>
      <c r="AF37" s="21">
        <f>Freight!AF44</f>
        <v>43406.130880893048</v>
      </c>
      <c r="AG37" s="21">
        <f>Freight!AG44</f>
        <v>43208.439641176315</v>
      </c>
      <c r="AH37" s="21">
        <f>Freight!AH44</f>
        <v>42976.133264604861</v>
      </c>
      <c r="AI37" s="21">
        <f>Freight!AI44</f>
        <v>42756.346882720165</v>
      </c>
      <c r="AJ37" s="21">
        <f>Freight!AJ44</f>
        <v>42537.684521308984</v>
      </c>
      <c r="AK37" s="21">
        <f>Freight!AK44</f>
        <v>42320.140431962289</v>
      </c>
      <c r="AL37" s="21">
        <f>Freight!AL44</f>
        <v>42103.708895669231</v>
      </c>
      <c r="AM37" s="21">
        <f>Freight!AM44</f>
        <v>41888.384222666908</v>
      </c>
      <c r="AN37" s="21">
        <f>Freight!AN44</f>
        <v>41674.160752290649</v>
      </c>
      <c r="AO37" s="21">
        <f>Freight!AO44</f>
        <v>41461.03285282533</v>
      </c>
      <c r="AP37" s="21">
        <f>Freight!AP44</f>
        <v>41248.994921357218</v>
      </c>
      <c r="AQ37" s="21">
        <f>Freight!AQ44</f>
        <v>41793.614290946978</v>
      </c>
      <c r="AR37" s="21"/>
      <c r="AS37" s="7">
        <f>ROW()</f>
        <v>37</v>
      </c>
    </row>
    <row r="38" spans="2:45" ht="13.95" customHeight="1">
      <c r="B38" s="1028" t="s">
        <v>1214</v>
      </c>
      <c r="I38" s="21">
        <f t="shared" ref="I38:AQ38" si="8">I37*$Q$97*I20</f>
        <v>4314.5508369457802</v>
      </c>
      <c r="J38" s="21">
        <f t="shared" si="8"/>
        <v>4483.5947470887168</v>
      </c>
      <c r="K38" s="21">
        <f t="shared" si="8"/>
        <v>4821.1549480862859</v>
      </c>
      <c r="L38" s="21">
        <f t="shared" si="8"/>
        <v>4747.1204446675993</v>
      </c>
      <c r="M38" s="21">
        <f t="shared" si="8"/>
        <v>4411.7009266239029</v>
      </c>
      <c r="N38" s="21">
        <f t="shared" si="8"/>
        <v>4750.7694557998184</v>
      </c>
      <c r="O38" s="21">
        <f t="shared" si="8"/>
        <v>4886.0763775403457</v>
      </c>
      <c r="P38" s="21">
        <f t="shared" si="8"/>
        <v>4918.3787483046153</v>
      </c>
      <c r="Q38" s="21">
        <f t="shared" si="8"/>
        <v>4988.2529896557844</v>
      </c>
      <c r="R38" s="21">
        <f t="shared" si="8"/>
        <v>5132.5261249719942</v>
      </c>
      <c r="S38" s="21">
        <f t="shared" si="8"/>
        <v>5174.0656645474392</v>
      </c>
      <c r="T38" s="21">
        <f t="shared" si="8"/>
        <v>5098.1868562774825</v>
      </c>
      <c r="U38" s="21">
        <f t="shared" si="8"/>
        <v>5061.096483585573</v>
      </c>
      <c r="V38" s="21">
        <f t="shared" si="8"/>
        <v>5024.2759510908163</v>
      </c>
      <c r="W38" s="21">
        <f t="shared" si="8"/>
        <v>4987.7232956494991</v>
      </c>
      <c r="X38" s="21">
        <f t="shared" si="8"/>
        <v>4941.4973823055734</v>
      </c>
      <c r="Y38" s="21">
        <f t="shared" si="8"/>
        <v>4918.9915582724307</v>
      </c>
      <c r="Z38" s="21">
        <f t="shared" si="8"/>
        <v>4896.5882359864754</v>
      </c>
      <c r="AA38" s="21">
        <f t="shared" si="8"/>
        <v>4874.2869486081836</v>
      </c>
      <c r="AB38" s="21">
        <f t="shared" si="8"/>
        <v>4852.0872314242306</v>
      </c>
      <c r="AC38" s="21">
        <f t="shared" si="8"/>
        <v>4829.9886218378088</v>
      </c>
      <c r="AD38" s="21">
        <f t="shared" si="8"/>
        <v>4807.990659358984</v>
      </c>
      <c r="AE38" s="21">
        <f t="shared" si="8"/>
        <v>4786.0928855951042</v>
      </c>
      <c r="AF38" s="21">
        <f t="shared" si="8"/>
        <v>4764.2948442412444</v>
      </c>
      <c r="AG38" s="21">
        <f t="shared" si="8"/>
        <v>4742.5960810707011</v>
      </c>
      <c r="AH38" s="21">
        <f t="shared" si="8"/>
        <v>4717.0979302398719</v>
      </c>
      <c r="AI38" s="21">
        <f t="shared" si="8"/>
        <v>4692.9739849630851</v>
      </c>
      <c r="AJ38" s="21">
        <f t="shared" si="8"/>
        <v>4668.9734131553942</v>
      </c>
      <c r="AK38" s="21">
        <f t="shared" si="8"/>
        <v>4645.0955838664022</v>
      </c>
      <c r="AL38" s="21">
        <f t="shared" si="8"/>
        <v>4621.3398693724821</v>
      </c>
      <c r="AM38" s="21">
        <f t="shared" si="8"/>
        <v>4597.7056451602866</v>
      </c>
      <c r="AN38" s="21">
        <f t="shared" si="8"/>
        <v>4574.1922899103183</v>
      </c>
      <c r="AO38" s="21">
        <f t="shared" si="8"/>
        <v>4550.7991854806041</v>
      </c>
      <c r="AP38" s="21">
        <f t="shared" si="8"/>
        <v>4527.5257168904382</v>
      </c>
      <c r="AQ38" s="21">
        <f t="shared" si="8"/>
        <v>4587.3036146655322</v>
      </c>
      <c r="AR38" s="21"/>
      <c r="AS38" s="7">
        <f>ROW()</f>
        <v>38</v>
      </c>
    </row>
    <row r="39" spans="2:45" ht="13.95" customHeight="1">
      <c r="B39" s="92" t="s">
        <v>1165</v>
      </c>
      <c r="AS39" s="7">
        <f>ROW()</f>
        <v>39</v>
      </c>
    </row>
    <row r="40" spans="2:45" ht="13.95" customHeight="1">
      <c r="B40" s="1028" t="s">
        <v>1164</v>
      </c>
      <c r="I40" s="21">
        <f t="shared" ref="I40:S40" si="9">I37</f>
        <v>50098.40334638796</v>
      </c>
      <c r="J40" s="21">
        <f t="shared" si="9"/>
        <v>51635.579839410908</v>
      </c>
      <c r="K40" s="21">
        <f t="shared" si="9"/>
        <v>54591.121994632289</v>
      </c>
      <c r="L40" s="21">
        <f t="shared" si="9"/>
        <v>52126.533685793198</v>
      </c>
      <c r="M40" s="21">
        <f t="shared" si="9"/>
        <v>46708.857990964629</v>
      </c>
      <c r="N40" s="21">
        <f t="shared" si="9"/>
        <v>49033.033499738391</v>
      </c>
      <c r="O40" s="21">
        <f t="shared" si="9"/>
        <v>48558.772084133096</v>
      </c>
      <c r="P40" s="21">
        <f t="shared" si="9"/>
        <v>47299.966422008911</v>
      </c>
      <c r="Q40" s="21">
        <f t="shared" si="9"/>
        <v>47360.353745113935</v>
      </c>
      <c r="R40" s="21">
        <f t="shared" si="9"/>
        <v>47381.464760508374</v>
      </c>
      <c r="S40" s="21">
        <f t="shared" si="9"/>
        <v>47139.435900602482</v>
      </c>
      <c r="T40" s="21">
        <f>Freight!T68</f>
        <v>45297.01983950795</v>
      </c>
      <c r="U40" s="21">
        <f>Freight!U68</f>
        <v>43972.420494253238</v>
      </c>
      <c r="V40" s="21">
        <f>Freight!V68</f>
        <v>42787.253903365265</v>
      </c>
      <c r="W40" s="21">
        <f>Freight!W68</f>
        <v>41719.944968845288</v>
      </c>
      <c r="X40" s="21">
        <f>Freight!X68</f>
        <v>40676.668152930586</v>
      </c>
      <c r="Y40" s="21">
        <f>Freight!Y68</f>
        <v>39882.216544327828</v>
      </c>
      <c r="Z40" s="21">
        <f>Freight!Z68</f>
        <v>39154.162435961414</v>
      </c>
      <c r="AA40" s="21">
        <f>Freight!AA68</f>
        <v>38484.585002796441</v>
      </c>
      <c r="AB40" s="21">
        <f>Freight!AB68</f>
        <v>37866.811544339493</v>
      </c>
      <c r="AC40" s="21">
        <f>Freight!AC68</f>
        <v>37295.175431090836</v>
      </c>
      <c r="AD40" s="21">
        <f>Freight!AD68</f>
        <v>36764.828990846217</v>
      </c>
      <c r="AE40" s="21">
        <f>Freight!AE68</f>
        <v>36271.597189817658</v>
      </c>
      <c r="AF40" s="21">
        <f>Freight!AF68</f>
        <v>35811.862004373812</v>
      </c>
      <c r="AG40" s="21">
        <f>Freight!AG68</f>
        <v>35382.470159996679</v>
      </c>
      <c r="AH40" s="21">
        <f>Freight!AH68</f>
        <v>34956.65728595604</v>
      </c>
      <c r="AI40" s="21">
        <f>Freight!AI68</f>
        <v>34563.234317204369</v>
      </c>
      <c r="AJ40" s="21">
        <f>Freight!AJ68</f>
        <v>34193.215755093726</v>
      </c>
      <c r="AK40" s="21">
        <f>Freight!AK68</f>
        <v>33844.643933904379</v>
      </c>
      <c r="AL40" s="21">
        <f>Freight!AL68</f>
        <v>33515.773599059285</v>
      </c>
      <c r="AM40" s="21">
        <f>Freight!AM68</f>
        <v>33205.042946026275</v>
      </c>
      <c r="AN40" s="21">
        <f>Freight!AN68</f>
        <v>32911.04933737962</v>
      </c>
      <c r="AO40" s="21">
        <f>Freight!AO68</f>
        <v>32632.528831638479</v>
      </c>
      <c r="AP40" s="21">
        <f>Freight!AP68</f>
        <v>32368.338837432206</v>
      </c>
      <c r="AQ40" s="21">
        <f>Freight!AQ68</f>
        <v>32708.774442618353</v>
      </c>
      <c r="AR40" s="21"/>
      <c r="AS40" s="7">
        <f>ROW()</f>
        <v>40</v>
      </c>
    </row>
    <row r="41" spans="2:45" ht="13.95" customHeight="1">
      <c r="B41" s="1028" t="s">
        <v>1214</v>
      </c>
      <c r="I41" s="21">
        <f t="shared" ref="I41:AQ41" si="10">I40*$Q$97*I20</f>
        <v>4314.5508369457802</v>
      </c>
      <c r="J41" s="21">
        <f t="shared" si="10"/>
        <v>4483.5947470887168</v>
      </c>
      <c r="K41" s="21">
        <f t="shared" si="10"/>
        <v>4821.1549480862859</v>
      </c>
      <c r="L41" s="21">
        <f t="shared" si="10"/>
        <v>4747.1204446675993</v>
      </c>
      <c r="M41" s="21">
        <f t="shared" si="10"/>
        <v>4411.7009266239029</v>
      </c>
      <c r="N41" s="21">
        <f t="shared" si="10"/>
        <v>4750.7694557998184</v>
      </c>
      <c r="O41" s="21">
        <f t="shared" si="10"/>
        <v>4886.0763775403457</v>
      </c>
      <c r="P41" s="21">
        <f t="shared" si="10"/>
        <v>4918.3787483046153</v>
      </c>
      <c r="Q41" s="21">
        <f t="shared" si="10"/>
        <v>4988.2529896557844</v>
      </c>
      <c r="R41" s="21">
        <f t="shared" si="10"/>
        <v>5132.5261249719942</v>
      </c>
      <c r="S41" s="21">
        <f t="shared" si="10"/>
        <v>5174.0656645474392</v>
      </c>
      <c r="T41" s="21">
        <f t="shared" si="10"/>
        <v>4971.8404681827515</v>
      </c>
      <c r="U41" s="21">
        <f t="shared" si="10"/>
        <v>4826.4512869032869</v>
      </c>
      <c r="V41" s="21">
        <f t="shared" si="10"/>
        <v>4696.3663665488657</v>
      </c>
      <c r="W41" s="21">
        <f t="shared" si="10"/>
        <v>4579.2176055155596</v>
      </c>
      <c r="X41" s="21">
        <f t="shared" si="10"/>
        <v>4464.7066308143612</v>
      </c>
      <c r="Y41" s="21">
        <f t="shared" si="10"/>
        <v>4377.5069282365994</v>
      </c>
      <c r="Z41" s="21">
        <f t="shared" si="10"/>
        <v>4297.5950732883475</v>
      </c>
      <c r="AA41" s="21">
        <f t="shared" si="10"/>
        <v>4224.1016692942949</v>
      </c>
      <c r="AB41" s="21">
        <f t="shared" si="10"/>
        <v>4156.2943148191443</v>
      </c>
      <c r="AC41" s="21">
        <f t="shared" si="10"/>
        <v>4093.5510356587456</v>
      </c>
      <c r="AD41" s="21">
        <f t="shared" si="10"/>
        <v>4035.3397470771279</v>
      </c>
      <c r="AE41" s="21">
        <f t="shared" si="10"/>
        <v>3981.2021937184941</v>
      </c>
      <c r="AF41" s="21">
        <f t="shared" si="10"/>
        <v>3930.7412581484323</v>
      </c>
      <c r="AG41" s="21">
        <f t="shared" si="10"/>
        <v>3883.610834201208</v>
      </c>
      <c r="AH41" s="21">
        <f t="shared" si="10"/>
        <v>3836.8732411646356</v>
      </c>
      <c r="AI41" s="21">
        <f t="shared" si="10"/>
        <v>3793.6907924277743</v>
      </c>
      <c r="AJ41" s="21">
        <f t="shared" si="10"/>
        <v>3753.0772318094673</v>
      </c>
      <c r="AK41" s="21">
        <f t="shared" si="10"/>
        <v>3714.8176842101393</v>
      </c>
      <c r="AL41" s="21">
        <f t="shared" si="10"/>
        <v>3678.720588962793</v>
      </c>
      <c r="AM41" s="21">
        <f t="shared" si="10"/>
        <v>3644.6145210376158</v>
      </c>
      <c r="AN41" s="21">
        <f t="shared" si="10"/>
        <v>3612.3455257254418</v>
      </c>
      <c r="AO41" s="21">
        <f t="shared" si="10"/>
        <v>3581.77487170518</v>
      </c>
      <c r="AP41" s="21">
        <f t="shared" si="10"/>
        <v>3552.7771471498427</v>
      </c>
      <c r="AQ41" s="21">
        <f t="shared" si="10"/>
        <v>3590.1436565730187</v>
      </c>
      <c r="AR41" s="21"/>
      <c r="AS41" s="7">
        <f>ROW()</f>
        <v>41</v>
      </c>
    </row>
    <row r="42" spans="2:45" ht="13.95" customHeight="1">
      <c r="B42" s="92" t="s">
        <v>1166</v>
      </c>
      <c r="AS42" s="7">
        <f>ROW()</f>
        <v>42</v>
      </c>
    </row>
    <row r="43" spans="2:45" ht="13.95" customHeight="1">
      <c r="B43" s="1028" t="s">
        <v>1164</v>
      </c>
      <c r="I43" s="36">
        <f>I40-I37</f>
        <v>0</v>
      </c>
      <c r="J43" s="36">
        <f t="shared" ref="J43:AQ43" si="11">J40-J37</f>
        <v>0</v>
      </c>
      <c r="K43" s="36">
        <f t="shared" si="11"/>
        <v>0</v>
      </c>
      <c r="L43" s="36">
        <f t="shared" si="11"/>
        <v>0</v>
      </c>
      <c r="M43" s="36">
        <f t="shared" si="11"/>
        <v>0</v>
      </c>
      <c r="N43" s="36">
        <f t="shared" si="11"/>
        <v>0</v>
      </c>
      <c r="O43" s="36">
        <f t="shared" si="11"/>
        <v>0</v>
      </c>
      <c r="P43" s="36">
        <f t="shared" si="11"/>
        <v>0</v>
      </c>
      <c r="Q43" s="36">
        <f t="shared" si="11"/>
        <v>0</v>
      </c>
      <c r="R43" s="36">
        <f t="shared" si="11"/>
        <v>0</v>
      </c>
      <c r="S43" s="36">
        <f t="shared" si="11"/>
        <v>0</v>
      </c>
      <c r="T43" s="36">
        <f t="shared" si="11"/>
        <v>-1151.1058902235964</v>
      </c>
      <c r="U43" s="36">
        <f t="shared" si="11"/>
        <v>-2137.7854332578063</v>
      </c>
      <c r="V43" s="36">
        <f t="shared" si="11"/>
        <v>-2987.4906589652819</v>
      </c>
      <c r="W43" s="36">
        <f t="shared" si="11"/>
        <v>-3721.7787797025521</v>
      </c>
      <c r="X43" s="36">
        <f t="shared" si="11"/>
        <v>-4343.9044892535167</v>
      </c>
      <c r="Y43" s="36">
        <f t="shared" si="11"/>
        <v>-4933.3119569073169</v>
      </c>
      <c r="Z43" s="36">
        <f t="shared" si="11"/>
        <v>-5457.2557884955386</v>
      </c>
      <c r="AA43" s="36">
        <f t="shared" si="11"/>
        <v>-5923.652555811379</v>
      </c>
      <c r="AB43" s="36">
        <f t="shared" si="11"/>
        <v>-6339.1707254777502</v>
      </c>
      <c r="AC43" s="36">
        <f t="shared" si="11"/>
        <v>-6709.4727124068668</v>
      </c>
      <c r="AD43" s="36">
        <f t="shared" si="11"/>
        <v>-7039.4019934105963</v>
      </c>
      <c r="AE43" s="36">
        <f t="shared" si="11"/>
        <v>-7333.1294259922652</v>
      </c>
      <c r="AF43" s="36">
        <f t="shared" si="11"/>
        <v>-7594.2688765192361</v>
      </c>
      <c r="AG43" s="36">
        <f t="shared" si="11"/>
        <v>-7825.9694811796362</v>
      </c>
      <c r="AH43" s="36">
        <f t="shared" si="11"/>
        <v>-8019.4759786488212</v>
      </c>
      <c r="AI43" s="36">
        <f t="shared" si="11"/>
        <v>-8193.1125655157957</v>
      </c>
      <c r="AJ43" s="36">
        <f t="shared" si="11"/>
        <v>-8344.4687662152573</v>
      </c>
      <c r="AK43" s="36">
        <f t="shared" si="11"/>
        <v>-8475.4964980579098</v>
      </c>
      <c r="AL43" s="36">
        <f t="shared" si="11"/>
        <v>-8587.9352966099468</v>
      </c>
      <c r="AM43" s="36">
        <f t="shared" si="11"/>
        <v>-8683.3412766406327</v>
      </c>
      <c r="AN43" s="36">
        <f t="shared" si="11"/>
        <v>-8763.111414911029</v>
      </c>
      <c r="AO43" s="36">
        <f t="shared" si="11"/>
        <v>-8828.5040211868509</v>
      </c>
      <c r="AP43" s="36">
        <f t="shared" si="11"/>
        <v>-8880.6560839250124</v>
      </c>
      <c r="AQ43" s="36">
        <f t="shared" si="11"/>
        <v>-9084.8398483286255</v>
      </c>
      <c r="AR43" s="36"/>
      <c r="AS43" s="7">
        <f>ROW()</f>
        <v>43</v>
      </c>
    </row>
    <row r="44" spans="2:45" ht="13.95" customHeight="1">
      <c r="B44" s="1028" t="s">
        <v>1214</v>
      </c>
      <c r="I44" s="36">
        <f t="shared" ref="I44" si="12">I41-I38</f>
        <v>0</v>
      </c>
      <c r="J44" s="36">
        <f t="shared" ref="J44:AQ44" si="13">J41-J38</f>
        <v>0</v>
      </c>
      <c r="K44" s="36">
        <f t="shared" si="13"/>
        <v>0</v>
      </c>
      <c r="L44" s="36">
        <f t="shared" si="13"/>
        <v>0</v>
      </c>
      <c r="M44" s="36">
        <f t="shared" si="13"/>
        <v>0</v>
      </c>
      <c r="N44" s="36">
        <f t="shared" si="13"/>
        <v>0</v>
      </c>
      <c r="O44" s="36">
        <f t="shared" si="13"/>
        <v>0</v>
      </c>
      <c r="P44" s="36">
        <f t="shared" si="13"/>
        <v>0</v>
      </c>
      <c r="Q44" s="36">
        <f t="shared" si="13"/>
        <v>0</v>
      </c>
      <c r="R44" s="36">
        <f t="shared" si="13"/>
        <v>0</v>
      </c>
      <c r="S44" s="36">
        <f t="shared" si="13"/>
        <v>0</v>
      </c>
      <c r="T44" s="36">
        <f t="shared" si="13"/>
        <v>-126.34638809473108</v>
      </c>
      <c r="U44" s="36">
        <f t="shared" si="13"/>
        <v>-234.64519668228604</v>
      </c>
      <c r="V44" s="36">
        <f t="shared" si="13"/>
        <v>-327.90958454195061</v>
      </c>
      <c r="W44" s="36">
        <f t="shared" si="13"/>
        <v>-408.50569013393942</v>
      </c>
      <c r="X44" s="36">
        <f t="shared" si="13"/>
        <v>-476.79075149121218</v>
      </c>
      <c r="Y44" s="36">
        <f t="shared" si="13"/>
        <v>-541.48463003583129</v>
      </c>
      <c r="Z44" s="36">
        <f t="shared" si="13"/>
        <v>-598.99316269812789</v>
      </c>
      <c r="AA44" s="36">
        <f t="shared" si="13"/>
        <v>-650.18527931388871</v>
      </c>
      <c r="AB44" s="36">
        <f t="shared" si="13"/>
        <v>-695.79291660508625</v>
      </c>
      <c r="AC44" s="36">
        <f t="shared" si="13"/>
        <v>-736.43758617906315</v>
      </c>
      <c r="AD44" s="36">
        <f t="shared" si="13"/>
        <v>-772.65091228185611</v>
      </c>
      <c r="AE44" s="36">
        <f t="shared" si="13"/>
        <v>-804.89069187661016</v>
      </c>
      <c r="AF44" s="36">
        <f t="shared" si="13"/>
        <v>-833.55358609281211</v>
      </c>
      <c r="AG44" s="36">
        <f t="shared" si="13"/>
        <v>-858.98524686949304</v>
      </c>
      <c r="AH44" s="36">
        <f t="shared" si="13"/>
        <v>-880.22468907523626</v>
      </c>
      <c r="AI44" s="36">
        <f t="shared" si="13"/>
        <v>-899.28319253531072</v>
      </c>
      <c r="AJ44" s="36">
        <f t="shared" si="13"/>
        <v>-915.89618134592683</v>
      </c>
      <c r="AK44" s="36">
        <f t="shared" si="13"/>
        <v>-930.27789965626289</v>
      </c>
      <c r="AL44" s="36">
        <f t="shared" si="13"/>
        <v>-942.61928040968905</v>
      </c>
      <c r="AM44" s="36">
        <f t="shared" si="13"/>
        <v>-953.09112412267086</v>
      </c>
      <c r="AN44" s="36">
        <f t="shared" si="13"/>
        <v>-961.84676418487652</v>
      </c>
      <c r="AO44" s="36">
        <f t="shared" si="13"/>
        <v>-969.02431377542416</v>
      </c>
      <c r="AP44" s="36">
        <f t="shared" si="13"/>
        <v>-974.74856974059549</v>
      </c>
      <c r="AQ44" s="36">
        <f t="shared" si="13"/>
        <v>-997.15995809251353</v>
      </c>
      <c r="AR44" s="36"/>
      <c r="AS44" s="7">
        <f>ROW()</f>
        <v>44</v>
      </c>
    </row>
    <row r="45" spans="2:45" ht="13.95" customHeight="1">
      <c r="B45" s="84" t="str">
        <f>CONCATENATE("Rows ",AS37, " and ",AS40, " are copied from Rows ",Freight!AS44, " and ",Freight!AS68, " of 'Freight' tab. Rows ",AS38, " and ",AS41, " multiply their respective preceding rows by refinery fuel factor for diesel in Cell Q", ,AS97, " and ratio of domestic refinery production to product supplied given in Row ",$AS$20, ". Impact rows are differences between respective preceding rows.")</f>
        <v>Rows 37 and 40 are copied from Rows 44 and 68 of 'Freight' tab. Rows 38 and 41 multiply their respective preceding rows by refinery fuel factor for diesel in Cell Q97 and ratio of domestic refinery production to product supplied given in Row 20. Impact rows are differences between respective preceding rows.</v>
      </c>
      <c r="AS45" s="7">
        <f>ROW()</f>
        <v>45</v>
      </c>
    </row>
    <row r="46" spans="2:45" ht="13.95" customHeight="1">
      <c r="AS46" s="7">
        <f>ROW()</f>
        <v>46</v>
      </c>
    </row>
    <row r="47" spans="2:45" ht="13.95" customHeight="1">
      <c r="B47" s="8" t="s">
        <v>9</v>
      </c>
      <c r="AS47" s="7">
        <f>ROW()</f>
        <v>47</v>
      </c>
    </row>
    <row r="48" spans="2:45" ht="13.95" customHeight="1">
      <c r="B48" s="92" t="s">
        <v>1163</v>
      </c>
      <c r="AS48" s="7">
        <f>ROW()</f>
        <v>48</v>
      </c>
    </row>
    <row r="49" spans="2:45" ht="13.95" customHeight="1">
      <c r="B49" s="1028" t="s">
        <v>1164</v>
      </c>
      <c r="I49" s="21">
        <f>Aviation!I44</f>
        <v>24298.829507327588</v>
      </c>
      <c r="J49" s="21">
        <f>Aviation!J44</f>
        <v>24037.551770689657</v>
      </c>
      <c r="K49" s="21">
        <f>Aviation!K44</f>
        <v>23891.236238172416</v>
      </c>
      <c r="L49" s="21">
        <f>Aviation!L44</f>
        <v>22323.569818344829</v>
      </c>
      <c r="M49" s="21">
        <f>Aviation!M44</f>
        <v>20201.99459684483</v>
      </c>
      <c r="N49" s="21">
        <f>Aviation!N44</f>
        <v>20985.827806758625</v>
      </c>
      <c r="O49" s="21">
        <f>Aviation!O44</f>
        <v>21079.88779194828</v>
      </c>
      <c r="P49" s="21">
        <f>Aviation!P44</f>
        <v>20640.941194396553</v>
      </c>
      <c r="Q49" s="21">
        <f>Aviation!Q44</f>
        <v>21299.361090724142</v>
      </c>
      <c r="R49" s="21">
        <f>Aviation!R44</f>
        <v>21330.714419120693</v>
      </c>
      <c r="S49" s="21">
        <f>Aviation!S44</f>
        <v>22308.774260995495</v>
      </c>
      <c r="T49" s="21">
        <f>Aviation!T44</f>
        <v>21223.672909298937</v>
      </c>
      <c r="U49" s="21">
        <f>Aviation!U44</f>
        <v>20528.546574341493</v>
      </c>
      <c r="V49" s="21">
        <f>Aviation!V44</f>
        <v>19856.187298771762</v>
      </c>
      <c r="W49" s="21">
        <f>Aviation!W44</f>
        <v>19205.849406635458</v>
      </c>
      <c r="X49" s="21">
        <f>Aviation!X44</f>
        <v>18602.643418950403</v>
      </c>
      <c r="Y49" s="21">
        <f>Aviation!Y44</f>
        <v>18376.808896837283</v>
      </c>
      <c r="Z49" s="21">
        <f>Aviation!Z44</f>
        <v>18153.715986775176</v>
      </c>
      <c r="AA49" s="21">
        <f>Aviation!AA44</f>
        <v>17933.331405825011</v>
      </c>
      <c r="AB49" s="21">
        <f>Aviation!AB44</f>
        <v>17715.622275099806</v>
      </c>
      <c r="AC49" s="21">
        <f>Aviation!AC44</f>
        <v>17500.556114859475</v>
      </c>
      <c r="AD49" s="21">
        <f>Aviation!AD44</f>
        <v>17288.100839665251</v>
      </c>
      <c r="AE49" s="21">
        <f>Aviation!AE44</f>
        <v>17078.22475359288</v>
      </c>
      <c r="AF49" s="21">
        <f>Aviation!AF44</f>
        <v>16870.896545503965</v>
      </c>
      <c r="AG49" s="21">
        <f>Aviation!AG44</f>
        <v>16666.085284374672</v>
      </c>
      <c r="AH49" s="21">
        <f>Aviation!AH44</f>
        <v>16477.354814868719</v>
      </c>
      <c r="AI49" s="21">
        <f>Aviation!AI44</f>
        <v>16301.777816285135</v>
      </c>
      <c r="AJ49" s="21">
        <f>Aviation!AJ44</f>
        <v>16128.071705521719</v>
      </c>
      <c r="AK49" s="21">
        <f>Aviation!AK44</f>
        <v>15956.216547044398</v>
      </c>
      <c r="AL49" s="21">
        <f>Aviation!AL44</f>
        <v>15786.192617745281</v>
      </c>
      <c r="AM49" s="21">
        <f>Aviation!AM44</f>
        <v>15617.980404679081</v>
      </c>
      <c r="AN49" s="21">
        <f>Aviation!AN44</f>
        <v>15451.560602823734</v>
      </c>
      <c r="AO49" s="21">
        <f>Aviation!AO44</f>
        <v>15286.914112864801</v>
      </c>
      <c r="AP49" s="21">
        <f>Aviation!AP44</f>
        <v>15124.022039003541</v>
      </c>
      <c r="AQ49" s="21">
        <f>Aviation!AQ44</f>
        <v>15201.030275870922</v>
      </c>
      <c r="AR49" s="21"/>
      <c r="AS49" s="7">
        <f>ROW()</f>
        <v>49</v>
      </c>
    </row>
    <row r="50" spans="2:45" ht="13.95" customHeight="1">
      <c r="B50" s="1028" t="s">
        <v>1214</v>
      </c>
      <c r="I50" s="21">
        <f t="shared" ref="I50:AQ50" si="14">I49*$Q$98</f>
        <v>2084.2644202810861</v>
      </c>
      <c r="J50" s="21">
        <f t="shared" si="14"/>
        <v>2061.8529749017198</v>
      </c>
      <c r="K50" s="21">
        <f t="shared" si="14"/>
        <v>2049.3025654892745</v>
      </c>
      <c r="L50" s="21">
        <f t="shared" si="14"/>
        <v>1914.8338932130753</v>
      </c>
      <c r="M50" s="21">
        <f t="shared" si="14"/>
        <v>1732.8529567326193</v>
      </c>
      <c r="N50" s="21">
        <f t="shared" si="14"/>
        <v>1800.087292870719</v>
      </c>
      <c r="O50" s="21">
        <f t="shared" si="14"/>
        <v>1808.1554132072908</v>
      </c>
      <c r="P50" s="21">
        <f t="shared" si="14"/>
        <v>1770.5041849699548</v>
      </c>
      <c r="Q50" s="21">
        <f t="shared" si="14"/>
        <v>1826.9810273259586</v>
      </c>
      <c r="R50" s="21">
        <f t="shared" si="14"/>
        <v>1829.6704007714827</v>
      </c>
      <c r="S50" s="21">
        <f t="shared" si="14"/>
        <v>1913.5647846022202</v>
      </c>
      <c r="T50" s="21">
        <f t="shared" si="14"/>
        <v>1820.4887728931778</v>
      </c>
      <c r="U50" s="21">
        <f t="shared" si="14"/>
        <v>1760.863386941345</v>
      </c>
      <c r="V50" s="21">
        <f t="shared" si="14"/>
        <v>1703.1908757904125</v>
      </c>
      <c r="W50" s="21">
        <f t="shared" si="14"/>
        <v>1647.407278093596</v>
      </c>
      <c r="X50" s="21">
        <f t="shared" si="14"/>
        <v>1595.6664821901004</v>
      </c>
      <c r="Y50" s="21">
        <f t="shared" si="14"/>
        <v>1576.2952256787687</v>
      </c>
      <c r="Z50" s="21">
        <f t="shared" si="14"/>
        <v>1557.159134587665</v>
      </c>
      <c r="AA50" s="21">
        <f t="shared" si="14"/>
        <v>1538.2553540284218</v>
      </c>
      <c r="AB50" s="21">
        <f t="shared" si="14"/>
        <v>1519.5810637707766</v>
      </c>
      <c r="AC50" s="21">
        <f t="shared" si="14"/>
        <v>1501.1334778218231</v>
      </c>
      <c r="AD50" s="21">
        <f t="shared" si="14"/>
        <v>1482.9098440103751</v>
      </c>
      <c r="AE50" s="21">
        <f t="shared" si="14"/>
        <v>1464.9074435763714</v>
      </c>
      <c r="AF50" s="21">
        <f t="shared" si="14"/>
        <v>1447.1235907652701</v>
      </c>
      <c r="AG50" s="21">
        <f t="shared" si="14"/>
        <v>1429.5556324273612</v>
      </c>
      <c r="AH50" s="21">
        <f t="shared" si="14"/>
        <v>1413.3670253796192</v>
      </c>
      <c r="AI50" s="21">
        <f t="shared" si="14"/>
        <v>1398.3066747953596</v>
      </c>
      <c r="AJ50" s="21">
        <f t="shared" si="14"/>
        <v>1383.4068021022979</v>
      </c>
      <c r="AK50" s="21">
        <f t="shared" si="14"/>
        <v>1368.6656973034831</v>
      </c>
      <c r="AL50" s="21">
        <f t="shared" si="14"/>
        <v>1354.0816686231028</v>
      </c>
      <c r="AM50" s="21">
        <f t="shared" si="14"/>
        <v>1339.6530423123213</v>
      </c>
      <c r="AN50" s="21">
        <f t="shared" si="14"/>
        <v>1325.3781624571939</v>
      </c>
      <c r="AO50" s="21">
        <f t="shared" si="14"/>
        <v>1311.2553907886208</v>
      </c>
      <c r="AP50" s="21">
        <f t="shared" si="14"/>
        <v>1297.2831064943325</v>
      </c>
      <c r="AQ50" s="21">
        <f t="shared" si="14"/>
        <v>1303.8885904384401</v>
      </c>
      <c r="AR50" s="21"/>
      <c r="AS50" s="7">
        <f>ROW()</f>
        <v>50</v>
      </c>
    </row>
    <row r="51" spans="2:45" ht="13.95" customHeight="1">
      <c r="B51" s="92" t="s">
        <v>1165</v>
      </c>
      <c r="AS51" s="7">
        <f>ROW()</f>
        <v>51</v>
      </c>
    </row>
    <row r="52" spans="2:45" ht="13.95" customHeight="1">
      <c r="B52" s="1028" t="s">
        <v>1164</v>
      </c>
      <c r="I52" s="21">
        <f>I49</f>
        <v>24298.829507327588</v>
      </c>
      <c r="J52" s="21">
        <f t="shared" ref="J52:S52" si="15">J49</f>
        <v>24037.551770689657</v>
      </c>
      <c r="K52" s="21">
        <f t="shared" si="15"/>
        <v>23891.236238172416</v>
      </c>
      <c r="L52" s="21">
        <f t="shared" si="15"/>
        <v>22323.569818344829</v>
      </c>
      <c r="M52" s="21">
        <f t="shared" si="15"/>
        <v>20201.99459684483</v>
      </c>
      <c r="N52" s="21">
        <f t="shared" si="15"/>
        <v>20985.827806758625</v>
      </c>
      <c r="O52" s="21">
        <f t="shared" si="15"/>
        <v>21079.88779194828</v>
      </c>
      <c r="P52" s="21">
        <f t="shared" si="15"/>
        <v>20640.941194396553</v>
      </c>
      <c r="Q52" s="21">
        <f t="shared" si="15"/>
        <v>21299.361090724142</v>
      </c>
      <c r="R52" s="21">
        <f t="shared" si="15"/>
        <v>21330.714419120693</v>
      </c>
      <c r="S52" s="21">
        <f t="shared" si="15"/>
        <v>22308.774260995495</v>
      </c>
      <c r="T52" s="21">
        <f>Aviation!T68</f>
        <v>20501.099214880567</v>
      </c>
      <c r="U52" s="21">
        <f>Aviation!U68</f>
        <v>19255.42397067873</v>
      </c>
      <c r="V52" s="21">
        <f>Aviation!V68</f>
        <v>18164.700615960184</v>
      </c>
      <c r="W52" s="21">
        <f>Aviation!W68</f>
        <v>17199.109856639388</v>
      </c>
      <c r="X52" s="21">
        <f>Aviation!X68</f>
        <v>16361.292908026277</v>
      </c>
      <c r="Y52" s="21">
        <f>Aviation!Y68</f>
        <v>15856.486550015701</v>
      </c>
      <c r="Z52" s="21">
        <f>Aviation!Z68</f>
        <v>15392.582844594819</v>
      </c>
      <c r="AA52" s="21">
        <f>Aviation!AA68</f>
        <v>14964.446516685635</v>
      </c>
      <c r="AB52" s="21">
        <f>Aviation!AB68</f>
        <v>14567.787980878824</v>
      </c>
      <c r="AC52" s="21">
        <f>Aviation!AC68</f>
        <v>14198.993079461818</v>
      </c>
      <c r="AD52" s="21">
        <f>Aviation!AD68</f>
        <v>13854.992806889724</v>
      </c>
      <c r="AE52" s="21">
        <f>Aviation!AE68</f>
        <v>13533.162398120343</v>
      </c>
      <c r="AF52" s="21">
        <f>Aviation!AF68</f>
        <v>13231.242282096542</v>
      </c>
      <c r="AG52" s="21">
        <f>Aviation!AG68</f>
        <v>12947.275524682336</v>
      </c>
      <c r="AH52" s="21">
        <f>Aviation!AH68</f>
        <v>12692.075216575944</v>
      </c>
      <c r="AI52" s="21">
        <f>Aviation!AI68</f>
        <v>12456.854322820334</v>
      </c>
      <c r="AJ52" s="21">
        <f>Aviation!AJ68</f>
        <v>12234.384587342844</v>
      </c>
      <c r="AK52" s="21">
        <f>Aviation!AK68</f>
        <v>12023.564438080166</v>
      </c>
      <c r="AL52" s="21">
        <f>Aviation!AL68</f>
        <v>11823.416363697901</v>
      </c>
      <c r="AM52" s="21">
        <f>Aviation!AM68</f>
        <v>11633.069577492064</v>
      </c>
      <c r="AN52" s="21">
        <f>Aviation!AN68</f>
        <v>11451.745545193737</v>
      </c>
      <c r="AO52" s="21">
        <f>Aviation!AO68</f>
        <v>11278.745835220892</v>
      </c>
      <c r="AP52" s="21">
        <f>Aviation!AP68</f>
        <v>11113.441864508262</v>
      </c>
      <c r="AQ52" s="21">
        <f>Aviation!AQ68</f>
        <v>11129.641653316874</v>
      </c>
      <c r="AR52" s="21"/>
      <c r="AS52" s="7">
        <f>ROW()</f>
        <v>52</v>
      </c>
    </row>
    <row r="53" spans="2:45" ht="13.95" customHeight="1">
      <c r="B53" s="1028" t="s">
        <v>1214</v>
      </c>
      <c r="I53" s="21">
        <f t="shared" ref="I53:AQ53" si="16">I52*$Q$98</f>
        <v>2084.2644202810861</v>
      </c>
      <c r="J53" s="21">
        <f t="shared" si="16"/>
        <v>2061.8529749017198</v>
      </c>
      <c r="K53" s="21">
        <f t="shared" si="16"/>
        <v>2049.3025654892745</v>
      </c>
      <c r="L53" s="21">
        <f t="shared" si="16"/>
        <v>1914.8338932130753</v>
      </c>
      <c r="M53" s="21">
        <f t="shared" si="16"/>
        <v>1732.8529567326193</v>
      </c>
      <c r="N53" s="21">
        <f t="shared" si="16"/>
        <v>1800.087292870719</v>
      </c>
      <c r="O53" s="21">
        <f t="shared" si="16"/>
        <v>1808.1554132072908</v>
      </c>
      <c r="P53" s="21">
        <f t="shared" si="16"/>
        <v>1770.5041849699548</v>
      </c>
      <c r="Q53" s="21">
        <f t="shared" si="16"/>
        <v>1826.9810273259586</v>
      </c>
      <c r="R53" s="21">
        <f t="shared" si="16"/>
        <v>1829.6704007714827</v>
      </c>
      <c r="S53" s="21">
        <f t="shared" si="16"/>
        <v>1913.5647846022202</v>
      </c>
      <c r="T53" s="21">
        <f t="shared" si="16"/>
        <v>1758.5090531765097</v>
      </c>
      <c r="U53" s="21">
        <f t="shared" si="16"/>
        <v>1651.6596022623457</v>
      </c>
      <c r="V53" s="21">
        <f t="shared" si="16"/>
        <v>1558.101355766401</v>
      </c>
      <c r="W53" s="21">
        <f t="shared" si="16"/>
        <v>1475.2765240765607</v>
      </c>
      <c r="X53" s="21">
        <f t="shared" si="16"/>
        <v>1403.4116609490516</v>
      </c>
      <c r="Y53" s="21">
        <f t="shared" si="16"/>
        <v>1360.1112241598707</v>
      </c>
      <c r="Z53" s="21">
        <f t="shared" si="16"/>
        <v>1320.3192668002077</v>
      </c>
      <c r="AA53" s="21">
        <f t="shared" si="16"/>
        <v>1283.5953038199411</v>
      </c>
      <c r="AB53" s="21">
        <f t="shared" si="16"/>
        <v>1249.5713903251115</v>
      </c>
      <c r="AC53" s="21">
        <f t="shared" si="16"/>
        <v>1217.9375171308188</v>
      </c>
      <c r="AD53" s="21">
        <f t="shared" si="16"/>
        <v>1188.4304362044395</v>
      </c>
      <c r="AE53" s="21">
        <f t="shared" si="16"/>
        <v>1160.8250048333416</v>
      </c>
      <c r="AF53" s="21">
        <f t="shared" si="16"/>
        <v>1134.9274053046984</v>
      </c>
      <c r="AG53" s="21">
        <f t="shared" si="16"/>
        <v>1110.5697789901249</v>
      </c>
      <c r="AH53" s="21">
        <f t="shared" si="16"/>
        <v>1088.6796331264929</v>
      </c>
      <c r="AI53" s="21">
        <f t="shared" si="16"/>
        <v>1068.5032481029391</v>
      </c>
      <c r="AJ53" s="21">
        <f t="shared" si="16"/>
        <v>1049.4206106407005</v>
      </c>
      <c r="AK53" s="21">
        <f t="shared" si="16"/>
        <v>1031.3372319308723</v>
      </c>
      <c r="AL53" s="21">
        <f t="shared" si="16"/>
        <v>1014.1692646385826</v>
      </c>
      <c r="AM53" s="21">
        <f t="shared" si="16"/>
        <v>997.84201587608413</v>
      </c>
      <c r="AN53" s="21">
        <f t="shared" si="16"/>
        <v>982.28870583095068</v>
      </c>
      <c r="AO53" s="21">
        <f t="shared" si="16"/>
        <v>967.44942560526704</v>
      </c>
      <c r="AP53" s="21">
        <f t="shared" si="16"/>
        <v>953.27025765054623</v>
      </c>
      <c r="AQ53" s="21">
        <f t="shared" si="16"/>
        <v>954.65981608255527</v>
      </c>
      <c r="AR53" s="21"/>
      <c r="AS53" s="7">
        <f>ROW()</f>
        <v>53</v>
      </c>
    </row>
    <row r="54" spans="2:45" ht="13.95" customHeight="1">
      <c r="B54" s="92" t="s">
        <v>1166</v>
      </c>
      <c r="AS54" s="7">
        <f>ROW()</f>
        <v>54</v>
      </c>
    </row>
    <row r="55" spans="2:45" ht="13.95" customHeight="1">
      <c r="B55" s="1028" t="s">
        <v>1164</v>
      </c>
      <c r="I55" s="36">
        <f>I52-I49</f>
        <v>0</v>
      </c>
      <c r="J55" s="36">
        <f t="shared" ref="J55:S55" si="17">J52-J49</f>
        <v>0</v>
      </c>
      <c r="K55" s="36">
        <f t="shared" si="17"/>
        <v>0</v>
      </c>
      <c r="L55" s="36">
        <f t="shared" si="17"/>
        <v>0</v>
      </c>
      <c r="M55" s="36">
        <f t="shared" si="17"/>
        <v>0</v>
      </c>
      <c r="N55" s="36">
        <f t="shared" si="17"/>
        <v>0</v>
      </c>
      <c r="O55" s="36">
        <f t="shared" si="17"/>
        <v>0</v>
      </c>
      <c r="P55" s="36">
        <f t="shared" si="17"/>
        <v>0</v>
      </c>
      <c r="Q55" s="36">
        <f t="shared" si="17"/>
        <v>0</v>
      </c>
      <c r="R55" s="36">
        <f t="shared" si="17"/>
        <v>0</v>
      </c>
      <c r="S55" s="36">
        <f t="shared" si="17"/>
        <v>0</v>
      </c>
      <c r="T55" s="36">
        <f t="shared" ref="T55" si="18">T52-T49</f>
        <v>-722.57369441837</v>
      </c>
      <c r="U55" s="36">
        <f t="shared" ref="U55:AQ55" si="19">U52-U49</f>
        <v>-1273.1226036627631</v>
      </c>
      <c r="V55" s="36">
        <f t="shared" si="19"/>
        <v>-1691.4866828115773</v>
      </c>
      <c r="W55" s="36">
        <f t="shared" si="19"/>
        <v>-2006.7395499960694</v>
      </c>
      <c r="X55" s="36">
        <f t="shared" si="19"/>
        <v>-2241.3505109241269</v>
      </c>
      <c r="Y55" s="36">
        <f t="shared" si="19"/>
        <v>-2520.322346821582</v>
      </c>
      <c r="Z55" s="36">
        <f t="shared" si="19"/>
        <v>-2761.133142180357</v>
      </c>
      <c r="AA55" s="36">
        <f t="shared" si="19"/>
        <v>-2968.8848891393754</v>
      </c>
      <c r="AB55" s="36">
        <f t="shared" si="19"/>
        <v>-3147.834294220982</v>
      </c>
      <c r="AC55" s="36">
        <f t="shared" si="19"/>
        <v>-3301.5630353976576</v>
      </c>
      <c r="AD55" s="36">
        <f t="shared" si="19"/>
        <v>-3433.1080327755262</v>
      </c>
      <c r="AE55" s="36">
        <f t="shared" si="19"/>
        <v>-3545.0623554725371</v>
      </c>
      <c r="AF55" s="36">
        <f t="shared" si="19"/>
        <v>-3639.6542634074231</v>
      </c>
      <c r="AG55" s="36">
        <f t="shared" si="19"/>
        <v>-3718.8097596923362</v>
      </c>
      <c r="AH55" s="36">
        <f t="shared" si="19"/>
        <v>-3785.2795982927746</v>
      </c>
      <c r="AI55" s="36">
        <f t="shared" si="19"/>
        <v>-3844.9234934648011</v>
      </c>
      <c r="AJ55" s="36">
        <f t="shared" si="19"/>
        <v>-3893.6871181788756</v>
      </c>
      <c r="AK55" s="36">
        <f t="shared" si="19"/>
        <v>-3932.652108964232</v>
      </c>
      <c r="AL55" s="36">
        <f t="shared" si="19"/>
        <v>-3962.7762540473796</v>
      </c>
      <c r="AM55" s="36">
        <f t="shared" si="19"/>
        <v>-3984.9108271870173</v>
      </c>
      <c r="AN55" s="36">
        <f t="shared" si="19"/>
        <v>-3999.8150576299977</v>
      </c>
      <c r="AO55" s="36">
        <f t="shared" si="19"/>
        <v>-4008.1682776439084</v>
      </c>
      <c r="AP55" s="36">
        <f t="shared" si="19"/>
        <v>-4010.5801744952787</v>
      </c>
      <c r="AQ55" s="36">
        <f t="shared" si="19"/>
        <v>-4071.3886225540482</v>
      </c>
      <c r="AR55" s="36"/>
      <c r="AS55" s="7">
        <f>ROW()</f>
        <v>55</v>
      </c>
    </row>
    <row r="56" spans="2:45" ht="13.95" customHeight="1">
      <c r="B56" s="1028" t="s">
        <v>1214</v>
      </c>
      <c r="I56" s="36">
        <f t="shared" ref="I56:T56" si="20">I53-I50</f>
        <v>0</v>
      </c>
      <c r="J56" s="36">
        <f t="shared" ref="J56:S56" si="21">J53-J50</f>
        <v>0</v>
      </c>
      <c r="K56" s="36">
        <f t="shared" si="21"/>
        <v>0</v>
      </c>
      <c r="L56" s="36">
        <f t="shared" si="21"/>
        <v>0</v>
      </c>
      <c r="M56" s="36">
        <f t="shared" si="21"/>
        <v>0</v>
      </c>
      <c r="N56" s="36">
        <f t="shared" si="21"/>
        <v>0</v>
      </c>
      <c r="O56" s="36">
        <f t="shared" si="21"/>
        <v>0</v>
      </c>
      <c r="P56" s="36">
        <f t="shared" si="21"/>
        <v>0</v>
      </c>
      <c r="Q56" s="36">
        <f t="shared" si="21"/>
        <v>0</v>
      </c>
      <c r="R56" s="36">
        <f t="shared" si="21"/>
        <v>0</v>
      </c>
      <c r="S56" s="36">
        <f t="shared" si="21"/>
        <v>0</v>
      </c>
      <c r="T56" s="36">
        <f t="shared" si="20"/>
        <v>-61.979719716668114</v>
      </c>
      <c r="U56" s="36">
        <f t="shared" ref="U56:AQ56" si="22">U53-U50</f>
        <v>-109.20378467899923</v>
      </c>
      <c r="V56" s="36">
        <f t="shared" si="22"/>
        <v>-145.08952002401156</v>
      </c>
      <c r="W56" s="36">
        <f t="shared" si="22"/>
        <v>-172.13075401703531</v>
      </c>
      <c r="X56" s="36">
        <f t="shared" si="22"/>
        <v>-192.25482124104883</v>
      </c>
      <c r="Y56" s="36">
        <f t="shared" si="22"/>
        <v>-216.18400151889796</v>
      </c>
      <c r="Z56" s="36">
        <f t="shared" si="22"/>
        <v>-236.83986778745725</v>
      </c>
      <c r="AA56" s="36">
        <f t="shared" si="22"/>
        <v>-254.6600502084807</v>
      </c>
      <c r="AB56" s="36">
        <f t="shared" si="22"/>
        <v>-270.00967344566516</v>
      </c>
      <c r="AC56" s="36">
        <f t="shared" si="22"/>
        <v>-283.1959606910043</v>
      </c>
      <c r="AD56" s="36">
        <f t="shared" si="22"/>
        <v>-294.47940780593558</v>
      </c>
      <c r="AE56" s="36">
        <f t="shared" si="22"/>
        <v>-304.0824387430298</v>
      </c>
      <c r="AF56" s="36">
        <f t="shared" si="22"/>
        <v>-312.19618546057177</v>
      </c>
      <c r="AG56" s="36">
        <f t="shared" si="22"/>
        <v>-318.9858534372363</v>
      </c>
      <c r="AH56" s="36">
        <f t="shared" si="22"/>
        <v>-324.68739225312629</v>
      </c>
      <c r="AI56" s="36">
        <f t="shared" si="22"/>
        <v>-329.80342669242054</v>
      </c>
      <c r="AJ56" s="36">
        <f t="shared" si="22"/>
        <v>-333.9861914615974</v>
      </c>
      <c r="AK56" s="36">
        <f t="shared" si="22"/>
        <v>-337.32846537261071</v>
      </c>
      <c r="AL56" s="36">
        <f t="shared" si="22"/>
        <v>-339.91240398452021</v>
      </c>
      <c r="AM56" s="36">
        <f t="shared" si="22"/>
        <v>-341.81102643623717</v>
      </c>
      <c r="AN56" s="36">
        <f t="shared" si="22"/>
        <v>-343.08945662624319</v>
      </c>
      <c r="AO56" s="36">
        <f t="shared" si="22"/>
        <v>-343.80596518335381</v>
      </c>
      <c r="AP56" s="36">
        <f t="shared" si="22"/>
        <v>-344.01284884378629</v>
      </c>
      <c r="AQ56" s="36">
        <f t="shared" si="22"/>
        <v>-349.22877435588487</v>
      </c>
      <c r="AR56" s="36"/>
      <c r="AS56" s="7">
        <f>ROW()</f>
        <v>56</v>
      </c>
    </row>
    <row r="57" spans="2:45" ht="13.95" customHeight="1">
      <c r="B57" s="84" t="str">
        <f>CONCATENATE("Rows ",AS49, " and ",AS52, " are copied from Rows ",Aviation!AS44, " and ",Aviation!AS68, " of 'Aviation' tab. Rows ",AS50, " and ",AS53, " multiply their respective preceding rows by refinery fuel factor for kerosene in Cell Q", ,AS98, " and ratio of domestic refinery production to product supplied given in Row ",$AS$20, ". Impact rows are differences between respective preceding rows.")</f>
        <v>Rows 49 and 52 are copied from Rows 44 and 68 of 'Aviation' tab. Rows 50 and 53 multiply their respective preceding rows by refinery fuel factor for kerosene in Cell Q98 and ratio of domestic refinery production to product supplied given in Row 20. Impact rows are differences between respective preceding rows.</v>
      </c>
      <c r="AS57" s="7">
        <f>ROW()</f>
        <v>57</v>
      </c>
    </row>
    <row r="58" spans="2:45" ht="13.95" customHeight="1">
      <c r="AS58" s="7">
        <f>ROW()</f>
        <v>58</v>
      </c>
    </row>
    <row r="59" spans="2:45" ht="13.95" customHeight="1">
      <c r="B59" s="8" t="s">
        <v>1171</v>
      </c>
      <c r="AS59" s="7">
        <f>ROW()</f>
        <v>59</v>
      </c>
    </row>
    <row r="60" spans="2:45" ht="13.95" customHeight="1">
      <c r="B60" s="92" t="s">
        <v>1163</v>
      </c>
      <c r="AS60" s="7">
        <f>ROW()</f>
        <v>60</v>
      </c>
    </row>
    <row r="61" spans="2:45" ht="13.95" customHeight="1">
      <c r="B61" s="1028" t="s">
        <v>1164</v>
      </c>
      <c r="I61" s="21">
        <f>Energy!G26*Parameters!$I$21*Parameters!$I$22/1000</f>
        <v>66328.34166000002</v>
      </c>
      <c r="J61" s="21">
        <f>Energy!H26*Parameters!$I$21*Parameters!$I$22/1000</f>
        <v>63078.366330000063</v>
      </c>
      <c r="K61" s="21">
        <f>Energy!I26*Parameters!$I$21*Parameters!$I$22/1000</f>
        <v>62228.563109999996</v>
      </c>
      <c r="L61" s="21">
        <f>Energy!J26*Parameters!$I$21*Parameters!$I$22/1000</f>
        <v>53799.914490000025</v>
      </c>
      <c r="M61" s="21">
        <f>Energy!K26*Parameters!$I$21*Parameters!$I$22/1000</f>
        <v>49610.854020000021</v>
      </c>
      <c r="N61" s="21">
        <f>Energy!L26*Parameters!$I$21*Parameters!$I$22/1000</f>
        <v>52747.923900000002</v>
      </c>
      <c r="O61" s="21">
        <f>Energy!M26*Parameters!$I$21*Parameters!$I$22/1000</f>
        <v>50442.445200000002</v>
      </c>
      <c r="P61" s="21">
        <f>Energy!N26*Parameters!$I$21*Parameters!$I$22/1000</f>
        <v>48364.095779999974</v>
      </c>
      <c r="Q61" s="21">
        <f>Energy!O26*Parameters!$I$21*Parameters!$I$22/1000</f>
        <v>51265.773510000014</v>
      </c>
      <c r="R61" s="21">
        <f>Energy!P26*Parameters!$I$21*Parameters!$I$22/1000</f>
        <v>48915.822479999995</v>
      </c>
      <c r="S61" s="21">
        <f>Energy!Q26*Parameters!$I$21*Parameters!$I$22/1000</f>
        <v>49185.185909999986</v>
      </c>
      <c r="T61" s="21">
        <f t="shared" ref="T61:AQ61" si="23">S61*(T37/S37)</f>
        <v>48463.87436636044</v>
      </c>
      <c r="U61" s="21">
        <f t="shared" si="23"/>
        <v>48111.289572390233</v>
      </c>
      <c r="V61" s="21">
        <f t="shared" si="23"/>
        <v>47761.269906333633</v>
      </c>
      <c r="W61" s="21">
        <f t="shared" si="23"/>
        <v>47413.796706350076</v>
      </c>
      <c r="X61" s="21">
        <f t="shared" si="23"/>
        <v>46974.368548864681</v>
      </c>
      <c r="Y61" s="21">
        <f t="shared" si="23"/>
        <v>46760.425933734623</v>
      </c>
      <c r="Z61" s="21">
        <f t="shared" si="23"/>
        <v>46547.457710469382</v>
      </c>
      <c r="AA61" s="21">
        <f t="shared" si="23"/>
        <v>46335.459441245723</v>
      </c>
      <c r="AB61" s="21">
        <f t="shared" si="23"/>
        <v>46124.426708452287</v>
      </c>
      <c r="AC61" s="21">
        <f t="shared" si="23"/>
        <v>45914.355114597522</v>
      </c>
      <c r="AD61" s="21">
        <f t="shared" si="23"/>
        <v>45705.240282218052</v>
      </c>
      <c r="AE61" s="21">
        <f t="shared" si="23"/>
        <v>45497.077853787465</v>
      </c>
      <c r="AF61" s="21">
        <f t="shared" si="23"/>
        <v>45289.863491625467</v>
      </c>
      <c r="AG61" s="21">
        <f t="shared" si="23"/>
        <v>45083.59287780759</v>
      </c>
      <c r="AH61" s="21">
        <f t="shared" si="23"/>
        <v>44841.204904734725</v>
      </c>
      <c r="AI61" s="21">
        <f t="shared" si="23"/>
        <v>44611.880267157831</v>
      </c>
      <c r="AJ61" s="21">
        <f t="shared" si="23"/>
        <v>44383.728430122566</v>
      </c>
      <c r="AK61" s="21">
        <f t="shared" si="23"/>
        <v>44156.743395751335</v>
      </c>
      <c r="AL61" s="21">
        <f t="shared" si="23"/>
        <v>43930.919196840528</v>
      </c>
      <c r="AM61" s="21">
        <f t="shared" si="23"/>
        <v>43706.249896703783</v>
      </c>
      <c r="AN61" s="21">
        <f t="shared" si="23"/>
        <v>43482.729589015777</v>
      </c>
      <c r="AO61" s="21">
        <f t="shared" si="23"/>
        <v>43260.352397657072</v>
      </c>
      <c r="AP61" s="21">
        <f t="shared" si="23"/>
        <v>43039.112476559552</v>
      </c>
      <c r="AQ61" s="21">
        <f t="shared" si="23"/>
        <v>43607.367154022017</v>
      </c>
      <c r="AR61" s="21"/>
      <c r="AS61" s="7">
        <f>ROW()</f>
        <v>61</v>
      </c>
    </row>
    <row r="62" spans="2:45" ht="13.95" customHeight="1">
      <c r="B62" s="1028" t="s">
        <v>1214</v>
      </c>
      <c r="I62" s="21">
        <f t="shared" ref="I62:AQ62" si="24">I61*$Q$115</f>
        <v>7251.1758977363861</v>
      </c>
      <c r="J62" s="21">
        <f t="shared" si="24"/>
        <v>6895.8806771512864</v>
      </c>
      <c r="K62" s="21">
        <f t="shared" si="24"/>
        <v>6802.9781188712959</v>
      </c>
      <c r="L62" s="21">
        <f t="shared" si="24"/>
        <v>5881.5377180676314</v>
      </c>
      <c r="M62" s="21">
        <f t="shared" si="24"/>
        <v>5423.5794222017394</v>
      </c>
      <c r="N62" s="21">
        <f t="shared" si="24"/>
        <v>5766.5315439353762</v>
      </c>
      <c r="O62" s="21">
        <f t="shared" si="24"/>
        <v>5514.4909959011984</v>
      </c>
      <c r="P62" s="21">
        <f t="shared" si="24"/>
        <v>5287.2807740833505</v>
      </c>
      <c r="Q62" s="21">
        <f t="shared" si="24"/>
        <v>5604.4992525224616</v>
      </c>
      <c r="R62" s="21">
        <f t="shared" si="24"/>
        <v>5347.5968810302911</v>
      </c>
      <c r="S62" s="21">
        <f t="shared" si="24"/>
        <v>5377.0443474144158</v>
      </c>
      <c r="T62" s="21">
        <f t="shared" si="24"/>
        <v>5298.1888122224009</v>
      </c>
      <c r="U62" s="21">
        <f t="shared" si="24"/>
        <v>5259.6433835872249</v>
      </c>
      <c r="V62" s="21">
        <f t="shared" si="24"/>
        <v>5221.3783809846655</v>
      </c>
      <c r="W62" s="21">
        <f t="shared" si="24"/>
        <v>5183.3917642568485</v>
      </c>
      <c r="X62" s="21">
        <f t="shared" si="24"/>
        <v>5135.3524075565374</v>
      </c>
      <c r="Y62" s="21">
        <f t="shared" si="24"/>
        <v>5111.9636796688128</v>
      </c>
      <c r="Z62" s="21">
        <f t="shared" si="24"/>
        <v>5088.6814746735399</v>
      </c>
      <c r="AA62" s="21">
        <f t="shared" si="24"/>
        <v>5065.5053074170701</v>
      </c>
      <c r="AB62" s="21">
        <f t="shared" si="24"/>
        <v>5042.4346949553683</v>
      </c>
      <c r="AC62" s="21">
        <f t="shared" si="24"/>
        <v>5019.4691565439452</v>
      </c>
      <c r="AD62" s="21">
        <f t="shared" si="24"/>
        <v>4996.6082136278392</v>
      </c>
      <c r="AE62" s="21">
        <f t="shared" si="24"/>
        <v>4973.8513898316487</v>
      </c>
      <c r="AF62" s="21">
        <f t="shared" si="24"/>
        <v>4951.1982109495966</v>
      </c>
      <c r="AG62" s="21">
        <f t="shared" si="24"/>
        <v>4928.6482049356591</v>
      </c>
      <c r="AH62" s="21">
        <f t="shared" si="24"/>
        <v>4902.1497612197491</v>
      </c>
      <c r="AI62" s="21">
        <f t="shared" si="24"/>
        <v>4877.079433164834</v>
      </c>
      <c r="AJ62" s="21">
        <f t="shared" si="24"/>
        <v>4852.1373185222774</v>
      </c>
      <c r="AK62" s="21">
        <f t="shared" si="24"/>
        <v>4827.3227615894884</v>
      </c>
      <c r="AL62" s="21">
        <f t="shared" si="24"/>
        <v>4802.6351100172324</v>
      </c>
      <c r="AM62" s="21">
        <f t="shared" si="24"/>
        <v>4778.073714792492</v>
      </c>
      <c r="AN62" s="21">
        <f t="shared" si="24"/>
        <v>4753.6379302213945</v>
      </c>
      <c r="AO62" s="21">
        <f t="shared" si="24"/>
        <v>4729.327113912248</v>
      </c>
      <c r="AP62" s="21">
        <f t="shared" si="24"/>
        <v>4705.1406267586444</v>
      </c>
      <c r="AQ62" s="21">
        <f t="shared" si="24"/>
        <v>4767.2636124668297</v>
      </c>
      <c r="AR62" s="21"/>
      <c r="AS62" s="7">
        <f>ROW()</f>
        <v>62</v>
      </c>
    </row>
    <row r="63" spans="2:45" ht="13.95" customHeight="1">
      <c r="B63" s="92" t="s">
        <v>1165</v>
      </c>
      <c r="AS63" s="7">
        <f>ROW()</f>
        <v>63</v>
      </c>
    </row>
    <row r="64" spans="2:45" ht="13.95" customHeight="1">
      <c r="B64" s="1028" t="s">
        <v>1164</v>
      </c>
      <c r="I64" s="21">
        <f>I61</f>
        <v>66328.34166000002</v>
      </c>
      <c r="J64" s="21">
        <f t="shared" ref="J64:S64" si="25">J61</f>
        <v>63078.366330000063</v>
      </c>
      <c r="K64" s="21">
        <f t="shared" si="25"/>
        <v>62228.563109999996</v>
      </c>
      <c r="L64" s="21">
        <f t="shared" si="25"/>
        <v>53799.914490000025</v>
      </c>
      <c r="M64" s="21">
        <f t="shared" si="25"/>
        <v>49610.854020000021</v>
      </c>
      <c r="N64" s="21">
        <f t="shared" si="25"/>
        <v>52747.923900000002</v>
      </c>
      <c r="O64" s="21">
        <f t="shared" si="25"/>
        <v>50442.445200000002</v>
      </c>
      <c r="P64" s="21">
        <f t="shared" si="25"/>
        <v>48364.095779999974</v>
      </c>
      <c r="Q64" s="21">
        <f t="shared" si="25"/>
        <v>51265.773510000014</v>
      </c>
      <c r="R64" s="21">
        <f t="shared" si="25"/>
        <v>48915.822479999995</v>
      </c>
      <c r="S64" s="21">
        <f t="shared" si="25"/>
        <v>49185.185909999986</v>
      </c>
      <c r="T64" s="21">
        <f t="shared" ref="T64:AQ64" si="26">T61*(T40/T37)</f>
        <v>47262.812959259041</v>
      </c>
      <c r="U64" s="21">
        <f t="shared" si="26"/>
        <v>45880.728854773937</v>
      </c>
      <c r="V64" s="21">
        <f t="shared" si="26"/>
        <v>44644.128585944658</v>
      </c>
      <c r="W64" s="21">
        <f t="shared" si="26"/>
        <v>43530.500741978482</v>
      </c>
      <c r="X64" s="21">
        <f t="shared" si="26"/>
        <v>42441.947958815006</v>
      </c>
      <c r="Y64" s="21">
        <f t="shared" si="26"/>
        <v>41613.018861147852</v>
      </c>
      <c r="Z64" s="21">
        <f t="shared" si="26"/>
        <v>40853.368772248847</v>
      </c>
      <c r="AA64" s="21">
        <f t="shared" si="26"/>
        <v>40154.733120333061</v>
      </c>
      <c r="AB64" s="21">
        <f t="shared" si="26"/>
        <v>39510.149624074453</v>
      </c>
      <c r="AC64" s="21">
        <f t="shared" si="26"/>
        <v>38913.705734455369</v>
      </c>
      <c r="AD64" s="21">
        <f t="shared" si="26"/>
        <v>38360.343400736718</v>
      </c>
      <c r="AE64" s="21">
        <f t="shared" si="26"/>
        <v>37845.706401654512</v>
      </c>
      <c r="AF64" s="21">
        <f t="shared" si="26"/>
        <v>37366.019699142766</v>
      </c>
      <c r="AG64" s="21">
        <f t="shared" si="26"/>
        <v>36917.993173359566</v>
      </c>
      <c r="AH64" s="21">
        <f t="shared" si="26"/>
        <v>36473.70093751861</v>
      </c>
      <c r="AI64" s="21">
        <f t="shared" si="26"/>
        <v>36063.204259108679</v>
      </c>
      <c r="AJ64" s="21">
        <f t="shared" si="26"/>
        <v>35677.127688189634</v>
      </c>
      <c r="AK64" s="21">
        <f t="shared" si="26"/>
        <v>35313.428600565079</v>
      </c>
      <c r="AL64" s="21">
        <f t="shared" si="26"/>
        <v>34970.286001367509</v>
      </c>
      <c r="AM64" s="21">
        <f t="shared" si="26"/>
        <v>34646.070307111208</v>
      </c>
      <c r="AN64" s="21">
        <f t="shared" si="26"/>
        <v>34339.318008926566</v>
      </c>
      <c r="AO64" s="21">
        <f t="shared" si="26"/>
        <v>34048.710312994204</v>
      </c>
      <c r="AP64" s="21">
        <f t="shared" si="26"/>
        <v>33773.055041938416</v>
      </c>
      <c r="AQ64" s="21">
        <f t="shared" si="26"/>
        <v>34128.264819305521</v>
      </c>
      <c r="AR64" s="21"/>
      <c r="AS64" s="7">
        <f>ROW()</f>
        <v>64</v>
      </c>
    </row>
    <row r="65" spans="2:45" ht="13.95" customHeight="1">
      <c r="B65" s="1028" t="s">
        <v>1214</v>
      </c>
      <c r="I65" s="21">
        <f t="shared" ref="I65:AQ65" si="27">I64*$Q$115</f>
        <v>7251.1758977363861</v>
      </c>
      <c r="J65" s="21">
        <f t="shared" si="27"/>
        <v>6895.8806771512864</v>
      </c>
      <c r="K65" s="21">
        <f t="shared" si="27"/>
        <v>6802.9781188712959</v>
      </c>
      <c r="L65" s="21">
        <f t="shared" si="27"/>
        <v>5881.5377180676314</v>
      </c>
      <c r="M65" s="21">
        <f t="shared" si="27"/>
        <v>5423.5794222017394</v>
      </c>
      <c r="N65" s="21">
        <f t="shared" si="27"/>
        <v>5766.5315439353762</v>
      </c>
      <c r="O65" s="21">
        <f t="shared" si="27"/>
        <v>5514.4909959011984</v>
      </c>
      <c r="P65" s="21">
        <f t="shared" si="27"/>
        <v>5287.2807740833505</v>
      </c>
      <c r="Q65" s="21">
        <f t="shared" si="27"/>
        <v>5604.4992525224616</v>
      </c>
      <c r="R65" s="21">
        <f t="shared" si="27"/>
        <v>5347.5968810302911</v>
      </c>
      <c r="S65" s="21">
        <f t="shared" si="27"/>
        <v>5377.0443474144158</v>
      </c>
      <c r="T65" s="21">
        <f t="shared" si="27"/>
        <v>5166.8858532019867</v>
      </c>
      <c r="U65" s="21">
        <f t="shared" si="27"/>
        <v>5015.7930519005686</v>
      </c>
      <c r="V65" s="21">
        <f t="shared" si="27"/>
        <v>4880.6048979371662</v>
      </c>
      <c r="W65" s="21">
        <f t="shared" si="27"/>
        <v>4758.8603890421782</v>
      </c>
      <c r="X65" s="21">
        <f t="shared" si="27"/>
        <v>4639.8571468813843</v>
      </c>
      <c r="Y65" s="21">
        <f t="shared" si="27"/>
        <v>4549.2365985078486</v>
      </c>
      <c r="Z65" s="21">
        <f t="shared" si="27"/>
        <v>4466.1898001486543</v>
      </c>
      <c r="AA65" s="21">
        <f t="shared" si="27"/>
        <v>4389.8132486823279</v>
      </c>
      <c r="AB65" s="21">
        <f t="shared" si="27"/>
        <v>4319.345810552968</v>
      </c>
      <c r="AC65" s="21">
        <f t="shared" si="27"/>
        <v>4254.1411114979601</v>
      </c>
      <c r="AD65" s="21">
        <f t="shared" si="27"/>
        <v>4193.6461930882087</v>
      </c>
      <c r="AE65" s="21">
        <f t="shared" si="27"/>
        <v>4137.3848226026157</v>
      </c>
      <c r="AF65" s="21">
        <f t="shared" si="27"/>
        <v>4084.9443036831526</v>
      </c>
      <c r="AG65" s="21">
        <f t="shared" si="27"/>
        <v>4035.9649524133938</v>
      </c>
      <c r="AH65" s="21">
        <f t="shared" si="27"/>
        <v>3987.3938428175061</v>
      </c>
      <c r="AI65" s="21">
        <f t="shared" si="27"/>
        <v>3942.5173458918794</v>
      </c>
      <c r="AJ65" s="21">
        <f t="shared" si="27"/>
        <v>3900.3105146088174</v>
      </c>
      <c r="AK65" s="21">
        <f t="shared" si="27"/>
        <v>3860.5500443149808</v>
      </c>
      <c r="AL65" s="21">
        <f t="shared" si="27"/>
        <v>3823.0368594151905</v>
      </c>
      <c r="AM65" s="21">
        <f t="shared" si="27"/>
        <v>3787.5928098728373</v>
      </c>
      <c r="AN65" s="21">
        <f t="shared" si="27"/>
        <v>3754.0579013329316</v>
      </c>
      <c r="AO65" s="21">
        <f t="shared" si="27"/>
        <v>3722.2879600423257</v>
      </c>
      <c r="AP65" s="21">
        <f t="shared" si="27"/>
        <v>3692.1526542659549</v>
      </c>
      <c r="AQ65" s="21">
        <f t="shared" si="27"/>
        <v>3730.9850524809995</v>
      </c>
      <c r="AR65" s="21"/>
      <c r="AS65" s="7">
        <f>ROW()</f>
        <v>65</v>
      </c>
    </row>
    <row r="66" spans="2:45" ht="13.95" customHeight="1">
      <c r="B66" s="92" t="s">
        <v>1166</v>
      </c>
      <c r="AS66" s="7">
        <f>ROW()</f>
        <v>66</v>
      </c>
    </row>
    <row r="67" spans="2:45" ht="13.95" customHeight="1">
      <c r="B67" s="1028" t="s">
        <v>1164</v>
      </c>
      <c r="I67" s="36">
        <f>I64-I61</f>
        <v>0</v>
      </c>
      <c r="J67" s="36">
        <f t="shared" ref="J67:T67" si="28">J64-J61</f>
        <v>0</v>
      </c>
      <c r="K67" s="36">
        <f t="shared" si="28"/>
        <v>0</v>
      </c>
      <c r="L67" s="36">
        <f t="shared" si="28"/>
        <v>0</v>
      </c>
      <c r="M67" s="36">
        <f t="shared" si="28"/>
        <v>0</v>
      </c>
      <c r="N67" s="36">
        <f t="shared" si="28"/>
        <v>0</v>
      </c>
      <c r="O67" s="36">
        <f t="shared" si="28"/>
        <v>0</v>
      </c>
      <c r="P67" s="36">
        <f t="shared" si="28"/>
        <v>0</v>
      </c>
      <c r="Q67" s="36">
        <f t="shared" si="28"/>
        <v>0</v>
      </c>
      <c r="R67" s="36">
        <f t="shared" si="28"/>
        <v>0</v>
      </c>
      <c r="S67" s="36">
        <f t="shared" si="28"/>
        <v>0</v>
      </c>
      <c r="T67" s="36">
        <f t="shared" si="28"/>
        <v>-1201.0614071013988</v>
      </c>
      <c r="U67" s="36">
        <f t="shared" ref="U67:AQ67" si="29">U64-U61</f>
        <v>-2230.5607176162957</v>
      </c>
      <c r="V67" s="36">
        <f t="shared" si="29"/>
        <v>-3117.1413203889751</v>
      </c>
      <c r="W67" s="36">
        <f t="shared" si="29"/>
        <v>-3883.2959643715949</v>
      </c>
      <c r="X67" s="36">
        <f t="shared" si="29"/>
        <v>-4532.4205900496745</v>
      </c>
      <c r="Y67" s="36">
        <f t="shared" si="29"/>
        <v>-5147.4070725867714</v>
      </c>
      <c r="Z67" s="36">
        <f t="shared" si="29"/>
        <v>-5694.0889382205351</v>
      </c>
      <c r="AA67" s="36">
        <f t="shared" si="29"/>
        <v>-6180.7263209126613</v>
      </c>
      <c r="AB67" s="36">
        <f t="shared" si="29"/>
        <v>-6614.2770843778344</v>
      </c>
      <c r="AC67" s="36">
        <f t="shared" si="29"/>
        <v>-7000.6493801421529</v>
      </c>
      <c r="AD67" s="36">
        <f t="shared" si="29"/>
        <v>-7344.8968814813343</v>
      </c>
      <c r="AE67" s="36">
        <f t="shared" si="29"/>
        <v>-7651.371452132953</v>
      </c>
      <c r="AF67" s="36">
        <f t="shared" si="29"/>
        <v>-7923.8437924827012</v>
      </c>
      <c r="AG67" s="36">
        <f t="shared" si="29"/>
        <v>-8165.5997044480246</v>
      </c>
      <c r="AH67" s="36">
        <f t="shared" si="29"/>
        <v>-8367.5039672161147</v>
      </c>
      <c r="AI67" s="36">
        <f t="shared" si="29"/>
        <v>-8548.6760080491513</v>
      </c>
      <c r="AJ67" s="36">
        <f t="shared" si="29"/>
        <v>-8706.6007419329326</v>
      </c>
      <c r="AK67" s="36">
        <f t="shared" si="29"/>
        <v>-8843.3147951862557</v>
      </c>
      <c r="AL67" s="36">
        <f t="shared" si="29"/>
        <v>-8960.6331954730194</v>
      </c>
      <c r="AM67" s="36">
        <f t="shared" si="29"/>
        <v>-9060.1795895925752</v>
      </c>
      <c r="AN67" s="36">
        <f t="shared" si="29"/>
        <v>-9143.4115800892105</v>
      </c>
      <c r="AO67" s="36">
        <f t="shared" si="29"/>
        <v>-9211.642084662868</v>
      </c>
      <c r="AP67" s="36">
        <f t="shared" si="29"/>
        <v>-9266.0574346211361</v>
      </c>
      <c r="AQ67" s="36">
        <f t="shared" si="29"/>
        <v>-9479.1023347164955</v>
      </c>
      <c r="AR67" s="36"/>
      <c r="AS67" s="7">
        <f>ROW()</f>
        <v>67</v>
      </c>
    </row>
    <row r="68" spans="2:45" ht="13.95" customHeight="1">
      <c r="B68" s="1028" t="s">
        <v>1214</v>
      </c>
      <c r="I68" s="36">
        <f t="shared" ref="I68:T68" si="30">I65-I62</f>
        <v>0</v>
      </c>
      <c r="J68" s="36">
        <f t="shared" si="30"/>
        <v>0</v>
      </c>
      <c r="K68" s="36">
        <f t="shared" si="30"/>
        <v>0</v>
      </c>
      <c r="L68" s="36">
        <f t="shared" si="30"/>
        <v>0</v>
      </c>
      <c r="M68" s="36">
        <f t="shared" si="30"/>
        <v>0</v>
      </c>
      <c r="N68" s="36">
        <f t="shared" si="30"/>
        <v>0</v>
      </c>
      <c r="O68" s="36">
        <f t="shared" si="30"/>
        <v>0</v>
      </c>
      <c r="P68" s="36">
        <f t="shared" si="30"/>
        <v>0</v>
      </c>
      <c r="Q68" s="36">
        <f t="shared" si="30"/>
        <v>0</v>
      </c>
      <c r="R68" s="36">
        <f t="shared" si="30"/>
        <v>0</v>
      </c>
      <c r="S68" s="36">
        <f t="shared" si="30"/>
        <v>0</v>
      </c>
      <c r="T68" s="36">
        <f t="shared" si="30"/>
        <v>-131.30295902041416</v>
      </c>
      <c r="U68" s="36">
        <f t="shared" ref="U68:AQ68" si="31">U65-U62</f>
        <v>-243.85033168665632</v>
      </c>
      <c r="V68" s="36">
        <f t="shared" si="31"/>
        <v>-340.77348304749921</v>
      </c>
      <c r="W68" s="36">
        <f t="shared" si="31"/>
        <v>-424.53137521467033</v>
      </c>
      <c r="X68" s="36">
        <f t="shared" si="31"/>
        <v>-495.49526067515308</v>
      </c>
      <c r="Y68" s="36">
        <f t="shared" si="31"/>
        <v>-562.72708116096419</v>
      </c>
      <c r="Z68" s="36">
        <f t="shared" si="31"/>
        <v>-622.49167452488564</v>
      </c>
      <c r="AA68" s="36">
        <f t="shared" si="31"/>
        <v>-675.6920587347422</v>
      </c>
      <c r="AB68" s="36">
        <f t="shared" si="31"/>
        <v>-723.08888440240025</v>
      </c>
      <c r="AC68" s="36">
        <f t="shared" si="31"/>
        <v>-765.32804504598516</v>
      </c>
      <c r="AD68" s="36">
        <f t="shared" si="31"/>
        <v>-802.96202053963043</v>
      </c>
      <c r="AE68" s="36">
        <f t="shared" si="31"/>
        <v>-836.46656722903299</v>
      </c>
      <c r="AF68" s="36">
        <f t="shared" si="31"/>
        <v>-866.253907266444</v>
      </c>
      <c r="AG68" s="36">
        <f t="shared" si="31"/>
        <v>-892.68325252226532</v>
      </c>
      <c r="AH68" s="36">
        <f t="shared" si="31"/>
        <v>-914.75591840224297</v>
      </c>
      <c r="AI68" s="36">
        <f t="shared" si="31"/>
        <v>-934.56208727295461</v>
      </c>
      <c r="AJ68" s="36">
        <f t="shared" si="31"/>
        <v>-951.82680391346003</v>
      </c>
      <c r="AK68" s="36">
        <f t="shared" si="31"/>
        <v>-966.77271727450761</v>
      </c>
      <c r="AL68" s="36">
        <f t="shared" si="31"/>
        <v>-979.59825060204184</v>
      </c>
      <c r="AM68" s="36">
        <f t="shared" si="31"/>
        <v>-990.48090491965468</v>
      </c>
      <c r="AN68" s="36">
        <f t="shared" si="31"/>
        <v>-999.58002888846295</v>
      </c>
      <c r="AO68" s="36">
        <f t="shared" si="31"/>
        <v>-1007.0391538699223</v>
      </c>
      <c r="AP68" s="36">
        <f t="shared" si="31"/>
        <v>-1012.9879724926896</v>
      </c>
      <c r="AQ68" s="36">
        <f t="shared" si="31"/>
        <v>-1036.2785599858303</v>
      </c>
      <c r="AR68" s="36"/>
      <c r="AS68" s="7">
        <f>ROW()</f>
        <v>68</v>
      </c>
    </row>
    <row r="69" spans="2:45" ht="13.95" customHeight="1">
      <c r="B69" s="84" t="str">
        <f>CONCATENATE("Rows ",AS61, " and ",AS64, " are copied from 'Energy' tab, Row ",Energy!R26, ", multiplied by appropriate conversion factors from 'Parameters' tab. Rows ",AS62, " and ",AS65, " multiply their respective preceding rows by average refinery fuel factor for combusted petroleum products other than gasoline, diesel and kerosene in Cell Q",AS115, ", and ratio of domestic refinery production to product supplied given in Row ",$AS$20, ". Impact rows are differences between respective preceding rows.")</f>
        <v>Rows 61 and 64 are copied from 'Energy' tab, Row 26, multiplied by appropriate conversion factors from 'Parameters' tab. Rows 62 and 65 multiply their respective preceding rows by average refinery fuel factor for combusted petroleum products other than gasoline, diesel and kerosene in Cell Q115, and ratio of domestic refinery production to product supplied given in Row 20. Impact rows are differences between respective preceding rows.</v>
      </c>
      <c r="AS69" s="7">
        <f>ROW()</f>
        <v>69</v>
      </c>
    </row>
    <row r="70" spans="2:45" ht="13.95" customHeight="1">
      <c r="AS70" s="7">
        <f>ROW()</f>
        <v>70</v>
      </c>
    </row>
    <row r="71" spans="2:45" ht="13.95" customHeight="1">
      <c r="B71" s="8" t="s">
        <v>1175</v>
      </c>
      <c r="AS71" s="7">
        <f>ROW()</f>
        <v>71</v>
      </c>
    </row>
    <row r="72" spans="2:45" ht="13.95" customHeight="1">
      <c r="B72" s="92" t="s">
        <v>1163</v>
      </c>
      <c r="AS72" s="7">
        <f>ROW()</f>
        <v>72</v>
      </c>
    </row>
    <row r="73" spans="2:45" ht="13.95" customHeight="1">
      <c r="B73" s="1028" t="s">
        <v>1164</v>
      </c>
      <c r="I73" s="36">
        <f t="shared" ref="I73:AQ73" si="32">I25+I37+I49+I61</f>
        <v>275150.40580119973</v>
      </c>
      <c r="J73" s="36">
        <f t="shared" si="32"/>
        <v>272641.7102989594</v>
      </c>
      <c r="K73" s="36">
        <f t="shared" si="32"/>
        <v>272279.0059632081</v>
      </c>
      <c r="L73" s="36">
        <f t="shared" si="32"/>
        <v>253733.92513387228</v>
      </c>
      <c r="M73" s="36">
        <f t="shared" si="32"/>
        <v>239107.17919772485</v>
      </c>
      <c r="N73" s="36">
        <f t="shared" si="32"/>
        <v>244578.21521692735</v>
      </c>
      <c r="O73" s="36">
        <f t="shared" si="32"/>
        <v>239597.44813685922</v>
      </c>
      <c r="P73" s="36">
        <f t="shared" si="32"/>
        <v>235203.91511284877</v>
      </c>
      <c r="Q73" s="36">
        <f t="shared" si="32"/>
        <v>238732.57405030465</v>
      </c>
      <c r="R73" s="36">
        <f t="shared" si="32"/>
        <v>238303.71854033446</v>
      </c>
      <c r="S73" s="36">
        <f t="shared" si="32"/>
        <v>242428.3591270271</v>
      </c>
      <c r="T73" s="36">
        <f t="shared" si="32"/>
        <v>238702.17937219876</v>
      </c>
      <c r="U73" s="36">
        <f t="shared" si="32"/>
        <v>237537.86385663704</v>
      </c>
      <c r="V73" s="36">
        <f t="shared" si="32"/>
        <v>236505.38301951147</v>
      </c>
      <c r="W73" s="36">
        <f t="shared" si="32"/>
        <v>235819.1574420385</v>
      </c>
      <c r="X73" s="36">
        <f t="shared" si="32"/>
        <v>233915.38052556638</v>
      </c>
      <c r="Y73" s="36">
        <f t="shared" si="32"/>
        <v>233285.85537910424</v>
      </c>
      <c r="Z73" s="36">
        <f t="shared" si="32"/>
        <v>233293.9607947701</v>
      </c>
      <c r="AA73" s="36">
        <f t="shared" si="32"/>
        <v>233298.6985435955</v>
      </c>
      <c r="AB73" s="36">
        <f t="shared" si="32"/>
        <v>233125.06797513046</v>
      </c>
      <c r="AC73" s="36">
        <f t="shared" si="32"/>
        <v>232768.11083816411</v>
      </c>
      <c r="AD73" s="36">
        <f t="shared" si="32"/>
        <v>231528.0153286655</v>
      </c>
      <c r="AE73" s="36">
        <f t="shared" si="32"/>
        <v>230299.09039878138</v>
      </c>
      <c r="AF73" s="36">
        <f t="shared" si="32"/>
        <v>229081.22757000502</v>
      </c>
      <c r="AG73" s="36">
        <f t="shared" si="32"/>
        <v>227874.31970230094</v>
      </c>
      <c r="AH73" s="36">
        <f t="shared" si="32"/>
        <v>226535.10586767405</v>
      </c>
      <c r="AI73" s="36">
        <f t="shared" si="32"/>
        <v>225201.34754515905</v>
      </c>
      <c r="AJ73" s="36">
        <f t="shared" si="32"/>
        <v>223868.32867437208</v>
      </c>
      <c r="AK73" s="36">
        <f t="shared" si="32"/>
        <v>222536.128272303</v>
      </c>
      <c r="AL73" s="36">
        <f t="shared" si="32"/>
        <v>221204.82556008961</v>
      </c>
      <c r="AM73" s="36">
        <f t="shared" si="32"/>
        <v>219874.49993303747</v>
      </c>
      <c r="AN73" s="36">
        <f t="shared" si="32"/>
        <v>218545.23093087567</v>
      </c>
      <c r="AO73" s="36">
        <f t="shared" si="32"/>
        <v>217217.09820825874</v>
      </c>
      <c r="AP73" s="36">
        <f t="shared" si="32"/>
        <v>215890.18150552092</v>
      </c>
      <c r="AQ73" s="36">
        <f t="shared" si="32"/>
        <v>217544.33869459262</v>
      </c>
      <c r="AR73" s="21"/>
      <c r="AS73" s="7">
        <f>ROW()</f>
        <v>73</v>
      </c>
    </row>
    <row r="74" spans="2:45" ht="13.95" customHeight="1">
      <c r="B74" s="1028" t="s">
        <v>1214</v>
      </c>
      <c r="I74" s="36">
        <f t="shared" ref="I74:AQ74" si="33">I26+I38+I50+I62</f>
        <v>32075.320285969472</v>
      </c>
      <c r="J74" s="36">
        <f t="shared" si="33"/>
        <v>31944.670251333762</v>
      </c>
      <c r="K74" s="36">
        <f t="shared" si="33"/>
        <v>32166.278107017279</v>
      </c>
      <c r="L74" s="36">
        <f t="shared" si="33"/>
        <v>30731.430938311692</v>
      </c>
      <c r="M74" s="36">
        <f t="shared" si="33"/>
        <v>29995.779649751323</v>
      </c>
      <c r="N74" s="36">
        <f t="shared" si="33"/>
        <v>31101.353868792263</v>
      </c>
      <c r="O74" s="36">
        <f t="shared" si="33"/>
        <v>31348.809469825552</v>
      </c>
      <c r="P74" s="36">
        <f t="shared" si="33"/>
        <v>31653.353074799692</v>
      </c>
      <c r="Q74" s="36">
        <f t="shared" si="33"/>
        <v>32335.632750148721</v>
      </c>
      <c r="R74" s="36">
        <f t="shared" si="33"/>
        <v>33114.740819782848</v>
      </c>
      <c r="S74" s="36">
        <f t="shared" si="33"/>
        <v>34090.594106634133</v>
      </c>
      <c r="T74" s="36">
        <f t="shared" si="33"/>
        <v>33628.182893977959</v>
      </c>
      <c r="U74" s="36">
        <f t="shared" si="33"/>
        <v>33531.583613463408</v>
      </c>
      <c r="V74" s="36">
        <f t="shared" si="33"/>
        <v>33455.663078729616</v>
      </c>
      <c r="W74" s="36">
        <f t="shared" si="33"/>
        <v>33437.947411138419</v>
      </c>
      <c r="X74" s="36">
        <f t="shared" si="33"/>
        <v>33215.078571389531</v>
      </c>
      <c r="Y74" s="36">
        <f t="shared" si="33"/>
        <v>33152.484866105835</v>
      </c>
      <c r="Z74" s="36">
        <f t="shared" si="33"/>
        <v>33200.911654443269</v>
      </c>
      <c r="AA74" s="36">
        <f t="shared" si="33"/>
        <v>33248.385563804259</v>
      </c>
      <c r="AB74" s="36">
        <f t="shared" si="33"/>
        <v>33264.338967158234</v>
      </c>
      <c r="AC74" s="36">
        <f t="shared" si="33"/>
        <v>33247.909149557883</v>
      </c>
      <c r="AD74" s="36">
        <f t="shared" si="33"/>
        <v>33076.848396607958</v>
      </c>
      <c r="AE74" s="36">
        <f t="shared" si="33"/>
        <v>32907.388193634484</v>
      </c>
      <c r="AF74" s="36">
        <f t="shared" si="33"/>
        <v>32739.512927888158</v>
      </c>
      <c r="AG74" s="36">
        <f t="shared" si="33"/>
        <v>32573.20718412038</v>
      </c>
      <c r="AH74" s="36">
        <f t="shared" si="33"/>
        <v>32386.96743201253</v>
      </c>
      <c r="AI74" s="36">
        <f t="shared" si="33"/>
        <v>32198.844301566409</v>
      </c>
      <c r="AJ74" s="36">
        <f t="shared" si="33"/>
        <v>32010.534348751287</v>
      </c>
      <c r="AK74" s="36">
        <f t="shared" si="33"/>
        <v>31822.053915050907</v>
      </c>
      <c r="AL74" s="36">
        <f t="shared" si="33"/>
        <v>31633.419354810037</v>
      </c>
      <c r="AM74" s="36">
        <f t="shared" si="33"/>
        <v>31444.647030218468</v>
      </c>
      <c r="AN74" s="36">
        <f t="shared" si="33"/>
        <v>31255.753306334012</v>
      </c>
      <c r="AO74" s="36">
        <f t="shared" si="33"/>
        <v>31066.7545461462</v>
      </c>
      <c r="AP74" s="36">
        <f t="shared" si="33"/>
        <v>30877.667105681954</v>
      </c>
      <c r="AQ74" s="36">
        <f t="shared" si="33"/>
        <v>31087.278320905236</v>
      </c>
      <c r="AR74" s="21"/>
      <c r="AS74" s="7">
        <f>ROW()</f>
        <v>74</v>
      </c>
    </row>
    <row r="75" spans="2:45" ht="13.95" customHeight="1">
      <c r="B75" s="1028" t="s">
        <v>1176</v>
      </c>
      <c r="I75" s="36">
        <f>I74*Parameters!$G$44/Parameters!$I$18</f>
        <v>306.0851541962794</v>
      </c>
      <c r="J75" s="36">
        <f>J74*Parameters!$G$44/Parameters!$I$18</f>
        <v>304.83840012989168</v>
      </c>
      <c r="K75" s="36">
        <f>K74*Parameters!$G$44/Parameters!$I$18</f>
        <v>306.95313738187377</v>
      </c>
      <c r="L75" s="36">
        <f>L74*Parameters!$G$44/Parameters!$I$18</f>
        <v>293.26082151516505</v>
      </c>
      <c r="M75" s="36">
        <f>M74*Parameters!$G$44/Parameters!$I$18</f>
        <v>286.24072207153802</v>
      </c>
      <c r="N75" s="36">
        <f>N74*Parameters!$G$44/Parameters!$I$18</f>
        <v>296.79088500969584</v>
      </c>
      <c r="O75" s="36">
        <f>O74*Parameters!$G$44/Parameters!$I$18</f>
        <v>299.15227953744244</v>
      </c>
      <c r="P75" s="36">
        <f>P74*Parameters!$G$44/Parameters!$I$18</f>
        <v>302.05844775203627</v>
      </c>
      <c r="Q75" s="36">
        <f>Q74*Parameters!$G$44/Parameters!$I$18</f>
        <v>308.56923791008637</v>
      </c>
      <c r="R75" s="36">
        <f>R74*Parameters!$G$44/Parameters!$I$18</f>
        <v>316.00403237210276</v>
      </c>
      <c r="S75" s="36">
        <f>S74*Parameters!$G$44/Parameters!$I$18</f>
        <v>325.31630738964878</v>
      </c>
      <c r="T75" s="36">
        <f>T74*Parameters!$G$44/Parameters!$I$18</f>
        <v>320.90365597834347</v>
      </c>
      <c r="U75" s="36">
        <f>U74*Parameters!$G$44/Parameters!$I$18</f>
        <v>319.98183803832188</v>
      </c>
      <c r="V75" s="36">
        <f>V74*Parameters!$G$44/Parameters!$I$18</f>
        <v>319.25735116263439</v>
      </c>
      <c r="W75" s="36">
        <f>W74*Parameters!$G$44/Parameters!$I$18</f>
        <v>319.08829586410587</v>
      </c>
      <c r="X75" s="36">
        <f>X74*Parameters!$G$44/Parameters!$I$18</f>
        <v>316.96152541966785</v>
      </c>
      <c r="Y75" s="36">
        <f>Y74*Parameters!$G$44/Parameters!$I$18</f>
        <v>316.36421247742243</v>
      </c>
      <c r="Z75" s="36">
        <f>Z74*Parameters!$G$44/Parameters!$I$18</f>
        <v>316.82633478339915</v>
      </c>
      <c r="AA75" s="36">
        <f>AA74*Parameters!$G$44/Parameters!$I$18</f>
        <v>317.27936405130686</v>
      </c>
      <c r="AB75" s="36">
        <f>AB74*Parameters!$G$44/Parameters!$I$18</f>
        <v>317.43160259115683</v>
      </c>
      <c r="AC75" s="36">
        <f>AC74*Parameters!$G$44/Parameters!$I$18</f>
        <v>317.27481777314773</v>
      </c>
      <c r="AD75" s="36">
        <f>AD74*Parameters!$G$44/Parameters!$I$18</f>
        <v>315.64243635102014</v>
      </c>
      <c r="AE75" s="36">
        <f>AE74*Parameters!$G$44/Parameters!$I$18</f>
        <v>314.02532849691846</v>
      </c>
      <c r="AF75" s="36">
        <f>AF74*Parameters!$G$44/Parameters!$I$18</f>
        <v>312.42334522306214</v>
      </c>
      <c r="AG75" s="36">
        <f>AG74*Parameters!$G$44/Parameters!$I$18</f>
        <v>310.83633942636078</v>
      </c>
      <c r="AH75" s="36">
        <f>AH74*Parameters!$G$44/Parameters!$I$18</f>
        <v>309.05910937119148</v>
      </c>
      <c r="AI75" s="36">
        <f>AI74*Parameters!$G$44/Parameters!$I$18</f>
        <v>307.26390680182925</v>
      </c>
      <c r="AJ75" s="36">
        <f>AJ74*Parameters!$G$44/Parameters!$I$18</f>
        <v>305.46692144267371</v>
      </c>
      <c r="AK75" s="36">
        <f>AK74*Parameters!$G$44/Parameters!$I$18</f>
        <v>303.66830923559945</v>
      </c>
      <c r="AL75" s="36">
        <f>AL74*Parameters!$G$44/Parameters!$I$18</f>
        <v>301.86822624520983</v>
      </c>
      <c r="AM75" s="36">
        <f>AM74*Parameters!$G$44/Parameters!$I$18</f>
        <v>300.0668286109709</v>
      </c>
      <c r="AN75" s="36">
        <f>AN74*Parameters!$G$44/Parameters!$I$18</f>
        <v>298.26427249971749</v>
      </c>
      <c r="AO75" s="36">
        <f>AO74*Parameters!$G$44/Parameters!$I$18</f>
        <v>296.46071405854752</v>
      </c>
      <c r="AP75" s="36">
        <f>AP74*Parameters!$G$44/Parameters!$I$18</f>
        <v>294.65630936811658</v>
      </c>
      <c r="AQ75" s="36">
        <f>AQ74*Parameters!$G$44/Parameters!$I$18</f>
        <v>296.65656628093535</v>
      </c>
      <c r="AR75" s="21"/>
      <c r="AS75" s="7">
        <f>ROW()</f>
        <v>75</v>
      </c>
    </row>
    <row r="76" spans="2:45" ht="13.95" customHeight="1">
      <c r="B76" s="92" t="s">
        <v>1165</v>
      </c>
      <c r="I76" s="36">
        <f t="shared" ref="I76:AQ76" si="34">I27+I39+I51+I63</f>
        <v>0</v>
      </c>
      <c r="J76" s="36">
        <f t="shared" si="34"/>
        <v>0</v>
      </c>
      <c r="K76" s="36">
        <f t="shared" si="34"/>
        <v>0</v>
      </c>
      <c r="L76" s="36">
        <f t="shared" si="34"/>
        <v>0</v>
      </c>
      <c r="M76" s="36">
        <f t="shared" si="34"/>
        <v>0</v>
      </c>
      <c r="N76" s="36">
        <f t="shared" si="34"/>
        <v>0</v>
      </c>
      <c r="O76" s="36">
        <f t="shared" si="34"/>
        <v>0</v>
      </c>
      <c r="P76" s="36">
        <f t="shared" si="34"/>
        <v>0</v>
      </c>
      <c r="Q76" s="36">
        <f t="shared" si="34"/>
        <v>0</v>
      </c>
      <c r="R76" s="36">
        <f t="shared" si="34"/>
        <v>0</v>
      </c>
      <c r="S76" s="36">
        <f t="shared" si="34"/>
        <v>0</v>
      </c>
      <c r="T76" s="36">
        <f t="shared" si="34"/>
        <v>0</v>
      </c>
      <c r="U76" s="36">
        <f t="shared" si="34"/>
        <v>0</v>
      </c>
      <c r="V76" s="36">
        <f t="shared" si="34"/>
        <v>0</v>
      </c>
      <c r="W76" s="36">
        <f t="shared" si="34"/>
        <v>0</v>
      </c>
      <c r="X76" s="36">
        <f t="shared" si="34"/>
        <v>0</v>
      </c>
      <c r="Y76" s="36">
        <f t="shared" si="34"/>
        <v>0</v>
      </c>
      <c r="Z76" s="36">
        <f t="shared" si="34"/>
        <v>0</v>
      </c>
      <c r="AA76" s="36">
        <f t="shared" si="34"/>
        <v>0</v>
      </c>
      <c r="AB76" s="36">
        <f t="shared" si="34"/>
        <v>0</v>
      </c>
      <c r="AC76" s="36">
        <f t="shared" si="34"/>
        <v>0</v>
      </c>
      <c r="AD76" s="36">
        <f t="shared" si="34"/>
        <v>0</v>
      </c>
      <c r="AE76" s="36">
        <f t="shared" si="34"/>
        <v>0</v>
      </c>
      <c r="AF76" s="36">
        <f t="shared" si="34"/>
        <v>0</v>
      </c>
      <c r="AG76" s="36">
        <f t="shared" si="34"/>
        <v>0</v>
      </c>
      <c r="AH76" s="36">
        <f t="shared" si="34"/>
        <v>0</v>
      </c>
      <c r="AI76" s="36">
        <f t="shared" si="34"/>
        <v>0</v>
      </c>
      <c r="AJ76" s="36">
        <f t="shared" si="34"/>
        <v>0</v>
      </c>
      <c r="AK76" s="36">
        <f t="shared" si="34"/>
        <v>0</v>
      </c>
      <c r="AL76" s="36">
        <f t="shared" si="34"/>
        <v>0</v>
      </c>
      <c r="AM76" s="36">
        <f t="shared" si="34"/>
        <v>0</v>
      </c>
      <c r="AN76" s="36">
        <f t="shared" si="34"/>
        <v>0</v>
      </c>
      <c r="AO76" s="36">
        <f t="shared" si="34"/>
        <v>0</v>
      </c>
      <c r="AP76" s="36">
        <f t="shared" si="34"/>
        <v>0</v>
      </c>
      <c r="AQ76" s="36">
        <f t="shared" si="34"/>
        <v>0</v>
      </c>
      <c r="AS76" s="7">
        <f>ROW()</f>
        <v>76</v>
      </c>
    </row>
    <row r="77" spans="2:45" ht="13.95" customHeight="1">
      <c r="B77" s="1028" t="s">
        <v>1164</v>
      </c>
      <c r="I77" s="36">
        <f t="shared" ref="I77:AQ77" si="35">I28+I40+I52+I64</f>
        <v>275150.40580119973</v>
      </c>
      <c r="J77" s="36">
        <f t="shared" si="35"/>
        <v>272641.7102989594</v>
      </c>
      <c r="K77" s="36">
        <f t="shared" si="35"/>
        <v>272279.0059632081</v>
      </c>
      <c r="L77" s="36">
        <f t="shared" si="35"/>
        <v>253733.92513387228</v>
      </c>
      <c r="M77" s="36">
        <f t="shared" si="35"/>
        <v>239107.17919772485</v>
      </c>
      <c r="N77" s="36">
        <f t="shared" si="35"/>
        <v>244578.21521692735</v>
      </c>
      <c r="O77" s="36">
        <f t="shared" si="35"/>
        <v>239597.44813685922</v>
      </c>
      <c r="P77" s="36">
        <f t="shared" si="35"/>
        <v>235203.91511284877</v>
      </c>
      <c r="Q77" s="36">
        <f t="shared" si="35"/>
        <v>238732.57405030465</v>
      </c>
      <c r="R77" s="36">
        <f t="shared" si="35"/>
        <v>238303.71854033446</v>
      </c>
      <c r="S77" s="36">
        <f t="shared" si="35"/>
        <v>242428.3591270271</v>
      </c>
      <c r="T77" s="36">
        <f t="shared" si="35"/>
        <v>236549.27540909685</v>
      </c>
      <c r="U77" s="36">
        <f t="shared" si="35"/>
        <v>232180.87789138479</v>
      </c>
      <c r="V77" s="36">
        <f t="shared" si="35"/>
        <v>228296.36515994853</v>
      </c>
      <c r="W77" s="36">
        <f t="shared" si="35"/>
        <v>225036.09052284661</v>
      </c>
      <c r="X77" s="36">
        <f t="shared" si="35"/>
        <v>220840.79612219916</v>
      </c>
      <c r="Y77" s="36">
        <f t="shared" si="35"/>
        <v>217870.85093484499</v>
      </c>
      <c r="Z77" s="36">
        <f t="shared" si="35"/>
        <v>215641.12054642834</v>
      </c>
      <c r="AA77" s="36">
        <f t="shared" si="35"/>
        <v>213513.228332545</v>
      </c>
      <c r="AB77" s="36">
        <f t="shared" si="35"/>
        <v>211310.09043189665</v>
      </c>
      <c r="AC77" s="36">
        <f t="shared" si="35"/>
        <v>209020.59560169946</v>
      </c>
      <c r="AD77" s="36">
        <f t="shared" si="35"/>
        <v>206000.80241391732</v>
      </c>
      <c r="AE77" s="36">
        <f t="shared" si="35"/>
        <v>203127.94974724692</v>
      </c>
      <c r="AF77" s="36">
        <f t="shared" si="35"/>
        <v>200441.24613742239</v>
      </c>
      <c r="AG77" s="36">
        <f t="shared" si="35"/>
        <v>197922.33384162874</v>
      </c>
      <c r="AH77" s="36">
        <f t="shared" si="35"/>
        <v>195442.08899813305</v>
      </c>
      <c r="AI77" s="36">
        <f t="shared" si="35"/>
        <v>193088.02160524792</v>
      </c>
      <c r="AJ77" s="36">
        <f t="shared" si="35"/>
        <v>190857.02493390738</v>
      </c>
      <c r="AK77" s="36">
        <f t="shared" si="35"/>
        <v>188738.26212418755</v>
      </c>
      <c r="AL77" s="36">
        <f t="shared" si="35"/>
        <v>186722.12621975341</v>
      </c>
      <c r="AM77" s="36">
        <f t="shared" si="35"/>
        <v>184807.14724976261</v>
      </c>
      <c r="AN77" s="36">
        <f t="shared" si="35"/>
        <v>182979.6676193634</v>
      </c>
      <c r="AO77" s="36">
        <f t="shared" si="35"/>
        <v>181232.79822465422</v>
      </c>
      <c r="AP77" s="36">
        <f t="shared" si="35"/>
        <v>179560.33553490616</v>
      </c>
      <c r="AQ77" s="36">
        <f t="shared" si="35"/>
        <v>180354.64770240639</v>
      </c>
      <c r="AR77" s="21"/>
      <c r="AS77" s="7">
        <f>ROW()</f>
        <v>77</v>
      </c>
    </row>
    <row r="78" spans="2:45" ht="13.95" customHeight="1">
      <c r="B78" s="1028" t="s">
        <v>1214</v>
      </c>
      <c r="I78" s="36">
        <f t="shared" ref="I78:AQ78" si="36">I29+I41+I53+I65</f>
        <v>32075.320285969472</v>
      </c>
      <c r="J78" s="36">
        <f t="shared" si="36"/>
        <v>31944.670251333762</v>
      </c>
      <c r="K78" s="36">
        <f t="shared" si="36"/>
        <v>32166.278107017279</v>
      </c>
      <c r="L78" s="36">
        <f t="shared" si="36"/>
        <v>30731.430938311692</v>
      </c>
      <c r="M78" s="36">
        <f t="shared" si="36"/>
        <v>29995.779649751323</v>
      </c>
      <c r="N78" s="36">
        <f t="shared" si="36"/>
        <v>31101.353868792263</v>
      </c>
      <c r="O78" s="36">
        <f t="shared" si="36"/>
        <v>31348.809469825552</v>
      </c>
      <c r="P78" s="36">
        <f t="shared" si="36"/>
        <v>31653.353074799692</v>
      </c>
      <c r="Q78" s="36">
        <f t="shared" si="36"/>
        <v>32335.632750148721</v>
      </c>
      <c r="R78" s="36">
        <f t="shared" si="36"/>
        <v>33114.740819782848</v>
      </c>
      <c r="S78" s="36">
        <f t="shared" si="36"/>
        <v>34090.594106634133</v>
      </c>
      <c r="T78" s="36">
        <f t="shared" si="36"/>
        <v>33469.59085729986</v>
      </c>
      <c r="U78" s="36">
        <f t="shared" si="36"/>
        <v>32993.581006115979</v>
      </c>
      <c r="V78" s="36">
        <f t="shared" si="36"/>
        <v>32569.760539252886</v>
      </c>
      <c r="W78" s="36">
        <f t="shared" si="36"/>
        <v>32228.171794028625</v>
      </c>
      <c r="X78" s="36">
        <f t="shared" si="36"/>
        <v>31708.682536077176</v>
      </c>
      <c r="Y78" s="36">
        <f t="shared" si="36"/>
        <v>31340.513916830496</v>
      </c>
      <c r="Z78" s="36">
        <f t="shared" si="36"/>
        <v>31089.177690995606</v>
      </c>
      <c r="AA78" s="36">
        <f t="shared" si="36"/>
        <v>30844.666086059551</v>
      </c>
      <c r="AB78" s="36">
        <f t="shared" si="36"/>
        <v>30577.313857217803</v>
      </c>
      <c r="AC78" s="36">
        <f t="shared" si="36"/>
        <v>30286.255753566347</v>
      </c>
      <c r="AD78" s="36">
        <f t="shared" si="36"/>
        <v>29859.91900792739</v>
      </c>
      <c r="AE78" s="36">
        <f t="shared" si="36"/>
        <v>29452.338966128729</v>
      </c>
      <c r="AF78" s="36">
        <f t="shared" si="36"/>
        <v>29071.047624133666</v>
      </c>
      <c r="AG78" s="36">
        <f t="shared" si="36"/>
        <v>28713.431858270109</v>
      </c>
      <c r="AH78" s="36">
        <f t="shared" si="36"/>
        <v>28359.536701920668</v>
      </c>
      <c r="AI78" s="36">
        <f t="shared" si="36"/>
        <v>28021.594917131391</v>
      </c>
      <c r="AJ78" s="36">
        <f t="shared" si="36"/>
        <v>27700.902783260266</v>
      </c>
      <c r="AK78" s="36">
        <f t="shared" si="36"/>
        <v>27395.925776744811</v>
      </c>
      <c r="AL78" s="36">
        <f t="shared" si="36"/>
        <v>27105.304917108275</v>
      </c>
      <c r="AM78" s="36">
        <f t="shared" si="36"/>
        <v>26829.068772202987</v>
      </c>
      <c r="AN78" s="36">
        <f t="shared" si="36"/>
        <v>26565.087442821867</v>
      </c>
      <c r="AO78" s="36">
        <f t="shared" si="36"/>
        <v>26312.387839310049</v>
      </c>
      <c r="AP78" s="36">
        <f t="shared" si="36"/>
        <v>26070.094269063586</v>
      </c>
      <c r="AQ78" s="36">
        <f t="shared" si="36"/>
        <v>26162.089012741675</v>
      </c>
      <c r="AR78" s="21"/>
      <c r="AS78" s="7">
        <f>ROW()</f>
        <v>78</v>
      </c>
    </row>
    <row r="79" spans="2:45" ht="13.95" customHeight="1">
      <c r="B79" s="1028" t="s">
        <v>1176</v>
      </c>
      <c r="I79" s="36">
        <f>I78*Parameters!$G$44/Parameters!$I$18</f>
        <v>306.0851541962794</v>
      </c>
      <c r="J79" s="36">
        <f>J78*Parameters!$G$44/Parameters!$I$18</f>
        <v>304.83840012989168</v>
      </c>
      <c r="K79" s="36">
        <f>K78*Parameters!$G$44/Parameters!$I$18</f>
        <v>306.95313738187377</v>
      </c>
      <c r="L79" s="36">
        <f>L78*Parameters!$G$44/Parameters!$I$18</f>
        <v>293.26082151516505</v>
      </c>
      <c r="M79" s="36">
        <f>M78*Parameters!$G$44/Parameters!$I$18</f>
        <v>286.24072207153802</v>
      </c>
      <c r="N79" s="36">
        <f>N78*Parameters!$G$44/Parameters!$I$18</f>
        <v>296.79088500969584</v>
      </c>
      <c r="O79" s="36">
        <f>O78*Parameters!$G$44/Parameters!$I$18</f>
        <v>299.15227953744244</v>
      </c>
      <c r="P79" s="36">
        <f>P78*Parameters!$G$44/Parameters!$I$18</f>
        <v>302.05844775203627</v>
      </c>
      <c r="Q79" s="36">
        <f>Q78*Parameters!$G$44/Parameters!$I$18</f>
        <v>308.56923791008637</v>
      </c>
      <c r="R79" s="36">
        <f>R78*Parameters!$G$44/Parameters!$I$18</f>
        <v>316.00403237210276</v>
      </c>
      <c r="S79" s="36">
        <f>S78*Parameters!$G$44/Parameters!$I$18</f>
        <v>325.31630738964878</v>
      </c>
      <c r="T79" s="36">
        <f>T78*Parameters!$G$44/Parameters!$I$18</f>
        <v>319.39025977315725</v>
      </c>
      <c r="U79" s="36">
        <f>U78*Parameters!$G$44/Parameters!$I$18</f>
        <v>314.84784063596481</v>
      </c>
      <c r="V79" s="36">
        <f>V78*Parameters!$G$44/Parameters!$I$18</f>
        <v>310.80344912888842</v>
      </c>
      <c r="W79" s="36">
        <f>W78*Parameters!$G$44/Parameters!$I$18</f>
        <v>307.54377025985411</v>
      </c>
      <c r="X79" s="36">
        <f>X78*Parameters!$G$44/Parameters!$I$18</f>
        <v>302.58644019406728</v>
      </c>
      <c r="Y79" s="36">
        <f>Y78*Parameters!$G$44/Parameters!$I$18</f>
        <v>299.0731175650912</v>
      </c>
      <c r="Z79" s="36">
        <f>Z78*Parameters!$G$44/Parameters!$I$18</f>
        <v>296.67469139961861</v>
      </c>
      <c r="AA79" s="36">
        <f>AA78*Parameters!$G$44/Parameters!$I$18</f>
        <v>294.341390542998</v>
      </c>
      <c r="AB79" s="36">
        <f>AB78*Parameters!$G$44/Parameters!$I$18</f>
        <v>291.79012846797707</v>
      </c>
      <c r="AC79" s="36">
        <f>AC78*Parameters!$G$44/Parameters!$I$18</f>
        <v>289.01264834488057</v>
      </c>
      <c r="AD79" s="36">
        <f>AD78*Parameters!$G$44/Parameters!$I$18</f>
        <v>284.94424474469827</v>
      </c>
      <c r="AE79" s="36">
        <f>AE78*Parameters!$G$44/Parameters!$I$18</f>
        <v>281.05483073950626</v>
      </c>
      <c r="AF79" s="36">
        <f>AF78*Parameters!$G$44/Parameters!$I$18</f>
        <v>277.41628190608071</v>
      </c>
      <c r="AG79" s="36">
        <f>AG78*Parameters!$G$44/Parameters!$I$18</f>
        <v>274.00366198953856</v>
      </c>
      <c r="AH79" s="36">
        <f>AH78*Parameters!$G$44/Parameters!$I$18</f>
        <v>270.62654673286198</v>
      </c>
      <c r="AI79" s="36">
        <f>AI78*Parameters!$G$44/Parameters!$I$18</f>
        <v>267.40166971263659</v>
      </c>
      <c r="AJ79" s="36">
        <f>AJ78*Parameters!$G$44/Parameters!$I$18</f>
        <v>264.34140093370212</v>
      </c>
      <c r="AK79" s="36">
        <f>AK78*Parameters!$G$44/Parameters!$I$18</f>
        <v>261.43109689828339</v>
      </c>
      <c r="AL79" s="36">
        <f>AL78*Parameters!$G$44/Parameters!$I$18</f>
        <v>258.65778926358411</v>
      </c>
      <c r="AM79" s="36">
        <f>AM78*Parameters!$G$44/Parameters!$I$18</f>
        <v>256.0217506440444</v>
      </c>
      <c r="AN79" s="36">
        <f>AN78*Parameters!$G$44/Parameters!$I$18</f>
        <v>253.50265605081276</v>
      </c>
      <c r="AO79" s="36">
        <f>AO78*Parameters!$G$44/Parameters!$I$18</f>
        <v>251.09121958138221</v>
      </c>
      <c r="AP79" s="36">
        <f>AP78*Parameters!$G$44/Parameters!$I$18</f>
        <v>248.77908476406921</v>
      </c>
      <c r="AQ79" s="36">
        <f>AQ78*Parameters!$G$44/Parameters!$I$18</f>
        <v>249.65696299109575</v>
      </c>
      <c r="AR79" s="21"/>
      <c r="AS79" s="7">
        <f>ROW()</f>
        <v>79</v>
      </c>
    </row>
    <row r="80" spans="2:45" ht="13.95" customHeight="1">
      <c r="B80" s="92" t="s">
        <v>1166</v>
      </c>
      <c r="I80" s="36">
        <f t="shared" ref="I80:AQ80" si="37">I30+I42+I54+I66</f>
        <v>0</v>
      </c>
      <c r="J80" s="36">
        <f t="shared" si="37"/>
        <v>0</v>
      </c>
      <c r="K80" s="36">
        <f t="shared" si="37"/>
        <v>0</v>
      </c>
      <c r="L80" s="36">
        <f t="shared" si="37"/>
        <v>0</v>
      </c>
      <c r="M80" s="36">
        <f t="shared" si="37"/>
        <v>0</v>
      </c>
      <c r="N80" s="36">
        <f t="shared" si="37"/>
        <v>0</v>
      </c>
      <c r="O80" s="36">
        <f t="shared" si="37"/>
        <v>0</v>
      </c>
      <c r="P80" s="36">
        <f t="shared" si="37"/>
        <v>0</v>
      </c>
      <c r="Q80" s="36">
        <f t="shared" si="37"/>
        <v>0</v>
      </c>
      <c r="R80" s="36">
        <f t="shared" si="37"/>
        <v>0</v>
      </c>
      <c r="S80" s="36">
        <f t="shared" si="37"/>
        <v>0</v>
      </c>
      <c r="T80" s="36">
        <f t="shared" si="37"/>
        <v>0</v>
      </c>
      <c r="U80" s="36">
        <f t="shared" si="37"/>
        <v>0</v>
      </c>
      <c r="V80" s="36">
        <f t="shared" si="37"/>
        <v>0</v>
      </c>
      <c r="W80" s="36">
        <f t="shared" si="37"/>
        <v>0</v>
      </c>
      <c r="X80" s="36">
        <f t="shared" si="37"/>
        <v>0</v>
      </c>
      <c r="Y80" s="36">
        <f t="shared" si="37"/>
        <v>0</v>
      </c>
      <c r="Z80" s="36">
        <f t="shared" si="37"/>
        <v>0</v>
      </c>
      <c r="AA80" s="36">
        <f t="shared" si="37"/>
        <v>0</v>
      </c>
      <c r="AB80" s="36">
        <f t="shared" si="37"/>
        <v>0</v>
      </c>
      <c r="AC80" s="36">
        <f t="shared" si="37"/>
        <v>0</v>
      </c>
      <c r="AD80" s="36">
        <f t="shared" si="37"/>
        <v>0</v>
      </c>
      <c r="AE80" s="36">
        <f t="shared" si="37"/>
        <v>0</v>
      </c>
      <c r="AF80" s="36">
        <f t="shared" si="37"/>
        <v>0</v>
      </c>
      <c r="AG80" s="36">
        <f t="shared" si="37"/>
        <v>0</v>
      </c>
      <c r="AH80" s="36">
        <f t="shared" si="37"/>
        <v>0</v>
      </c>
      <c r="AI80" s="36">
        <f t="shared" si="37"/>
        <v>0</v>
      </c>
      <c r="AJ80" s="36">
        <f t="shared" si="37"/>
        <v>0</v>
      </c>
      <c r="AK80" s="36">
        <f t="shared" si="37"/>
        <v>0</v>
      </c>
      <c r="AL80" s="36">
        <f t="shared" si="37"/>
        <v>0</v>
      </c>
      <c r="AM80" s="36">
        <f t="shared" si="37"/>
        <v>0</v>
      </c>
      <c r="AN80" s="36">
        <f t="shared" si="37"/>
        <v>0</v>
      </c>
      <c r="AO80" s="36">
        <f t="shared" si="37"/>
        <v>0</v>
      </c>
      <c r="AP80" s="36">
        <f t="shared" si="37"/>
        <v>0</v>
      </c>
      <c r="AQ80" s="36">
        <f t="shared" si="37"/>
        <v>0</v>
      </c>
      <c r="AS80" s="7">
        <f>ROW()</f>
        <v>80</v>
      </c>
    </row>
    <row r="81" spans="2:45" ht="13.95" customHeight="1">
      <c r="B81" s="1028" t="s">
        <v>1164</v>
      </c>
      <c r="I81" s="36">
        <f t="shared" ref="I81:AQ81" si="38">I31+I43+I55+I67</f>
        <v>0</v>
      </c>
      <c r="J81" s="36">
        <f t="shared" si="38"/>
        <v>0</v>
      </c>
      <c r="K81" s="36">
        <f t="shared" si="38"/>
        <v>0</v>
      </c>
      <c r="L81" s="36">
        <f t="shared" si="38"/>
        <v>0</v>
      </c>
      <c r="M81" s="36">
        <f t="shared" si="38"/>
        <v>0</v>
      </c>
      <c r="N81" s="36">
        <f t="shared" si="38"/>
        <v>0</v>
      </c>
      <c r="O81" s="36">
        <f t="shared" si="38"/>
        <v>0</v>
      </c>
      <c r="P81" s="36">
        <f t="shared" si="38"/>
        <v>0</v>
      </c>
      <c r="Q81" s="36">
        <f t="shared" si="38"/>
        <v>0</v>
      </c>
      <c r="R81" s="36">
        <f t="shared" si="38"/>
        <v>0</v>
      </c>
      <c r="S81" s="36">
        <f t="shared" si="38"/>
        <v>0</v>
      </c>
      <c r="T81" s="36">
        <f t="shared" si="38"/>
        <v>-2152.9039631018786</v>
      </c>
      <c r="U81" s="36">
        <f t="shared" si="38"/>
        <v>-5356.9859652522573</v>
      </c>
      <c r="V81" s="36">
        <f t="shared" si="38"/>
        <v>-8209.0178595629332</v>
      </c>
      <c r="W81" s="36">
        <f t="shared" si="38"/>
        <v>-10783.066919191879</v>
      </c>
      <c r="X81" s="36">
        <f t="shared" si="38"/>
        <v>-13074.584403367222</v>
      </c>
      <c r="Y81" s="36">
        <f t="shared" si="38"/>
        <v>-15415.004444259235</v>
      </c>
      <c r="Z81" s="36">
        <f t="shared" si="38"/>
        <v>-17652.840248341789</v>
      </c>
      <c r="AA81" s="36">
        <f t="shared" si="38"/>
        <v>-19785.470211050499</v>
      </c>
      <c r="AB81" s="36">
        <f t="shared" si="38"/>
        <v>-21814.977543233788</v>
      </c>
      <c r="AC81" s="36">
        <f t="shared" si="38"/>
        <v>-23747.515236464664</v>
      </c>
      <c r="AD81" s="36">
        <f t="shared" si="38"/>
        <v>-25527.212914748197</v>
      </c>
      <c r="AE81" s="36">
        <f t="shared" si="38"/>
        <v>-27171.140651534457</v>
      </c>
      <c r="AF81" s="36">
        <f t="shared" si="38"/>
        <v>-28639.981432582601</v>
      </c>
      <c r="AG81" s="36">
        <f t="shared" si="38"/>
        <v>-29951.985860672194</v>
      </c>
      <c r="AH81" s="36">
        <f t="shared" si="38"/>
        <v>-31093.016869541007</v>
      </c>
      <c r="AI81" s="36">
        <f t="shared" si="38"/>
        <v>-32113.325939911159</v>
      </c>
      <c r="AJ81" s="36">
        <f t="shared" si="38"/>
        <v>-33011.303740464667</v>
      </c>
      <c r="AK81" s="36">
        <f t="shared" si="38"/>
        <v>-33797.866148115463</v>
      </c>
      <c r="AL81" s="36">
        <f t="shared" si="38"/>
        <v>-34482.699340336228</v>
      </c>
      <c r="AM81" s="36">
        <f t="shared" si="38"/>
        <v>-35067.352683274847</v>
      </c>
      <c r="AN81" s="36">
        <f t="shared" si="38"/>
        <v>-35565.563311512233</v>
      </c>
      <c r="AO81" s="36">
        <f t="shared" si="38"/>
        <v>-35984.299983604484</v>
      </c>
      <c r="AP81" s="36">
        <f t="shared" si="38"/>
        <v>-36329.845970614726</v>
      </c>
      <c r="AQ81" s="36">
        <f t="shared" si="38"/>
        <v>-37189.690992186224</v>
      </c>
      <c r="AR81" s="36"/>
      <c r="AS81" s="7">
        <f>ROW()</f>
        <v>81</v>
      </c>
    </row>
    <row r="82" spans="2:45" ht="13.95" customHeight="1">
      <c r="B82" s="1028" t="s">
        <v>1214</v>
      </c>
      <c r="I82" s="36">
        <f t="shared" ref="I82:AQ82" si="39">I32+I44+I56+I68</f>
        <v>0</v>
      </c>
      <c r="J82" s="36">
        <f t="shared" si="39"/>
        <v>0</v>
      </c>
      <c r="K82" s="36">
        <f t="shared" si="39"/>
        <v>0</v>
      </c>
      <c r="L82" s="36">
        <f t="shared" si="39"/>
        <v>0</v>
      </c>
      <c r="M82" s="36">
        <f t="shared" si="39"/>
        <v>0</v>
      </c>
      <c r="N82" s="36">
        <f t="shared" si="39"/>
        <v>0</v>
      </c>
      <c r="O82" s="36">
        <f t="shared" si="39"/>
        <v>0</v>
      </c>
      <c r="P82" s="36">
        <f t="shared" si="39"/>
        <v>0</v>
      </c>
      <c r="Q82" s="36">
        <f t="shared" si="39"/>
        <v>0</v>
      </c>
      <c r="R82" s="36">
        <f t="shared" si="39"/>
        <v>0</v>
      </c>
      <c r="S82" s="36">
        <f t="shared" si="39"/>
        <v>0</v>
      </c>
      <c r="T82" s="36">
        <f t="shared" si="39"/>
        <v>-158.59203667809834</v>
      </c>
      <c r="U82" s="36">
        <f t="shared" si="39"/>
        <v>-538.00260734742483</v>
      </c>
      <c r="V82" s="36">
        <f t="shared" si="39"/>
        <v>-885.90253947672727</v>
      </c>
      <c r="W82" s="36">
        <f t="shared" si="39"/>
        <v>-1209.7756171097906</v>
      </c>
      <c r="X82" s="36">
        <f t="shared" si="39"/>
        <v>-1506.3960353123562</v>
      </c>
      <c r="Y82" s="36">
        <f t="shared" si="39"/>
        <v>-1811.9709492753352</v>
      </c>
      <c r="Z82" s="36">
        <f t="shared" si="39"/>
        <v>-2111.7339634476612</v>
      </c>
      <c r="AA82" s="36">
        <f t="shared" si="39"/>
        <v>-2403.7194777447044</v>
      </c>
      <c r="AB82" s="36">
        <f t="shared" si="39"/>
        <v>-2687.0251099404354</v>
      </c>
      <c r="AC82" s="36">
        <f t="shared" si="39"/>
        <v>-2961.653395991535</v>
      </c>
      <c r="AD82" s="36">
        <f t="shared" si="39"/>
        <v>-3216.9293886805635</v>
      </c>
      <c r="AE82" s="36">
        <f t="shared" si="39"/>
        <v>-3455.049227505755</v>
      </c>
      <c r="AF82" s="36">
        <f t="shared" si="39"/>
        <v>-3668.4653037544895</v>
      </c>
      <c r="AG82" s="36">
        <f t="shared" si="39"/>
        <v>-3859.7753258502707</v>
      </c>
      <c r="AH82" s="36">
        <f t="shared" si="39"/>
        <v>-4027.430730091859</v>
      </c>
      <c r="AI82" s="36">
        <f t="shared" si="39"/>
        <v>-4177.2493844350156</v>
      </c>
      <c r="AJ82" s="36">
        <f t="shared" si="39"/>
        <v>-4309.6315654910195</v>
      </c>
      <c r="AK82" s="36">
        <f t="shared" si="39"/>
        <v>-4426.1281383060923</v>
      </c>
      <c r="AL82" s="36">
        <f t="shared" si="39"/>
        <v>-4528.1144377017636</v>
      </c>
      <c r="AM82" s="36">
        <f t="shared" si="39"/>
        <v>-4615.5782580154801</v>
      </c>
      <c r="AN82" s="36">
        <f t="shared" si="39"/>
        <v>-4690.6658635121485</v>
      </c>
      <c r="AO82" s="36">
        <f t="shared" si="39"/>
        <v>-4754.3667068361519</v>
      </c>
      <c r="AP82" s="36">
        <f t="shared" si="39"/>
        <v>-4807.5728366183685</v>
      </c>
      <c r="AQ82" s="36">
        <f t="shared" si="39"/>
        <v>-4925.1893081635626</v>
      </c>
      <c r="AR82" s="36"/>
      <c r="AS82" s="7">
        <f>ROW()</f>
        <v>82</v>
      </c>
    </row>
    <row r="83" spans="2:45" ht="13.95" customHeight="1">
      <c r="B83" s="1028" t="s">
        <v>1176</v>
      </c>
      <c r="I83" s="36">
        <f t="shared" ref="I83:S83" si="40">I79-I75</f>
        <v>0</v>
      </c>
      <c r="J83" s="36">
        <f t="shared" si="40"/>
        <v>0</v>
      </c>
      <c r="K83" s="36">
        <f t="shared" si="40"/>
        <v>0</v>
      </c>
      <c r="L83" s="36">
        <f t="shared" si="40"/>
        <v>0</v>
      </c>
      <c r="M83" s="36">
        <f t="shared" si="40"/>
        <v>0</v>
      </c>
      <c r="N83" s="36">
        <f t="shared" si="40"/>
        <v>0</v>
      </c>
      <c r="O83" s="36">
        <f t="shared" si="40"/>
        <v>0</v>
      </c>
      <c r="P83" s="36">
        <f t="shared" si="40"/>
        <v>0</v>
      </c>
      <c r="Q83" s="36">
        <f t="shared" si="40"/>
        <v>0</v>
      </c>
      <c r="R83" s="36">
        <f t="shared" si="40"/>
        <v>0</v>
      </c>
      <c r="S83" s="36">
        <f t="shared" si="40"/>
        <v>0</v>
      </c>
      <c r="T83" s="36">
        <f>T79-T75</f>
        <v>-1.5133962051862113</v>
      </c>
      <c r="U83" s="36">
        <f t="shared" ref="U83:AQ83" si="41">U79-U75</f>
        <v>-5.1339974023570676</v>
      </c>
      <c r="V83" s="36">
        <f t="shared" si="41"/>
        <v>-8.453902033745976</v>
      </c>
      <c r="W83" s="36">
        <f t="shared" si="41"/>
        <v>-11.54452560425176</v>
      </c>
      <c r="X83" s="36">
        <f t="shared" si="41"/>
        <v>-14.375085225600571</v>
      </c>
      <c r="Y83" s="36">
        <f t="shared" si="41"/>
        <v>-17.291094912331232</v>
      </c>
      <c r="Z83" s="36">
        <f t="shared" si="41"/>
        <v>-20.151643383780538</v>
      </c>
      <c r="AA83" s="36">
        <f t="shared" si="41"/>
        <v>-22.937973508308858</v>
      </c>
      <c r="AB83" s="36">
        <f t="shared" si="41"/>
        <v>-25.641474123179762</v>
      </c>
      <c r="AC83" s="36">
        <f t="shared" si="41"/>
        <v>-28.262169428267157</v>
      </c>
      <c r="AD83" s="36">
        <f t="shared" si="41"/>
        <v>-30.69819160632187</v>
      </c>
      <c r="AE83" s="36">
        <f t="shared" si="41"/>
        <v>-32.970497757412204</v>
      </c>
      <c r="AF83" s="36">
        <f t="shared" si="41"/>
        <v>-35.00706331698143</v>
      </c>
      <c r="AG83" s="36">
        <f t="shared" si="41"/>
        <v>-36.832677436822223</v>
      </c>
      <c r="AH83" s="36">
        <f t="shared" si="41"/>
        <v>-38.4325626383295</v>
      </c>
      <c r="AI83" s="36">
        <f t="shared" si="41"/>
        <v>-39.862237089192661</v>
      </c>
      <c r="AJ83" s="36">
        <f t="shared" si="41"/>
        <v>-41.12552050897159</v>
      </c>
      <c r="AK83" s="36">
        <f t="shared" si="41"/>
        <v>-42.237212337316066</v>
      </c>
      <c r="AL83" s="36">
        <f t="shared" si="41"/>
        <v>-43.210436981625719</v>
      </c>
      <c r="AM83" s="36">
        <f t="shared" si="41"/>
        <v>-44.045077966926499</v>
      </c>
      <c r="AN83" s="36">
        <f t="shared" si="41"/>
        <v>-44.761616448904732</v>
      </c>
      <c r="AO83" s="36">
        <f t="shared" si="41"/>
        <v>-45.369494477165318</v>
      </c>
      <c r="AP83" s="36">
        <f t="shared" si="41"/>
        <v>-45.87722460404737</v>
      </c>
      <c r="AQ83" s="36">
        <f t="shared" si="41"/>
        <v>-46.999603289839598</v>
      </c>
      <c r="AR83" s="36"/>
      <c r="AS83" s="7">
        <f>ROW()</f>
        <v>83</v>
      </c>
    </row>
    <row r="84" spans="2:45" ht="13.95" customHeight="1">
      <c r="B84" s="84" t="str">
        <f>CONCATENATE("Rows ",AS73, " and ",AS77, " are copied from 'Aviation' tab, Rows ",Aviation!AS80, " and ",Aviation!AS104, ". Rows ",Aviation!AS58, " and ",Aviation!AS61, " multiply their respective preceding rows by refinery fuel factor for kerosene in Cell Q",AS129, ". Impact rows are differences between respective preceding rows.")</f>
        <v>Rows 73 and 77 are copied from 'Aviation' tab, Rows 80 and . Rows 58 and 61 multiply their respective preceding rows by refinery fuel factor for kerosene in Cell Q. Impact rows are differences between respective preceding rows.</v>
      </c>
      <c r="AS84" s="7">
        <f>ROW()</f>
        <v>84</v>
      </c>
    </row>
    <row r="85" spans="2:45" ht="13.95" customHeight="1">
      <c r="X85" s="20"/>
      <c r="AS85" s="7">
        <f>ROW()</f>
        <v>85</v>
      </c>
    </row>
    <row r="86" spans="2:45" s="8" customFormat="1" ht="13.95" customHeight="1">
      <c r="B86" s="8" t="s">
        <v>1222</v>
      </c>
      <c r="I86" s="23"/>
      <c r="J86" s="84" t="str">
        <f>CONCATENATE("Product of Rows ",AS34, " and ",AS83, ", with appropriate conversion factor.")</f>
        <v>Product of Rows 34 and 83, with appropriate conversion factor.</v>
      </c>
      <c r="M86" s="129"/>
      <c r="N86"/>
      <c r="O86"/>
      <c r="P86"/>
      <c r="Q86" s="268"/>
      <c r="R86" s="268"/>
      <c r="S86" s="268"/>
      <c r="T86" s="785">
        <f t="shared" ref="T86:AQ86" si="42">ROUND(T18*T79,-2)/1000</f>
        <v>4</v>
      </c>
      <c r="U86" s="785">
        <f t="shared" si="42"/>
        <v>8</v>
      </c>
      <c r="V86" s="785">
        <f t="shared" si="42"/>
        <v>12.2</v>
      </c>
      <c r="W86" s="785">
        <f t="shared" si="42"/>
        <v>16.399999999999999</v>
      </c>
      <c r="X86" s="785">
        <f t="shared" si="42"/>
        <v>20.6</v>
      </c>
      <c r="Y86" s="785">
        <f t="shared" si="42"/>
        <v>24.9</v>
      </c>
      <c r="Z86" s="785">
        <f t="shared" si="42"/>
        <v>29.4</v>
      </c>
      <c r="AA86" s="785">
        <f t="shared" si="42"/>
        <v>34.1</v>
      </c>
      <c r="AB86" s="785">
        <f t="shared" si="42"/>
        <v>38.799999999999997</v>
      </c>
      <c r="AC86" s="785">
        <f t="shared" si="42"/>
        <v>43.6</v>
      </c>
      <c r="AD86" s="785">
        <f t="shared" si="42"/>
        <v>48.3</v>
      </c>
      <c r="AE86" s="785">
        <f t="shared" si="42"/>
        <v>53</v>
      </c>
      <c r="AF86" s="785">
        <f t="shared" si="42"/>
        <v>57.9</v>
      </c>
      <c r="AG86" s="785">
        <f t="shared" si="42"/>
        <v>62.9</v>
      </c>
      <c r="AH86" s="785">
        <f t="shared" si="42"/>
        <v>68</v>
      </c>
      <c r="AI86" s="785">
        <f t="shared" si="42"/>
        <v>73.099999999999994</v>
      </c>
      <c r="AJ86" s="785">
        <f t="shared" si="42"/>
        <v>78.400000000000006</v>
      </c>
      <c r="AK86" s="785">
        <f t="shared" si="42"/>
        <v>83.9</v>
      </c>
      <c r="AL86" s="785">
        <f t="shared" si="42"/>
        <v>89.4</v>
      </c>
      <c r="AM86" s="785">
        <f t="shared" si="42"/>
        <v>95.2</v>
      </c>
      <c r="AN86" s="785">
        <f t="shared" si="42"/>
        <v>101</v>
      </c>
      <c r="AO86" s="785">
        <f t="shared" si="42"/>
        <v>107</v>
      </c>
      <c r="AP86" s="785">
        <f t="shared" si="42"/>
        <v>113.2</v>
      </c>
      <c r="AQ86" s="785">
        <f t="shared" si="42"/>
        <v>121</v>
      </c>
      <c r="AS86" s="7">
        <f>ROW()</f>
        <v>86</v>
      </c>
    </row>
    <row r="87" spans="2:45" ht="13.95" customHeight="1">
      <c r="AS87" s="7">
        <f>ROW()</f>
        <v>87</v>
      </c>
    </row>
    <row r="88" spans="2:45" ht="13.95" customHeight="1">
      <c r="B88" s="14" t="s">
        <v>1224</v>
      </c>
      <c r="AS88" s="7">
        <f>ROW()</f>
        <v>88</v>
      </c>
    </row>
    <row r="89" spans="2:45" ht="13.95" customHeight="1">
      <c r="AS89" s="7">
        <f>ROW()</f>
        <v>89</v>
      </c>
    </row>
    <row r="90" spans="2:45" ht="13.95" customHeight="1">
      <c r="C90" s="1010" t="s">
        <v>1131</v>
      </c>
      <c r="D90" s="744"/>
      <c r="E90" s="744"/>
      <c r="F90" s="744"/>
      <c r="G90" s="744"/>
      <c r="H90" s="744"/>
      <c r="I90" s="744"/>
      <c r="J90" s="744"/>
      <c r="K90" s="744"/>
      <c r="L90" s="744"/>
      <c r="M90" s="744"/>
      <c r="N90" s="1011"/>
      <c r="O90" s="1334" t="str">
        <f xml:space="preserve"> CONCATENATE("As a check: Energy Intensity % recalc'd as ratio of each entry's Total kJ in Col. H to Grand Total in Cell H",T111, ", divided by Mass (kg) in Column D. Diff's are due to rounding.")</f>
        <v>As a check: Energy Intensity % recalc'd as ratio of each entry's Total kJ in Col. H to Grand Total in Cell H, divided by Mass (kg) in Column D. Diff's are due to rounding.</v>
      </c>
      <c r="AS90" s="7">
        <f>ROW()</f>
        <v>90</v>
      </c>
    </row>
    <row r="91" spans="2:45" ht="13.95" customHeight="1">
      <c r="C91" s="1331" t="s">
        <v>1158</v>
      </c>
      <c r="D91" s="1332"/>
      <c r="E91" s="1332"/>
      <c r="F91" s="1332"/>
      <c r="G91" s="1332"/>
      <c r="H91" s="1332"/>
      <c r="I91" s="1332"/>
      <c r="J91" s="1332"/>
      <c r="K91" s="1332"/>
      <c r="L91" s="1332"/>
      <c r="M91" s="1332"/>
      <c r="N91" s="1333"/>
      <c r="O91" s="1335"/>
      <c r="AS91" s="7">
        <f>ROW()</f>
        <v>91</v>
      </c>
    </row>
    <row r="92" spans="2:45" ht="13.95" customHeight="1">
      <c r="C92" s="1331"/>
      <c r="D92" s="1332"/>
      <c r="E92" s="1332"/>
      <c r="F92" s="1332"/>
      <c r="G92" s="1332"/>
      <c r="H92" s="1332"/>
      <c r="I92" s="1332"/>
      <c r="J92" s="1332"/>
      <c r="K92" s="1332"/>
      <c r="L92" s="1332"/>
      <c r="M92" s="1332"/>
      <c r="N92" s="1333"/>
      <c r="O92" s="1335"/>
      <c r="P92" s="1324" t="s">
        <v>1162</v>
      </c>
      <c r="Q92" s="1135" t="s">
        <v>1167</v>
      </c>
      <c r="AS92" s="7">
        <f>ROW()</f>
        <v>92</v>
      </c>
    </row>
    <row r="93" spans="2:45" ht="13.95" customHeight="1">
      <c r="C93" s="1055" t="s">
        <v>1227</v>
      </c>
      <c r="D93" s="1015"/>
      <c r="E93" s="1015"/>
      <c r="F93" s="1015"/>
      <c r="G93" s="1015"/>
      <c r="H93" s="1015"/>
      <c r="I93" s="1015"/>
      <c r="J93" s="1015"/>
      <c r="K93" s="1015"/>
      <c r="L93" s="1015"/>
      <c r="M93" s="1015"/>
      <c r="N93" s="1322" t="s">
        <v>1155</v>
      </c>
      <c r="O93" s="1335"/>
      <c r="P93" s="1325"/>
      <c r="Q93" s="1136"/>
      <c r="AS93" s="7">
        <f>ROW()</f>
        <v>93</v>
      </c>
    </row>
    <row r="94" spans="2:45" ht="13.95" customHeight="1">
      <c r="C94" s="745"/>
      <c r="D94" s="1016"/>
      <c r="E94" s="1016"/>
      <c r="F94" s="1328" t="s">
        <v>1134</v>
      </c>
      <c r="G94" s="1329"/>
      <c r="H94" s="1329"/>
      <c r="I94" s="1330"/>
      <c r="J94" s="1328" t="s">
        <v>1135</v>
      </c>
      <c r="K94" s="1329"/>
      <c r="L94" s="1329"/>
      <c r="M94" s="1329"/>
      <c r="N94" s="1323"/>
      <c r="O94" s="1335"/>
      <c r="P94" s="1325"/>
      <c r="Q94" s="1136"/>
      <c r="AS94" s="7">
        <f>ROW()</f>
        <v>94</v>
      </c>
    </row>
    <row r="95" spans="2:45" ht="13.95" customHeight="1">
      <c r="B95" s="1039" t="s">
        <v>1225</v>
      </c>
      <c r="C95" s="1017" t="s">
        <v>1132</v>
      </c>
      <c r="D95" s="1014" t="s">
        <v>1133</v>
      </c>
      <c r="E95" s="1014" t="s">
        <v>1151</v>
      </c>
      <c r="F95" s="1014" t="s">
        <v>1152</v>
      </c>
      <c r="G95" s="1014" t="s">
        <v>1153</v>
      </c>
      <c r="H95" s="1014" t="s">
        <v>1154</v>
      </c>
      <c r="I95" s="1014" t="s">
        <v>1136</v>
      </c>
      <c r="J95" s="1014" t="s">
        <v>1137</v>
      </c>
      <c r="K95" s="1014" t="s">
        <v>92</v>
      </c>
      <c r="L95" s="1014" t="s">
        <v>1138</v>
      </c>
      <c r="M95" s="1043" t="s">
        <v>91</v>
      </c>
      <c r="N95" s="1131"/>
      <c r="O95" s="1336"/>
      <c r="P95" s="1326"/>
      <c r="Q95" s="1327"/>
      <c r="AS95" s="7">
        <f>ROW()</f>
        <v>95</v>
      </c>
    </row>
    <row r="96" spans="2:45" ht="13.95" customHeight="1">
      <c r="B96" s="1040">
        <v>1</v>
      </c>
      <c r="C96" s="855" t="s">
        <v>93</v>
      </c>
      <c r="D96" s="746">
        <v>0.46500000000000002</v>
      </c>
      <c r="E96" s="749">
        <v>1334.7</v>
      </c>
      <c r="F96" s="746">
        <v>53.6</v>
      </c>
      <c r="G96" s="746">
        <v>184.4</v>
      </c>
      <c r="H96" s="746">
        <v>1572.6</v>
      </c>
      <c r="I96" s="1018">
        <v>0.46</v>
      </c>
      <c r="J96" s="746">
        <v>60.7</v>
      </c>
      <c r="K96" s="746">
        <v>53.2</v>
      </c>
      <c r="L96" s="746">
        <v>28.4</v>
      </c>
      <c r="M96" s="746">
        <v>53.3</v>
      </c>
      <c r="N96" s="1024">
        <v>1.159</v>
      </c>
      <c r="O96" s="1021">
        <f t="shared" ref="O96:O111" si="43">(H96/$H$111)/D96</f>
        <v>1.1472354841992494</v>
      </c>
      <c r="P96" s="16">
        <v>0.86399999999999999</v>
      </c>
      <c r="Q96" s="1044">
        <f t="shared" ref="Q96:Q101" si="44">1/P96-1</f>
        <v>0.15740740740740744</v>
      </c>
      <c r="AS96" s="7">
        <f>ROW()</f>
        <v>96</v>
      </c>
    </row>
    <row r="97" spans="2:45" ht="13.95" customHeight="1">
      <c r="B97" s="1040">
        <v>2</v>
      </c>
      <c r="C97" s="855" t="s">
        <v>1142</v>
      </c>
      <c r="D97" s="746">
        <v>9.4E-2</v>
      </c>
      <c r="E97" s="749">
        <v>147.6</v>
      </c>
      <c r="F97" s="746">
        <v>9.4</v>
      </c>
      <c r="G97" s="746">
        <v>39.9</v>
      </c>
      <c r="H97" s="746">
        <v>196.9</v>
      </c>
      <c r="I97" s="1018">
        <v>9.2999999999999999E-2</v>
      </c>
      <c r="J97" s="746">
        <v>6.7</v>
      </c>
      <c r="K97" s="746">
        <v>9.3000000000000007</v>
      </c>
      <c r="L97" s="746">
        <v>6.1</v>
      </c>
      <c r="M97" s="746">
        <v>6.7</v>
      </c>
      <c r="N97" s="1024">
        <v>0.71799999999999997</v>
      </c>
      <c r="O97" s="1021">
        <f t="shared" si="43"/>
        <v>0.71056713289590201</v>
      </c>
      <c r="P97" s="16">
        <v>0.91</v>
      </c>
      <c r="Q97" s="1045">
        <f t="shared" si="44"/>
        <v>9.8901098901098772E-2</v>
      </c>
      <c r="AS97" s="7">
        <f>ROW()</f>
        <v>97</v>
      </c>
    </row>
    <row r="98" spans="2:45" ht="13.95" customHeight="1">
      <c r="B98" s="1040">
        <v>3</v>
      </c>
      <c r="C98" s="855" t="s">
        <v>1143</v>
      </c>
      <c r="D98" s="746">
        <v>0.13700000000000001</v>
      </c>
      <c r="E98" s="749">
        <v>192.5</v>
      </c>
      <c r="F98" s="746">
        <v>11.5</v>
      </c>
      <c r="G98" s="746">
        <v>45.6</v>
      </c>
      <c r="H98" s="746">
        <v>249.6</v>
      </c>
      <c r="I98" s="1018">
        <v>0.13600000000000001</v>
      </c>
      <c r="J98" s="746">
        <v>8.8000000000000007</v>
      </c>
      <c r="K98" s="746">
        <v>11.4</v>
      </c>
      <c r="L98" s="746">
        <v>7</v>
      </c>
      <c r="M98" s="746">
        <v>8.5</v>
      </c>
      <c r="N98" s="1024">
        <v>0.624</v>
      </c>
      <c r="O98" s="1021">
        <f t="shared" si="43"/>
        <v>0.61803243333185587</v>
      </c>
      <c r="P98" s="16">
        <v>0.92100000000000004</v>
      </c>
      <c r="Q98" s="1045">
        <f t="shared" si="44"/>
        <v>8.5776330076004381E-2</v>
      </c>
      <c r="AS98" s="7">
        <f>ROW()</f>
        <v>98</v>
      </c>
    </row>
    <row r="99" spans="2:45" ht="13.95" customHeight="1">
      <c r="B99" s="1040">
        <v>4</v>
      </c>
      <c r="C99" s="855" t="s">
        <v>1147</v>
      </c>
      <c r="D99" s="746">
        <v>7.0000000000000007E-2</v>
      </c>
      <c r="E99" s="749">
        <v>111.4</v>
      </c>
      <c r="F99" s="746">
        <v>5.3</v>
      </c>
      <c r="G99" s="746">
        <v>202.1</v>
      </c>
      <c r="H99" s="746">
        <v>318.8</v>
      </c>
      <c r="I99" s="1018">
        <v>6.9000000000000006E-2</v>
      </c>
      <c r="J99" s="746">
        <v>5.0999999999999996</v>
      </c>
      <c r="K99" s="746">
        <v>5.3</v>
      </c>
      <c r="L99" s="746">
        <v>31.1</v>
      </c>
      <c r="M99" s="746">
        <v>10.8</v>
      </c>
      <c r="N99" s="1024">
        <v>1.56</v>
      </c>
      <c r="O99" s="1021">
        <f t="shared" si="43"/>
        <v>1.5449254432937731</v>
      </c>
      <c r="P99" s="16">
        <v>0.80700000000000005</v>
      </c>
      <c r="Q99" s="1045">
        <f t="shared" si="44"/>
        <v>0.23915737298636919</v>
      </c>
      <c r="AS99" s="7">
        <f>ROW()</f>
        <v>99</v>
      </c>
    </row>
    <row r="100" spans="2:45" ht="13.95" customHeight="1">
      <c r="B100" s="1040">
        <v>5</v>
      </c>
      <c r="C100" s="855" t="s">
        <v>1148</v>
      </c>
      <c r="D100" s="746">
        <v>0.02</v>
      </c>
      <c r="E100" s="749">
        <v>46.8</v>
      </c>
      <c r="F100" s="746">
        <v>1.5</v>
      </c>
      <c r="G100" s="746">
        <v>23.5</v>
      </c>
      <c r="H100" s="746">
        <v>71.8</v>
      </c>
      <c r="I100" s="1018">
        <v>0.02</v>
      </c>
      <c r="J100" s="746">
        <v>2.1</v>
      </c>
      <c r="K100" s="746">
        <v>1.5</v>
      </c>
      <c r="L100" s="746">
        <v>3.6</v>
      </c>
      <c r="M100" s="746">
        <v>2.4</v>
      </c>
      <c r="N100" s="1024">
        <v>1.23</v>
      </c>
      <c r="O100" s="1021">
        <f t="shared" si="43"/>
        <v>1.2178160724583602</v>
      </c>
      <c r="P100" s="16">
        <v>0.85099999999999998</v>
      </c>
      <c r="Q100" s="1045">
        <f t="shared" si="44"/>
        <v>0.17508813160987069</v>
      </c>
      <c r="AS100" s="7">
        <f>ROW()</f>
        <v>100</v>
      </c>
    </row>
    <row r="101" spans="2:45" ht="13.95" customHeight="1">
      <c r="B101" s="1040">
        <v>6</v>
      </c>
      <c r="C101" s="855" t="s">
        <v>1149</v>
      </c>
      <c r="D101" s="746">
        <v>8.9999999999999993E-3</v>
      </c>
      <c r="E101" s="749">
        <v>14.7</v>
      </c>
      <c r="F101" s="746">
        <v>0.7</v>
      </c>
      <c r="G101" s="746">
        <v>26.6</v>
      </c>
      <c r="H101" s="746">
        <v>42</v>
      </c>
      <c r="I101" s="1018">
        <v>8.9999999999999993E-3</v>
      </c>
      <c r="J101" s="746">
        <v>0.7</v>
      </c>
      <c r="K101" s="746">
        <v>0.7</v>
      </c>
      <c r="L101" s="746">
        <v>4.0999999999999996</v>
      </c>
      <c r="M101" s="746">
        <v>1.4</v>
      </c>
      <c r="N101" s="1024">
        <v>1.6</v>
      </c>
      <c r="O101" s="1021">
        <f t="shared" si="43"/>
        <v>1.5830478193516289</v>
      </c>
      <c r="P101" s="16">
        <v>0.80800000000000005</v>
      </c>
      <c r="Q101" s="1045">
        <f t="shared" si="44"/>
        <v>0.23762376237623761</v>
      </c>
      <c r="AS101" s="7">
        <f>ROW()</f>
        <v>101</v>
      </c>
    </row>
    <row r="102" spans="2:45" ht="13.95" customHeight="1">
      <c r="B102" s="1040">
        <v>7</v>
      </c>
      <c r="C102" s="855" t="s">
        <v>1139</v>
      </c>
      <c r="D102" s="746">
        <v>4.0000000000000001E-3</v>
      </c>
      <c r="E102" s="749">
        <v>3.1</v>
      </c>
      <c r="F102" s="746">
        <v>0.1</v>
      </c>
      <c r="G102" s="746">
        <v>1.6</v>
      </c>
      <c r="H102" s="746">
        <v>4.8</v>
      </c>
      <c r="I102" s="1018">
        <v>4.0000000000000001E-3</v>
      </c>
      <c r="J102" s="746">
        <v>0.1</v>
      </c>
      <c r="K102" s="746">
        <v>0.1</v>
      </c>
      <c r="L102" s="746">
        <v>0.2</v>
      </c>
      <c r="M102" s="746">
        <v>0.2</v>
      </c>
      <c r="N102" s="1024">
        <v>0.41299999999999998</v>
      </c>
      <c r="O102" s="1021">
        <f t="shared" si="43"/>
        <v>0.40706943926184741</v>
      </c>
      <c r="P102" s="16">
        <v>0.94199999999999995</v>
      </c>
      <c r="Q102" s="1045">
        <f t="shared" ref="Q102" si="45">1/P102-1</f>
        <v>6.1571125265392768E-2</v>
      </c>
      <c r="AS102" s="7">
        <f>ROW()</f>
        <v>102</v>
      </c>
    </row>
    <row r="103" spans="2:45" ht="13.8" customHeight="1">
      <c r="B103" s="1040">
        <v>8</v>
      </c>
      <c r="C103" s="855" t="s">
        <v>1140</v>
      </c>
      <c r="D103" s="746">
        <v>4.3999999999999997E-2</v>
      </c>
      <c r="E103" s="749">
        <v>92.9</v>
      </c>
      <c r="F103" s="746">
        <v>6.2</v>
      </c>
      <c r="G103" s="746">
        <v>42.1</v>
      </c>
      <c r="H103" s="746">
        <v>141.19999999999999</v>
      </c>
      <c r="I103" s="1018">
        <v>4.3999999999999997E-2</v>
      </c>
      <c r="J103" s="746">
        <v>4.2</v>
      </c>
      <c r="K103" s="746">
        <v>6.1</v>
      </c>
      <c r="L103" s="746">
        <v>6.5</v>
      </c>
      <c r="M103" s="746">
        <v>4.8</v>
      </c>
      <c r="N103" s="1024">
        <v>1.1000000000000001</v>
      </c>
      <c r="O103" s="1021">
        <f t="shared" si="43"/>
        <v>1.0886023640866072</v>
      </c>
      <c r="P103" s="16">
        <v>0.88500000000000001</v>
      </c>
      <c r="Q103" s="1045">
        <f>1/P103-1</f>
        <v>0.12994350282485878</v>
      </c>
      <c r="AS103" s="7">
        <f>ROW()</f>
        <v>103</v>
      </c>
    </row>
    <row r="104" spans="2:45" ht="13.95" customHeight="1">
      <c r="B104" s="1040">
        <v>9</v>
      </c>
      <c r="C104" s="855" t="s">
        <v>1141</v>
      </c>
      <c r="D104" s="746">
        <v>1E-3</v>
      </c>
      <c r="E104" s="749">
        <v>0.5</v>
      </c>
      <c r="F104" s="746">
        <v>0.1</v>
      </c>
      <c r="G104" s="746">
        <v>0.9</v>
      </c>
      <c r="H104" s="746">
        <v>1.5</v>
      </c>
      <c r="I104" s="1018">
        <v>1E-3</v>
      </c>
      <c r="J104" s="746">
        <v>0</v>
      </c>
      <c r="K104" s="746">
        <v>0.1</v>
      </c>
      <c r="L104" s="746">
        <v>0.1</v>
      </c>
      <c r="M104" s="746">
        <v>0.1</v>
      </c>
      <c r="N104" s="1024">
        <v>0.50900000000000001</v>
      </c>
      <c r="O104" s="1021">
        <f t="shared" si="43"/>
        <v>0.50883679907730928</v>
      </c>
      <c r="P104" s="16">
        <v>0.93100000000000005</v>
      </c>
      <c r="Q104" s="1045">
        <f>1/P104-1</f>
        <v>7.4113856068743322E-2</v>
      </c>
      <c r="AS104" s="7">
        <f>ROW()</f>
        <v>104</v>
      </c>
    </row>
    <row r="105" spans="2:45" ht="13.95" customHeight="1">
      <c r="B105" s="1040">
        <v>10</v>
      </c>
      <c r="C105" s="855" t="s">
        <v>1144</v>
      </c>
      <c r="D105" s="746">
        <v>5.8000000000000003E-2</v>
      </c>
      <c r="E105" s="749">
        <v>28.4</v>
      </c>
      <c r="F105" s="746">
        <v>5.0999999999999996</v>
      </c>
      <c r="G105" s="746">
        <v>44.8</v>
      </c>
      <c r="H105" s="746">
        <v>78.3</v>
      </c>
      <c r="I105" s="1018">
        <v>5.7000000000000002E-2</v>
      </c>
      <c r="J105" s="746">
        <v>1.3</v>
      </c>
      <c r="K105" s="746">
        <v>5</v>
      </c>
      <c r="L105" s="746">
        <v>6.9</v>
      </c>
      <c r="M105" s="746">
        <v>2.7</v>
      </c>
      <c r="N105" s="1024">
        <v>0.46200000000000002</v>
      </c>
      <c r="O105" s="1021">
        <f t="shared" si="43"/>
        <v>0.45795311916957826</v>
      </c>
      <c r="P105" s="16">
        <v>0.92700000000000005</v>
      </c>
      <c r="Q105" s="1045">
        <f t="shared" ref="Q105:Q111" si="46">1/P105-1</f>
        <v>7.8748651564185534E-2</v>
      </c>
      <c r="AS105" s="7">
        <f>ROW()</f>
        <v>105</v>
      </c>
    </row>
    <row r="106" spans="2:45" ht="13.95" customHeight="1">
      <c r="B106" s="1040">
        <v>11</v>
      </c>
      <c r="C106" s="855" t="s">
        <v>1145</v>
      </c>
      <c r="D106" s="746">
        <v>4.4999999999999998E-2</v>
      </c>
      <c r="E106" s="749">
        <v>126.6</v>
      </c>
      <c r="F106" s="746">
        <v>2.9</v>
      </c>
      <c r="G106" s="746">
        <v>18.600000000000001</v>
      </c>
      <c r="H106" s="746">
        <v>148.1</v>
      </c>
      <c r="I106" s="1018">
        <v>4.4999999999999998E-2</v>
      </c>
      <c r="J106" s="746">
        <v>5.8</v>
      </c>
      <c r="K106" s="746">
        <v>2.9</v>
      </c>
      <c r="L106" s="746">
        <v>2.9</v>
      </c>
      <c r="M106" s="746">
        <v>5</v>
      </c>
      <c r="N106" s="1024">
        <v>1.127</v>
      </c>
      <c r="O106" s="1021">
        <f t="shared" si="43"/>
        <v>1.1164256287903629</v>
      </c>
      <c r="P106" s="16">
        <v>0.86699999999999999</v>
      </c>
      <c r="Q106" s="1045">
        <f t="shared" si="46"/>
        <v>0.15340253748558252</v>
      </c>
      <c r="AS106" s="7">
        <f>ROW()</f>
        <v>106</v>
      </c>
    </row>
    <row r="107" spans="2:45" ht="13.95" customHeight="1">
      <c r="B107" s="1040">
        <v>12</v>
      </c>
      <c r="C107" s="855" t="s">
        <v>1146</v>
      </c>
      <c r="D107" s="746">
        <v>0.04</v>
      </c>
      <c r="E107" s="749">
        <v>58.9</v>
      </c>
      <c r="F107" s="746">
        <v>3.1</v>
      </c>
      <c r="G107" s="746">
        <v>12.8</v>
      </c>
      <c r="H107" s="746">
        <v>74.8</v>
      </c>
      <c r="I107" s="1018">
        <v>0.04</v>
      </c>
      <c r="J107" s="746">
        <v>2.7</v>
      </c>
      <c r="K107" s="746">
        <v>3</v>
      </c>
      <c r="L107" s="746">
        <v>2</v>
      </c>
      <c r="M107" s="746">
        <v>2.5</v>
      </c>
      <c r="N107" s="1024">
        <v>0.64</v>
      </c>
      <c r="O107" s="1021">
        <f t="shared" si="43"/>
        <v>0.6343498761830455</v>
      </c>
      <c r="P107" s="16">
        <v>0.91500000000000004</v>
      </c>
      <c r="Q107" s="1045">
        <f t="shared" si="46"/>
        <v>9.2896174863387859E-2</v>
      </c>
      <c r="AS107" s="7">
        <f>ROW()</f>
        <v>107</v>
      </c>
    </row>
    <row r="108" spans="2:45" ht="13.95" customHeight="1">
      <c r="B108" s="1040">
        <v>13</v>
      </c>
      <c r="C108" s="855" t="s">
        <v>1150</v>
      </c>
      <c r="D108" s="746">
        <v>5.0000000000000001E-3</v>
      </c>
      <c r="E108" s="749">
        <v>12.1</v>
      </c>
      <c r="F108" s="746">
        <v>0.3</v>
      </c>
      <c r="G108" s="746">
        <v>3.6</v>
      </c>
      <c r="H108" s="746">
        <v>16</v>
      </c>
      <c r="I108" s="1018">
        <v>5.0000000000000001E-3</v>
      </c>
      <c r="J108" s="746">
        <v>0.6</v>
      </c>
      <c r="K108" s="746">
        <v>0.3</v>
      </c>
      <c r="L108" s="746">
        <v>0.6</v>
      </c>
      <c r="M108" s="746">
        <v>0.5</v>
      </c>
      <c r="N108" s="1024">
        <v>1.0960000000000001</v>
      </c>
      <c r="O108" s="1021">
        <f t="shared" si="43"/>
        <v>1.0855185046982598</v>
      </c>
      <c r="P108" s="16">
        <v>0.86899999999999999</v>
      </c>
      <c r="Q108" s="1045">
        <f t="shared" si="46"/>
        <v>0.15074798619102414</v>
      </c>
      <c r="AS108" s="7">
        <f>ROW()</f>
        <v>108</v>
      </c>
    </row>
    <row r="109" spans="2:45" ht="13.95" customHeight="1">
      <c r="B109" s="1040">
        <v>14</v>
      </c>
      <c r="C109" s="855" t="s">
        <v>1156</v>
      </c>
      <c r="D109" s="746">
        <v>5.0000000000000001E-3</v>
      </c>
      <c r="E109" s="749">
        <v>21.2</v>
      </c>
      <c r="F109" s="746">
        <v>0.8</v>
      </c>
      <c r="G109" s="746">
        <v>1.4</v>
      </c>
      <c r="H109" s="746">
        <v>23.4</v>
      </c>
      <c r="I109" s="1018">
        <v>5.0000000000000001E-3</v>
      </c>
      <c r="J109" s="746">
        <v>1</v>
      </c>
      <c r="K109" s="746">
        <v>0.8</v>
      </c>
      <c r="L109" s="746">
        <v>0.2</v>
      </c>
      <c r="M109" s="746">
        <v>0.8</v>
      </c>
      <c r="N109" s="1024">
        <v>1.603</v>
      </c>
      <c r="O109" s="1021">
        <f t="shared" si="43"/>
        <v>1.5875708131212047</v>
      </c>
      <c r="P109" s="16">
        <v>0.82199999999999995</v>
      </c>
      <c r="Q109" s="1045">
        <f t="shared" si="46"/>
        <v>0.21654501216545019</v>
      </c>
      <c r="AS109" s="7">
        <f>ROW()</f>
        <v>109</v>
      </c>
    </row>
    <row r="110" spans="2:45" ht="13.95" customHeight="1">
      <c r="B110" s="1041">
        <v>15</v>
      </c>
      <c r="C110" s="855" t="s">
        <v>1157</v>
      </c>
      <c r="D110" s="746">
        <v>1.2999999999999999E-2</v>
      </c>
      <c r="E110" s="887">
        <v>6.2</v>
      </c>
      <c r="F110" s="746">
        <v>0.3</v>
      </c>
      <c r="G110" s="746">
        <v>1.6</v>
      </c>
      <c r="H110" s="746">
        <v>8.1999999999999993</v>
      </c>
      <c r="I110" s="1018">
        <v>1.2999999999999999E-2</v>
      </c>
      <c r="J110" s="746">
        <v>0.3</v>
      </c>
      <c r="K110" s="746">
        <v>0.3</v>
      </c>
      <c r="L110" s="746">
        <v>0.2</v>
      </c>
      <c r="M110" s="746">
        <v>0.3</v>
      </c>
      <c r="N110" s="1025">
        <v>0.215</v>
      </c>
      <c r="O110" s="1021">
        <f t="shared" si="43"/>
        <v>0.21397239756071468</v>
      </c>
      <c r="P110" s="16">
        <v>0.94899999999999995</v>
      </c>
      <c r="Q110" s="1045">
        <f t="shared" si="46"/>
        <v>5.3740779768177038E-2</v>
      </c>
      <c r="AS110" s="7">
        <f>ROW()</f>
        <v>110</v>
      </c>
    </row>
    <row r="111" spans="2:45" s="8" customFormat="1" ht="13.95" customHeight="1">
      <c r="C111" s="1019" t="s">
        <v>91</v>
      </c>
      <c r="D111" s="1030">
        <v>1.01</v>
      </c>
      <c r="E111" s="1020">
        <v>2197.8000000000002</v>
      </c>
      <c r="F111" s="1020">
        <v>100.7</v>
      </c>
      <c r="G111" s="1020">
        <v>649.4</v>
      </c>
      <c r="H111" s="1020">
        <v>2947.9</v>
      </c>
      <c r="I111" s="1026">
        <v>1</v>
      </c>
      <c r="J111" s="1020">
        <v>100</v>
      </c>
      <c r="K111" s="1020">
        <v>100</v>
      </c>
      <c r="L111" s="1020">
        <v>100</v>
      </c>
      <c r="M111" s="1020">
        <v>100</v>
      </c>
      <c r="N111" s="1023">
        <v>1</v>
      </c>
      <c r="O111" s="1022">
        <f t="shared" si="43"/>
        <v>0.99009900990099009</v>
      </c>
      <c r="P111" s="335">
        <v>0.878</v>
      </c>
      <c r="Q111" s="1046">
        <f t="shared" si="46"/>
        <v>0.13895216400911159</v>
      </c>
      <c r="R111"/>
      <c r="S111"/>
      <c r="T111"/>
      <c r="AS111" s="7">
        <f>ROW()</f>
        <v>111</v>
      </c>
    </row>
    <row r="112" spans="2:45" ht="13.95" customHeight="1">
      <c r="C112" s="1042" t="s">
        <v>1226</v>
      </c>
      <c r="D112" s="232">
        <f t="shared" ref="D112:M112" si="47">SUM(D99:D110)</f>
        <v>0.314</v>
      </c>
      <c r="E112" s="232">
        <f t="shared" si="47"/>
        <v>522.80000000000007</v>
      </c>
      <c r="F112" s="232">
        <f t="shared" si="47"/>
        <v>26.400000000000002</v>
      </c>
      <c r="G112" s="232">
        <f t="shared" si="47"/>
        <v>379.6</v>
      </c>
      <c r="H112" s="232">
        <f t="shared" si="47"/>
        <v>928.9</v>
      </c>
      <c r="I112" s="1027">
        <f t="shared" si="47"/>
        <v>0.312</v>
      </c>
      <c r="J112" s="232">
        <f t="shared" si="47"/>
        <v>23.900000000000002</v>
      </c>
      <c r="K112" s="232">
        <f t="shared" si="47"/>
        <v>26.099999999999998</v>
      </c>
      <c r="L112" s="232">
        <f t="shared" si="47"/>
        <v>58.400000000000013</v>
      </c>
      <c r="M112" s="232">
        <f t="shared" si="47"/>
        <v>31.500000000000004</v>
      </c>
      <c r="AS112" s="7">
        <f>ROW()</f>
        <v>112</v>
      </c>
    </row>
    <row r="113" spans="2:45" ht="13.95" customHeight="1">
      <c r="B113" s="1047" t="s">
        <v>1173</v>
      </c>
      <c r="C113" s="1050" t="s">
        <v>1217</v>
      </c>
      <c r="D113" s="402">
        <f>SUM(D96:D98)</f>
        <v>0.69600000000000006</v>
      </c>
      <c r="P113" s="16">
        <f>SUMPRODUCT(D96:D98,P96:P98)/D113</f>
        <v>0.88143247126436786</v>
      </c>
      <c r="Q113" s="16">
        <f t="shared" ref="Q113:Q115" si="48">1/P113-1</f>
        <v>0.13451686045279598</v>
      </c>
      <c r="AS113" s="7">
        <f>ROW()</f>
        <v>113</v>
      </c>
    </row>
    <row r="114" spans="2:45" ht="13.95" customHeight="1">
      <c r="B114" s="1048" t="s">
        <v>1174</v>
      </c>
      <c r="C114" s="1051" t="s">
        <v>1218</v>
      </c>
      <c r="D114" s="1053">
        <f>SUM(D99:D101)</f>
        <v>9.9000000000000005E-2</v>
      </c>
      <c r="P114" s="16">
        <f>SUMPRODUCT(D99:D101,P99:P101)/D114</f>
        <v>0.81597979797979803</v>
      </c>
      <c r="Q114" s="16">
        <f t="shared" si="48"/>
        <v>0.22552053675323713</v>
      </c>
      <c r="AS114" s="7">
        <f>ROW()</f>
        <v>114</v>
      </c>
    </row>
    <row r="115" spans="2:45" ht="13.95" customHeight="1">
      <c r="B115" s="1049" t="s">
        <v>1172</v>
      </c>
      <c r="C115" s="1052" t="s">
        <v>1219</v>
      </c>
      <c r="D115" s="1054">
        <f>SUM(D102:D110)</f>
        <v>0.21500000000000005</v>
      </c>
      <c r="P115" s="16">
        <f>SUMPRODUCT(D102:D110,P102:P110)/D115</f>
        <v>0.90145116279069737</v>
      </c>
      <c r="Q115" s="16">
        <f t="shared" si="48"/>
        <v>0.10932243617526294</v>
      </c>
      <c r="AS115" s="7">
        <f>ROW()</f>
        <v>115</v>
      </c>
    </row>
    <row r="116" spans="2:45" ht="13.95" customHeight="1">
      <c r="AS116" s="7">
        <f>ROW()</f>
        <v>116</v>
      </c>
    </row>
    <row r="117" spans="2:45" ht="13.95" customHeight="1">
      <c r="B117" s="14" t="s">
        <v>1228</v>
      </c>
    </row>
  </sheetData>
  <mergeCells count="23">
    <mergeCell ref="B3:G4"/>
    <mergeCell ref="B6:G10"/>
    <mergeCell ref="B11:G15"/>
    <mergeCell ref="N93:N95"/>
    <mergeCell ref="S10:S13"/>
    <mergeCell ref="I10:I13"/>
    <mergeCell ref="J10:J13"/>
    <mergeCell ref="P92:P95"/>
    <mergeCell ref="Q92:Q95"/>
    <mergeCell ref="F94:I94"/>
    <mergeCell ref="J94:M94"/>
    <mergeCell ref="C91:N92"/>
    <mergeCell ref="O90:O95"/>
    <mergeCell ref="T10:T13"/>
    <mergeCell ref="K3:O3"/>
    <mergeCell ref="N10:N13"/>
    <mergeCell ref="O10:O13"/>
    <mergeCell ref="P10:P13"/>
    <mergeCell ref="Q10:Q13"/>
    <mergeCell ref="R10:R13"/>
    <mergeCell ref="K10:K13"/>
    <mergeCell ref="L10:L13"/>
    <mergeCell ref="M10:M13"/>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dimension ref="A1:AS106"/>
  <sheetViews>
    <sheetView zoomScaleNormal="100" workbookViewId="0"/>
  </sheetViews>
  <sheetFormatPr defaultColWidth="9.25" defaultRowHeight="13.95" customHeight="1"/>
  <cols>
    <col min="1" max="1" width="2.625" customWidth="1"/>
    <col min="9" max="9" width="9.25" customWidth="1"/>
    <col min="13" max="19" width="9.25" style="67"/>
    <col min="45" max="45" width="1.625" customWidth="1"/>
  </cols>
  <sheetData>
    <row r="1" spans="2:45" ht="13.95" customHeight="1">
      <c r="B1" s="57" t="s">
        <v>473</v>
      </c>
      <c r="O1" s="215">
        <f>Summary!I1</f>
        <v>42552</v>
      </c>
      <c r="Q1"/>
      <c r="R1"/>
      <c r="S1" s="26"/>
      <c r="AS1" s="7">
        <f>ROW()</f>
        <v>1</v>
      </c>
    </row>
    <row r="2" spans="2:45" ht="13.95" customHeight="1">
      <c r="B2" s="1"/>
      <c r="Q2"/>
      <c r="R2"/>
      <c r="S2" s="26"/>
      <c r="AS2" s="7">
        <f>ROW()</f>
        <v>2</v>
      </c>
    </row>
    <row r="3" spans="2:45" ht="13.95" customHeight="1">
      <c r="B3" s="1264" t="s">
        <v>1202</v>
      </c>
      <c r="C3" s="1099"/>
      <c r="D3" s="1099"/>
      <c r="E3" s="1099"/>
      <c r="F3" s="1099"/>
      <c r="G3" s="1099"/>
      <c r="H3" s="1099"/>
      <c r="I3" s="1100"/>
      <c r="K3" s="1257" t="str">
        <f>CONCATENATE("Tax Inputs (copied from 'Summary' Tab, Rows ",Summary!AR53,"-",Summary!AR73,")")</f>
        <v>Tax Inputs (copied from 'Summary' Tab, Rows 53-73)</v>
      </c>
      <c r="L3" s="1258"/>
      <c r="M3" s="1258"/>
      <c r="N3" s="1258"/>
      <c r="O3" s="1259"/>
      <c r="Q3"/>
      <c r="R3"/>
      <c r="S3" s="26"/>
      <c r="AS3" s="7">
        <f>ROW()</f>
        <v>3</v>
      </c>
    </row>
    <row r="4" spans="2:45" ht="13.95" customHeight="1">
      <c r="B4" s="1101"/>
      <c r="C4" s="1102"/>
      <c r="D4" s="1102"/>
      <c r="E4" s="1102"/>
      <c r="F4" s="1102"/>
      <c r="G4" s="1102"/>
      <c r="H4" s="1102"/>
      <c r="I4" s="1103"/>
      <c r="K4" s="848" t="s">
        <v>360</v>
      </c>
      <c r="L4" s="849"/>
      <c r="M4" s="849"/>
      <c r="N4" s="849"/>
      <c r="O4" s="850">
        <f>Summary!I56</f>
        <v>11.337868480725623</v>
      </c>
      <c r="P4" s="532"/>
      <c r="Q4"/>
      <c r="R4"/>
      <c r="S4" s="26"/>
      <c r="AS4" s="7">
        <f>ROW()</f>
        <v>4</v>
      </c>
    </row>
    <row r="5" spans="2:45" ht="13.95" customHeight="1">
      <c r="B5" s="1101"/>
      <c r="C5" s="1102"/>
      <c r="D5" s="1102"/>
      <c r="E5" s="1102"/>
      <c r="F5" s="1102"/>
      <c r="G5" s="1102"/>
      <c r="H5" s="1102"/>
      <c r="I5" s="1103"/>
      <c r="K5" s="848" t="s">
        <v>361</v>
      </c>
      <c r="L5" s="849"/>
      <c r="M5" s="849"/>
      <c r="N5" s="849"/>
      <c r="O5" s="851" t="str">
        <f>IF(Summary!I58=1,"By Constant Amount","By Constant Percent")</f>
        <v>By Constant Amount</v>
      </c>
      <c r="P5" s="178"/>
      <c r="Q5"/>
      <c r="R5"/>
      <c r="S5" s="26"/>
      <c r="AS5" s="7">
        <f>ROW()</f>
        <v>5</v>
      </c>
    </row>
    <row r="6" spans="2:45" ht="13.95" customHeight="1">
      <c r="B6" s="1104"/>
      <c r="C6" s="1105"/>
      <c r="D6" s="1105"/>
      <c r="E6" s="1105"/>
      <c r="F6" s="1105"/>
      <c r="G6" s="1105"/>
      <c r="H6" s="1105"/>
      <c r="I6" s="1106"/>
      <c r="K6" s="848" t="s">
        <v>362</v>
      </c>
      <c r="L6" s="849"/>
      <c r="M6" s="849"/>
      <c r="N6" s="849"/>
      <c r="O6" s="850" t="str">
        <f>IF(Summary!$I$58=1,CONCATENATE("$",ROUND(Summary!$I$60,2),""),CONCATENATE("",Summary!$I$64*100,"%"))</f>
        <v>$11.34</v>
      </c>
      <c r="P6" s="532"/>
      <c r="Q6"/>
      <c r="R6"/>
      <c r="S6" s="26"/>
      <c r="AS6" s="7">
        <f>ROW()</f>
        <v>6</v>
      </c>
    </row>
    <row r="7" spans="2:45" ht="13.95" customHeight="1">
      <c r="B7" s="13"/>
      <c r="K7" s="848" t="s">
        <v>363</v>
      </c>
      <c r="L7" s="849"/>
      <c r="M7" s="849"/>
      <c r="N7" s="849"/>
      <c r="O7" s="851" t="str">
        <f>Summary!I69</f>
        <v>real</v>
      </c>
      <c r="P7" s="178"/>
      <c r="Q7"/>
      <c r="R7"/>
      <c r="S7" s="26"/>
      <c r="AS7" s="7">
        <f>ROW()</f>
        <v>7</v>
      </c>
    </row>
    <row r="8" spans="2:45" ht="13.95" customHeight="1">
      <c r="B8" s="312" t="str">
        <f>CONCATENATE("This worksheet is pre-formatted to print to four pages. Print area extends to ",AL14, ".")</f>
        <v>This worksheet is pre-formatted to print to four pages. Print area extends to 2035.</v>
      </c>
      <c r="K8" s="852" t="s">
        <v>884</v>
      </c>
      <c r="L8" s="853"/>
      <c r="M8" s="853"/>
      <c r="N8" s="853"/>
      <c r="O8" s="854">
        <f>Summary!I73</f>
        <v>12.5</v>
      </c>
      <c r="P8" s="178"/>
      <c r="Q8"/>
      <c r="R8"/>
      <c r="S8" s="26"/>
      <c r="AS8" s="7"/>
    </row>
    <row r="9" spans="2:45" ht="13.95" customHeight="1">
      <c r="B9" s="13"/>
      <c r="H9" s="51"/>
      <c r="I9" s="51"/>
      <c r="Q9"/>
      <c r="R9"/>
      <c r="S9" s="756"/>
      <c r="AS9" s="7">
        <f>ROW()</f>
        <v>9</v>
      </c>
    </row>
    <row r="10" spans="2:45" ht="13.95" customHeight="1">
      <c r="B10" s="1277" t="s">
        <v>834</v>
      </c>
      <c r="C10" s="1145"/>
      <c r="D10" s="1145"/>
      <c r="E10" s="1145"/>
      <c r="F10" s="1145"/>
      <c r="G10" s="1145"/>
      <c r="H10" s="1145"/>
      <c r="K10" s="1109" t="s">
        <v>79</v>
      </c>
      <c r="L10" s="1125" t="s">
        <v>157</v>
      </c>
      <c r="M10" s="1125" t="s">
        <v>157</v>
      </c>
      <c r="N10" s="1125" t="s">
        <v>157</v>
      </c>
      <c r="O10" s="1125" t="s">
        <v>157</v>
      </c>
      <c r="P10" s="1125" t="s">
        <v>157</v>
      </c>
      <c r="Q10" s="1125" t="s">
        <v>157</v>
      </c>
      <c r="R10" s="1125" t="s">
        <v>157</v>
      </c>
      <c r="S10" s="1107" t="s">
        <v>366</v>
      </c>
      <c r="T10" s="1316" t="s">
        <v>80</v>
      </c>
      <c r="AS10" s="7">
        <f>ROW()</f>
        <v>10</v>
      </c>
    </row>
    <row r="11" spans="2:45" ht="13.95" customHeight="1">
      <c r="B11" s="1145"/>
      <c r="C11" s="1145"/>
      <c r="D11" s="1145"/>
      <c r="E11" s="1145"/>
      <c r="F11" s="1145"/>
      <c r="G11" s="1145"/>
      <c r="H11" s="1145"/>
      <c r="K11" s="1337"/>
      <c r="L11" s="1126"/>
      <c r="M11" s="1126"/>
      <c r="N11" s="1126"/>
      <c r="O11" s="1126"/>
      <c r="P11" s="1126"/>
      <c r="Q11" s="1126"/>
      <c r="R11" s="1126"/>
      <c r="S11" s="1108"/>
      <c r="T11" s="1317"/>
      <c r="AS11" s="7">
        <f>ROW()</f>
        <v>11</v>
      </c>
    </row>
    <row r="12" spans="2:45" ht="13.95" customHeight="1">
      <c r="K12" s="1337"/>
      <c r="L12" s="1126"/>
      <c r="M12" s="1126"/>
      <c r="N12" s="1126"/>
      <c r="O12" s="1126"/>
      <c r="P12" s="1126"/>
      <c r="Q12" s="1126"/>
      <c r="R12" s="1126"/>
      <c r="S12" s="1108"/>
      <c r="T12" s="1317"/>
      <c r="AS12" s="7">
        <f>ROW()</f>
        <v>12</v>
      </c>
    </row>
    <row r="13" spans="2:45" ht="13.95" customHeight="1">
      <c r="B13" s="52" t="s">
        <v>415</v>
      </c>
      <c r="H13" s="51"/>
      <c r="K13" s="1338"/>
      <c r="L13" s="1126"/>
      <c r="M13" s="1126"/>
      <c r="N13" s="1126"/>
      <c r="O13" s="1126"/>
      <c r="P13" s="1126"/>
      <c r="Q13" s="1126"/>
      <c r="R13" s="1126"/>
      <c r="S13" s="1108"/>
      <c r="T13" s="1318"/>
      <c r="AS13" s="7">
        <f>ROW()</f>
        <v>13</v>
      </c>
    </row>
    <row r="14" spans="2:45" ht="13.95" customHeight="1">
      <c r="B14" s="58" t="s">
        <v>414</v>
      </c>
      <c r="I14" s="122">
        <f>Summary!I110</f>
        <v>2005</v>
      </c>
      <c r="J14" s="122">
        <f>Summary!J110</f>
        <v>2006</v>
      </c>
      <c r="K14" s="122">
        <f>Summary!K110</f>
        <v>2007</v>
      </c>
      <c r="L14" s="122">
        <f>Summary!L110</f>
        <v>2008</v>
      </c>
      <c r="M14" s="122">
        <f>Summary!M110</f>
        <v>2009</v>
      </c>
      <c r="N14" s="122">
        <f>Summary!N110</f>
        <v>2010</v>
      </c>
      <c r="O14" s="122">
        <f>Summary!O110</f>
        <v>2011</v>
      </c>
      <c r="P14" s="122">
        <f>Summary!P110</f>
        <v>2012</v>
      </c>
      <c r="Q14" s="122">
        <f>Summary!Q110</f>
        <v>2013</v>
      </c>
      <c r="R14" s="212">
        <f>Summary!R110</f>
        <v>2014</v>
      </c>
      <c r="S14" s="212">
        <f>Summary!S110</f>
        <v>2015</v>
      </c>
      <c r="T14" s="249">
        <f>Summary!T110</f>
        <v>2017</v>
      </c>
      <c r="U14" s="12">
        <f t="shared" ref="U14:AQ14" si="0">T14+1</f>
        <v>2018</v>
      </c>
      <c r="V14" s="12">
        <f t="shared" si="0"/>
        <v>2019</v>
      </c>
      <c r="W14" s="12">
        <f t="shared" si="0"/>
        <v>2020</v>
      </c>
      <c r="X14" s="12">
        <f t="shared" si="0"/>
        <v>2021</v>
      </c>
      <c r="Y14" s="12">
        <f t="shared" si="0"/>
        <v>2022</v>
      </c>
      <c r="Z14" s="12">
        <f t="shared" si="0"/>
        <v>2023</v>
      </c>
      <c r="AA14" s="12">
        <f t="shared" si="0"/>
        <v>2024</v>
      </c>
      <c r="AB14" s="12">
        <f t="shared" si="0"/>
        <v>2025</v>
      </c>
      <c r="AC14" s="12">
        <f t="shared" si="0"/>
        <v>2026</v>
      </c>
      <c r="AD14" s="12">
        <f t="shared" si="0"/>
        <v>2027</v>
      </c>
      <c r="AE14" s="12">
        <f t="shared" si="0"/>
        <v>2028</v>
      </c>
      <c r="AF14" s="12">
        <f t="shared" si="0"/>
        <v>2029</v>
      </c>
      <c r="AG14" s="12">
        <f t="shared" si="0"/>
        <v>2030</v>
      </c>
      <c r="AH14" s="12">
        <f t="shared" si="0"/>
        <v>2031</v>
      </c>
      <c r="AI14" s="12">
        <f t="shared" si="0"/>
        <v>2032</v>
      </c>
      <c r="AJ14" s="12">
        <f t="shared" si="0"/>
        <v>2033</v>
      </c>
      <c r="AK14" s="12">
        <f t="shared" si="0"/>
        <v>2034</v>
      </c>
      <c r="AL14" s="12">
        <f t="shared" si="0"/>
        <v>2035</v>
      </c>
      <c r="AM14" s="12">
        <f t="shared" si="0"/>
        <v>2036</v>
      </c>
      <c r="AN14" s="12">
        <f t="shared" si="0"/>
        <v>2037</v>
      </c>
      <c r="AO14" s="12">
        <f t="shared" si="0"/>
        <v>2038</v>
      </c>
      <c r="AP14" s="12">
        <f t="shared" si="0"/>
        <v>2039</v>
      </c>
      <c r="AQ14" s="12">
        <f t="shared" si="0"/>
        <v>2040</v>
      </c>
      <c r="AS14" s="7">
        <f>ROW()</f>
        <v>14</v>
      </c>
    </row>
    <row r="15" spans="2:45" ht="13.95" customHeight="1">
      <c r="K15" s="12"/>
      <c r="L15" s="174"/>
      <c r="M15" s="174"/>
      <c r="N15" s="174"/>
      <c r="O15" s="151"/>
      <c r="P15" s="151"/>
      <c r="Q15" s="151"/>
      <c r="R15" s="151"/>
      <c r="S15" s="151"/>
      <c r="T15" s="757"/>
      <c r="U15" s="12"/>
      <c r="V15" s="12"/>
      <c r="W15" s="12"/>
      <c r="X15" s="12"/>
      <c r="Y15" s="12"/>
      <c r="AS15" s="7">
        <f>ROW()</f>
        <v>15</v>
      </c>
    </row>
    <row r="16" spans="2:45" s="802" customFormat="1" ht="13.95" customHeight="1">
      <c r="B16" s="802" t="s">
        <v>187</v>
      </c>
      <c r="M16" s="807">
        <f>Summary!$P79</f>
        <v>0</v>
      </c>
      <c r="N16" s="807">
        <f>Summary!$P79</f>
        <v>0</v>
      </c>
      <c r="O16" s="807">
        <f>Summary!$P79</f>
        <v>0</v>
      </c>
      <c r="P16" s="807">
        <f>Summary!P79</f>
        <v>0</v>
      </c>
      <c r="Q16" s="807">
        <f>Summary!Q79</f>
        <v>0</v>
      </c>
      <c r="R16" s="807">
        <f>Summary!R79</f>
        <v>0</v>
      </c>
      <c r="S16" s="807">
        <f>Summary!S79</f>
        <v>0</v>
      </c>
      <c r="T16" s="808">
        <f>Summary!T79</f>
        <v>1</v>
      </c>
      <c r="U16" s="802">
        <f>Summary!U79</f>
        <v>2</v>
      </c>
      <c r="V16" s="802">
        <f>Summary!V79</f>
        <v>3</v>
      </c>
      <c r="W16" s="802">
        <f>Summary!W79</f>
        <v>4</v>
      </c>
      <c r="X16" s="802">
        <f>Summary!X79</f>
        <v>5</v>
      </c>
      <c r="Y16" s="802">
        <f>Summary!Y79</f>
        <v>6</v>
      </c>
      <c r="Z16" s="802">
        <f>Summary!Z79</f>
        <v>7</v>
      </c>
      <c r="AA16" s="802">
        <f>Summary!AA79</f>
        <v>8</v>
      </c>
      <c r="AB16" s="802">
        <f>Summary!AB79</f>
        <v>9</v>
      </c>
      <c r="AC16" s="802">
        <f>Summary!AC79</f>
        <v>10</v>
      </c>
      <c r="AD16" s="802">
        <f>Summary!AD79</f>
        <v>11</v>
      </c>
      <c r="AE16" s="802">
        <f>Summary!AE79</f>
        <v>12</v>
      </c>
      <c r="AF16" s="802">
        <f>Summary!AF79</f>
        <v>13</v>
      </c>
      <c r="AG16" s="802">
        <f>Summary!AG79</f>
        <v>14</v>
      </c>
      <c r="AH16" s="802">
        <f>Summary!AH79</f>
        <v>15</v>
      </c>
      <c r="AI16" s="802">
        <f>Summary!AI79</f>
        <v>16</v>
      </c>
      <c r="AJ16" s="802">
        <f>Summary!AJ79</f>
        <v>17</v>
      </c>
      <c r="AK16" s="802">
        <f>Summary!AK79</f>
        <v>18</v>
      </c>
      <c r="AL16" s="802">
        <f>Summary!AL79</f>
        <v>19</v>
      </c>
      <c r="AM16" s="802">
        <f>Summary!AM79</f>
        <v>20</v>
      </c>
      <c r="AN16" s="802">
        <f>Summary!AN79</f>
        <v>21</v>
      </c>
      <c r="AO16" s="802">
        <f>Summary!AO79</f>
        <v>22</v>
      </c>
      <c r="AP16" s="802">
        <f>Summary!AP79</f>
        <v>23</v>
      </c>
      <c r="AQ16" s="802">
        <f>Summary!AQ79</f>
        <v>24</v>
      </c>
      <c r="AS16" s="7">
        <f>ROW()</f>
        <v>16</v>
      </c>
    </row>
    <row r="17" spans="2:45" s="802" customFormat="1" ht="13.95" customHeight="1">
      <c r="B17" s="802" t="s">
        <v>847</v>
      </c>
      <c r="M17" s="807"/>
      <c r="N17" s="807"/>
      <c r="O17" s="807"/>
      <c r="P17" s="807"/>
      <c r="Q17" s="807"/>
      <c r="R17" s="807"/>
      <c r="S17" s="807"/>
      <c r="T17" s="808"/>
      <c r="AS17" s="7">
        <f>ROW()</f>
        <v>17</v>
      </c>
    </row>
    <row r="18" spans="2:45" ht="13.95" customHeight="1">
      <c r="B18" s="803" t="str">
        <f>CONCATENATE("Tax in year shown, in nominal $, per ton of CO2 (taken directly from 'Summary' tab, Row ",Summary!AR82, ")")</f>
        <v>Tax in year shown, in nominal $, per ton of CO2 (taken directly from 'Summary' tab, Row 82)</v>
      </c>
      <c r="H18" s="2"/>
      <c r="I18" s="2"/>
      <c r="J18" s="2"/>
      <c r="L18" s="363"/>
      <c r="M18" s="363"/>
      <c r="N18" s="363"/>
      <c r="O18" s="363"/>
      <c r="P18" s="363"/>
      <c r="Q18" s="363"/>
      <c r="R18" s="363"/>
      <c r="S18" s="363"/>
      <c r="T18" s="522">
        <f>Summary!T82</f>
        <v>11.337868480725623</v>
      </c>
      <c r="U18" s="363">
        <f>Summary!U82</f>
        <v>23.153901748198756</v>
      </c>
      <c r="V18" s="363">
        <f>Summary!V82</f>
        <v>35.463224441830718</v>
      </c>
      <c r="W18" s="363">
        <f>Summary!W82</f>
        <v>48.28138644674759</v>
      </c>
      <c r="X18" s="363">
        <f>Summary!X82</f>
        <v>61.624374102771327</v>
      </c>
      <c r="Y18" s="363">
        <f>Summary!Y82</f>
        <v>75.508621697038407</v>
      </c>
      <c r="Z18" s="363">
        <f>Summary!Z82</f>
        <v>89.951023247233749</v>
      </c>
      <c r="AA18" s="363">
        <f>Summary!AA82</f>
        <v>104.96894458258619</v>
      </c>
      <c r="AB18" s="363">
        <f>Summary!AB82</f>
        <v>120.58023572994358</v>
      </c>
      <c r="AC18" s="363">
        <f>Summary!AC82</f>
        <v>136.80324361242219</v>
      </c>
      <c r="AD18" s="363">
        <f>Summary!AD82</f>
        <v>153.65682506830512</v>
      </c>
      <c r="AE18" s="363">
        <f>Summary!AE82</f>
        <v>171.1603601980494</v>
      </c>
      <c r="AF18" s="363">
        <f>Summary!AF82</f>
        <v>189.33376604745069</v>
      </c>
      <c r="AG18" s="363">
        <f>Summary!AG82</f>
        <v>208.19751063520698</v>
      </c>
      <c r="AH18" s="363">
        <f>Summary!AH82</f>
        <v>227.77262733332276</v>
      </c>
      <c r="AI18" s="363">
        <f>Summary!AI82</f>
        <v>248.08072960899591</v>
      </c>
      <c r="AJ18" s="363">
        <f>Summary!AJ82</f>
        <v>269.1440261368387</v>
      </c>
      <c r="AK18" s="363">
        <f>Summary!AK82</f>
        <v>290.98533629049541</v>
      </c>
      <c r="AL18" s="363">
        <f>Summary!AL82</f>
        <v>313.62810602293854</v>
      </c>
      <c r="AM18" s="363">
        <f>Summary!AM82</f>
        <v>337.09642414494658</v>
      </c>
      <c r="AN18" s="363">
        <f>Summary!AN82</f>
        <v>361.41503901149451</v>
      </c>
      <c r="AO18" s="363">
        <f>Summary!AO82</f>
        <v>386.60937562602271</v>
      </c>
      <c r="AP18" s="363">
        <f>Summary!AP82</f>
        <v>412.70555317278786</v>
      </c>
      <c r="AQ18" s="363">
        <f>Summary!AQ82</f>
        <v>439.73040298774407</v>
      </c>
      <c r="AR18" s="67"/>
      <c r="AS18" s="7">
        <f>ROW()</f>
        <v>18</v>
      </c>
    </row>
    <row r="19" spans="2:45" ht="13.95" customHeight="1">
      <c r="B19" s="803" t="str">
        <f>CONCATENATE("Tax equivalent, in constant ",S$14, "$, per ton of CO2 (taken directly from 'Summary' tab, Row ",Summary!AR83, ")")</f>
        <v>Tax equivalent, in constant 2015$, per ton of CO2 (taken directly from 'Summary' tab, Row 83)</v>
      </c>
      <c r="L19" s="67"/>
      <c r="M19" s="399"/>
      <c r="N19" s="399"/>
      <c r="O19" s="399"/>
      <c r="P19" s="399"/>
      <c r="Q19" s="399"/>
      <c r="R19" s="399"/>
      <c r="S19" s="399"/>
      <c r="T19" s="522">
        <f>Summary!T83</f>
        <v>10.87441401983205</v>
      </c>
      <c r="U19" s="363">
        <f>Summary!U83</f>
        <v>21.748828039664104</v>
      </c>
      <c r="V19" s="363">
        <f>Summary!V83</f>
        <v>32.623242059496157</v>
      </c>
      <c r="W19" s="363">
        <f>Summary!W83</f>
        <v>43.497656079328209</v>
      </c>
      <c r="X19" s="363">
        <f>Summary!X83</f>
        <v>54.372070099160254</v>
      </c>
      <c r="Y19" s="363">
        <f>Summary!Y83</f>
        <v>65.246484118992299</v>
      </c>
      <c r="Z19" s="363">
        <f>Summary!Z83</f>
        <v>76.120898138824344</v>
      </c>
      <c r="AA19" s="363">
        <f>Summary!AA83</f>
        <v>86.995312158656404</v>
      </c>
      <c r="AB19" s="363">
        <f>Summary!AB83</f>
        <v>97.869726178488449</v>
      </c>
      <c r="AC19" s="363">
        <f>Summary!AC83</f>
        <v>108.74414019832052</v>
      </c>
      <c r="AD19" s="363">
        <f>Summary!AD83</f>
        <v>119.61855421815258</v>
      </c>
      <c r="AE19" s="363">
        <f>Summary!AE83</f>
        <v>130.4929682379846</v>
      </c>
      <c r="AF19" s="363">
        <f>Summary!AF83</f>
        <v>141.36738225781667</v>
      </c>
      <c r="AG19" s="363">
        <f>Summary!AG83</f>
        <v>152.24179627764875</v>
      </c>
      <c r="AH19" s="363">
        <f>Summary!AH83</f>
        <v>163.11621029748079</v>
      </c>
      <c r="AI19" s="363">
        <f>Summary!AI83</f>
        <v>173.99062431731281</v>
      </c>
      <c r="AJ19" s="363">
        <f>Summary!AJ83</f>
        <v>184.86503833714488</v>
      </c>
      <c r="AK19" s="363">
        <f>Summary!AK83</f>
        <v>195.73945235697698</v>
      </c>
      <c r="AL19" s="363">
        <f>Summary!AL83</f>
        <v>206.61386637680897</v>
      </c>
      <c r="AM19" s="363">
        <f>Summary!AM83</f>
        <v>217.48828039664099</v>
      </c>
      <c r="AN19" s="363">
        <f>Summary!AN83</f>
        <v>228.36269441647306</v>
      </c>
      <c r="AO19" s="363">
        <f>Summary!AO83</f>
        <v>239.23710843630516</v>
      </c>
      <c r="AP19" s="363">
        <f>Summary!AP83</f>
        <v>250.11152245613718</v>
      </c>
      <c r="AQ19" s="363">
        <f>Summary!AQ83</f>
        <v>260.9859364759692</v>
      </c>
      <c r="AS19" s="7">
        <f>ROW()</f>
        <v>19</v>
      </c>
    </row>
    <row r="20" spans="2:45" s="31" customFormat="1" ht="13.95" customHeight="1">
      <c r="B20" s="803" t="s">
        <v>857</v>
      </c>
      <c r="H20" s="17"/>
      <c r="I20" s="17"/>
      <c r="J20" s="17"/>
      <c r="M20" s="399"/>
      <c r="N20" s="399"/>
      <c r="O20" s="399"/>
      <c r="P20" s="399"/>
      <c r="Q20" s="399"/>
      <c r="R20" s="399"/>
      <c r="S20" s="364"/>
      <c r="T20" s="363">
        <f>T18*Parameters!$I$18/2000</f>
        <v>12.5</v>
      </c>
      <c r="U20" s="363">
        <f>U18*Parameters!$I$18/2000</f>
        <v>25.527176677389129</v>
      </c>
      <c r="V20" s="363">
        <f>V18*Parameters!$I$18/2000</f>
        <v>39.098204947118361</v>
      </c>
      <c r="W20" s="363">
        <f>W18*Parameters!$I$18/2000</f>
        <v>53.230228557539213</v>
      </c>
      <c r="X20" s="363">
        <f>X18*Parameters!$I$18/2000</f>
        <v>67.940872448305385</v>
      </c>
      <c r="Y20" s="363">
        <f>Y18*Parameters!$I$18/2000</f>
        <v>83.248255420984847</v>
      </c>
      <c r="Z20" s="363">
        <f>Z18*Parameters!$I$18/2000</f>
        <v>99.171003130075206</v>
      </c>
      <c r="AA20" s="363">
        <f>AA18*Parameters!$I$18/2000</f>
        <v>115.72826140230127</v>
      </c>
      <c r="AB20" s="363">
        <f>AB18*Parameters!$I$18/2000</f>
        <v>132.93970989226278</v>
      </c>
      <c r="AC20" s="363">
        <f>AC18*Parameters!$I$18/2000</f>
        <v>150.82557608269548</v>
      </c>
      <c r="AD20" s="363">
        <f>AD18*Parameters!$I$18/2000</f>
        <v>169.4066496378064</v>
      </c>
      <c r="AE20" s="363">
        <f>AE18*Parameters!$I$18/2000</f>
        <v>188.70429711834947</v>
      </c>
      <c r="AF20" s="363">
        <f>AF18*Parameters!$I$18/2000</f>
        <v>208.74047706731437</v>
      </c>
      <c r="AG20" s="363">
        <f>AG18*Parameters!$I$18/2000</f>
        <v>229.53775547531569</v>
      </c>
      <c r="AH20" s="363">
        <f>AH18*Parameters!$I$18/2000</f>
        <v>251.11932163498832</v>
      </c>
      <c r="AI20" s="363">
        <f>AI18*Parameters!$I$18/2000</f>
        <v>273.50900439391796</v>
      </c>
      <c r="AJ20" s="363">
        <f>AJ18*Parameters!$I$18/2000</f>
        <v>296.73128881586467</v>
      </c>
      <c r="AK20" s="363">
        <f>AK18*Parameters!$I$18/2000</f>
        <v>320.81133326027117</v>
      </c>
      <c r="AL20" s="363">
        <f>AL18*Parameters!$I$18/2000</f>
        <v>345.77498689028977</v>
      </c>
      <c r="AM20" s="363">
        <f>AM18*Parameters!$I$18/2000</f>
        <v>371.64880761980356</v>
      </c>
      <c r="AN20" s="363">
        <f>AN18*Parameters!$I$18/2000</f>
        <v>398.4600805101727</v>
      </c>
      <c r="AO20" s="363">
        <f>AO18*Parameters!$I$18/2000</f>
        <v>426.23683662769008</v>
      </c>
      <c r="AP20" s="363">
        <f>AP18*Parameters!$I$18/2000</f>
        <v>455.00787237299863</v>
      </c>
      <c r="AQ20" s="363">
        <f>AQ18*Parameters!$I$18/2000</f>
        <v>484.80276929398781</v>
      </c>
      <c r="AS20" s="7">
        <f>ROW()</f>
        <v>20</v>
      </c>
    </row>
    <row r="21" spans="2:45" s="31" customFormat="1" ht="13.95" customHeight="1">
      <c r="B21" s="803" t="s">
        <v>864</v>
      </c>
      <c r="H21" s="17"/>
      <c r="I21" s="17"/>
      <c r="J21" s="17"/>
      <c r="M21" s="399"/>
      <c r="N21" s="399"/>
      <c r="O21" s="399"/>
      <c r="P21" s="399"/>
      <c r="Q21" s="399"/>
      <c r="R21" s="399"/>
      <c r="S21" s="364"/>
      <c r="T21" s="363">
        <f>T18*T65*(1/Parameters!$I$19)</f>
        <v>0.11798717615872109</v>
      </c>
      <c r="U21" s="363">
        <f>U18*U65*(1/Parameters!$I$19)</f>
        <v>0.23833131442073127</v>
      </c>
      <c r="V21" s="363">
        <f>V18*V65*(1/Parameters!$I$19)</f>
        <v>0.36106772754545835</v>
      </c>
      <c r="W21" s="363">
        <f>W18*W65*(1/Parameters!$I$19)</f>
        <v>0.48623219857414923</v>
      </c>
      <c r="X21" s="363">
        <f>X18*X65*(1/Parameters!$I$19)</f>
        <v>0.61386098670146305</v>
      </c>
      <c r="Y21" s="363">
        <f>Y18*Y65*(1/Parameters!$I$19)</f>
        <v>0.74399083321744242</v>
      </c>
      <c r="Z21" s="363">
        <f>Z18*Z65*(1/Parameters!$I$19)</f>
        <v>0.87665896752067751</v>
      </c>
      <c r="AA21" s="363">
        <f>AA18*AA65*(1/Parameters!$I$19)</f>
        <v>1.0119031132034995</v>
      </c>
      <c r="AB21" s="363">
        <f>AB18*AB65*(1/Parameters!$I$19)</f>
        <v>1.1497614942100354</v>
      </c>
      <c r="AC21" s="363">
        <f>AC18*AC65*(1/Parameters!$I$19)</f>
        <v>1.2902728410679773</v>
      </c>
      <c r="AD21" s="363">
        <f>AD18*AD65*(1/Parameters!$I$19)</f>
        <v>1.4334763971949238</v>
      </c>
      <c r="AE21" s="363">
        <f>AE18*AE65*(1/Parameters!$I$19)</f>
        <v>1.5794119252801577</v>
      </c>
      <c r="AF21" s="363">
        <f>AF18*AF65*(1/Parameters!$I$19)</f>
        <v>1.7281197137427444</v>
      </c>
      <c r="AG21" s="363">
        <f>AG18*AG65*(1/Parameters!$I$19)</f>
        <v>1.8796405832668313</v>
      </c>
      <c r="AH21" s="363">
        <f>AH18*AH65*(1/Parameters!$I$19)</f>
        <v>2.0340158934150532</v>
      </c>
      <c r="AI21" s="363">
        <f>AI18*AI65*(1/Parameters!$I$19)</f>
        <v>2.1912875493209465</v>
      </c>
      <c r="AJ21" s="363">
        <f>AJ18*AJ65*(1/Parameters!$I$19)</f>
        <v>2.3514980084612964</v>
      </c>
      <c r="AK21" s="363">
        <f>AK18*AK65*(1/Parameters!$I$19)</f>
        <v>2.5146902875093362</v>
      </c>
      <c r="AL21" s="363">
        <f>AL18*AL65*(1/Parameters!$I$19)</f>
        <v>2.6809079692697537</v>
      </c>
      <c r="AM21" s="363">
        <f>AM18*AM65*(1/Parameters!$I$19)</f>
        <v>2.8501952096964391</v>
      </c>
      <c r="AN21" s="363">
        <f>AN18*AN65*(1/Parameters!$I$19)</f>
        <v>3.0225967449939466</v>
      </c>
      <c r="AO21" s="363">
        <f>AO18*AO65*(1/Parameters!$I$19)</f>
        <v>3.1981578988036348</v>
      </c>
      <c r="AP21" s="363">
        <f>AP18*AP65*(1/Parameters!$I$19)</f>
        <v>3.3769245894754749</v>
      </c>
      <c r="AQ21" s="363">
        <f>AQ18*AQ65*(1/Parameters!$I$19)</f>
        <v>3.5589433374265207</v>
      </c>
      <c r="AS21" s="7">
        <f>ROW()</f>
        <v>21</v>
      </c>
    </row>
    <row r="22" spans="2:45" ht="13.95" customHeight="1">
      <c r="B22" s="802" t="s">
        <v>849</v>
      </c>
      <c r="K22" s="12"/>
      <c r="L22" s="151"/>
      <c r="M22"/>
      <c r="N22"/>
      <c r="O22"/>
      <c r="P22"/>
      <c r="Q22" s="151"/>
      <c r="R22" s="151"/>
      <c r="S22" s="250"/>
      <c r="T22" s="50"/>
      <c r="U22" s="12"/>
      <c r="V22" s="12"/>
      <c r="W22" s="12"/>
      <c r="X22" s="12"/>
      <c r="Y22" s="12"/>
      <c r="AS22" s="7">
        <f>ROW()</f>
        <v>22</v>
      </c>
    </row>
    <row r="23" spans="2:45" ht="13.95" customHeight="1">
      <c r="B23" s="803" t="str">
        <f>CONCATENATE("Felt tax in constant ",S$14, "$, per ton of CO2 (taken directly from 'Summary' tab, Row ",Summary!AR86, ")")</f>
        <v>Felt tax in constant 2015$, per ton of CO2 (taken directly from 'Summary' tab, Row 86)</v>
      </c>
      <c r="K23" s="12"/>
      <c r="L23" s="151"/>
      <c r="M23"/>
      <c r="N23"/>
      <c r="O23"/>
      <c r="P23"/>
      <c r="Q23" s="151"/>
      <c r="R23" s="151"/>
      <c r="S23" s="250"/>
      <c r="T23" s="522">
        <f>Summary!T86</f>
        <v>10.87441401983205</v>
      </c>
      <c r="U23" s="363">
        <f>Summary!U86</f>
        <v>21.748828039664104</v>
      </c>
      <c r="V23" s="363">
        <f>Summary!V86</f>
        <v>32.623242059496157</v>
      </c>
      <c r="W23" s="363">
        <f>Summary!W86</f>
        <v>43.497656079328209</v>
      </c>
      <c r="X23" s="363">
        <f>Summary!X86</f>
        <v>54.372070099160254</v>
      </c>
      <c r="Y23" s="363">
        <f>Summary!Y86</f>
        <v>65.246484118992299</v>
      </c>
      <c r="Z23" s="363">
        <f>Summary!Z86</f>
        <v>76.120898138824344</v>
      </c>
      <c r="AA23" s="363">
        <f>Summary!AA86</f>
        <v>86.995312158656404</v>
      </c>
      <c r="AB23" s="363">
        <f>Summary!AB86</f>
        <v>97.869726178488449</v>
      </c>
      <c r="AC23" s="363">
        <f>Summary!AC86</f>
        <v>108.74414019832052</v>
      </c>
      <c r="AD23" s="363">
        <f>Summary!AD86</f>
        <v>119.61855421815258</v>
      </c>
      <c r="AE23" s="363">
        <f>Summary!AE86</f>
        <v>130.4929682379846</v>
      </c>
      <c r="AF23" s="363">
        <f>Summary!AF86</f>
        <v>141.36738225781667</v>
      </c>
      <c r="AG23" s="363">
        <f>Summary!AG86</f>
        <v>152.24179627764875</v>
      </c>
      <c r="AH23" s="363">
        <f>Summary!AH86</f>
        <v>163.11621029748079</v>
      </c>
      <c r="AI23" s="363">
        <f>Summary!AI86</f>
        <v>173.99062431731281</v>
      </c>
      <c r="AJ23" s="363">
        <f>Summary!AJ86</f>
        <v>184.86503833714488</v>
      </c>
      <c r="AK23" s="363">
        <f>Summary!AK86</f>
        <v>195.73945235697698</v>
      </c>
      <c r="AL23" s="363">
        <f>Summary!AL86</f>
        <v>206.61386637680897</v>
      </c>
      <c r="AM23" s="363">
        <f>Summary!AM86</f>
        <v>217.48828039664099</v>
      </c>
      <c r="AN23" s="363">
        <f>Summary!AN86</f>
        <v>228.36269441647306</v>
      </c>
      <c r="AO23" s="363">
        <f>Summary!AO86</f>
        <v>239.23710843630516</v>
      </c>
      <c r="AP23" s="363">
        <f>Summary!AP86</f>
        <v>250.11152245613718</v>
      </c>
      <c r="AQ23" s="363">
        <f>Summary!AQ86</f>
        <v>260.9859364759692</v>
      </c>
      <c r="AS23" s="7">
        <f>ROW()</f>
        <v>23</v>
      </c>
    </row>
    <row r="24" spans="2:45" ht="13.95" customHeight="1">
      <c r="B24" s="803" t="str">
        <f>CONCATENATE("Felt tax in nominal $ per ton of CO2 (taken directly from 'Summary' tab, Row ",Summary!AR88, ")")</f>
        <v>Felt tax in nominal $ per ton of CO2 (taken directly from 'Summary' tab, Row 88)</v>
      </c>
      <c r="K24" s="12"/>
      <c r="L24" s="151"/>
      <c r="M24"/>
      <c r="N24"/>
      <c r="O24"/>
      <c r="P24"/>
      <c r="Q24" s="151"/>
      <c r="R24" s="151"/>
      <c r="S24" s="250"/>
      <c r="T24" s="522">
        <f>Summary!T88</f>
        <v>11.337868480725623</v>
      </c>
      <c r="U24" s="363">
        <f>Summary!U88</f>
        <v>23.153901748198756</v>
      </c>
      <c r="V24" s="363">
        <f>Summary!V88</f>
        <v>35.463224441830718</v>
      </c>
      <c r="W24" s="363">
        <f>Summary!W88</f>
        <v>48.281386446747597</v>
      </c>
      <c r="X24" s="363">
        <f>Summary!X88</f>
        <v>61.624374102771327</v>
      </c>
      <c r="Y24" s="363">
        <f>Summary!Y88</f>
        <v>75.508621697038393</v>
      </c>
      <c r="Z24" s="363">
        <f>Summary!Z88</f>
        <v>89.951023247233749</v>
      </c>
      <c r="AA24" s="363">
        <f>Summary!AA88</f>
        <v>104.96894458258619</v>
      </c>
      <c r="AB24" s="363">
        <f>Summary!AB88</f>
        <v>120.58023572994358</v>
      </c>
      <c r="AC24" s="363">
        <f>Summary!AC88</f>
        <v>136.80324361242219</v>
      </c>
      <c r="AD24" s="363">
        <f>Summary!AD88</f>
        <v>153.65682506830512</v>
      </c>
      <c r="AE24" s="363">
        <f>Summary!AE88</f>
        <v>171.1603601980494</v>
      </c>
      <c r="AF24" s="363">
        <f>Summary!AF88</f>
        <v>189.33376604745072</v>
      </c>
      <c r="AG24" s="363">
        <f>Summary!AG88</f>
        <v>208.19751063520698</v>
      </c>
      <c r="AH24" s="363">
        <f>Summary!AH88</f>
        <v>227.77262733332276</v>
      </c>
      <c r="AI24" s="363">
        <f>Summary!AI88</f>
        <v>248.08072960899591</v>
      </c>
      <c r="AJ24" s="363">
        <f>Summary!AJ88</f>
        <v>269.1440261368387</v>
      </c>
      <c r="AK24" s="363">
        <f>Summary!AK88</f>
        <v>290.98533629049541</v>
      </c>
      <c r="AL24" s="363">
        <f>Summary!AL88</f>
        <v>313.62810602293854</v>
      </c>
      <c r="AM24" s="363">
        <f>Summary!AM88</f>
        <v>337.09642414494658</v>
      </c>
      <c r="AN24" s="363">
        <f>Summary!AN88</f>
        <v>361.41503901149451</v>
      </c>
      <c r="AO24" s="363">
        <f>Summary!AO88</f>
        <v>386.60937562602271</v>
      </c>
      <c r="AP24" s="363">
        <f>Summary!AP88</f>
        <v>412.70555317278786</v>
      </c>
      <c r="AQ24" s="363">
        <f>Summary!AQ88</f>
        <v>439.73040298774407</v>
      </c>
      <c r="AS24" s="7">
        <f>ROW()</f>
        <v>24</v>
      </c>
    </row>
    <row r="25" spans="2:45" ht="13.95" customHeight="1">
      <c r="B25" s="803" t="s">
        <v>865</v>
      </c>
      <c r="K25" s="12"/>
      <c r="L25" s="151"/>
      <c r="M25"/>
      <c r="N25"/>
      <c r="O25"/>
      <c r="P25"/>
      <c r="Q25" s="151"/>
      <c r="R25" s="151"/>
      <c r="S25" s="250"/>
      <c r="T25" s="522">
        <f>T24*T65*(1/Parameters!$I$19)</f>
        <v>0.11798717615872109</v>
      </c>
      <c r="U25" s="363">
        <f>U24*U65*(1/Parameters!$I$19)</f>
        <v>0.23833131442073127</v>
      </c>
      <c r="V25" s="363">
        <f>V24*V65*(1/Parameters!$I$19)</f>
        <v>0.36106772754545835</v>
      </c>
      <c r="W25" s="363">
        <f>W24*W65*(1/Parameters!$I$19)</f>
        <v>0.48623219857414929</v>
      </c>
      <c r="X25" s="363">
        <f>X24*X65*(1/Parameters!$I$19)</f>
        <v>0.61386098670146305</v>
      </c>
      <c r="Y25" s="363">
        <f>Y24*Y65*(1/Parameters!$I$19)</f>
        <v>0.74399083321744219</v>
      </c>
      <c r="Z25" s="363">
        <f>Z24*Z65*(1/Parameters!$I$19)</f>
        <v>0.87665896752067751</v>
      </c>
      <c r="AA25" s="363">
        <f>AA24*AA65*(1/Parameters!$I$19)</f>
        <v>1.0119031132034995</v>
      </c>
      <c r="AB25" s="363">
        <f>AB24*AB65*(1/Parameters!$I$19)</f>
        <v>1.1497614942100354</v>
      </c>
      <c r="AC25" s="363">
        <f>AC24*AC65*(1/Parameters!$I$19)</f>
        <v>1.2902728410679773</v>
      </c>
      <c r="AD25" s="363">
        <f>AD24*AD65*(1/Parameters!$I$19)</f>
        <v>1.4334763971949238</v>
      </c>
      <c r="AE25" s="363">
        <f>AE24*AE65*(1/Parameters!$I$19)</f>
        <v>1.5794119252801577</v>
      </c>
      <c r="AF25" s="363">
        <f>AF24*AF65*(1/Parameters!$I$19)</f>
        <v>1.7281197137427446</v>
      </c>
      <c r="AG25" s="363">
        <f>AG24*AG65*(1/Parameters!$I$19)</f>
        <v>1.8796405832668313</v>
      </c>
      <c r="AH25" s="363">
        <f>AH24*AH65*(1/Parameters!$I$19)</f>
        <v>2.0340158934150532</v>
      </c>
      <c r="AI25" s="363">
        <f>AI24*AI65*(1/Parameters!$I$19)</f>
        <v>2.1912875493209465</v>
      </c>
      <c r="AJ25" s="363">
        <f>AJ24*AJ65*(1/Parameters!$I$19)</f>
        <v>2.3514980084612964</v>
      </c>
      <c r="AK25" s="363">
        <f>AK24*AK65*(1/Parameters!$I$19)</f>
        <v>2.5146902875093362</v>
      </c>
      <c r="AL25" s="363">
        <f>AL24*AL65*(1/Parameters!$I$19)</f>
        <v>2.6809079692697537</v>
      </c>
      <c r="AM25" s="363">
        <f>AM24*AM65*(1/Parameters!$I$19)</f>
        <v>2.8501952096964391</v>
      </c>
      <c r="AN25" s="363">
        <f>AN24*AN65*(1/Parameters!$I$19)</f>
        <v>3.0225967449939466</v>
      </c>
      <c r="AO25" s="363">
        <f>AO24*AO65*(1/Parameters!$I$19)</f>
        <v>3.1981578988036348</v>
      </c>
      <c r="AP25" s="363">
        <f>AP24*AP65*(1/Parameters!$I$19)</f>
        <v>3.3769245894754749</v>
      </c>
      <c r="AQ25" s="363">
        <f>AQ24*AQ65*(1/Parameters!$I$19)</f>
        <v>3.5589433374265207</v>
      </c>
      <c r="AS25" s="7">
        <f>ROW()</f>
        <v>25</v>
      </c>
    </row>
    <row r="26" spans="2:45" ht="13.95" customHeight="1">
      <c r="B26" s="803"/>
      <c r="K26" s="12"/>
      <c r="L26" s="151"/>
      <c r="M26"/>
      <c r="N26"/>
      <c r="O26"/>
      <c r="P26"/>
      <c r="Q26" s="151"/>
      <c r="R26" s="151"/>
      <c r="S26" s="250"/>
      <c r="T26" s="50"/>
      <c r="U26" s="12"/>
      <c r="V26" s="12"/>
      <c r="W26" s="12"/>
      <c r="X26" s="12"/>
      <c r="Y26" s="12"/>
      <c r="AS26" s="7">
        <f>ROW()</f>
        <v>26</v>
      </c>
    </row>
    <row r="27" spans="2:45" ht="13.95" customHeight="1">
      <c r="B27" s="8" t="s">
        <v>684</v>
      </c>
      <c r="I27" s="181">
        <f>Parameters!G44</f>
        <v>21.041653177132002</v>
      </c>
      <c r="J27" s="84" t="str">
        <f>CONCATENATE("Calculated in 'Parameters' tab, Row ",Parameters!B42, ", as simple mean of CO2 lb/gal for gasoline, diesel &amp; jet fuel.")</f>
        <v>Calculated in 'Parameters' tab, Row 42, as simple mean of CO2 lb/gal for gasoline, diesel &amp; jet fuel.</v>
      </c>
      <c r="L27" s="151"/>
      <c r="M27"/>
      <c r="N27"/>
      <c r="O27"/>
      <c r="P27"/>
      <c r="Q27" s="151"/>
      <c r="R27" s="151"/>
      <c r="S27" s="250"/>
      <c r="T27" s="50"/>
      <c r="U27" s="12"/>
      <c r="V27" s="12"/>
      <c r="W27" s="12"/>
      <c r="X27" s="12"/>
      <c r="Y27" s="12"/>
      <c r="AS27" s="7">
        <f>ROW()</f>
        <v>27</v>
      </c>
    </row>
    <row r="28" spans="2:45" ht="13.95" customHeight="1">
      <c r="B28" s="8" t="s">
        <v>686</v>
      </c>
      <c r="I28" s="539">
        <f>Parameters!G45</f>
        <v>1</v>
      </c>
      <c r="J28" s="84" t="str">
        <f>CONCATENATE("CTC estimate, in 'Parameters' tab, Row ",Parameters!B43, ".")</f>
        <v>CTC estimate, in 'Parameters' tab, Row 43.</v>
      </c>
      <c r="L28" s="151"/>
      <c r="M28"/>
      <c r="N28"/>
      <c r="O28"/>
      <c r="P28"/>
      <c r="Q28" s="151"/>
      <c r="R28" s="151"/>
      <c r="S28" s="250"/>
      <c r="T28" s="50"/>
      <c r="U28" s="12"/>
      <c r="V28" s="12"/>
      <c r="W28" s="12"/>
      <c r="X28" s="12"/>
      <c r="Y28" s="12"/>
      <c r="AS28" s="7">
        <f>ROW()</f>
        <v>28</v>
      </c>
    </row>
    <row r="29" spans="2:45" ht="13.95" customHeight="1">
      <c r="B29" s="8" t="s">
        <v>685</v>
      </c>
      <c r="I29" s="28">
        <f>I28*I27</f>
        <v>21.041653177132002</v>
      </c>
      <c r="J29" s="84" t="str">
        <f>CONCATENATE("Product of Rows ",AS29, " and ",AS27, ".")</f>
        <v>Product of Rows 29 and 27.</v>
      </c>
      <c r="L29" s="151"/>
      <c r="M29"/>
      <c r="N29"/>
      <c r="O29"/>
      <c r="P29"/>
      <c r="Q29" s="151"/>
      <c r="R29" s="151"/>
      <c r="S29" s="250"/>
      <c r="T29" s="50"/>
      <c r="U29" s="12"/>
      <c r="V29" s="12"/>
      <c r="W29" s="12"/>
      <c r="X29" s="12"/>
      <c r="Y29" s="12"/>
      <c r="AS29" s="7">
        <f>ROW()</f>
        <v>29</v>
      </c>
    </row>
    <row r="30" spans="2:45" ht="13.95" customHeight="1">
      <c r="I30" s="12"/>
      <c r="J30" s="12"/>
      <c r="K30" s="12"/>
      <c r="L30" s="12"/>
      <c r="M30" s="12"/>
      <c r="N30" s="12"/>
      <c r="O30" s="12"/>
      <c r="P30" s="12"/>
      <c r="Q30" s="178"/>
      <c r="R30" s="178"/>
      <c r="S30" s="338"/>
      <c r="T30" s="50"/>
      <c r="U30" s="12"/>
      <c r="AS30" s="7">
        <f>ROW()</f>
        <v>30</v>
      </c>
    </row>
    <row r="31" spans="2:45" ht="13.95" customHeight="1">
      <c r="I31" s="13">
        <f t="shared" ref="I31:AP31" si="1">I14</f>
        <v>2005</v>
      </c>
      <c r="J31" s="13">
        <f t="shared" si="1"/>
        <v>2006</v>
      </c>
      <c r="K31" s="13">
        <f t="shared" si="1"/>
        <v>2007</v>
      </c>
      <c r="L31" s="13">
        <f t="shared" si="1"/>
        <v>2008</v>
      </c>
      <c r="M31" s="13">
        <f t="shared" si="1"/>
        <v>2009</v>
      </c>
      <c r="N31" s="13">
        <f t="shared" si="1"/>
        <v>2010</v>
      </c>
      <c r="O31" s="13">
        <f t="shared" si="1"/>
        <v>2011</v>
      </c>
      <c r="P31" s="13">
        <f t="shared" si="1"/>
        <v>2012</v>
      </c>
      <c r="Q31" s="178">
        <f t="shared" si="1"/>
        <v>2013</v>
      </c>
      <c r="R31" s="178">
        <f t="shared" si="1"/>
        <v>2014</v>
      </c>
      <c r="S31" s="338">
        <f t="shared" si="1"/>
        <v>2015</v>
      </c>
      <c r="T31" s="13">
        <f t="shared" si="1"/>
        <v>2017</v>
      </c>
      <c r="U31" s="13">
        <f t="shared" si="1"/>
        <v>2018</v>
      </c>
      <c r="V31" s="13">
        <f t="shared" si="1"/>
        <v>2019</v>
      </c>
      <c r="W31" s="13">
        <f t="shared" si="1"/>
        <v>2020</v>
      </c>
      <c r="X31" s="13">
        <f t="shared" si="1"/>
        <v>2021</v>
      </c>
      <c r="Y31" s="13">
        <f t="shared" si="1"/>
        <v>2022</v>
      </c>
      <c r="Z31" s="13">
        <f t="shared" si="1"/>
        <v>2023</v>
      </c>
      <c r="AA31" s="13">
        <f t="shared" si="1"/>
        <v>2024</v>
      </c>
      <c r="AB31" s="13">
        <f t="shared" si="1"/>
        <v>2025</v>
      </c>
      <c r="AC31" s="13">
        <f t="shared" si="1"/>
        <v>2026</v>
      </c>
      <c r="AD31" s="13">
        <f t="shared" si="1"/>
        <v>2027</v>
      </c>
      <c r="AE31" s="13">
        <f t="shared" si="1"/>
        <v>2028</v>
      </c>
      <c r="AF31" s="13">
        <f t="shared" si="1"/>
        <v>2029</v>
      </c>
      <c r="AG31" s="13">
        <f t="shared" si="1"/>
        <v>2030</v>
      </c>
      <c r="AH31" s="13">
        <f t="shared" si="1"/>
        <v>2031</v>
      </c>
      <c r="AI31" s="13">
        <f t="shared" si="1"/>
        <v>2032</v>
      </c>
      <c r="AJ31" s="13">
        <f t="shared" si="1"/>
        <v>2033</v>
      </c>
      <c r="AK31" s="13">
        <f t="shared" si="1"/>
        <v>2034</v>
      </c>
      <c r="AL31" s="13">
        <f t="shared" si="1"/>
        <v>2035</v>
      </c>
      <c r="AM31" s="13">
        <f t="shared" si="1"/>
        <v>2036</v>
      </c>
      <c r="AN31" s="13">
        <f t="shared" si="1"/>
        <v>2037</v>
      </c>
      <c r="AO31" s="13">
        <f t="shared" si="1"/>
        <v>2038</v>
      </c>
      <c r="AP31" s="13">
        <f t="shared" si="1"/>
        <v>2039</v>
      </c>
      <c r="AQ31" s="13">
        <f t="shared" ref="AQ31" si="2">AQ14</f>
        <v>2040</v>
      </c>
      <c r="AS31" s="7">
        <f>ROW()</f>
        <v>31</v>
      </c>
    </row>
    <row r="32" spans="2:45" ht="13.95" customHeight="1">
      <c r="B32" s="8" t="s">
        <v>689</v>
      </c>
      <c r="S32" s="26"/>
      <c r="AS32" s="7">
        <f>ROW()</f>
        <v>32</v>
      </c>
    </row>
    <row r="33" spans="2:45" s="14" customFormat="1" ht="13.95" customHeight="1">
      <c r="B33" s="14" t="s">
        <v>690</v>
      </c>
      <c r="H33" s="536" t="s">
        <v>1177</v>
      </c>
      <c r="I33" s="541">
        <f>Energy!G65</f>
        <v>19.138175684593421</v>
      </c>
      <c r="J33" s="541">
        <f>Energy!H65</f>
        <v>18.569379976959922</v>
      </c>
      <c r="K33" s="541">
        <f>Energy!I65</f>
        <v>19.189390308291607</v>
      </c>
      <c r="L33" s="541">
        <f>Energy!J65</f>
        <v>18.67079249547244</v>
      </c>
      <c r="M33" s="541">
        <f>Energy!K65</f>
        <v>17.708574944104974</v>
      </c>
      <c r="N33" s="541">
        <f>Energy!L65</f>
        <v>18.309884452191767</v>
      </c>
      <c r="O33" s="541">
        <f>Energy!M65</f>
        <v>18.229476296257388</v>
      </c>
      <c r="P33" s="541">
        <f>Energy!N65</f>
        <v>17.565823933095288</v>
      </c>
      <c r="Q33" s="541">
        <f>Energy!O65</f>
        <v>19.31873689381878</v>
      </c>
      <c r="R33" s="541">
        <f>Energy!P65</f>
        <v>20.251465629233643</v>
      </c>
      <c r="S33" s="1035">
        <f>Energy!Q65</f>
        <v>19.783620493404278</v>
      </c>
      <c r="T33" s="541"/>
      <c r="U33" s="541"/>
      <c r="V33" s="541"/>
      <c r="W33" s="541"/>
      <c r="X33" s="541"/>
      <c r="Y33" s="541"/>
      <c r="Z33" s="541"/>
      <c r="AA33" s="541"/>
      <c r="AB33" s="541"/>
      <c r="AC33" s="541"/>
      <c r="AD33" s="541"/>
      <c r="AE33" s="541"/>
      <c r="AF33" s="541"/>
      <c r="AG33" s="541"/>
      <c r="AH33" s="541"/>
      <c r="AI33" s="541"/>
      <c r="AJ33" s="541"/>
      <c r="AK33" s="541"/>
      <c r="AL33" s="541"/>
      <c r="AM33" s="541"/>
      <c r="AN33" s="541"/>
      <c r="AO33" s="541"/>
      <c r="AP33" s="541"/>
      <c r="AQ33" s="541"/>
      <c r="AS33" s="555">
        <f>ROW()</f>
        <v>33</v>
      </c>
    </row>
    <row r="34" spans="2:45" ht="13.95" customHeight="1">
      <c r="B34" s="84" t="str">
        <f>CONCATENATE("Figures are from 'Energy' tab, Row ",Energy!R65,", except figure for ",S14," inverse-prorates Row ",AS37," by Row ",AS35,".")</f>
        <v>Figures are from 'Energy' tab, Row 65, except figure for 2015 inverse-prorates Row 37 by Row 35.</v>
      </c>
      <c r="C34" s="84"/>
      <c r="D34" s="84"/>
      <c r="E34" s="84"/>
      <c r="F34" s="84"/>
      <c r="G34" s="84"/>
      <c r="H34" s="84"/>
      <c r="I34" s="84"/>
      <c r="J34" s="84"/>
      <c r="K34" s="84"/>
      <c r="L34" s="84"/>
      <c r="M34" s="84"/>
      <c r="N34" s="84"/>
      <c r="O34" s="84"/>
      <c r="P34" s="84"/>
      <c r="S34" s="26"/>
      <c r="AS34" s="7">
        <f>ROW()</f>
        <v>34</v>
      </c>
    </row>
    <row r="35" spans="2:45" s="14" customFormat="1" ht="13.95" customHeight="1">
      <c r="B35" s="14" t="s">
        <v>691</v>
      </c>
      <c r="I35" s="1032">
        <f>1-'Other_Natural Gas'!I27</f>
        <v>0.43000000000000005</v>
      </c>
      <c r="J35" s="1032">
        <f>1-'Other_Natural Gas'!J27</f>
        <v>0.45999999999999996</v>
      </c>
      <c r="K35" s="1032">
        <f>1-'Other_Natural Gas'!K27</f>
        <v>0.44999999999999996</v>
      </c>
      <c r="L35" s="1032">
        <f>1-'Other_Natural Gas'!L27</f>
        <v>0.43000000000000005</v>
      </c>
      <c r="M35" s="1032">
        <f>1-'Other_Natural Gas'!M27</f>
        <v>0.48</v>
      </c>
      <c r="N35" s="1032">
        <f>1-'Other_Natural Gas'!N27</f>
        <v>0.48</v>
      </c>
      <c r="O35" s="1032">
        <f>1-'Other_Natural Gas'!O27</f>
        <v>0.47</v>
      </c>
      <c r="P35" s="1032">
        <f>1-'Other_Natural Gas'!P27</f>
        <v>0.47</v>
      </c>
      <c r="Q35" s="1032">
        <f>1-'Other_Natural Gas'!Q27</f>
        <v>0.47</v>
      </c>
      <c r="R35" s="1032">
        <f>1-'Other_Natural Gas'!R27</f>
        <v>0.44999999999999996</v>
      </c>
      <c r="S35" s="1033">
        <f>1-'Other_Natural Gas'!S27</f>
        <v>0.43000000000000005</v>
      </c>
      <c r="U35" s="1034"/>
      <c r="AS35" s="555">
        <f>ROW()</f>
        <v>35</v>
      </c>
    </row>
    <row r="36" spans="2:45" ht="13.95" customHeight="1">
      <c r="B36" s="84" t="str">
        <f>CONCATENATE("Complement of corresponding cell in 'Other_Natural Gas' tab, Row ",'Other_Natural Gas'!AS27, ". Yearly variations assist true-up of sum of oil consumption in 'Graph_Oil' tab, Row ",Graph_Oil!AS53," to EIA data copied from 'Energy' tab, Row ",Energy!R21, ".")</f>
        <v>Complement of corresponding cell in 'Other_Natural Gas' tab, Row 27. Yearly variations assist true-up of sum of oil consumption in 'Graph_Oil' tab, Row 53 to EIA data copied from 'Energy' tab, Row 21.</v>
      </c>
      <c r="J36" s="327"/>
      <c r="K36" s="328"/>
      <c r="M36"/>
      <c r="S36" s="26"/>
      <c r="AS36" s="7">
        <f>ROW()</f>
        <v>36</v>
      </c>
    </row>
    <row r="37" spans="2:45" s="14" customFormat="1" ht="13.95" customHeight="1">
      <c r="B37" s="14" t="s">
        <v>1180</v>
      </c>
      <c r="I37" s="541">
        <f t="shared" ref="I37:S37" si="3">I35*I33</f>
        <v>8.229415544375172</v>
      </c>
      <c r="J37" s="541">
        <f t="shared" si="3"/>
        <v>8.541914789401563</v>
      </c>
      <c r="K37" s="541">
        <f t="shared" si="3"/>
        <v>8.6352256387312227</v>
      </c>
      <c r="L37" s="541">
        <f t="shared" si="3"/>
        <v>8.0284407730531502</v>
      </c>
      <c r="M37" s="541">
        <f t="shared" si="3"/>
        <v>8.5001159731703879</v>
      </c>
      <c r="N37" s="541">
        <f t="shared" si="3"/>
        <v>8.7887445370520485</v>
      </c>
      <c r="O37" s="541">
        <f t="shared" si="3"/>
        <v>8.5678538592409712</v>
      </c>
      <c r="P37" s="541">
        <f t="shared" si="3"/>
        <v>8.2559372485547851</v>
      </c>
      <c r="Q37" s="541">
        <f t="shared" si="3"/>
        <v>9.0798063400948266</v>
      </c>
      <c r="R37" s="541">
        <f t="shared" si="3"/>
        <v>9.1131595331551374</v>
      </c>
      <c r="S37" s="1035">
        <f t="shared" si="3"/>
        <v>8.5069568121638408</v>
      </c>
      <c r="T37" s="541">
        <f>S37*IF(T$14&gt;=2040,AEO!$R27,IF(T$14&gt;=2031,AEO!$Q27,IF(T$14&gt;=2021,AEO!$P27,AEO!$O27))^Parameters!$I$13*IF(T$14&gt;=2040,AEO!$R20,IF(T$14&gt;=2031,AEO!$Q20,IF(T$14&gt;=2021,AEO!$P20,AEO!$O20))^Parameters!$H$13))</f>
        <v>8.4868935559649579</v>
      </c>
      <c r="U37" s="541">
        <f>T37*IF(U$14&gt;=2040,AEO!$R27,IF(U$14&gt;=2031,AEO!$Q27,IF(U$14&gt;=2021,AEO!$P27,AEO!$O27))^Parameters!$I$13*IF(U$14&gt;=2040,AEO!$R20,IF(U$14&gt;=2031,AEO!$Q20,IF(U$14&gt;=2021,AEO!$P20,AEO!$O20))^Parameters!$H$13))</f>
        <v>8.4668776180090379</v>
      </c>
      <c r="V37" s="541">
        <f>U37*IF(V$14&gt;=2040,AEO!$R27,IF(V$14&gt;=2031,AEO!$Q27,IF(V$14&gt;=2021,AEO!$P27,AEO!$O27))^Parameters!$I$13*IF(V$14&gt;=2040,AEO!$R20,IF(V$14&gt;=2031,AEO!$Q20,IF(V$14&gt;=2021,AEO!$P20,AEO!$O20))^Parameters!$H$13))</f>
        <v>8.4469088866982354</v>
      </c>
      <c r="W37" s="541">
        <f>V37*IF(W$14&gt;=2040,AEO!$R27,IF(W$14&gt;=2031,AEO!$Q27,IF(W$14&gt;=2021,AEO!$P27,AEO!$O27))^Parameters!$I$13*IF(W$14&gt;=2040,AEO!$R20,IF(W$14&gt;=2031,AEO!$Q20,IF(W$14&gt;=2021,AEO!$P20,AEO!$O20))^Parameters!$H$13))</f>
        <v>8.4269872506979073</v>
      </c>
      <c r="X37" s="541">
        <f>W37*IF(X$14&gt;=2040,AEO!$R27,IF(X$14&gt;=2031,AEO!$Q27,IF(X$14&gt;=2021,AEO!$P27,AEO!$O27))^Parameters!$I$13*IF(X$14&gt;=2040,AEO!$R20,IF(X$14&gt;=2031,AEO!$Q20,IF(X$14&gt;=2021,AEO!$P20,AEO!$O20))^Parameters!$H$13))</f>
        <v>8.4329775795398749</v>
      </c>
      <c r="Y37" s="541">
        <f>X37*IF(Y$14&gt;=2040,AEO!$R27,IF(Y$14&gt;=2031,AEO!$Q27,IF(Y$14&gt;=2021,AEO!$P27,AEO!$O27))^Parameters!$I$13*IF(Y$14&gt;=2040,AEO!$R20,IF(Y$14&gt;=2031,AEO!$Q20,IF(Y$14&gt;=2021,AEO!$P20,AEO!$O20))^Parameters!$H$13))</f>
        <v>8.4389721666106219</v>
      </c>
      <c r="Z37" s="541">
        <f>Y37*IF(Z$14&gt;=2040,AEO!$R27,IF(Z$14&gt;=2031,AEO!$Q27,IF(Z$14&gt;=2021,AEO!$P27,AEO!$O27))^Parameters!$I$13*IF(Z$14&gt;=2040,AEO!$R20,IF(Z$14&gt;=2031,AEO!$Q20,IF(Z$14&gt;=2021,AEO!$P20,AEO!$O20))^Parameters!$H$13))</f>
        <v>8.4449710149371118</v>
      </c>
      <c r="AA37" s="541">
        <f>Z37*IF(AA$14&gt;=2040,AEO!$R27,IF(AA$14&gt;=2031,AEO!$Q27,IF(AA$14&gt;=2021,AEO!$P27,AEO!$O27))^Parameters!$I$13*IF(AA$14&gt;=2040,AEO!$R20,IF(AA$14&gt;=2031,AEO!$Q20,IF(AA$14&gt;=2021,AEO!$P20,AEO!$O20))^Parameters!$H$13))</f>
        <v>8.4509741275484629</v>
      </c>
      <c r="AB37" s="541">
        <f>AA37*IF(AB$14&gt;=2040,AEO!$R27,IF(AB$14&gt;=2031,AEO!$Q27,IF(AB$14&gt;=2021,AEO!$P27,AEO!$O27))^Parameters!$I$13*IF(AB$14&gt;=2040,AEO!$R20,IF(AB$14&gt;=2031,AEO!$Q20,IF(AB$14&gt;=2021,AEO!$P20,AEO!$O20))^Parameters!$H$13))</f>
        <v>8.4569815074759429</v>
      </c>
      <c r="AC37" s="541">
        <f>AB37*IF(AC$14&gt;=2040,AEO!$R27,IF(AC$14&gt;=2031,AEO!$Q27,IF(AC$14&gt;=2021,AEO!$P27,AEO!$O27))^Parameters!$I$13*IF(AC$14&gt;=2040,AEO!$R20,IF(AC$14&gt;=2031,AEO!$Q20,IF(AC$14&gt;=2021,AEO!$P20,AEO!$O20))^Parameters!$H$13))</f>
        <v>8.462993157752976</v>
      </c>
      <c r="AD37" s="541">
        <f>AC37*IF(AD$14&gt;=2040,AEO!$R27,IF(AD$14&gt;=2031,AEO!$Q27,IF(AD$14&gt;=2021,AEO!$P27,AEO!$O27))^Parameters!$I$13*IF(AD$14&gt;=2040,AEO!$R20,IF(AD$14&gt;=2031,AEO!$Q20,IF(AD$14&gt;=2021,AEO!$P20,AEO!$O20))^Parameters!$H$13))</f>
        <v>8.4690090814151429</v>
      </c>
      <c r="AE37" s="541">
        <f>AD37*IF(AE$14&gt;=2040,AEO!$R27,IF(AE$14&gt;=2031,AEO!$Q27,IF(AE$14&gt;=2021,AEO!$P27,AEO!$O27))^Parameters!$I$13*IF(AE$14&gt;=2040,AEO!$R20,IF(AE$14&gt;=2031,AEO!$Q20,IF(AE$14&gt;=2021,AEO!$P20,AEO!$O20))^Parameters!$H$13))</f>
        <v>8.4750292815001824</v>
      </c>
      <c r="AF37" s="541">
        <f>AE37*IF(AF$14&gt;=2040,AEO!$R27,IF(AF$14&gt;=2031,AEO!$Q27,IF(AF$14&gt;=2021,AEO!$P27,AEO!$O27))^Parameters!$I$13*IF(AF$14&gt;=2040,AEO!$R20,IF(AF$14&gt;=2031,AEO!$Q20,IF(AF$14&gt;=2021,AEO!$P20,AEO!$O20))^Parameters!$H$13))</f>
        <v>8.4810537610479919</v>
      </c>
      <c r="AG37" s="541">
        <f>AF37*IF(AG$14&gt;=2040,AEO!$R27,IF(AG$14&gt;=2031,AEO!$Q27,IF(AG$14&gt;=2021,AEO!$P27,AEO!$O27))^Parameters!$I$13*IF(AG$14&gt;=2040,AEO!$R20,IF(AG$14&gt;=2031,AEO!$Q20,IF(AG$14&gt;=2021,AEO!$P20,AEO!$O20))^Parameters!$H$13))</f>
        <v>8.4870825231006304</v>
      </c>
      <c r="AH37" s="541">
        <f>AG37*IF(AH$14&gt;=2040,AEO!$R27,IF(AH$14&gt;=2031,AEO!$Q27,IF(AH$14&gt;=2021,AEO!$P27,AEO!$O27))^Parameters!$I$13*IF(AH$14&gt;=2040,AEO!$R20,IF(AH$14&gt;=2031,AEO!$Q20,IF(AH$14&gt;=2021,AEO!$P20,AEO!$O20))^Parameters!$H$13))</f>
        <v>8.4895089897788942</v>
      </c>
      <c r="AI37" s="541">
        <f>AH37*IF(AI$14&gt;=2040,AEO!$R27,IF(AI$14&gt;=2031,AEO!$Q27,IF(AI$14&gt;=2021,AEO!$P27,AEO!$O27))^Parameters!$I$13*IF(AI$14&gt;=2040,AEO!$R20,IF(AI$14&gt;=2031,AEO!$Q20,IF(AI$14&gt;=2021,AEO!$P20,AEO!$O20))^Parameters!$H$13))</f>
        <v>8.4919361501867794</v>
      </c>
      <c r="AJ37" s="541">
        <f>AI37*IF(AJ$14&gt;=2040,AEO!$R27,IF(AJ$14&gt;=2031,AEO!$Q27,IF(AJ$14&gt;=2021,AEO!$P27,AEO!$O27))^Parameters!$I$13*IF(AJ$14&gt;=2040,AEO!$R20,IF(AJ$14&gt;=2031,AEO!$Q20,IF(AJ$14&gt;=2021,AEO!$P20,AEO!$O20))^Parameters!$H$13))</f>
        <v>8.4943640045226232</v>
      </c>
      <c r="AK37" s="541">
        <f>AJ37*IF(AK$14&gt;=2040,AEO!$R27,IF(AK$14&gt;=2031,AEO!$Q27,IF(AK$14&gt;=2021,AEO!$P27,AEO!$O27))^Parameters!$I$13*IF(AK$14&gt;=2040,AEO!$R20,IF(AK$14&gt;=2031,AEO!$Q20,IF(AK$14&gt;=2021,AEO!$P20,AEO!$O20))^Parameters!$H$13))</f>
        <v>8.4967925529848216</v>
      </c>
      <c r="AL37" s="541">
        <f>AK37*IF(AL$14&gt;=2040,AEO!$R27,IF(AL$14&gt;=2031,AEO!$Q27,IF(AL$14&gt;=2021,AEO!$P27,AEO!$O27))^Parameters!$I$13*IF(AL$14&gt;=2040,AEO!$R20,IF(AL$14&gt;=2031,AEO!$Q20,IF(AL$14&gt;=2021,AEO!$P20,AEO!$O20))^Parameters!$H$13))</f>
        <v>8.4992217957718239</v>
      </c>
      <c r="AM37" s="541">
        <f>AL37*IF(AM$14&gt;=2040,AEO!$R27,IF(AM$14&gt;=2031,AEO!$Q27,IF(AM$14&gt;=2021,AEO!$P27,AEO!$O27))^Parameters!$I$13*IF(AM$14&gt;=2040,AEO!$R20,IF(AM$14&gt;=2031,AEO!$Q20,IF(AM$14&gt;=2021,AEO!$P20,AEO!$O20))^Parameters!$H$13))</f>
        <v>8.5016517330821397</v>
      </c>
      <c r="AN37" s="541">
        <f>AM37*IF(AN$14&gt;=2040,AEO!$R27,IF(AN$14&gt;=2031,AEO!$Q27,IF(AN$14&gt;=2021,AEO!$P27,AEO!$O27))^Parameters!$I$13*IF(AN$14&gt;=2040,AEO!$R20,IF(AN$14&gt;=2031,AEO!$Q20,IF(AN$14&gt;=2021,AEO!$P20,AEO!$O20))^Parameters!$H$13))</f>
        <v>8.5040823651143338</v>
      </c>
      <c r="AO37" s="541">
        <f>AN37*IF(AO$14&gt;=2040,AEO!$R27,IF(AO$14&gt;=2031,AEO!$Q27,IF(AO$14&gt;=2021,AEO!$P27,AEO!$O27))^Parameters!$I$13*IF(AO$14&gt;=2040,AEO!$R20,IF(AO$14&gt;=2031,AEO!$Q20,IF(AO$14&gt;=2021,AEO!$P20,AEO!$O20))^Parameters!$H$13))</f>
        <v>8.5065136920670295</v>
      </c>
      <c r="AP37" s="541">
        <f>AO37*IF(AP$14&gt;=2040,AEO!$R27,IF(AP$14&gt;=2031,AEO!$Q27,IF(AP$14&gt;=2021,AEO!$P27,AEO!$O27))^Parameters!$I$13*IF(AP$14&gt;=2040,AEO!$R20,IF(AP$14&gt;=2031,AEO!$Q20,IF(AP$14&gt;=2021,AEO!$P20,AEO!$O20))^Parameters!$H$13))</f>
        <v>8.5089457141389033</v>
      </c>
      <c r="AQ37" s="541">
        <f>AP37*IF(AQ$14&gt;=2040,AEO!$R27,IF(AQ$14&gt;=2031,AEO!$Q27,IF(AQ$14&gt;=2021,AEO!$P27,AEO!$O27))^Parameters!$I$13*IF(AQ$14&gt;=2040,AEO!$R20,IF(AQ$14&gt;=2031,AEO!$Q20,IF(AQ$14&gt;=2021,AEO!$P20,AEO!$O20))^Parameters!$H$13))</f>
        <v>8.6859508418668145</v>
      </c>
      <c r="AS37" s="555">
        <f>ROW()</f>
        <v>37</v>
      </c>
    </row>
    <row r="38" spans="2:45" ht="13.95" customHeight="1">
      <c r="B38" s="1145" t="str">
        <f>CONCATENATE("Historical figures are product of Rows ",AS35, " and ",AS33, ". Projected figures from ",S31, " apply income-elasticity for 'other' petroleum products in Parameters page, Row ",Parameters!B13,", to assumed GDP growth rates in 'AEO' tab, Row ",AEO!V27, "; same with price-elasticity for 'other' petroleum products to year-on-year ratio of projected price of distillate fuel in 'AEO' tab, Row ",AEO!V20, ".")</f>
        <v>Historical figures are product of Rows 35 and 33. Projected figures from 2015 apply income-elasticity for 'other' petroleum products in Parameters page, Row 13, to assumed GDP growth rates in 'AEO' tab, Row 27; same with price-elasticity for 'other' petroleum products to year-on-year ratio of projected price of distillate fuel in 'AEO' tab, Row 20.</v>
      </c>
      <c r="C38" s="1155"/>
      <c r="D38" s="1155"/>
      <c r="E38" s="1155"/>
      <c r="F38" s="1155"/>
      <c r="G38" s="1155"/>
      <c r="H38" s="1155"/>
      <c r="I38" s="1155"/>
      <c r="J38" s="1155"/>
      <c r="K38" s="1155"/>
      <c r="L38" s="1155"/>
      <c r="M38" s="1155"/>
      <c r="N38" s="1155"/>
      <c r="O38" s="1155"/>
      <c r="P38" s="1155"/>
      <c r="S38" s="26"/>
      <c r="W38" s="396"/>
      <c r="X38" s="396"/>
      <c r="Y38" s="396"/>
      <c r="Z38" s="396"/>
      <c r="AS38" s="7">
        <f>ROW()</f>
        <v>38</v>
      </c>
    </row>
    <row r="39" spans="2:45" ht="13.95" customHeight="1">
      <c r="B39" s="1155"/>
      <c r="C39" s="1155"/>
      <c r="D39" s="1155"/>
      <c r="E39" s="1155"/>
      <c r="F39" s="1155"/>
      <c r="G39" s="1155"/>
      <c r="H39" s="1155"/>
      <c r="I39" s="1155"/>
      <c r="J39" s="1155"/>
      <c r="K39" s="1155"/>
      <c r="L39" s="1155"/>
      <c r="M39" s="1155"/>
      <c r="N39" s="1155"/>
      <c r="O39" s="1155"/>
      <c r="P39" s="1155"/>
      <c r="S39" s="26"/>
      <c r="AS39" s="7">
        <f>ROW()</f>
        <v>39</v>
      </c>
    </row>
    <row r="40" spans="2:45" ht="13.95" customHeight="1">
      <c r="B40" s="14" t="s">
        <v>1178</v>
      </c>
      <c r="C40" s="84"/>
      <c r="D40" s="84"/>
      <c r="E40" s="84"/>
      <c r="F40" s="84"/>
      <c r="G40" s="84"/>
      <c r="H40" s="84"/>
      <c r="I40" s="1031">
        <f>'Oil Refining'!I74</f>
        <v>32075.320285969472</v>
      </c>
      <c r="J40" s="1031">
        <f>'Oil Refining'!J74</f>
        <v>31944.670251333762</v>
      </c>
      <c r="K40" s="1031">
        <f>'Oil Refining'!K74</f>
        <v>32166.278107017279</v>
      </c>
      <c r="L40" s="1031">
        <f>'Oil Refining'!L74</f>
        <v>30731.430938311692</v>
      </c>
      <c r="M40" s="1031">
        <f>'Oil Refining'!M74</f>
        <v>29995.779649751323</v>
      </c>
      <c r="N40" s="1031">
        <f>'Oil Refining'!N74</f>
        <v>31101.353868792263</v>
      </c>
      <c r="O40" s="1031">
        <f>'Oil Refining'!O74</f>
        <v>31348.809469825552</v>
      </c>
      <c r="P40" s="1031">
        <f>'Oil Refining'!P74</f>
        <v>31653.353074799692</v>
      </c>
      <c r="Q40" s="1031">
        <f>'Oil Refining'!Q74</f>
        <v>32335.632750148721</v>
      </c>
      <c r="R40" s="1031">
        <f>'Oil Refining'!R74</f>
        <v>33114.740819782848</v>
      </c>
      <c r="S40" s="564">
        <f>'Oil Refining'!S74</f>
        <v>34090.594106634133</v>
      </c>
      <c r="T40" s="1031">
        <f>'Oil Refining'!T74</f>
        <v>33628.182893977959</v>
      </c>
      <c r="U40" s="1031">
        <f>'Oil Refining'!U74</f>
        <v>33531.583613463408</v>
      </c>
      <c r="V40" s="1031">
        <f>'Oil Refining'!V74</f>
        <v>33455.663078729616</v>
      </c>
      <c r="W40" s="1031">
        <f>'Oil Refining'!W74</f>
        <v>33437.947411138419</v>
      </c>
      <c r="X40" s="1031">
        <f>'Oil Refining'!X74</f>
        <v>33215.078571389531</v>
      </c>
      <c r="Y40" s="1031">
        <f>'Oil Refining'!Y74</f>
        <v>33152.484866105835</v>
      </c>
      <c r="Z40" s="1031">
        <f>'Oil Refining'!Z74</f>
        <v>33200.911654443269</v>
      </c>
      <c r="AA40" s="1031">
        <f>'Oil Refining'!AA74</f>
        <v>33248.385563804259</v>
      </c>
      <c r="AB40" s="1031">
        <f>'Oil Refining'!AB74</f>
        <v>33264.338967158234</v>
      </c>
      <c r="AC40" s="1031">
        <f>'Oil Refining'!AC74</f>
        <v>33247.909149557883</v>
      </c>
      <c r="AD40" s="1031">
        <f>'Oil Refining'!AD74</f>
        <v>33076.848396607958</v>
      </c>
      <c r="AE40" s="1031">
        <f>'Oil Refining'!AE74</f>
        <v>32907.388193634484</v>
      </c>
      <c r="AF40" s="1031">
        <f>'Oil Refining'!AF74</f>
        <v>32739.512927888158</v>
      </c>
      <c r="AG40" s="1031">
        <f>'Oil Refining'!AG74</f>
        <v>32573.20718412038</v>
      </c>
      <c r="AH40" s="1031">
        <f>'Oil Refining'!AH74</f>
        <v>32386.96743201253</v>
      </c>
      <c r="AI40" s="1031">
        <f>'Oil Refining'!AI74</f>
        <v>32198.844301566409</v>
      </c>
      <c r="AJ40" s="1031">
        <f>'Oil Refining'!AJ74</f>
        <v>32010.534348751287</v>
      </c>
      <c r="AK40" s="1031">
        <f>'Oil Refining'!AK74</f>
        <v>31822.053915050907</v>
      </c>
      <c r="AL40" s="1031">
        <f>'Oil Refining'!AL74</f>
        <v>31633.419354810037</v>
      </c>
      <c r="AM40" s="1031">
        <f>'Oil Refining'!AM74</f>
        <v>31444.647030218468</v>
      </c>
      <c r="AN40" s="1031">
        <f>'Oil Refining'!AN74</f>
        <v>31255.753306334012</v>
      </c>
      <c r="AO40" s="1031">
        <f>'Oil Refining'!AO74</f>
        <v>31066.7545461462</v>
      </c>
      <c r="AP40" s="1031">
        <f>'Oil Refining'!AP74</f>
        <v>30877.667105681954</v>
      </c>
      <c r="AQ40" s="1031">
        <f>'Oil Refining'!AQ74</f>
        <v>31087.278320905236</v>
      </c>
      <c r="AS40" s="7">
        <f>ROW()</f>
        <v>40</v>
      </c>
    </row>
    <row r="41" spans="2:45" ht="13.95" customHeight="1">
      <c r="B41" s="84" t="str">
        <f>CONCATENATE("Copied from 'Oil Refining' tab, Row ",'Oil Refining'!AS74, ". Slightly overstates true figure since calculations in that tab assume 100% of refinery input energy is petroleum.")</f>
        <v>Copied from 'Oil Refining' tab, Row 74. Slightly overstates true figure since calculations in that tab assume 100% of refinery input energy is petroleum.</v>
      </c>
      <c r="C41" s="84"/>
      <c r="D41" s="84"/>
      <c r="E41" s="84"/>
      <c r="F41" s="84"/>
      <c r="G41" s="84"/>
      <c r="H41" s="84"/>
      <c r="I41" s="84"/>
      <c r="J41" s="84"/>
      <c r="K41" s="84"/>
      <c r="L41" s="84"/>
      <c r="M41" s="84"/>
      <c r="N41" s="84"/>
      <c r="O41" s="84"/>
      <c r="P41" s="84"/>
      <c r="Q41" s="191"/>
      <c r="R41" s="191"/>
      <c r="S41" s="540"/>
      <c r="T41" s="184"/>
      <c r="AS41" s="7">
        <f>ROW()</f>
        <v>41</v>
      </c>
    </row>
    <row r="42" spans="2:45" ht="13.95" customHeight="1">
      <c r="B42" s="14" t="s">
        <v>1179</v>
      </c>
      <c r="C42" s="1029"/>
      <c r="D42" s="1029"/>
      <c r="E42" s="1029"/>
      <c r="F42" s="1029"/>
      <c r="G42" s="1029"/>
      <c r="H42" s="1029"/>
      <c r="I42" s="541">
        <f>I40*Freight!$K$28/1000000000</f>
        <v>4.4485414444231468</v>
      </c>
      <c r="J42" s="541">
        <f>J40*Freight!$K$28/1000000000</f>
        <v>4.4304215289052182</v>
      </c>
      <c r="K42" s="541">
        <f>K40*Freight!$K$28/1000000000</f>
        <v>4.4611564279375155</v>
      </c>
      <c r="L42" s="541">
        <f>L40*Freight!$K$28/1000000000</f>
        <v>4.2621567908491809</v>
      </c>
      <c r="M42" s="541">
        <f>M40*Freight!$K$28/1000000000</f>
        <v>4.1601289633286056</v>
      </c>
      <c r="N42" s="541">
        <f>N40*Freight!$K$28/1000000000</f>
        <v>4.3134615782313084</v>
      </c>
      <c r="O42" s="541">
        <f>O40*Freight!$K$28/1000000000</f>
        <v>4.3477813133746146</v>
      </c>
      <c r="P42" s="541">
        <f>P40*Freight!$K$28/1000000000</f>
        <v>4.3900186109692427</v>
      </c>
      <c r="Q42" s="541">
        <f>Q40*Freight!$K$28/1000000000</f>
        <v>4.4846443040384827</v>
      </c>
      <c r="R42" s="541">
        <f>R40*Freight!$K$28/1000000000</f>
        <v>4.5926991732198825</v>
      </c>
      <c r="S42" s="1035">
        <f>S40*Freight!$K$28/1000000000</f>
        <v>4.7280407302653291</v>
      </c>
      <c r="T42" s="541">
        <f>T40*Freight!$K$28/1000000000</f>
        <v>4.6639086989862291</v>
      </c>
      <c r="U42" s="541">
        <f>U40*Freight!$K$28/1000000000</f>
        <v>4.6505112987720079</v>
      </c>
      <c r="V42" s="541">
        <f>V40*Freight!$K$28/1000000000</f>
        <v>4.6399818436571429</v>
      </c>
      <c r="W42" s="541">
        <f>W40*Freight!$K$28/1000000000</f>
        <v>4.6375248492828876</v>
      </c>
      <c r="X42" s="541">
        <f>X40*Freight!$K$28/1000000000</f>
        <v>4.6066150637700956</v>
      </c>
      <c r="Y42" s="541">
        <f>Y40*Freight!$K$28/1000000000</f>
        <v>4.5979339129777737</v>
      </c>
      <c r="Z42" s="541">
        <f>Z40*Freight!$K$28/1000000000</f>
        <v>4.6046502473126676</v>
      </c>
      <c r="AA42" s="541">
        <f>AA40*Freight!$K$28/1000000000</f>
        <v>4.6112344264085667</v>
      </c>
      <c r="AB42" s="541">
        <f>AB40*Freight!$K$28/1000000000</f>
        <v>4.6134470115165884</v>
      </c>
      <c r="AC42" s="541">
        <f>AC40*Freight!$K$28/1000000000</f>
        <v>4.611168352289873</v>
      </c>
      <c r="AD42" s="541">
        <f>AD40*Freight!$K$28/1000000000</f>
        <v>4.5874438550057466</v>
      </c>
      <c r="AE42" s="541">
        <f>AE40*Freight!$K$28/1000000000</f>
        <v>4.5639413387600198</v>
      </c>
      <c r="AF42" s="541">
        <f>AF40*Freight!$K$28/1000000000</f>
        <v>4.5406586382130598</v>
      </c>
      <c r="AG42" s="541">
        <f>AG40*Freight!$K$28/1000000000</f>
        <v>4.517593615416696</v>
      </c>
      <c r="AH42" s="541">
        <f>AH40*Freight!$K$28/1000000000</f>
        <v>4.4917639355112611</v>
      </c>
      <c r="AI42" s="541">
        <f>AI40*Freight!$K$28/1000000000</f>
        <v>4.465673048967246</v>
      </c>
      <c r="AJ42" s="541">
        <f>AJ40*Freight!$K$28/1000000000</f>
        <v>4.4395562519399112</v>
      </c>
      <c r="AK42" s="541">
        <f>AK40*Freight!$K$28/1000000000</f>
        <v>4.4134158108374173</v>
      </c>
      <c r="AL42" s="541">
        <f>AL40*Freight!$K$28/1000000000</f>
        <v>4.3872539938516306</v>
      </c>
      <c r="AM42" s="541">
        <f>AM40*Freight!$K$28/1000000000</f>
        <v>4.3610730702624414</v>
      </c>
      <c r="AN42" s="541">
        <f>AN40*Freight!$K$28/1000000000</f>
        <v>4.334875309747515</v>
      </c>
      <c r="AO42" s="541">
        <f>AO40*Freight!$K$28/1000000000</f>
        <v>4.3086629816976574</v>
      </c>
      <c r="AP42" s="541">
        <f>AP40*Freight!$K$28/1000000000</f>
        <v>4.2824383545380327</v>
      </c>
      <c r="AQ42" s="541">
        <f>AQ40*Freight!$K$28/1000000000</f>
        <v>4.3115094337922146</v>
      </c>
      <c r="AS42" s="7">
        <f>ROW()</f>
        <v>42</v>
      </c>
    </row>
    <row r="43" spans="2:45" ht="13.95" customHeight="1">
      <c r="B43" s="84" t="str">
        <f>CONCATENATE("Converts gallons to quads via btu content of diesel fuel in 'Freight,' Cell K",Freight!AS28,".")</f>
        <v>Converts gallons to quads via btu content of diesel fuel in 'Freight,' Cell K28.</v>
      </c>
      <c r="C43" s="1029"/>
      <c r="D43" s="1029"/>
      <c r="E43" s="1029"/>
      <c r="F43" s="1029"/>
      <c r="G43" s="36">
        <f t="shared" ref="G43" si="4">F43*E43</f>
        <v>0</v>
      </c>
      <c r="H43" s="1029"/>
      <c r="I43" s="1029"/>
      <c r="J43" s="1029"/>
      <c r="K43" s="1029"/>
      <c r="L43" s="1029"/>
      <c r="M43" s="1029"/>
      <c r="N43" s="1029"/>
      <c r="O43" s="1029"/>
      <c r="P43" s="1029"/>
      <c r="S43" s="26"/>
      <c r="AS43" s="7">
        <f>ROW()</f>
        <v>43</v>
      </c>
    </row>
    <row r="44" spans="2:45" ht="13.95" customHeight="1">
      <c r="B44" s="14" t="s">
        <v>1203</v>
      </c>
      <c r="C44" s="1029"/>
      <c r="D44" s="1029"/>
      <c r="E44" s="1029"/>
      <c r="F44" s="1029"/>
      <c r="G44" s="1029"/>
      <c r="H44" s="1029"/>
      <c r="I44" s="541">
        <f>I37-I42</f>
        <v>3.7808740999520252</v>
      </c>
      <c r="J44" s="541">
        <f t="shared" ref="J44:AQ44" si="5">J37-J42</f>
        <v>4.1114932604963448</v>
      </c>
      <c r="K44" s="541">
        <f t="shared" si="5"/>
        <v>4.1740692107937072</v>
      </c>
      <c r="L44" s="541">
        <f t="shared" si="5"/>
        <v>3.7662839822039693</v>
      </c>
      <c r="M44" s="541">
        <f t="shared" si="5"/>
        <v>4.3399870098417823</v>
      </c>
      <c r="N44" s="541">
        <f t="shared" si="5"/>
        <v>4.4752829588207401</v>
      </c>
      <c r="O44" s="541">
        <f t="shared" si="5"/>
        <v>4.2200725458663566</v>
      </c>
      <c r="P44" s="541">
        <f t="shared" si="5"/>
        <v>3.8659186375855423</v>
      </c>
      <c r="Q44" s="541">
        <f t="shared" si="5"/>
        <v>4.5951620360563439</v>
      </c>
      <c r="R44" s="541">
        <f t="shared" si="5"/>
        <v>4.5204603599352549</v>
      </c>
      <c r="S44" s="1035">
        <f t="shared" si="5"/>
        <v>3.7789160818985117</v>
      </c>
      <c r="T44" s="541">
        <f t="shared" si="5"/>
        <v>3.8229848569787288</v>
      </c>
      <c r="U44" s="541">
        <f t="shared" si="5"/>
        <v>3.8163663192370301</v>
      </c>
      <c r="V44" s="541">
        <f t="shared" si="5"/>
        <v>3.8069270430410924</v>
      </c>
      <c r="W44" s="541">
        <f t="shared" si="5"/>
        <v>3.7894624014150198</v>
      </c>
      <c r="X44" s="541">
        <f t="shared" si="5"/>
        <v>3.8263625157697794</v>
      </c>
      <c r="Y44" s="541">
        <f t="shared" si="5"/>
        <v>3.8410382536328482</v>
      </c>
      <c r="Z44" s="541">
        <f t="shared" si="5"/>
        <v>3.8403207676244442</v>
      </c>
      <c r="AA44" s="541">
        <f t="shared" si="5"/>
        <v>3.8397397011398962</v>
      </c>
      <c r="AB44" s="541">
        <f t="shared" si="5"/>
        <v>3.8435344959593545</v>
      </c>
      <c r="AC44" s="541">
        <f t="shared" si="5"/>
        <v>3.851824805463103</v>
      </c>
      <c r="AD44" s="541">
        <f t="shared" si="5"/>
        <v>3.8815652264093963</v>
      </c>
      <c r="AE44" s="541">
        <f t="shared" si="5"/>
        <v>3.9110879427401626</v>
      </c>
      <c r="AF44" s="541">
        <f t="shared" si="5"/>
        <v>3.9403951228349321</v>
      </c>
      <c r="AG44" s="541">
        <f t="shared" si="5"/>
        <v>3.9694889076839344</v>
      </c>
      <c r="AH44" s="541">
        <f t="shared" si="5"/>
        <v>3.9977450542676332</v>
      </c>
      <c r="AI44" s="541">
        <f t="shared" si="5"/>
        <v>4.0262631012195333</v>
      </c>
      <c r="AJ44" s="541">
        <f t="shared" si="5"/>
        <v>4.054807752582712</v>
      </c>
      <c r="AK44" s="541">
        <f t="shared" si="5"/>
        <v>4.0833767421474043</v>
      </c>
      <c r="AL44" s="541">
        <f t="shared" si="5"/>
        <v>4.1119678019201933</v>
      </c>
      <c r="AM44" s="541">
        <f t="shared" si="5"/>
        <v>4.1405786628196983</v>
      </c>
      <c r="AN44" s="541">
        <f t="shared" si="5"/>
        <v>4.1692070553668188</v>
      </c>
      <c r="AO44" s="541">
        <f t="shared" si="5"/>
        <v>4.1978507103693721</v>
      </c>
      <c r="AP44" s="541">
        <f t="shared" si="5"/>
        <v>4.2265073596008707</v>
      </c>
      <c r="AQ44" s="541">
        <f t="shared" si="5"/>
        <v>4.3744414080745999</v>
      </c>
      <c r="AS44" s="7">
        <f>ROW()</f>
        <v>44</v>
      </c>
    </row>
    <row r="45" spans="2:45" ht="13.95" customHeight="1">
      <c r="B45" s="84" t="str">
        <f>CONCATENATE("Row ",AS37, " less Row ",AS42, ".")</f>
        <v>Row 37 less Row 42.</v>
      </c>
      <c r="C45" s="1029"/>
      <c r="D45" s="1029"/>
      <c r="E45" s="1029"/>
      <c r="F45" s="1029"/>
      <c r="G45" s="1029"/>
      <c r="H45" s="1029"/>
      <c r="I45" s="1029"/>
      <c r="J45" s="1029"/>
      <c r="K45" s="1029"/>
      <c r="L45" s="1029"/>
      <c r="M45" s="1029"/>
      <c r="N45" s="1029"/>
      <c r="O45" s="1029"/>
      <c r="P45" s="1029"/>
      <c r="Q45" s="1029"/>
      <c r="R45" s="1029"/>
      <c r="S45" s="26"/>
      <c r="T45" s="1029"/>
      <c r="U45" s="1029"/>
      <c r="V45" s="1029"/>
      <c r="W45" s="1029"/>
      <c r="X45" s="1029"/>
      <c r="Y45" s="1029"/>
      <c r="Z45" s="1029"/>
      <c r="AA45" s="1029"/>
      <c r="AB45" s="1029"/>
      <c r="AC45" s="1029"/>
      <c r="AD45" s="1029"/>
      <c r="AE45" s="1029"/>
      <c r="AF45" s="1029"/>
      <c r="AG45" s="1029"/>
      <c r="AH45" s="1029"/>
      <c r="AI45" s="1029"/>
      <c r="AJ45" s="1029"/>
      <c r="AK45" s="1029"/>
      <c r="AL45" s="1029"/>
      <c r="AM45" s="1029"/>
      <c r="AN45" s="1029"/>
      <c r="AO45" s="1029"/>
      <c r="AP45" s="1029"/>
      <c r="AQ45" s="1029"/>
      <c r="AS45" s="7">
        <f>ROW()</f>
        <v>45</v>
      </c>
    </row>
    <row r="46" spans="2:45" s="14" customFormat="1" ht="13.95" customHeight="1">
      <c r="B46" s="14" t="s">
        <v>1181</v>
      </c>
      <c r="I46" s="563">
        <f>1000*I44*Parameters!$I$46/Parameters!$I$18</f>
        <v>282.31135569455722</v>
      </c>
      <c r="J46" s="563">
        <f>1000*J44*Parameters!$I$46/Parameters!$I$18</f>
        <v>306.99811885153406</v>
      </c>
      <c r="K46" s="563">
        <f>1000*K44*Parameters!$I$46/Parameters!$I$18</f>
        <v>311.67055726003537</v>
      </c>
      <c r="L46" s="563">
        <f>1000*L44*Parameters!$I$46/Parameters!$I$18</f>
        <v>281.2219367368487</v>
      </c>
      <c r="M46" s="563">
        <f>1000*M44*Parameters!$I$46/Parameters!$I$18</f>
        <v>324.05935348673682</v>
      </c>
      <c r="N46" s="563">
        <f>1000*N44*Parameters!$I$46/Parameters!$I$18</f>
        <v>334.16166892133862</v>
      </c>
      <c r="O46" s="563">
        <f>1000*O44*Parameters!$I$46/Parameters!$I$18</f>
        <v>315.10554703951397</v>
      </c>
      <c r="P46" s="563">
        <f>1000*P44*Parameters!$I$46/Parameters!$I$18</f>
        <v>288.66148481259364</v>
      </c>
      <c r="Q46" s="563">
        <f>1000*Q44*Parameters!$I$46/Parameters!$I$18</f>
        <v>343.1128331016601</v>
      </c>
      <c r="R46" s="563">
        <f>1000*R44*Parameters!$I$46/Parameters!$I$18</f>
        <v>337.53498763500778</v>
      </c>
      <c r="S46" s="564">
        <f>1000*S44*Parameters!$I$46/Parameters!$I$18</f>
        <v>282.16515385959826</v>
      </c>
      <c r="T46" s="563">
        <f>1000*T44*Parameters!$I$46/Parameters!$I$18</f>
        <v>285.45569337712743</v>
      </c>
      <c r="U46" s="563">
        <f>1000*U44*Parameters!$I$46/Parameters!$I$18</f>
        <v>284.9614985657746</v>
      </c>
      <c r="V46" s="563">
        <f>1000*V44*Parameters!$I$46/Parameters!$I$18</f>
        <v>284.25668407335758</v>
      </c>
      <c r="W46" s="563">
        <f>1000*W44*Parameters!$I$46/Parameters!$I$18</f>
        <v>282.95262936964798</v>
      </c>
      <c r="X46" s="563">
        <f>1000*X44*Parameters!$I$46/Parameters!$I$18</f>
        <v>285.70789734032928</v>
      </c>
      <c r="Y46" s="563">
        <f>1000*Y44*Parameters!$I$46/Parameters!$I$18</f>
        <v>286.80370940452724</v>
      </c>
      <c r="Z46" s="563">
        <f>1000*Z44*Parameters!$I$46/Parameters!$I$18</f>
        <v>286.75013596029987</v>
      </c>
      <c r="AA46" s="563">
        <f>1000*AA44*Parameters!$I$46/Parameters!$I$18</f>
        <v>286.70674872690762</v>
      </c>
      <c r="AB46" s="563">
        <f>1000*AB44*Parameters!$I$46/Parameters!$I$18</f>
        <v>286.99009951874638</v>
      </c>
      <c r="AC46" s="563">
        <f>1000*AC44*Parameters!$I$46/Parameters!$I$18</f>
        <v>287.60912264759384</v>
      </c>
      <c r="AD46" s="563">
        <f>1000*AD44*Parameters!$I$46/Parameters!$I$18</f>
        <v>289.829788645539</v>
      </c>
      <c r="AE46" s="563">
        <f>1000*AE44*Parameters!$I$46/Parameters!$I$18</f>
        <v>292.03419901488456</v>
      </c>
      <c r="AF46" s="563">
        <f>1000*AF44*Parameters!$I$46/Parameters!$I$18</f>
        <v>294.22251566479468</v>
      </c>
      <c r="AG46" s="563">
        <f>1000*AG44*Parameters!$I$46/Parameters!$I$18</f>
        <v>296.39489845932144</v>
      </c>
      <c r="AH46" s="563">
        <f>1000*AH44*Parameters!$I$46/Parameters!$I$18</f>
        <v>298.50473624758558</v>
      </c>
      <c r="AI46" s="563">
        <f>1000*AI44*Parameters!$I$46/Parameters!$I$18</f>
        <v>300.63412968516508</v>
      </c>
      <c r="AJ46" s="563">
        <f>1000*AJ44*Parameters!$I$46/Parameters!$I$18</f>
        <v>302.76550962830299</v>
      </c>
      <c r="AK46" s="563">
        <f>1000*AK44*Parameters!$I$46/Parameters!$I$18</f>
        <v>304.89870686302032</v>
      </c>
      <c r="AL46" s="563">
        <f>1000*AL44*Parameters!$I$46/Parameters!$I$18</f>
        <v>307.03355204215558</v>
      </c>
      <c r="AM46" s="563">
        <f>1000*AM44*Parameters!$I$46/Parameters!$I$18</f>
        <v>309.1698757373112</v>
      </c>
      <c r="AN46" s="563">
        <f>1000*AN44*Parameters!$I$46/Parameters!$I$18</f>
        <v>311.30750849039237</v>
      </c>
      <c r="AO46" s="563">
        <f>1000*AO44*Parameters!$I$46/Parameters!$I$18</f>
        <v>313.44628086472784</v>
      </c>
      <c r="AP46" s="563">
        <f>1000*AP44*Parameters!$I$46/Parameters!$I$18</f>
        <v>315.58602349575341</v>
      </c>
      <c r="AQ46" s="563">
        <f>1000*AQ44*Parameters!$I$46/Parameters!$I$18</f>
        <v>326.63200404785186</v>
      </c>
      <c r="AS46" s="555">
        <f>ROW()</f>
        <v>46</v>
      </c>
    </row>
    <row r="47" spans="2:45" ht="13.95" customHeight="1">
      <c r="B47" s="84" t="str">
        <f>CONCATENATE("Product of Row ",AS37, " and adjusted kg of CO2 per million btu of petroleum products (and coal) estimated in 'Parameters' tab, Row ",Parameters!B44, ", from emission factors for gasoline, diesel fuel, jet fuel, and coal.")</f>
        <v>Product of Row 37 and adjusted kg of CO2 per million btu of petroleum products (and coal) estimated in 'Parameters' tab, Row 44, from emission factors for gasoline, diesel fuel, jet fuel, and coal.</v>
      </c>
      <c r="J47" s="327"/>
      <c r="K47" s="328"/>
      <c r="M47"/>
      <c r="S47" s="26"/>
      <c r="AS47" s="7">
        <f>ROW()</f>
        <v>47</v>
      </c>
    </row>
    <row r="48" spans="2:45" s="14" customFormat="1" ht="13.95" customHeight="1">
      <c r="B48" s="14" t="s">
        <v>480</v>
      </c>
      <c r="I48" s="1031">
        <f>I44/Parameters!$H$44*Parameters!$I$21*1000</f>
        <v>29541.742316380703</v>
      </c>
      <c r="J48" s="1031">
        <f>J44/Parameters!$H$44*Parameters!$I$21*1000</f>
        <v>32125.024855670319</v>
      </c>
      <c r="K48" s="1031">
        <f>K44/Parameters!$H$44*Parameters!$I$21*1000</f>
        <v>32613.960099219101</v>
      </c>
      <c r="L48" s="1031">
        <f>L44/Parameters!$H$44*Parameters!$I$21*1000</f>
        <v>29427.742884639723</v>
      </c>
      <c r="M48" s="1031">
        <f>M44/Parameters!$H$44*Parameters!$I$21*1000</f>
        <v>33910.353667373471</v>
      </c>
      <c r="N48" s="1031">
        <f>N44/Parameters!$H$44*Parameters!$I$21*1000</f>
        <v>34967.484361367562</v>
      </c>
      <c r="O48" s="1031">
        <f>O44/Parameters!$H$44*Parameters!$I$21*1000</f>
        <v>32973.405728584956</v>
      </c>
      <c r="P48" s="1031">
        <f>P44/Parameters!$H$44*Parameters!$I$21*1000</f>
        <v>30206.235169030038</v>
      </c>
      <c r="Q48" s="1031">
        <f>Q44/Parameters!$H$44*Parameters!$I$21*1000</f>
        <v>35904.15580696387</v>
      </c>
      <c r="R48" s="1031">
        <f>R44/Parameters!$H$44*Parameters!$I$21*1000</f>
        <v>35320.476581411516</v>
      </c>
      <c r="S48" s="564">
        <f>S44/Parameters!$H$44*Parameters!$I$21*1000</f>
        <v>29526.443403150966</v>
      </c>
      <c r="T48" s="1031">
        <f>T44/Parameters!$H$44*Parameters!$I$21*1000</f>
        <v>29870.773408118555</v>
      </c>
      <c r="U48" s="1031">
        <f>U44/Parameters!$H$44*Parameters!$I$21*1000</f>
        <v>29819.059669097471</v>
      </c>
      <c r="V48" s="1031">
        <f>V44/Parameters!$H$44*Parameters!$I$21*1000</f>
        <v>29745.306177798444</v>
      </c>
      <c r="W48" s="1031">
        <f>W44/Parameters!$H$44*Parameters!$I$21*1000</f>
        <v>29608.846743041831</v>
      </c>
      <c r="X48" s="1031">
        <f>X44/Parameters!$H$44*Parameters!$I$21*1000</f>
        <v>29897.164640145867</v>
      </c>
      <c r="Y48" s="1031">
        <f>Y44/Parameters!$H$44*Parameters!$I$21*1000</f>
        <v>30011.833061995469</v>
      </c>
      <c r="Z48" s="1031">
        <f>Z44/Parameters!$H$44*Parameters!$I$21*1000</f>
        <v>30006.227007359543</v>
      </c>
      <c r="AA48" s="1031">
        <f>AA44/Parameters!$H$44*Parameters!$I$21*1000</f>
        <v>30001.68686243501</v>
      </c>
      <c r="AB48" s="1031">
        <f>AB44/Parameters!$H$44*Parameters!$I$21*1000</f>
        <v>30031.337373860766</v>
      </c>
      <c r="AC48" s="1031">
        <f>AC44/Parameters!$H$44*Parameters!$I$21*1000</f>
        <v>30096.113449606288</v>
      </c>
      <c r="AD48" s="1031">
        <f>AD44/Parameters!$H$44*Parameters!$I$21*1000</f>
        <v>30328.489304699491</v>
      </c>
      <c r="AE48" s="1031">
        <f>AE44/Parameters!$H$44*Parameters!$I$21*1000</f>
        <v>30559.164131542882</v>
      </c>
      <c r="AF48" s="1031">
        <f>AF44/Parameters!$H$44*Parameters!$I$21*1000</f>
        <v>30788.154872702558</v>
      </c>
      <c r="AG48" s="1031">
        <f>AG44/Parameters!$H$44*Parameters!$I$21*1000</f>
        <v>31015.478256739167</v>
      </c>
      <c r="AH48" s="1031">
        <f>AH44/Parameters!$H$44*Parameters!$I$21*1000</f>
        <v>31236.256780213429</v>
      </c>
      <c r="AI48" s="1031">
        <f>AI44/Parameters!$H$44*Parameters!$I$21*1000</f>
        <v>31459.081654077967</v>
      </c>
      <c r="AJ48" s="1031">
        <f>AJ44/Parameters!$H$44*Parameters!$I$21*1000</f>
        <v>31682.114400683477</v>
      </c>
      <c r="AK48" s="1031">
        <f>AK44/Parameters!$H$44*Parameters!$I$21*1000</f>
        <v>31905.337313070384</v>
      </c>
      <c r="AL48" s="1031">
        <f>AL44/Parameters!$H$44*Parameters!$I$21*1000</f>
        <v>32128.732670342579</v>
      </c>
      <c r="AM48" s="1031">
        <f>AM44/Parameters!$H$44*Parameters!$I$21*1000</f>
        <v>32352.282743103187</v>
      </c>
      <c r="AN48" s="1031">
        <f>AN44/Parameters!$H$44*Parameters!$I$21*1000</f>
        <v>32575.969798847771</v>
      </c>
      <c r="AO48" s="1031">
        <f>AO44/Parameters!$H$44*Parameters!$I$21*1000</f>
        <v>32799.776107313708</v>
      </c>
      <c r="AP48" s="1031">
        <f>AP44/Parameters!$H$44*Parameters!$I$21*1000</f>
        <v>33023.683945783814</v>
      </c>
      <c r="AQ48" s="1031">
        <f>AQ44/Parameters!$H$44*Parameters!$I$21*1000</f>
        <v>34179.562037541837</v>
      </c>
      <c r="AS48" s="555">
        <f>ROW()</f>
        <v>48</v>
      </c>
    </row>
    <row r="49" spans="2:45" ht="13.95" customHeight="1">
      <c r="B49" s="84" t="str">
        <f>CONCATENATE("From Row ",AS44, ", using avg btu/barrel from 'Parameters,' Cell I",Parameters!B21, ".")</f>
        <v>From Row 44, using avg btu/barrel from 'Parameters,' Cell I21.</v>
      </c>
      <c r="C49" s="84"/>
      <c r="D49" s="84"/>
      <c r="E49" s="84"/>
      <c r="F49" s="84"/>
      <c r="G49" s="84"/>
      <c r="H49" s="84"/>
      <c r="I49" s="84"/>
      <c r="J49" s="84"/>
      <c r="K49" s="84"/>
      <c r="L49" s="84"/>
      <c r="M49" s="84"/>
      <c r="N49" s="84"/>
      <c r="O49" s="84"/>
      <c r="P49" s="84"/>
      <c r="Q49" s="191"/>
      <c r="R49" s="191"/>
      <c r="S49" s="540"/>
      <c r="T49" s="184"/>
      <c r="AS49" s="7">
        <f>ROW()</f>
        <v>49</v>
      </c>
    </row>
    <row r="50" spans="2:45" ht="13.95" customHeight="1">
      <c r="B50" s="14" t="s">
        <v>828</v>
      </c>
      <c r="I50" s="563">
        <f>I46+'Other_Natural Gas'!I31</f>
        <v>841.32073736893722</v>
      </c>
      <c r="J50" s="563">
        <f>J46+'Other_Natural Gas'!J31</f>
        <v>820.8463511169308</v>
      </c>
      <c r="K50" s="563">
        <f>K46+'Other_Natural Gas'!K31</f>
        <v>852.50902012704455</v>
      </c>
      <c r="L50" s="563">
        <f>L46+'Other_Natural Gas'!L31</f>
        <v>826.57946403067513</v>
      </c>
      <c r="M50" s="563">
        <f>M46+'Other_Natural Gas'!M31</f>
        <v>795.93836534051229</v>
      </c>
      <c r="N50" s="563">
        <f>N46+'Other_Natural Gas'!N31</f>
        <v>822.06372821907189</v>
      </c>
      <c r="O50" s="563">
        <f>O46+'Other_Natural Gas'!O31</f>
        <v>810.20650398289467</v>
      </c>
      <c r="P50" s="563">
        <f>P46+'Other_Natural Gas'!P31</f>
        <v>765.73806657703676</v>
      </c>
      <c r="Q50" s="563">
        <f>Q46+'Other_Natural Gas'!Q31</f>
        <v>867.79741359236573</v>
      </c>
      <c r="R50" s="563">
        <f>R46+'Other_Natural Gas'!R31</f>
        <v>908.30724072666408</v>
      </c>
      <c r="S50" s="564">
        <f>S46+'Other_Natural Gas'!S31</f>
        <v>860.0274141690486</v>
      </c>
      <c r="AS50" s="7">
        <f>ROW()</f>
        <v>50</v>
      </c>
    </row>
    <row r="51" spans="2:45" ht="13.95" customHeight="1">
      <c r="B51" s="84" t="str">
        <f>CONCATENATE("Sum of Row ",AS46, " from this tab and Row ",'Other_Natural Gas'!AS31, " from 'Other_Natural Gas' tab. Is only shown through ",S31, " since is used for true-up.")</f>
        <v>Sum of Row 46 from this tab and Row 31 from 'Other_Natural Gas' tab. Is only shown through 2015 since is used for true-up.</v>
      </c>
      <c r="I51" s="36"/>
      <c r="J51" s="36"/>
      <c r="K51" s="36"/>
      <c r="L51" s="36"/>
      <c r="M51" s="36"/>
      <c r="N51" s="36"/>
      <c r="O51" s="36"/>
      <c r="P51" s="36"/>
      <c r="Q51" s="179"/>
      <c r="R51" s="179"/>
      <c r="S51" s="565"/>
      <c r="AS51" s="7">
        <f>ROW()</f>
        <v>51</v>
      </c>
    </row>
    <row r="52" spans="2:45" ht="13.95" customHeight="1">
      <c r="B52" s="31" t="s">
        <v>479</v>
      </c>
      <c r="I52" s="21">
        <f>Emissions!G101</f>
        <v>1196.5000000000005</v>
      </c>
      <c r="J52" s="21">
        <f>Emissions!H101</f>
        <v>1165.6899999999996</v>
      </c>
      <c r="K52" s="21">
        <f>Emissions!I101</f>
        <v>1212.4000000000005</v>
      </c>
      <c r="L52" s="21">
        <f>Emissions!J101</f>
        <v>1198.0999999999999</v>
      </c>
      <c r="M52" s="119">
        <f>Emissions!K101</f>
        <v>1147.700000000001</v>
      </c>
      <c r="N52" s="119">
        <f>Emissions!L101</f>
        <v>1181.6000000000001</v>
      </c>
      <c r="O52" s="119">
        <f>Emissions!M101</f>
        <v>1180.4000000000005</v>
      </c>
      <c r="P52" s="119">
        <f>Emissions!N101</f>
        <v>1137.7999999999997</v>
      </c>
      <c r="Q52" s="167">
        <f>Emissions!O101</f>
        <v>1223.4000000000001</v>
      </c>
      <c r="R52" s="167">
        <f>Emissions!P101</f>
        <v>1270.2999999999993</v>
      </c>
      <c r="S52" s="564">
        <f>Emissions!Q101</f>
        <v>1270.2999999999993</v>
      </c>
      <c r="AS52" s="7">
        <f>ROW()</f>
        <v>52</v>
      </c>
    </row>
    <row r="53" spans="2:45" ht="13.95" customHeight="1">
      <c r="B53" s="84" t="str">
        <f>CONCATENATE("From 'Emissions' tab, Row ",Emissions!S101, ".")</f>
        <v>From 'Emissions' tab, Row 101.</v>
      </c>
      <c r="I53" s="63"/>
      <c r="J53" s="63"/>
      <c r="K53" s="63"/>
      <c r="L53" s="63"/>
      <c r="M53" s="177"/>
      <c r="N53" s="177"/>
      <c r="O53" s="177"/>
      <c r="P53" s="177"/>
      <c r="Q53" s="177"/>
      <c r="R53" s="177"/>
      <c r="S53" s="538"/>
      <c r="AS53" s="7">
        <f>ROW()</f>
        <v>53</v>
      </c>
    </row>
    <row r="54" spans="2:45" ht="13.95" customHeight="1">
      <c r="I54" s="12">
        <f t="shared" ref="I54:AQ54" si="6">I$14</f>
        <v>2005</v>
      </c>
      <c r="J54" s="12">
        <f t="shared" si="6"/>
        <v>2006</v>
      </c>
      <c r="K54" s="12">
        <f t="shared" si="6"/>
        <v>2007</v>
      </c>
      <c r="L54" s="12">
        <f t="shared" si="6"/>
        <v>2008</v>
      </c>
      <c r="M54" s="12">
        <f t="shared" si="6"/>
        <v>2009</v>
      </c>
      <c r="N54" s="12">
        <f t="shared" si="6"/>
        <v>2010</v>
      </c>
      <c r="O54" s="12">
        <f t="shared" si="6"/>
        <v>2011</v>
      </c>
      <c r="P54" s="12">
        <f t="shared" si="6"/>
        <v>2012</v>
      </c>
      <c r="Q54" s="178">
        <f t="shared" si="6"/>
        <v>2013</v>
      </c>
      <c r="R54" s="178">
        <f t="shared" si="6"/>
        <v>2014</v>
      </c>
      <c r="S54" s="338">
        <f t="shared" si="6"/>
        <v>2015</v>
      </c>
      <c r="T54" s="12">
        <f t="shared" si="6"/>
        <v>2017</v>
      </c>
      <c r="U54" s="12">
        <f t="shared" si="6"/>
        <v>2018</v>
      </c>
      <c r="V54" s="12">
        <f t="shared" si="6"/>
        <v>2019</v>
      </c>
      <c r="W54" s="12">
        <f t="shared" si="6"/>
        <v>2020</v>
      </c>
      <c r="X54" s="12">
        <f t="shared" si="6"/>
        <v>2021</v>
      </c>
      <c r="Y54" s="12">
        <f t="shared" si="6"/>
        <v>2022</v>
      </c>
      <c r="Z54" s="12">
        <f t="shared" si="6"/>
        <v>2023</v>
      </c>
      <c r="AA54" s="12">
        <f t="shared" si="6"/>
        <v>2024</v>
      </c>
      <c r="AB54" s="12">
        <f t="shared" si="6"/>
        <v>2025</v>
      </c>
      <c r="AC54" s="12">
        <f t="shared" si="6"/>
        <v>2026</v>
      </c>
      <c r="AD54" s="12">
        <f t="shared" si="6"/>
        <v>2027</v>
      </c>
      <c r="AE54" s="12">
        <f t="shared" si="6"/>
        <v>2028</v>
      </c>
      <c r="AF54" s="12">
        <f t="shared" si="6"/>
        <v>2029</v>
      </c>
      <c r="AG54" s="12">
        <f t="shared" si="6"/>
        <v>2030</v>
      </c>
      <c r="AH54" s="12">
        <f t="shared" si="6"/>
        <v>2031</v>
      </c>
      <c r="AI54" s="12">
        <f t="shared" si="6"/>
        <v>2032</v>
      </c>
      <c r="AJ54" s="12">
        <f t="shared" si="6"/>
        <v>2033</v>
      </c>
      <c r="AK54" s="12">
        <f t="shared" si="6"/>
        <v>2034</v>
      </c>
      <c r="AL54" s="12">
        <f t="shared" si="6"/>
        <v>2035</v>
      </c>
      <c r="AM54" s="12">
        <f t="shared" si="6"/>
        <v>2036</v>
      </c>
      <c r="AN54" s="12">
        <f t="shared" si="6"/>
        <v>2037</v>
      </c>
      <c r="AO54" s="12">
        <f t="shared" si="6"/>
        <v>2038</v>
      </c>
      <c r="AP54" s="12">
        <f t="shared" si="6"/>
        <v>2039</v>
      </c>
      <c r="AQ54" s="12">
        <f t="shared" si="6"/>
        <v>2040</v>
      </c>
      <c r="AS54" s="7">
        <f>ROW()</f>
        <v>54</v>
      </c>
    </row>
    <row r="55" spans="2:45" ht="13.95" customHeight="1">
      <c r="I55" s="12"/>
      <c r="J55" s="12"/>
      <c r="K55" s="12"/>
      <c r="L55" s="12"/>
      <c r="M55" s="12"/>
      <c r="N55" s="12"/>
      <c r="O55" s="12"/>
      <c r="P55" s="12"/>
      <c r="Q55" s="178"/>
      <c r="R55" s="178"/>
      <c r="S55" s="338"/>
      <c r="T55" s="12"/>
      <c r="U55" s="12"/>
      <c r="V55" s="12"/>
      <c r="W55" s="12"/>
      <c r="X55" s="12"/>
      <c r="Y55" s="12"/>
      <c r="Z55" s="12"/>
      <c r="AA55" s="12"/>
      <c r="AB55" s="12"/>
      <c r="AC55" s="12"/>
      <c r="AD55" s="12"/>
      <c r="AE55" s="12"/>
      <c r="AF55" s="12"/>
      <c r="AG55" s="12"/>
      <c r="AH55" s="12"/>
      <c r="AI55" s="12"/>
      <c r="AJ55" s="12"/>
      <c r="AK55" s="12"/>
      <c r="AL55" s="12"/>
      <c r="AM55" s="12"/>
      <c r="AN55" s="12"/>
      <c r="AO55" s="12"/>
      <c r="AP55" s="12"/>
      <c r="AQ55" s="12"/>
      <c r="AS55" s="7">
        <f>ROW()</f>
        <v>55</v>
      </c>
    </row>
    <row r="56" spans="2:45" ht="13.95" customHeight="1">
      <c r="B56" s="345" t="s">
        <v>687</v>
      </c>
      <c r="C56" s="67"/>
      <c r="D56" s="67"/>
      <c r="E56" s="67"/>
      <c r="G56" s="346">
        <v>10</v>
      </c>
      <c r="H56" s="54" t="s">
        <v>860</v>
      </c>
      <c r="J56" s="120">
        <v>0.01</v>
      </c>
      <c r="K56" s="67"/>
      <c r="L56" s="1264" t="s">
        <v>745</v>
      </c>
      <c r="M56" s="1099"/>
      <c r="N56" s="1099"/>
      <c r="O56" s="1099"/>
      <c r="P56" s="1100"/>
      <c r="S56" s="26"/>
      <c r="AS56" s="7">
        <f>ROW()</f>
        <v>56</v>
      </c>
    </row>
    <row r="57" spans="2:45" ht="13.95" customHeight="1">
      <c r="B57" s="191" t="s">
        <v>81</v>
      </c>
      <c r="C57" s="67"/>
      <c r="D57" s="67"/>
      <c r="E57" s="67"/>
      <c r="F57" s="67"/>
      <c r="G57" s="67"/>
      <c r="H57" s="121"/>
      <c r="I57" s="121"/>
      <c r="J57" s="121"/>
      <c r="K57" s="67"/>
      <c r="L57" s="1101"/>
      <c r="M57" s="1102"/>
      <c r="N57" s="1102"/>
      <c r="O57" s="1102"/>
      <c r="P57" s="1103"/>
      <c r="S57" s="26"/>
      <c r="AS57" s="7">
        <f>ROW()</f>
        <v>57</v>
      </c>
    </row>
    <row r="58" spans="2:45" ht="13.95" customHeight="1">
      <c r="L58" s="1104"/>
      <c r="M58" s="1105"/>
      <c r="N58" s="1105"/>
      <c r="O58" s="1105"/>
      <c r="P58" s="1106"/>
      <c r="S58" s="26"/>
      <c r="AS58" s="7">
        <f>ROW()</f>
        <v>58</v>
      </c>
    </row>
    <row r="59" spans="2:45" ht="13.95" customHeight="1">
      <c r="B59" s="8" t="s">
        <v>683</v>
      </c>
      <c r="S59" s="26"/>
      <c r="AS59" s="7">
        <f>ROW()</f>
        <v>59</v>
      </c>
    </row>
    <row r="60" spans="2:45" ht="13.95" customHeight="1">
      <c r="B60" s="14" t="s">
        <v>692</v>
      </c>
      <c r="K60" s="184">
        <f>Freight!K53</f>
        <v>2.7607999999999997</v>
      </c>
      <c r="L60" s="184">
        <f>Freight!L53</f>
        <v>3.6537999999999999</v>
      </c>
      <c r="M60" s="184">
        <f>Freight!M53</f>
        <v>2.3477999999999999</v>
      </c>
      <c r="N60" s="184">
        <f>Freight!N53</f>
        <v>2.8378000000000001</v>
      </c>
      <c r="O60" s="184">
        <f>Freight!O53</f>
        <v>3.6507999999999998</v>
      </c>
      <c r="P60" s="184">
        <f>Freight!P53</f>
        <v>3.7458</v>
      </c>
      <c r="Q60" s="184">
        <f>Freight!Q53</f>
        <v>3.6757999999999997</v>
      </c>
      <c r="R60" s="184">
        <f>Freight!R53</f>
        <v>3.464</v>
      </c>
      <c r="S60" s="339">
        <f>Freight!S53</f>
        <v>2.3542000000000001</v>
      </c>
      <c r="T60" s="184">
        <f>Freight!T53</f>
        <v>2.4464355003261069</v>
      </c>
      <c r="U60" s="184">
        <f>Freight!U53</f>
        <v>2.5538463973256151</v>
      </c>
      <c r="V60" s="184">
        <f>Freight!V53</f>
        <v>2.666377342475112</v>
      </c>
      <c r="W60" s="184">
        <f>Freight!W53</f>
        <v>2.7842815538286767</v>
      </c>
      <c r="X60" s="184">
        <f>Freight!X53</f>
        <v>2.9118684066520735</v>
      </c>
      <c r="Y60" s="184">
        <f>Freight!Y53</f>
        <v>3.0225521686255026</v>
      </c>
      <c r="Z60" s="184">
        <f>Freight!Z53</f>
        <v>3.1376515804201603</v>
      </c>
      <c r="AA60" s="184">
        <f>Freight!AA53</f>
        <v>3.257347671353465</v>
      </c>
      <c r="AB60" s="184">
        <f>Freight!AB53</f>
        <v>3.3818290008664729</v>
      </c>
      <c r="AC60" s="184">
        <f>Freight!AC53</f>
        <v>3.5112919740971189</v>
      </c>
      <c r="AD60" s="184">
        <f>Freight!AD53</f>
        <v>3.6459411707286939</v>
      </c>
      <c r="AE60" s="184">
        <f>Freight!AE53</f>
        <v>3.7859896876730681</v>
      </c>
      <c r="AF60" s="184">
        <f>Freight!AF53</f>
        <v>3.931659496171787</v>
      </c>
      <c r="AG60" s="184">
        <f>Freight!AG53</f>
        <v>4.0831818139227494</v>
      </c>
      <c r="AH60" s="184">
        <f>Freight!AH53</f>
        <v>4.2442991897309499</v>
      </c>
      <c r="AI60" s="184">
        <f>Freight!AI53</f>
        <v>4.4100933345565396</v>
      </c>
      <c r="AJ60" s="184">
        <f>Freight!AJ53</f>
        <v>4.5826173458610464</v>
      </c>
      <c r="AK60" s="184">
        <f>Freight!AK53</f>
        <v>4.7621504391743947</v>
      </c>
      <c r="AL60" s="184">
        <f>Freight!AL53</f>
        <v>4.9489835528476052</v>
      </c>
      <c r="AM60" s="184">
        <f>Freight!AM53</f>
        <v>5.1434198433389167</v>
      </c>
      <c r="AN60" s="184">
        <f>Freight!AN53</f>
        <v>5.3457752014944431</v>
      </c>
      <c r="AO60" s="184">
        <f>Freight!AO53</f>
        <v>5.5563787907148257</v>
      </c>
      <c r="AP60" s="184">
        <f>Freight!AP53</f>
        <v>5.7755736079371909</v>
      </c>
      <c r="AQ60" s="184">
        <f>Freight!AQ53</f>
        <v>6.0037170684012588</v>
      </c>
      <c r="AS60" s="7">
        <f>ROW()</f>
        <v>60</v>
      </c>
    </row>
    <row r="61" spans="2:45" ht="13.95" customHeight="1">
      <c r="B61" s="84" t="str">
        <f>CONCATENATE("Taken as diesel fuel price in Row ",Freight!AS53, " of 'Diesel' tab.")</f>
        <v>Taken as diesel fuel price in Row 53 of 'Diesel' tab.</v>
      </c>
      <c r="M61"/>
      <c r="N61"/>
      <c r="O61"/>
      <c r="P61"/>
      <c r="S61" s="26"/>
      <c r="T61" s="184"/>
      <c r="AS61" s="7">
        <f>ROW()</f>
        <v>61</v>
      </c>
    </row>
    <row r="62" spans="2:45" ht="13.95" customHeight="1">
      <c r="B62" s="14" t="s">
        <v>867</v>
      </c>
      <c r="K62" s="269"/>
      <c r="L62" s="269"/>
      <c r="M62" s="184">
        <f t="shared" ref="M62:AQ62" si="7">M60+M25</f>
        <v>2.3477999999999999</v>
      </c>
      <c r="N62" s="184">
        <f t="shared" si="7"/>
        <v>2.8378000000000001</v>
      </c>
      <c r="O62" s="184">
        <f t="shared" si="7"/>
        <v>3.6507999999999998</v>
      </c>
      <c r="P62" s="184">
        <f t="shared" si="7"/>
        <v>3.7458</v>
      </c>
      <c r="Q62" s="326">
        <f t="shared" si="7"/>
        <v>3.6757999999999997</v>
      </c>
      <c r="R62" s="326">
        <f t="shared" si="7"/>
        <v>3.464</v>
      </c>
      <c r="S62" s="339">
        <f t="shared" si="7"/>
        <v>2.3542000000000001</v>
      </c>
      <c r="T62" s="184">
        <f t="shared" si="7"/>
        <v>2.5644226764848281</v>
      </c>
      <c r="U62" s="184">
        <f t="shared" si="7"/>
        <v>2.7921777117463464</v>
      </c>
      <c r="V62" s="184">
        <f t="shared" si="7"/>
        <v>3.0274450700205704</v>
      </c>
      <c r="W62" s="184">
        <f t="shared" si="7"/>
        <v>3.270513752402826</v>
      </c>
      <c r="X62" s="184">
        <f t="shared" si="7"/>
        <v>3.5257293933535365</v>
      </c>
      <c r="Y62" s="184">
        <f t="shared" si="7"/>
        <v>3.7665430018429449</v>
      </c>
      <c r="Z62" s="184">
        <f t="shared" si="7"/>
        <v>4.0143105479408376</v>
      </c>
      <c r="AA62" s="184">
        <f t="shared" si="7"/>
        <v>4.2692507845569647</v>
      </c>
      <c r="AB62" s="184">
        <f t="shared" si="7"/>
        <v>4.5315904950765082</v>
      </c>
      <c r="AC62" s="184">
        <f t="shared" si="7"/>
        <v>4.8015648151650963</v>
      </c>
      <c r="AD62" s="184">
        <f t="shared" si="7"/>
        <v>5.0794175679236178</v>
      </c>
      <c r="AE62" s="184">
        <f t="shared" si="7"/>
        <v>5.3654016129532263</v>
      </c>
      <c r="AF62" s="184">
        <f t="shared" si="7"/>
        <v>5.6597792099145314</v>
      </c>
      <c r="AG62" s="184">
        <f t="shared" si="7"/>
        <v>5.9628223971895808</v>
      </c>
      <c r="AH62" s="184">
        <f t="shared" si="7"/>
        <v>6.2783150831460031</v>
      </c>
      <c r="AI62" s="184">
        <f t="shared" si="7"/>
        <v>6.6013808838774857</v>
      </c>
      <c r="AJ62" s="184">
        <f t="shared" si="7"/>
        <v>6.9341153543223424</v>
      </c>
      <c r="AK62" s="184">
        <f t="shared" si="7"/>
        <v>7.2768407266837309</v>
      </c>
      <c r="AL62" s="184">
        <f t="shared" si="7"/>
        <v>7.6298915221173589</v>
      </c>
      <c r="AM62" s="184">
        <f t="shared" si="7"/>
        <v>7.9936150530353558</v>
      </c>
      <c r="AN62" s="184">
        <f t="shared" si="7"/>
        <v>8.3683719464883897</v>
      </c>
      <c r="AO62" s="184">
        <f t="shared" si="7"/>
        <v>8.75453668951846</v>
      </c>
      <c r="AP62" s="184">
        <f t="shared" si="7"/>
        <v>9.1524981974126653</v>
      </c>
      <c r="AQ62" s="184">
        <f t="shared" si="7"/>
        <v>9.5626604058277795</v>
      </c>
      <c r="AS62" s="7">
        <f>ROW()</f>
        <v>62</v>
      </c>
    </row>
    <row r="63" spans="2:45" ht="13.95" customHeight="1">
      <c r="B63" s="291" t="str">
        <f>CONCATENATE("Sum of Rows ",AS25, " and ",AS60, ".")</f>
        <v>Sum of Rows 25 and 60.</v>
      </c>
      <c r="M63" s="184"/>
      <c r="N63" s="184"/>
      <c r="O63" s="184"/>
      <c r="P63" s="184"/>
      <c r="Q63" s="326"/>
      <c r="R63" s="326"/>
      <c r="S63" s="339"/>
      <c r="T63" s="184"/>
      <c r="U63" s="184"/>
      <c r="V63" s="184"/>
      <c r="W63" s="184"/>
      <c r="X63" s="184"/>
      <c r="Y63" s="184"/>
      <c r="Z63" s="184"/>
      <c r="AA63" s="184"/>
      <c r="AB63" s="184"/>
      <c r="AC63" s="184"/>
      <c r="AD63" s="184"/>
      <c r="AE63" s="184"/>
      <c r="AF63" s="184"/>
      <c r="AG63" s="184"/>
      <c r="AH63" s="184"/>
      <c r="AI63" s="184"/>
      <c r="AJ63" s="184"/>
      <c r="AK63" s="184"/>
      <c r="AL63" s="184"/>
      <c r="AM63" s="184"/>
      <c r="AN63" s="184"/>
      <c r="AO63" s="184"/>
      <c r="AP63" s="184"/>
      <c r="AQ63" s="184"/>
      <c r="AS63" s="7">
        <f>ROW()</f>
        <v>63</v>
      </c>
    </row>
    <row r="64" spans="2:45" ht="13.95" customHeight="1">
      <c r="B64" s="14" t="s">
        <v>868</v>
      </c>
      <c r="K64" s="15"/>
      <c r="L64" s="84" t="str">
        <f>CONCATENATE("Calculated as excess of Row ",AS62, " over Row ",AS60, ".")</f>
        <v>Calculated as excess of Row 62 over Row 60.</v>
      </c>
      <c r="S64" s="26"/>
      <c r="T64" s="206">
        <f t="shared" ref="T64:AP64" si="8">T62/T60-1</f>
        <v>4.8228198185888749E-2</v>
      </c>
      <c r="U64" s="206">
        <f t="shared" si="8"/>
        <v>9.3322493737411749E-2</v>
      </c>
      <c r="V64" s="206">
        <f t="shared" si="8"/>
        <v>0.13541508990257567</v>
      </c>
      <c r="W64" s="206">
        <f t="shared" si="8"/>
        <v>0.17463470887329247</v>
      </c>
      <c r="X64" s="206">
        <f t="shared" si="8"/>
        <v>0.2108134369324921</v>
      </c>
      <c r="Y64" s="206">
        <f t="shared" si="8"/>
        <v>0.24614656479387431</v>
      </c>
      <c r="Z64" s="206">
        <f t="shared" si="8"/>
        <v>0.27939971824509735</v>
      </c>
      <c r="AA64" s="206">
        <f t="shared" si="8"/>
        <v>0.31065247412875707</v>
      </c>
      <c r="AB64" s="206">
        <f t="shared" si="8"/>
        <v>0.33998214987080955</v>
      </c>
      <c r="AC64" s="206">
        <f t="shared" si="8"/>
        <v>0.36746384253612341</v>
      </c>
      <c r="AD64" s="206">
        <f t="shared" si="8"/>
        <v>0.39317046821916302</v>
      </c>
      <c r="AE64" s="206">
        <f t="shared" si="8"/>
        <v>0.41717280171750559</v>
      </c>
      <c r="AF64" s="206">
        <f t="shared" si="8"/>
        <v>0.43953951643711653</v>
      </c>
      <c r="AG64" s="206">
        <f t="shared" si="8"/>
        <v>0.46033722447961334</v>
      </c>
      <c r="AH64" s="206">
        <f t="shared" si="8"/>
        <v>0.47923480473203672</v>
      </c>
      <c r="AI64" s="206">
        <f t="shared" si="8"/>
        <v>0.49688008463460176</v>
      </c>
      <c r="AJ64" s="206">
        <f t="shared" si="8"/>
        <v>0.51313427043720661</v>
      </c>
      <c r="AK64" s="206">
        <f t="shared" si="8"/>
        <v>0.52805771670357049</v>
      </c>
      <c r="AL64" s="206">
        <f t="shared" si="8"/>
        <v>0.54170880558436707</v>
      </c>
      <c r="AM64" s="206">
        <f t="shared" si="8"/>
        <v>0.55414399300645045</v>
      </c>
      <c r="AN64" s="206">
        <f t="shared" si="8"/>
        <v>0.56541785448609239</v>
      </c>
      <c r="AO64" s="206">
        <f t="shared" si="8"/>
        <v>0.57558313053602905</v>
      </c>
      <c r="AP64" s="206">
        <f t="shared" si="8"/>
        <v>0.5846907716377594</v>
      </c>
      <c r="AQ64" s="206">
        <f t="shared" ref="AQ64" si="9">AQ62/AQ60-1</f>
        <v>0.59278998275217498</v>
      </c>
      <c r="AS64" s="7">
        <f>ROW()</f>
        <v>64</v>
      </c>
    </row>
    <row r="65" spans="1:45" ht="13.95" customHeight="1">
      <c r="B65" t="s">
        <v>104</v>
      </c>
      <c r="K65" s="19">
        <f>Parameters!$G$44</f>
        <v>21.041653177132002</v>
      </c>
      <c r="L65" s="6">
        <f t="shared" ref="L65:AQ65" si="10">$K$65*(1-$J$56)^(L23/$G$56)</f>
        <v>21.041653177132002</v>
      </c>
      <c r="M65" s="6">
        <f t="shared" si="10"/>
        <v>21.041653177132002</v>
      </c>
      <c r="N65" s="6">
        <f t="shared" si="10"/>
        <v>21.041653177132002</v>
      </c>
      <c r="O65" s="6">
        <f t="shared" si="10"/>
        <v>21.041653177132002</v>
      </c>
      <c r="P65" s="6">
        <f t="shared" si="10"/>
        <v>21.041653177132002</v>
      </c>
      <c r="Q65" s="6">
        <f t="shared" si="10"/>
        <v>21.041653177132002</v>
      </c>
      <c r="R65" s="6">
        <f t="shared" si="10"/>
        <v>21.041653177132002</v>
      </c>
      <c r="S65" s="811">
        <f t="shared" si="10"/>
        <v>21.041653177132002</v>
      </c>
      <c r="T65" s="6">
        <f t="shared" si="10"/>
        <v>20.812937874398401</v>
      </c>
      <c r="U65" s="6">
        <f t="shared" si="10"/>
        <v>20.58670862583859</v>
      </c>
      <c r="V65" s="6">
        <f t="shared" si="10"/>
        <v>20.362938408925963</v>
      </c>
      <c r="W65" s="6">
        <f t="shared" si="10"/>
        <v>20.141600494859176</v>
      </c>
      <c r="X65" s="6">
        <f t="shared" si="10"/>
        <v>19.922668445369474</v>
      </c>
      <c r="Y65" s="6">
        <f t="shared" si="10"/>
        <v>19.706116109562707</v>
      </c>
      <c r="Z65" s="6">
        <f t="shared" si="10"/>
        <v>19.491917620795654</v>
      </c>
      <c r="AA65" s="6">
        <f t="shared" si="10"/>
        <v>19.280047393586333</v>
      </c>
      <c r="AB65" s="6">
        <f t="shared" si="10"/>
        <v>19.070480120557868</v>
      </c>
      <c r="AC65" s="6">
        <f t="shared" si="10"/>
        <v>18.863190769415592</v>
      </c>
      <c r="AD65" s="6">
        <f t="shared" si="10"/>
        <v>18.658154579956992</v>
      </c>
      <c r="AE65" s="6">
        <f t="shared" si="10"/>
        <v>18.455347061114178</v>
      </c>
      <c r="AF65" s="6">
        <f t="shared" si="10"/>
        <v>18.254743988028466</v>
      </c>
      <c r="AG65" s="6">
        <f t="shared" si="10"/>
        <v>18.056321399156797</v>
      </c>
      <c r="AH65" s="6">
        <f t="shared" si="10"/>
        <v>17.860055593409577</v>
      </c>
      <c r="AI65" s="6">
        <f t="shared" si="10"/>
        <v>17.665923127319648</v>
      </c>
      <c r="AJ65" s="6">
        <f t="shared" si="10"/>
        <v>17.473900812242018</v>
      </c>
      <c r="AK65" s="6">
        <f t="shared" si="10"/>
        <v>17.283965711584035</v>
      </c>
      <c r="AL65" s="6">
        <f t="shared" si="10"/>
        <v>17.096095138065682</v>
      </c>
      <c r="AM65" s="6">
        <f t="shared" si="10"/>
        <v>16.910266651009604</v>
      </c>
      <c r="AN65" s="6">
        <f t="shared" si="10"/>
        <v>16.726458053660657</v>
      </c>
      <c r="AO65" s="6">
        <f t="shared" si="10"/>
        <v>16.544647390534553</v>
      </c>
      <c r="AP65" s="6">
        <f t="shared" si="10"/>
        <v>16.364812944795315</v>
      </c>
      <c r="AQ65" s="6">
        <f t="shared" si="10"/>
        <v>16.186933235661275</v>
      </c>
      <c r="AS65" s="7">
        <f>ROW()</f>
        <v>65</v>
      </c>
    </row>
    <row r="66" spans="1:45" ht="13.95" customHeight="1">
      <c r="B66" s="84" t="str">
        <f>CONCATENATE("Figures reduce baseline emission factor by percentage calculated from Row ",AS19, " and Cell J",AS56, " normalized by Cell G",AS56, ".")</f>
        <v>Figures reduce baseline emission factor by percentage calculated from Row 19 and Cell J56 normalized by Cell G56.</v>
      </c>
      <c r="K66" s="19"/>
      <c r="L66" s="19"/>
      <c r="M66" s="19"/>
      <c r="N66" s="19"/>
      <c r="O66" s="19"/>
      <c r="P66" s="19"/>
      <c r="S66" s="26"/>
      <c r="T66" s="293"/>
      <c r="U66" s="293"/>
      <c r="V66" s="293"/>
      <c r="W66" s="293"/>
      <c r="X66" s="293"/>
      <c r="Y66" s="293"/>
      <c r="Z66" s="293"/>
      <c r="AA66" s="293"/>
      <c r="AB66" s="293"/>
      <c r="AC66" s="293"/>
      <c r="AD66" s="293"/>
      <c r="AE66" s="293"/>
      <c r="AF66" s="293"/>
      <c r="AG66" s="293"/>
      <c r="AH66" s="293"/>
      <c r="AI66" s="293"/>
      <c r="AJ66" s="293"/>
      <c r="AK66" s="293"/>
      <c r="AL66" s="293"/>
      <c r="AM66" s="293"/>
      <c r="AN66" s="293"/>
      <c r="AO66" s="293"/>
      <c r="AP66" s="293"/>
      <c r="AQ66" s="293"/>
      <c r="AS66" s="7">
        <f>ROW()</f>
        <v>66</v>
      </c>
    </row>
    <row r="67" spans="1:45" ht="13.95" customHeight="1">
      <c r="S67" s="26"/>
      <c r="AS67" s="7">
        <f>ROW()</f>
        <v>67</v>
      </c>
    </row>
    <row r="68" spans="1:45" s="8" customFormat="1" ht="13.95" customHeight="1">
      <c r="I68" s="23"/>
      <c r="J68" s="23"/>
      <c r="K68" s="13"/>
      <c r="L68" s="13"/>
      <c r="M68" s="13"/>
      <c r="N68" s="13"/>
      <c r="O68" s="13"/>
      <c r="P68" s="13"/>
      <c r="Q68" s="155"/>
      <c r="R68" s="155"/>
      <c r="S68" s="251"/>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S68" s="7">
        <f>ROW()</f>
        <v>68</v>
      </c>
    </row>
    <row r="69" spans="1:45" s="8" customFormat="1" ht="13.95" customHeight="1">
      <c r="I69" s="23"/>
      <c r="J69" s="23"/>
      <c r="K69" s="13">
        <f t="shared" ref="K69:AP69" si="11">K14</f>
        <v>2007</v>
      </c>
      <c r="L69" s="13">
        <f t="shared" si="11"/>
        <v>2008</v>
      </c>
      <c r="M69" s="13">
        <f t="shared" si="11"/>
        <v>2009</v>
      </c>
      <c r="N69" s="13">
        <f t="shared" si="11"/>
        <v>2010</v>
      </c>
      <c r="O69" s="13">
        <f t="shared" si="11"/>
        <v>2011</v>
      </c>
      <c r="P69" s="13">
        <f t="shared" si="11"/>
        <v>2012</v>
      </c>
      <c r="Q69" s="155">
        <f t="shared" si="11"/>
        <v>2013</v>
      </c>
      <c r="R69" s="155">
        <f t="shared" si="11"/>
        <v>2014</v>
      </c>
      <c r="S69" s="338">
        <f t="shared" si="11"/>
        <v>2015</v>
      </c>
      <c r="T69" s="12">
        <f t="shared" si="11"/>
        <v>2017</v>
      </c>
      <c r="U69" s="13">
        <f t="shared" si="11"/>
        <v>2018</v>
      </c>
      <c r="V69" s="13">
        <f t="shared" si="11"/>
        <v>2019</v>
      </c>
      <c r="W69" s="13">
        <f t="shared" si="11"/>
        <v>2020</v>
      </c>
      <c r="X69" s="13">
        <f t="shared" si="11"/>
        <v>2021</v>
      </c>
      <c r="Y69" s="13">
        <f t="shared" si="11"/>
        <v>2022</v>
      </c>
      <c r="Z69" s="13">
        <f t="shared" si="11"/>
        <v>2023</v>
      </c>
      <c r="AA69" s="13">
        <f t="shared" si="11"/>
        <v>2024</v>
      </c>
      <c r="AB69" s="13">
        <f t="shared" si="11"/>
        <v>2025</v>
      </c>
      <c r="AC69" s="13">
        <f t="shared" si="11"/>
        <v>2026</v>
      </c>
      <c r="AD69" s="13">
        <f t="shared" si="11"/>
        <v>2027</v>
      </c>
      <c r="AE69" s="13">
        <f t="shared" si="11"/>
        <v>2028</v>
      </c>
      <c r="AF69" s="13">
        <f t="shared" si="11"/>
        <v>2029</v>
      </c>
      <c r="AG69" s="13">
        <f t="shared" si="11"/>
        <v>2030</v>
      </c>
      <c r="AH69" s="13">
        <f t="shared" si="11"/>
        <v>2031</v>
      </c>
      <c r="AI69" s="13">
        <f t="shared" si="11"/>
        <v>2032</v>
      </c>
      <c r="AJ69" s="13">
        <f t="shared" si="11"/>
        <v>2033</v>
      </c>
      <c r="AK69" s="13">
        <f t="shared" si="11"/>
        <v>2034</v>
      </c>
      <c r="AL69" s="13">
        <f t="shared" si="11"/>
        <v>2035</v>
      </c>
      <c r="AM69" s="13">
        <f t="shared" si="11"/>
        <v>2036</v>
      </c>
      <c r="AN69" s="13">
        <f t="shared" si="11"/>
        <v>2037</v>
      </c>
      <c r="AO69" s="13">
        <f t="shared" si="11"/>
        <v>2038</v>
      </c>
      <c r="AP69" s="13">
        <f t="shared" si="11"/>
        <v>2039</v>
      </c>
      <c r="AQ69" s="13">
        <f t="shared" ref="AQ69" si="12">AQ14</f>
        <v>2040</v>
      </c>
      <c r="AS69" s="7">
        <f>ROW()</f>
        <v>69</v>
      </c>
    </row>
    <row r="70" spans="1:45" s="8" customFormat="1" ht="13.95" customHeight="1">
      <c r="I70" s="23"/>
      <c r="J70" s="23"/>
      <c r="K70" s="13"/>
      <c r="L70" s="13"/>
      <c r="M70" s="13"/>
      <c r="N70" s="13"/>
      <c r="O70" s="13"/>
      <c r="P70" s="13"/>
      <c r="Q70" s="155"/>
      <c r="R70" s="155"/>
      <c r="S70" s="251"/>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S70" s="7">
        <f>ROW()</f>
        <v>70</v>
      </c>
    </row>
    <row r="71" spans="1:45" s="8" customFormat="1" ht="13.95" customHeight="1">
      <c r="B71" s="8" t="s">
        <v>484</v>
      </c>
      <c r="J71" s="84" t="str">
        <f>CONCATENATE("Row ",AS48," (sales w/o c-tax), x (one + Row ",AS64,") raised to 'other fuel' price-elasticity in 'Parameters' tab, Row ",Parameters!B13, ".")</f>
        <v>Row 48 (sales w/o c-tax), x (one + Row 64) raised to 'other fuel' price-elasticity in 'Parameters' tab, Row 13.</v>
      </c>
      <c r="M71" s="107"/>
      <c r="N71"/>
      <c r="O71"/>
      <c r="P71"/>
      <c r="Q71" s="268"/>
      <c r="R71" s="268"/>
      <c r="S71" s="245"/>
      <c r="T71" s="107">
        <f>T48*(1+T64)^Parameters!$H$13</f>
        <v>29175.516166141031</v>
      </c>
      <c r="U71" s="107">
        <f>U48*(1+U64)^Parameters!$H$13</f>
        <v>28518.048443783009</v>
      </c>
      <c r="V71" s="107">
        <f>V48*(1+V64)^Parameters!$H$13</f>
        <v>27915.223717845423</v>
      </c>
      <c r="W71" s="107">
        <f>W48*(1+W64)^Parameters!$H$13</f>
        <v>27319.33208413289</v>
      </c>
      <c r="X71" s="107">
        <f>X48*(1+X64)^Parameters!$H$13</f>
        <v>27170.109401268557</v>
      </c>
      <c r="Y71" s="107">
        <f>Y48*(1+Y64)^Parameters!$H$13</f>
        <v>26884.871172352341</v>
      </c>
      <c r="Z71" s="107">
        <f>Z48*(1+Z64)^Parameters!$H$13</f>
        <v>26528.229446370606</v>
      </c>
      <c r="AA71" s="107">
        <f>AA48*(1+AA64)^Parameters!$H$13</f>
        <v>26206.070077862012</v>
      </c>
      <c r="AB71" s="107">
        <f>AB48*(1+AB64)^Parameters!$H$13</f>
        <v>25943.296931059784</v>
      </c>
      <c r="AC71" s="107">
        <f>AC48*(1+AC64)^Parameters!$H$13</f>
        <v>25736.678023922592</v>
      </c>
      <c r="AD71" s="107">
        <f>AD48*(1+AD64)^Parameters!$H$13</f>
        <v>25695.001549440836</v>
      </c>
      <c r="AE71" s="107">
        <f>AE48*(1+AE64)^Parameters!$H$13</f>
        <v>25670.248132385346</v>
      </c>
      <c r="AF71" s="107">
        <f>AF48*(1+AF64)^Parameters!$H$13</f>
        <v>25660.898979684302</v>
      </c>
      <c r="AG71" s="107">
        <f>AG48*(1+AG64)^Parameters!$H$13</f>
        <v>25665.628546346012</v>
      </c>
      <c r="AH71" s="107">
        <f>AH48*(1+AH64)^Parameters!$H$13</f>
        <v>25682.685047864637</v>
      </c>
      <c r="AI71" s="107">
        <f>AI48*(1+AI64)^Parameters!$H$13</f>
        <v>25712.987310389388</v>
      </c>
      <c r="AJ71" s="107">
        <f>AJ48*(1+AJ64)^Parameters!$H$13</f>
        <v>25755.822536664495</v>
      </c>
      <c r="AK71" s="107">
        <f>AK48*(1+AK64)^Parameters!$H$13</f>
        <v>25810.324293920999</v>
      </c>
      <c r="AL71" s="107">
        <f>AL48*(1+AL64)^Parameters!$H$13</f>
        <v>25875.718541018308</v>
      </c>
      <c r="AM71" s="107">
        <f>AM48*(1+AM64)^Parameters!$H$13</f>
        <v>25951.311005107749</v>
      </c>
      <c r="AN71" s="107">
        <f>AN48*(1+AN64)^Parameters!$H$13</f>
        <v>26036.476570076124</v>
      </c>
      <c r="AO71" s="107">
        <f>AO48*(1+AO64)^Parameters!$H$13</f>
        <v>26130.650309455315</v>
      </c>
      <c r="AP71" s="107">
        <f>AP48*(1+AP64)^Parameters!$H$13</f>
        <v>26233.319871687101</v>
      </c>
      <c r="AQ71" s="107">
        <f>AQ48*(1+AQ64)^Parameters!$H$13</f>
        <v>27082.40545572772</v>
      </c>
      <c r="AS71" s="7">
        <f>ROW()</f>
        <v>71</v>
      </c>
    </row>
    <row r="72" spans="1:45" s="79" customFormat="1" ht="13.95" customHeight="1">
      <c r="A72" s="8"/>
      <c r="B72" s="8" t="s">
        <v>482</v>
      </c>
      <c r="C72" s="8"/>
      <c r="D72" s="8"/>
      <c r="E72" s="8"/>
      <c r="F72" s="8"/>
      <c r="G72" s="8"/>
      <c r="H72" s="8"/>
      <c r="I72" s="23"/>
      <c r="J72" s="84" t="str">
        <f>CONCATENATE("Product of Rows ",AS71, " and ",AS65, ", with appropriate conversion factor.")</f>
        <v>Product of Rows 71 and 65, with appropriate conversion factor.</v>
      </c>
      <c r="M72" s="168"/>
      <c r="N72"/>
      <c r="O72"/>
      <c r="P72"/>
      <c r="Q72" s="268"/>
      <c r="R72" s="268"/>
      <c r="S72" s="245"/>
      <c r="T72" s="107">
        <f>T71*T65/Parameters!$I$18</f>
        <v>275.38694123328776</v>
      </c>
      <c r="U72" s="107">
        <f>U71*U65/Parameters!$I$18</f>
        <v>266.25521718354213</v>
      </c>
      <c r="V72" s="107">
        <f>V71*V65/Parameters!$I$18</f>
        <v>257.79409579949009</v>
      </c>
      <c r="W72" s="107">
        <f>W71*W65/Parameters!$I$18</f>
        <v>249.54878577097196</v>
      </c>
      <c r="X72" s="107">
        <f>X71*X65/Parameters!$I$18</f>
        <v>245.48801869654858</v>
      </c>
      <c r="Y72" s="107">
        <f>Y71*Y65/Parameters!$I$18</f>
        <v>240.27047297642196</v>
      </c>
      <c r="Z72" s="107">
        <f>Z71*Z65/Parameters!$I$18</f>
        <v>234.50615101778746</v>
      </c>
      <c r="AA72" s="107">
        <f>AA71*AA65/Parameters!$I$18</f>
        <v>229.14025990967087</v>
      </c>
      <c r="AB72" s="107">
        <f>AB71*AB65/Parameters!$I$18</f>
        <v>224.37692897301838</v>
      </c>
      <c r="AC72" s="107">
        <f>AC71*AC65/Parameters!$I$18</f>
        <v>220.17046137699671</v>
      </c>
      <c r="AD72" s="107">
        <f>AD71*AD65/Parameters!$I$18</f>
        <v>217.4246307672116</v>
      </c>
      <c r="AE72" s="107">
        <f>AE71*AE65/Parameters!$I$18</f>
        <v>214.85412173609507</v>
      </c>
      <c r="AF72" s="107">
        <f>AF71*AF65/Parameters!$I$18</f>
        <v>212.44133395773144</v>
      </c>
      <c r="AG72" s="107">
        <f>AG71*AG65/Parameters!$I$18</f>
        <v>210.17090156199413</v>
      </c>
      <c r="AH72" s="107">
        <f>AH71*AH65/Parameters!$I$18</f>
        <v>208.02457267251307</v>
      </c>
      <c r="AI72" s="107">
        <f>AI71*AI65/Parameters!$I$18</f>
        <v>206.0061937410814</v>
      </c>
      <c r="AJ72" s="107">
        <f>AJ71*AJ65/Parameters!$I$18</f>
        <v>204.10643462284941</v>
      </c>
      <c r="AK72" s="107">
        <f>AK71*AK65/Parameters!$I$18</f>
        <v>202.31508394602946</v>
      </c>
      <c r="AL72" s="107">
        <f>AL71*AL65/Parameters!$I$18</f>
        <v>200.62301403313339</v>
      </c>
      <c r="AM72" s="107">
        <f>AM71*AM65/Parameters!$I$18</f>
        <v>199.0220358456472</v>
      </c>
      <c r="AN72" s="107">
        <f>AN71*AN65/Parameters!$I$18</f>
        <v>197.50477696802577</v>
      </c>
      <c r="AO72" s="107">
        <f>AO71*AO65/Parameters!$I$18</f>
        <v>196.06457843777815</v>
      </c>
      <c r="AP72" s="107">
        <f>AP71*AP65/Parameters!$I$18</f>
        <v>194.69540708441781</v>
      </c>
      <c r="AQ72" s="107">
        <f>AQ71*AQ65/Parameters!$I$18</f>
        <v>198.81228524851397</v>
      </c>
      <c r="AS72" s="7">
        <f>ROW()</f>
        <v>72</v>
      </c>
    </row>
    <row r="73" spans="1:45" s="8" customFormat="1" ht="13.95" customHeight="1">
      <c r="B73" s="8" t="s">
        <v>355</v>
      </c>
      <c r="I73" s="23"/>
      <c r="J73" s="84" t="str">
        <f>CONCATENATE("Row ",AS46, " less Row ",AS72, ".")</f>
        <v>Row 46 less Row 72.</v>
      </c>
      <c r="M73" s="129"/>
      <c r="N73"/>
      <c r="O73"/>
      <c r="P73"/>
      <c r="Q73" s="268"/>
      <c r="R73" s="268"/>
      <c r="S73" s="245"/>
      <c r="T73" s="107">
        <f t="shared" ref="T73:AQ73" si="13">T72-T46</f>
        <v>-10.068752143839674</v>
      </c>
      <c r="U73" s="107">
        <f t="shared" si="13"/>
        <v>-18.706281382232476</v>
      </c>
      <c r="V73" s="107">
        <f t="shared" si="13"/>
        <v>-26.462588273867482</v>
      </c>
      <c r="W73" s="107">
        <f t="shared" si="13"/>
        <v>-33.403843598676019</v>
      </c>
      <c r="X73" s="107">
        <f t="shared" si="13"/>
        <v>-40.219878643780703</v>
      </c>
      <c r="Y73" s="107">
        <f t="shared" si="13"/>
        <v>-46.533236428105283</v>
      </c>
      <c r="Z73" s="107">
        <f t="shared" si="13"/>
        <v>-52.243984942512412</v>
      </c>
      <c r="AA73" s="107">
        <f t="shared" si="13"/>
        <v>-57.566488817236745</v>
      </c>
      <c r="AB73" s="107">
        <f t="shared" si="13"/>
        <v>-62.613170545727996</v>
      </c>
      <c r="AC73" s="107">
        <f t="shared" si="13"/>
        <v>-67.438661270597123</v>
      </c>
      <c r="AD73" s="107">
        <f t="shared" si="13"/>
        <v>-72.405157878327401</v>
      </c>
      <c r="AE73" s="107">
        <f t="shared" si="13"/>
        <v>-77.180077278789497</v>
      </c>
      <c r="AF73" s="107">
        <f t="shared" si="13"/>
        <v>-81.78118170706324</v>
      </c>
      <c r="AG73" s="107">
        <f t="shared" si="13"/>
        <v>-86.223996897327311</v>
      </c>
      <c r="AH73" s="107">
        <f t="shared" si="13"/>
        <v>-90.48016357507251</v>
      </c>
      <c r="AI73" s="107">
        <f t="shared" si="13"/>
        <v>-94.627935944083674</v>
      </c>
      <c r="AJ73" s="107">
        <f t="shared" si="13"/>
        <v>-98.659075005453587</v>
      </c>
      <c r="AK73" s="107">
        <f t="shared" si="13"/>
        <v>-102.58362291699086</v>
      </c>
      <c r="AL73" s="107">
        <f t="shared" si="13"/>
        <v>-106.41053800902219</v>
      </c>
      <c r="AM73" s="107">
        <f t="shared" si="13"/>
        <v>-110.14783989166401</v>
      </c>
      <c r="AN73" s="107">
        <f t="shared" si="13"/>
        <v>-113.8027315223666</v>
      </c>
      <c r="AO73" s="107">
        <f t="shared" si="13"/>
        <v>-117.38170242694969</v>
      </c>
      <c r="AP73" s="107">
        <f t="shared" si="13"/>
        <v>-120.8906164113356</v>
      </c>
      <c r="AQ73" s="107">
        <f t="shared" si="13"/>
        <v>-127.81971879933789</v>
      </c>
      <c r="AS73" s="7">
        <f>ROW()</f>
        <v>73</v>
      </c>
    </row>
    <row r="74" spans="1:45" s="8" customFormat="1" ht="13.95" customHeight="1">
      <c r="B74" s="8" t="s">
        <v>356</v>
      </c>
      <c r="I74" s="23"/>
      <c r="J74" s="84" t="str">
        <f>CONCATENATE("Row ",AS72, " less Cell I",AS46, ".")</f>
        <v>Row 72 less Cell I46.</v>
      </c>
      <c r="M74" s="129"/>
      <c r="N74"/>
      <c r="O74"/>
      <c r="P74"/>
      <c r="Q74" s="268"/>
      <c r="R74" s="268"/>
      <c r="S74" s="245"/>
      <c r="T74" s="107">
        <f t="shared" ref="T74:AP74" si="14">T72-$I$46</f>
        <v>-6.924414461269464</v>
      </c>
      <c r="U74" s="107">
        <f t="shared" si="14"/>
        <v>-16.056138511015092</v>
      </c>
      <c r="V74" s="107">
        <f t="shared" si="14"/>
        <v>-24.517259895067127</v>
      </c>
      <c r="W74" s="107">
        <f t="shared" si="14"/>
        <v>-32.762569923585261</v>
      </c>
      <c r="X74" s="107">
        <f t="shared" si="14"/>
        <v>-36.823336998008642</v>
      </c>
      <c r="Y74" s="107">
        <f t="shared" si="14"/>
        <v>-42.040882718135265</v>
      </c>
      <c r="Z74" s="107">
        <f t="shared" si="14"/>
        <v>-47.805204676769762</v>
      </c>
      <c r="AA74" s="107">
        <f t="shared" si="14"/>
        <v>-53.171095784886347</v>
      </c>
      <c r="AB74" s="107">
        <f t="shared" si="14"/>
        <v>-57.934426721538841</v>
      </c>
      <c r="AC74" s="107">
        <f t="shared" si="14"/>
        <v>-62.140894317560509</v>
      </c>
      <c r="AD74" s="107">
        <f t="shared" si="14"/>
        <v>-64.886724927345625</v>
      </c>
      <c r="AE74" s="107">
        <f t="shared" si="14"/>
        <v>-67.457233958462155</v>
      </c>
      <c r="AF74" s="107">
        <f t="shared" si="14"/>
        <v>-69.870021736825777</v>
      </c>
      <c r="AG74" s="107">
        <f t="shared" si="14"/>
        <v>-72.140454132563093</v>
      </c>
      <c r="AH74" s="107">
        <f t="shared" si="14"/>
        <v>-74.286783022044148</v>
      </c>
      <c r="AI74" s="107">
        <f t="shared" si="14"/>
        <v>-76.305161953475817</v>
      </c>
      <c r="AJ74" s="107">
        <f t="shared" si="14"/>
        <v>-78.204921071707815</v>
      </c>
      <c r="AK74" s="107">
        <f t="shared" si="14"/>
        <v>-79.996271748527761</v>
      </c>
      <c r="AL74" s="107">
        <f t="shared" si="14"/>
        <v>-81.688341661423834</v>
      </c>
      <c r="AM74" s="107">
        <f t="shared" si="14"/>
        <v>-83.289319848910026</v>
      </c>
      <c r="AN74" s="107">
        <f t="shared" si="14"/>
        <v>-84.806578726531455</v>
      </c>
      <c r="AO74" s="107">
        <f t="shared" si="14"/>
        <v>-86.246777256779069</v>
      </c>
      <c r="AP74" s="107">
        <f t="shared" si="14"/>
        <v>-87.615948610139412</v>
      </c>
      <c r="AQ74" s="107">
        <f t="shared" ref="AQ74" si="15">AQ72-$I$46</f>
        <v>-83.499070446043248</v>
      </c>
      <c r="AS74" s="7">
        <f>ROW()</f>
        <v>74</v>
      </c>
    </row>
    <row r="75" spans="1:45" s="8" customFormat="1" ht="13.95" customHeight="1">
      <c r="B75" s="8" t="s">
        <v>311</v>
      </c>
      <c r="I75" s="23"/>
      <c r="J75" s="84" t="str">
        <f>CONCATENATE("Product of Rows ",AS20, " and ",AS72, ", with appropriate conversion factor.")</f>
        <v>Product of Rows 20 and 72, with appropriate conversion factor.</v>
      </c>
      <c r="M75" s="129"/>
      <c r="N75"/>
      <c r="O75"/>
      <c r="P75"/>
      <c r="Q75" s="268"/>
      <c r="R75" s="268"/>
      <c r="S75" s="245"/>
      <c r="T75" s="785">
        <f t="shared" ref="T75:AQ75" si="16">ROUND(T72*T20,-2)/1000</f>
        <v>3.4</v>
      </c>
      <c r="U75" s="785">
        <f t="shared" si="16"/>
        <v>6.8</v>
      </c>
      <c r="V75" s="785">
        <f t="shared" si="16"/>
        <v>10.1</v>
      </c>
      <c r="W75" s="785">
        <f t="shared" si="16"/>
        <v>13.3</v>
      </c>
      <c r="X75" s="785">
        <f t="shared" si="16"/>
        <v>16.7</v>
      </c>
      <c r="Y75" s="785">
        <f t="shared" si="16"/>
        <v>20</v>
      </c>
      <c r="Z75" s="785">
        <f t="shared" si="16"/>
        <v>23.3</v>
      </c>
      <c r="AA75" s="785">
        <f t="shared" si="16"/>
        <v>26.5</v>
      </c>
      <c r="AB75" s="785">
        <f t="shared" si="16"/>
        <v>29.8</v>
      </c>
      <c r="AC75" s="785">
        <f t="shared" si="16"/>
        <v>33.200000000000003</v>
      </c>
      <c r="AD75" s="785">
        <f t="shared" si="16"/>
        <v>36.799999999999997</v>
      </c>
      <c r="AE75" s="785">
        <f t="shared" si="16"/>
        <v>40.5</v>
      </c>
      <c r="AF75" s="785">
        <f t="shared" si="16"/>
        <v>44.3</v>
      </c>
      <c r="AG75" s="785">
        <f t="shared" si="16"/>
        <v>48.2</v>
      </c>
      <c r="AH75" s="785">
        <f t="shared" si="16"/>
        <v>52.2</v>
      </c>
      <c r="AI75" s="785">
        <f t="shared" si="16"/>
        <v>56.3</v>
      </c>
      <c r="AJ75" s="785">
        <f t="shared" si="16"/>
        <v>60.6</v>
      </c>
      <c r="AK75" s="785">
        <f t="shared" si="16"/>
        <v>64.900000000000006</v>
      </c>
      <c r="AL75" s="785">
        <f t="shared" si="16"/>
        <v>69.400000000000006</v>
      </c>
      <c r="AM75" s="785">
        <f t="shared" si="16"/>
        <v>74</v>
      </c>
      <c r="AN75" s="785">
        <f t="shared" si="16"/>
        <v>78.7</v>
      </c>
      <c r="AO75" s="785">
        <f t="shared" si="16"/>
        <v>83.6</v>
      </c>
      <c r="AP75" s="785">
        <f t="shared" si="16"/>
        <v>88.6</v>
      </c>
      <c r="AQ75" s="785">
        <f t="shared" si="16"/>
        <v>96.4</v>
      </c>
      <c r="AS75" s="7">
        <f>ROW()</f>
        <v>75</v>
      </c>
    </row>
    <row r="76" spans="1:45" s="8" customFormat="1" ht="13.95" customHeight="1">
      <c r="I76" s="23"/>
      <c r="J76" s="23"/>
      <c r="K76" s="13"/>
      <c r="L76" s="13"/>
      <c r="M76" s="13"/>
      <c r="N76" s="13"/>
      <c r="O76" s="13"/>
      <c r="P76" s="13"/>
      <c r="Q76" s="67"/>
      <c r="R76" s="67"/>
      <c r="S76" s="26"/>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S76" s="7">
        <f>ROW()</f>
        <v>76</v>
      </c>
    </row>
    <row r="77" spans="1:45" ht="13.95" customHeight="1">
      <c r="B77" s="53" t="s">
        <v>102</v>
      </c>
      <c r="H77" s="54">
        <f>-Parameters!H13</f>
        <v>0.5</v>
      </c>
      <c r="I77" s="54"/>
      <c r="J77" s="54"/>
      <c r="S77" s="26"/>
      <c r="AS77" s="7">
        <f>ROW()</f>
        <v>77</v>
      </c>
    </row>
    <row r="78" spans="1:45" ht="13.95" customHeight="1">
      <c r="B78" s="191" t="s">
        <v>749</v>
      </c>
      <c r="C78" s="100"/>
      <c r="D78" s="100"/>
      <c r="E78" s="100"/>
      <c r="F78" s="100"/>
      <c r="G78" s="100"/>
      <c r="H78" s="100"/>
      <c r="I78" s="100"/>
      <c r="J78" s="100"/>
      <c r="K78" s="100"/>
      <c r="L78" s="100"/>
      <c r="M78" s="100"/>
      <c r="N78" s="125"/>
      <c r="O78" s="125"/>
      <c r="P78" s="519"/>
      <c r="Q78" s="734"/>
      <c r="R78" s="778"/>
      <c r="S78" s="341"/>
      <c r="AS78" s="7">
        <f>ROW()</f>
        <v>78</v>
      </c>
    </row>
    <row r="79" spans="1:45" ht="13.95" customHeight="1">
      <c r="B79" s="100"/>
      <c r="C79" s="67"/>
      <c r="D79" s="67"/>
      <c r="E79" s="67"/>
      <c r="F79" s="67"/>
      <c r="G79" s="67"/>
      <c r="H79" s="121"/>
      <c r="I79" s="121"/>
      <c r="J79" s="121"/>
      <c r="K79" s="67"/>
      <c r="L79" s="67"/>
      <c r="S79" s="26"/>
      <c r="AS79" s="7">
        <f>ROW()</f>
        <v>79</v>
      </c>
    </row>
    <row r="80" spans="1:45" ht="13.95" customHeight="1">
      <c r="B80" s="105" t="s">
        <v>105</v>
      </c>
      <c r="C80" s="67"/>
      <c r="D80" s="67" t="s">
        <v>82</v>
      </c>
      <c r="E80" s="67"/>
      <c r="F80" s="67"/>
      <c r="G80" s="67"/>
      <c r="H80" s="67"/>
      <c r="I80" s="67"/>
      <c r="J80" s="67"/>
      <c r="K80" s="67"/>
      <c r="L80" s="67"/>
      <c r="S80" s="26"/>
      <c r="AS80" s="7">
        <f>ROW()</f>
        <v>80</v>
      </c>
    </row>
    <row r="81" spans="1:45" ht="13.95" customHeight="1">
      <c r="B81" s="67"/>
      <c r="C81" s="67"/>
      <c r="D81" s="67"/>
      <c r="E81" s="67"/>
      <c r="F81" s="67"/>
      <c r="G81" s="67"/>
      <c r="H81" s="67"/>
      <c r="I81" s="67"/>
      <c r="J81" s="67"/>
      <c r="K81" s="67"/>
      <c r="L81" s="67"/>
      <c r="S81" s="26"/>
      <c r="AS81" s="7">
        <f>ROW()</f>
        <v>81</v>
      </c>
    </row>
    <row r="82" spans="1:45" ht="13.95" customHeight="1">
      <c r="B82" s="1155" t="s">
        <v>486</v>
      </c>
      <c r="C82" s="1155"/>
      <c r="D82" s="1155"/>
      <c r="E82" s="1155"/>
      <c r="F82" s="1155"/>
      <c r="G82" s="1155"/>
      <c r="H82" s="1155"/>
      <c r="I82" s="125"/>
      <c r="J82" s="125"/>
      <c r="K82" s="67"/>
      <c r="L82" s="67"/>
      <c r="S82" s="26"/>
      <c r="AS82" s="7">
        <f>ROW()</f>
        <v>82</v>
      </c>
    </row>
    <row r="83" spans="1:45" ht="13.95" customHeight="1">
      <c r="B83" s="1155"/>
      <c r="C83" s="1155"/>
      <c r="D83" s="1155"/>
      <c r="E83" s="1155"/>
      <c r="F83" s="1155"/>
      <c r="G83" s="1155"/>
      <c r="H83" s="1155"/>
      <c r="I83" s="125"/>
      <c r="J83" s="125"/>
      <c r="K83" s="67"/>
      <c r="L83" s="67"/>
      <c r="S83" s="26"/>
      <c r="AS83" s="7">
        <f>ROW()</f>
        <v>83</v>
      </c>
    </row>
    <row r="84" spans="1:45" ht="13.95" customHeight="1">
      <c r="B84" s="67"/>
      <c r="C84" s="67"/>
      <c r="D84" s="67"/>
      <c r="E84" s="67"/>
      <c r="F84" s="67"/>
      <c r="G84" s="67"/>
      <c r="H84" s="67"/>
      <c r="I84" s="67"/>
      <c r="J84" s="67"/>
      <c r="K84" s="67"/>
      <c r="L84" s="67"/>
      <c r="S84" s="26"/>
      <c r="AS84" s="7">
        <f>ROW()</f>
        <v>84</v>
      </c>
    </row>
    <row r="85" spans="1:45" ht="13.95" customHeight="1">
      <c r="B85" s="155" t="s">
        <v>106</v>
      </c>
      <c r="C85" s="67"/>
      <c r="D85" s="67"/>
      <c r="E85" s="67"/>
      <c r="F85" s="178"/>
      <c r="G85" s="178">
        <f>HLOOKUP(10,T16:AP31,16)</f>
        <v>2026</v>
      </c>
      <c r="H85" s="67"/>
      <c r="I85" s="67"/>
      <c r="J85" s="67"/>
      <c r="K85" s="67"/>
      <c r="L85" s="67"/>
      <c r="S85" s="26"/>
      <c r="AS85" s="7">
        <f>ROW()</f>
        <v>85</v>
      </c>
    </row>
    <row r="86" spans="1:45" ht="13.95" customHeight="1">
      <c r="B86" s="67"/>
      <c r="C86" s="67"/>
      <c r="D86" s="67"/>
      <c r="E86" s="67"/>
      <c r="F86" s="67"/>
      <c r="G86" s="67"/>
      <c r="H86" s="67"/>
      <c r="I86" s="67"/>
      <c r="J86" s="67"/>
      <c r="K86" s="67"/>
      <c r="L86" s="67"/>
      <c r="S86" s="26"/>
      <c r="AS86" s="7">
        <f>ROW()</f>
        <v>86</v>
      </c>
    </row>
    <row r="87" spans="1:45" ht="13.95" customHeight="1">
      <c r="B87" s="349" t="s">
        <v>430</v>
      </c>
      <c r="C87" s="67"/>
      <c r="D87" s="67"/>
      <c r="E87" s="67"/>
      <c r="F87" s="67"/>
      <c r="G87" s="179">
        <f>HLOOKUP($G$85,T31:AP48,18)</f>
        <v>30096.113449606288</v>
      </c>
      <c r="H87" s="67"/>
      <c r="I87" s="67"/>
      <c r="J87" s="67"/>
      <c r="K87" s="67"/>
      <c r="L87" s="67"/>
      <c r="S87" s="26"/>
      <c r="AS87" s="7">
        <f>ROW()</f>
        <v>87</v>
      </c>
    </row>
    <row r="88" spans="1:45" ht="13.95" customHeight="1">
      <c r="A88" s="13"/>
      <c r="B88" s="349" t="s">
        <v>431</v>
      </c>
      <c r="C88" s="67"/>
      <c r="D88" s="67"/>
      <c r="E88" s="67"/>
      <c r="F88" s="67"/>
      <c r="G88" s="179">
        <f>HLOOKUP($G$85,T69:AP75,3)</f>
        <v>25736.678023922592</v>
      </c>
      <c r="H88" s="67"/>
      <c r="I88" s="67"/>
      <c r="J88" s="67"/>
      <c r="K88" s="67"/>
      <c r="L88" s="67"/>
      <c r="S88" s="26"/>
      <c r="AS88" s="7">
        <f>ROW()</f>
        <v>88</v>
      </c>
    </row>
    <row r="89" spans="1:45" s="13" customFormat="1" ht="13.95" customHeight="1">
      <c r="A89"/>
      <c r="B89" s="155" t="s">
        <v>5</v>
      </c>
      <c r="C89" s="155"/>
      <c r="D89" s="155"/>
      <c r="E89" s="155"/>
      <c r="F89" s="155"/>
      <c r="G89" s="180">
        <f>G88/G87</f>
        <v>0.85514955500871404</v>
      </c>
      <c r="H89" s="155"/>
      <c r="I89" s="155"/>
      <c r="J89" s="155"/>
      <c r="K89" s="155"/>
      <c r="L89" s="155"/>
      <c r="M89" s="155"/>
      <c r="N89" s="155"/>
      <c r="O89" s="155"/>
      <c r="P89" s="155"/>
      <c r="Q89" s="155"/>
      <c r="R89" s="155"/>
      <c r="S89" s="251"/>
      <c r="AS89" s="7">
        <f>ROW()</f>
        <v>89</v>
      </c>
    </row>
    <row r="90" spans="1:45" ht="13.95" customHeight="1">
      <c r="B90" s="67"/>
      <c r="C90" s="67"/>
      <c r="D90" s="67"/>
      <c r="E90" s="67"/>
      <c r="F90" s="67"/>
      <c r="G90" s="67"/>
      <c r="H90" s="67"/>
      <c r="I90" s="67"/>
      <c r="J90" s="67"/>
      <c r="K90" s="67"/>
      <c r="L90" s="67"/>
      <c r="S90" s="26"/>
      <c r="AS90" s="7">
        <f>ROW()</f>
        <v>90</v>
      </c>
    </row>
    <row r="91" spans="1:45" ht="13.95" customHeight="1">
      <c r="B91" s="67" t="s">
        <v>2</v>
      </c>
      <c r="C91" s="67"/>
      <c r="D91" s="67"/>
      <c r="E91" s="67"/>
      <c r="F91" s="67"/>
      <c r="G91" s="541">
        <f>K65</f>
        <v>21.041653177132002</v>
      </c>
      <c r="H91" s="67"/>
      <c r="I91" s="67"/>
      <c r="J91" s="67"/>
      <c r="K91" s="67"/>
      <c r="L91" s="67"/>
      <c r="S91" s="26"/>
      <c r="AS91" s="7">
        <f>ROW()</f>
        <v>91</v>
      </c>
    </row>
    <row r="92" spans="1:45" ht="13.95" customHeight="1">
      <c r="A92" s="13"/>
      <c r="B92" s="67" t="s">
        <v>3</v>
      </c>
      <c r="C92" s="67"/>
      <c r="D92" s="67"/>
      <c r="E92" s="67"/>
      <c r="F92" s="67"/>
      <c r="G92" s="313">
        <f>HLOOKUP($G$85,T54:AP65,12)</f>
        <v>18.863190769415592</v>
      </c>
      <c r="H92" s="67"/>
      <c r="I92" s="67"/>
      <c r="J92" s="67"/>
      <c r="K92" s="67"/>
      <c r="L92" s="67"/>
      <c r="S92" s="26"/>
      <c r="AS92" s="7">
        <f>ROW()</f>
        <v>92</v>
      </c>
    </row>
    <row r="93" spans="1:45" s="13" customFormat="1" ht="13.95" customHeight="1">
      <c r="A93"/>
      <c r="B93" s="155" t="s">
        <v>5</v>
      </c>
      <c r="C93" s="155"/>
      <c r="D93" s="155"/>
      <c r="E93" s="155"/>
      <c r="F93" s="155"/>
      <c r="G93" s="180">
        <f>G92/G91</f>
        <v>0.89646904692431884</v>
      </c>
      <c r="H93" s="155"/>
      <c r="I93" s="155"/>
      <c r="J93" s="155"/>
      <c r="K93" s="155"/>
      <c r="L93" s="155"/>
      <c r="M93" s="155"/>
      <c r="N93" s="155"/>
      <c r="O93" s="155"/>
      <c r="P93" s="155"/>
      <c r="Q93" s="155"/>
      <c r="R93" s="155"/>
      <c r="S93" s="251"/>
      <c r="AS93" s="7">
        <f>ROW()</f>
        <v>93</v>
      </c>
    </row>
    <row r="94" spans="1:45" ht="13.95" customHeight="1">
      <c r="B94" s="67"/>
      <c r="C94" s="67"/>
      <c r="D94" s="67"/>
      <c r="E94" s="67"/>
      <c r="F94" s="67"/>
      <c r="G94" s="116"/>
      <c r="H94" s="67"/>
      <c r="I94" s="67"/>
      <c r="J94" s="67"/>
      <c r="K94" s="67"/>
      <c r="L94" s="67"/>
      <c r="S94" s="26"/>
      <c r="AS94" s="7">
        <f>ROW()</f>
        <v>94</v>
      </c>
    </row>
    <row r="95" spans="1:45" ht="13.95" customHeight="1">
      <c r="B95" s="100" t="s">
        <v>140</v>
      </c>
      <c r="C95" s="67"/>
      <c r="D95" s="67"/>
      <c r="E95" s="67"/>
      <c r="F95" s="67"/>
      <c r="G95" s="116"/>
      <c r="H95" s="67"/>
      <c r="I95" s="67"/>
      <c r="J95" s="67"/>
      <c r="K95" s="67"/>
      <c r="L95" s="67"/>
      <c r="S95" s="26"/>
    </row>
    <row r="96" spans="1:45" ht="13.95" customHeight="1">
      <c r="B96" s="31" t="s">
        <v>418</v>
      </c>
      <c r="C96" s="67"/>
      <c r="D96" s="67"/>
      <c r="E96" s="67"/>
      <c r="F96" s="67"/>
      <c r="G96" s="179">
        <f>HLOOKUP($G$85,T31:AP46,16)</f>
        <v>287.60912264759384</v>
      </c>
      <c r="H96" s="67"/>
      <c r="I96" s="67"/>
      <c r="J96" s="67"/>
      <c r="K96" s="67"/>
      <c r="L96" s="67"/>
      <c r="S96" s="26"/>
    </row>
    <row r="97" spans="1:19" ht="13.95" customHeight="1">
      <c r="A97" s="13"/>
      <c r="B97" s="31" t="s">
        <v>419</v>
      </c>
      <c r="C97" s="67"/>
      <c r="D97" s="67"/>
      <c r="E97" s="67"/>
      <c r="F97" s="67"/>
      <c r="G97" s="179">
        <f>HLOOKUP($G$85,T69:AP75,4)</f>
        <v>220.17046137699671</v>
      </c>
      <c r="H97" s="67"/>
      <c r="I97" s="67"/>
      <c r="J97" s="67"/>
      <c r="K97" s="67"/>
      <c r="L97" s="67"/>
      <c r="S97" s="26"/>
    </row>
    <row r="98" spans="1:19" ht="13.95" customHeight="1">
      <c r="A98" s="13"/>
      <c r="B98" s="155" t="s">
        <v>5</v>
      </c>
      <c r="C98" s="155"/>
      <c r="D98" s="155"/>
      <c r="E98" s="155"/>
      <c r="F98" s="155"/>
      <c r="G98" s="545">
        <f>G97/G96</f>
        <v>0.76551974203812234</v>
      </c>
      <c r="I98" s="67"/>
      <c r="J98" s="67"/>
      <c r="K98" s="67"/>
      <c r="L98" s="67"/>
      <c r="S98" s="26"/>
    </row>
    <row r="99" spans="1:19" ht="13.95" customHeight="1">
      <c r="A99" s="13"/>
      <c r="B99" s="67"/>
      <c r="C99" s="67"/>
      <c r="D99" s="67"/>
      <c r="E99" s="67"/>
      <c r="F99" s="67"/>
      <c r="G99" s="546"/>
      <c r="I99" s="67"/>
      <c r="J99" s="67"/>
      <c r="K99" s="67"/>
      <c r="L99" s="67"/>
      <c r="S99" s="26"/>
    </row>
    <row r="100" spans="1:19" ht="13.95" customHeight="1">
      <c r="B100" s="155" t="s">
        <v>4</v>
      </c>
      <c r="C100" s="155"/>
      <c r="D100" s="155"/>
      <c r="E100" s="155"/>
      <c r="F100" s="155"/>
      <c r="G100" s="547">
        <f>G93*G89</f>
        <v>0.76661510655641718</v>
      </c>
      <c r="I100" s="67"/>
      <c r="J100" s="67"/>
      <c r="K100" s="67"/>
      <c r="L100" s="67"/>
      <c r="S100" s="26"/>
    </row>
    <row r="101" spans="1:19" ht="13.95" customHeight="1">
      <c r="B101" s="67"/>
      <c r="C101" s="67"/>
      <c r="D101" s="67"/>
      <c r="E101" s="67"/>
      <c r="F101" s="67"/>
      <c r="G101" s="116"/>
      <c r="H101" s="67"/>
      <c r="I101" s="67"/>
      <c r="J101" s="67"/>
      <c r="K101" s="67"/>
      <c r="L101" s="67"/>
      <c r="S101" s="26"/>
    </row>
    <row r="102" spans="1:19" ht="13.95" customHeight="1">
      <c r="B102" s="67" t="s">
        <v>109</v>
      </c>
      <c r="C102" s="67"/>
      <c r="D102" s="67"/>
      <c r="E102" s="67"/>
      <c r="F102" s="67"/>
      <c r="G102" s="116"/>
      <c r="H102" s="67"/>
      <c r="I102" s="67"/>
      <c r="J102" s="67"/>
      <c r="K102" s="67"/>
      <c r="L102" s="67"/>
      <c r="S102" s="26"/>
    </row>
    <row r="103" spans="1:19" ht="13.95" customHeight="1">
      <c r="B103" s="67" t="s">
        <v>110</v>
      </c>
      <c r="C103" s="67"/>
      <c r="D103" s="67"/>
      <c r="E103" s="67"/>
      <c r="F103" s="67"/>
      <c r="G103" s="152">
        <f>(1-G89)/(1-G93)</f>
        <v>1.3991027870225461</v>
      </c>
      <c r="H103" s="67"/>
      <c r="I103" s="67"/>
      <c r="J103" s="67"/>
      <c r="K103" s="67"/>
      <c r="L103" s="67"/>
      <c r="S103" s="26"/>
    </row>
    <row r="104" spans="1:19" ht="13.95" customHeight="1">
      <c r="S104" s="26"/>
    </row>
    <row r="105" spans="1:19" ht="13.95" customHeight="1">
      <c r="B105" s="38" t="s">
        <v>111</v>
      </c>
      <c r="C105" s="39"/>
      <c r="D105" s="39"/>
      <c r="E105" s="39"/>
      <c r="F105" s="39"/>
      <c r="G105" s="40">
        <f>G103/(1+G103)</f>
        <v>0.58317750893821863</v>
      </c>
      <c r="S105" s="26"/>
    </row>
    <row r="106" spans="1:19" ht="13.95" customHeight="1">
      <c r="B106" s="41" t="s">
        <v>112</v>
      </c>
      <c r="C106" s="42"/>
      <c r="D106" s="42"/>
      <c r="E106" s="42"/>
      <c r="F106" s="42"/>
      <c r="G106" s="43">
        <f>1-G105</f>
        <v>0.41682249106178137</v>
      </c>
      <c r="Q106"/>
      <c r="R106"/>
      <c r="S106"/>
    </row>
  </sheetData>
  <mergeCells count="16">
    <mergeCell ref="Q10:Q13"/>
    <mergeCell ref="T10:T13"/>
    <mergeCell ref="B3:I6"/>
    <mergeCell ref="B82:H83"/>
    <mergeCell ref="N10:N13"/>
    <mergeCell ref="P10:P13"/>
    <mergeCell ref="B10:H11"/>
    <mergeCell ref="K10:K13"/>
    <mergeCell ref="L10:L13"/>
    <mergeCell ref="M10:M13"/>
    <mergeCell ref="B38:P39"/>
    <mergeCell ref="O10:O13"/>
    <mergeCell ref="L56:P58"/>
    <mergeCell ref="S10:S13"/>
    <mergeCell ref="R10:R13"/>
    <mergeCell ref="K3:O3"/>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dimension ref="A1:AS139"/>
  <sheetViews>
    <sheetView zoomScaleNormal="100" workbookViewId="0"/>
  </sheetViews>
  <sheetFormatPr defaultColWidth="9" defaultRowHeight="13.95" customHeight="1"/>
  <cols>
    <col min="1" max="1" width="2.625" customWidth="1"/>
    <col min="2" max="12" width="9.25" customWidth="1"/>
    <col min="13" max="19" width="9.25" style="67" customWidth="1"/>
    <col min="20" max="44" width="9.25" customWidth="1"/>
    <col min="45" max="45" width="2.375" customWidth="1"/>
  </cols>
  <sheetData>
    <row r="1" spans="2:45" ht="13.95" customHeight="1">
      <c r="B1" s="57" t="s">
        <v>463</v>
      </c>
      <c r="O1" s="215">
        <f>Summary!I1</f>
        <v>42552</v>
      </c>
      <c r="Q1"/>
      <c r="R1"/>
      <c r="S1" s="26"/>
      <c r="AS1" s="7">
        <f>ROW()</f>
        <v>1</v>
      </c>
    </row>
    <row r="2" spans="2:45" ht="13.95" customHeight="1">
      <c r="B2" s="1"/>
      <c r="Q2"/>
      <c r="R2"/>
      <c r="S2" s="26"/>
      <c r="AS2" s="7">
        <f>ROW()</f>
        <v>2</v>
      </c>
    </row>
    <row r="3" spans="2:45" ht="13.95" customHeight="1">
      <c r="B3" s="1264" t="s">
        <v>827</v>
      </c>
      <c r="C3" s="1099"/>
      <c r="D3" s="1099"/>
      <c r="E3" s="1099"/>
      <c r="F3" s="1099"/>
      <c r="G3" s="1099"/>
      <c r="H3" s="1099"/>
      <c r="I3" s="1100"/>
      <c r="K3" s="1257" t="str">
        <f>CONCATENATE("Tax Inputs (copied from 'Summary' Tab, Rows ",Summary!AR53,"-",Summary!AR73,")")</f>
        <v>Tax Inputs (copied from 'Summary' Tab, Rows 53-73)</v>
      </c>
      <c r="L3" s="1258"/>
      <c r="M3" s="1258"/>
      <c r="N3" s="1258"/>
      <c r="O3" s="1259"/>
      <c r="Q3"/>
      <c r="R3"/>
      <c r="S3" s="26"/>
      <c r="AS3" s="7">
        <f>ROW()</f>
        <v>3</v>
      </c>
    </row>
    <row r="4" spans="2:45" ht="13.95" customHeight="1">
      <c r="B4" s="1101"/>
      <c r="C4" s="1102"/>
      <c r="D4" s="1102"/>
      <c r="E4" s="1102"/>
      <c r="F4" s="1102"/>
      <c r="G4" s="1102"/>
      <c r="H4" s="1102"/>
      <c r="I4" s="1103"/>
      <c r="K4" s="848" t="s">
        <v>360</v>
      </c>
      <c r="L4" s="849"/>
      <c r="M4" s="849"/>
      <c r="N4" s="849"/>
      <c r="O4" s="850">
        <f>Summary!I56</f>
        <v>11.337868480725623</v>
      </c>
      <c r="P4" s="532"/>
      <c r="Q4"/>
      <c r="R4"/>
      <c r="S4" s="26"/>
      <c r="AS4" s="7">
        <f>ROW()</f>
        <v>4</v>
      </c>
    </row>
    <row r="5" spans="2:45" ht="13.95" customHeight="1">
      <c r="B5" s="1101"/>
      <c r="C5" s="1102"/>
      <c r="D5" s="1102"/>
      <c r="E5" s="1102"/>
      <c r="F5" s="1102"/>
      <c r="G5" s="1102"/>
      <c r="H5" s="1102"/>
      <c r="I5" s="1103"/>
      <c r="K5" s="848" t="s">
        <v>361</v>
      </c>
      <c r="L5" s="849"/>
      <c r="M5" s="849"/>
      <c r="N5" s="849"/>
      <c r="O5" s="851" t="str">
        <f>IF(Summary!I58=1,"By Constant Amount","By Constant Percent")</f>
        <v>By Constant Amount</v>
      </c>
      <c r="P5" s="178"/>
      <c r="Q5"/>
      <c r="R5"/>
      <c r="S5" s="26"/>
      <c r="AS5" s="7">
        <f>ROW()</f>
        <v>5</v>
      </c>
    </row>
    <row r="6" spans="2:45" ht="13.95" customHeight="1">
      <c r="B6" s="1104"/>
      <c r="C6" s="1105"/>
      <c r="D6" s="1105"/>
      <c r="E6" s="1105"/>
      <c r="F6" s="1105"/>
      <c r="G6" s="1105"/>
      <c r="H6" s="1105"/>
      <c r="I6" s="1106"/>
      <c r="K6" s="848" t="s">
        <v>362</v>
      </c>
      <c r="L6" s="849"/>
      <c r="M6" s="849"/>
      <c r="N6" s="849"/>
      <c r="O6" s="850" t="str">
        <f>IF(Summary!$I$58=1,CONCATENATE("$",ROUND(Summary!$I$60,2),""),CONCATENATE("",Summary!$I$64*100,"%"))</f>
        <v>$11.34</v>
      </c>
      <c r="P6" s="532"/>
      <c r="Q6"/>
      <c r="R6"/>
      <c r="S6" s="26"/>
      <c r="AS6" s="7">
        <f>ROW()</f>
        <v>6</v>
      </c>
    </row>
    <row r="7" spans="2:45" ht="13.95" customHeight="1">
      <c r="B7" s="13"/>
      <c r="I7" s="118"/>
      <c r="K7" s="848" t="s">
        <v>363</v>
      </c>
      <c r="L7" s="849"/>
      <c r="M7" s="849"/>
      <c r="N7" s="849"/>
      <c r="O7" s="851" t="str">
        <f>Summary!I69</f>
        <v>real</v>
      </c>
      <c r="P7" s="178"/>
      <c r="Q7"/>
      <c r="R7"/>
      <c r="S7" s="26"/>
      <c r="AS7" s="7">
        <f>ROW()</f>
        <v>7</v>
      </c>
    </row>
    <row r="8" spans="2:45" ht="13.95" customHeight="1">
      <c r="B8" s="312" t="str">
        <f>CONCATENATE("This worksheet is pre-formatted to print to four pages. Print area extends to ",AL14, ".")</f>
        <v>This worksheet is pre-formatted to print to four pages. Print area extends to 2035.</v>
      </c>
      <c r="H8" s="51"/>
      <c r="I8" s="51"/>
      <c r="K8" s="852" t="s">
        <v>884</v>
      </c>
      <c r="L8" s="853"/>
      <c r="M8" s="853"/>
      <c r="N8" s="853"/>
      <c r="O8" s="854">
        <f>Summary!I73</f>
        <v>12.5</v>
      </c>
      <c r="Q8"/>
      <c r="R8"/>
      <c r="S8" s="26"/>
      <c r="AS8" s="7">
        <f>ROW()</f>
        <v>8</v>
      </c>
    </row>
    <row r="9" spans="2:45" ht="13.95" customHeight="1">
      <c r="B9" s="13"/>
      <c r="H9" s="51"/>
      <c r="I9" s="51"/>
      <c r="Q9"/>
      <c r="R9"/>
      <c r="S9" s="756"/>
      <c r="AS9" s="7"/>
    </row>
    <row r="10" spans="2:45" ht="13.95" customHeight="1">
      <c r="B10" s="1277" t="s">
        <v>834</v>
      </c>
      <c r="C10" s="1145"/>
      <c r="D10" s="1145"/>
      <c r="E10" s="1145"/>
      <c r="F10" s="1145"/>
      <c r="G10" s="1145"/>
      <c r="H10" s="1145"/>
      <c r="I10" s="1125" t="s">
        <v>157</v>
      </c>
      <c r="J10" s="1125" t="s">
        <v>157</v>
      </c>
      <c r="K10" s="1109" t="s">
        <v>79</v>
      </c>
      <c r="L10" s="1125" t="s">
        <v>157</v>
      </c>
      <c r="M10" s="1125" t="s">
        <v>157</v>
      </c>
      <c r="N10" s="1125" t="s">
        <v>157</v>
      </c>
      <c r="O10" s="1125" t="s">
        <v>157</v>
      </c>
      <c r="P10" s="1125" t="s">
        <v>157</v>
      </c>
      <c r="Q10" s="1125" t="s">
        <v>157</v>
      </c>
      <c r="R10" s="1125" t="s">
        <v>157</v>
      </c>
      <c r="S10" s="1109" t="s">
        <v>366</v>
      </c>
      <c r="T10" s="1316" t="s">
        <v>80</v>
      </c>
      <c r="AS10" s="7">
        <f>ROW()</f>
        <v>10</v>
      </c>
    </row>
    <row r="11" spans="2:45" ht="13.95" customHeight="1">
      <c r="B11" s="1145"/>
      <c r="C11" s="1145"/>
      <c r="D11" s="1145"/>
      <c r="E11" s="1145"/>
      <c r="F11" s="1145"/>
      <c r="G11" s="1145"/>
      <c r="H11" s="1145"/>
      <c r="I11" s="1126"/>
      <c r="J11" s="1126"/>
      <c r="K11" s="1337"/>
      <c r="L11" s="1126"/>
      <c r="M11" s="1126"/>
      <c r="N11" s="1126"/>
      <c r="O11" s="1126"/>
      <c r="P11" s="1126"/>
      <c r="Q11" s="1126"/>
      <c r="R11" s="1126"/>
      <c r="S11" s="1110"/>
      <c r="T11" s="1317"/>
      <c r="AS11" s="7">
        <f>ROW()</f>
        <v>11</v>
      </c>
    </row>
    <row r="12" spans="2:45" ht="13.95" customHeight="1">
      <c r="I12" s="1126"/>
      <c r="J12" s="1126"/>
      <c r="K12" s="1337"/>
      <c r="L12" s="1126"/>
      <c r="M12" s="1126"/>
      <c r="N12" s="1126"/>
      <c r="O12" s="1126"/>
      <c r="P12" s="1126"/>
      <c r="Q12" s="1126"/>
      <c r="R12" s="1126"/>
      <c r="S12" s="1110"/>
      <c r="T12" s="1317"/>
      <c r="AS12" s="7">
        <f>ROW()</f>
        <v>12</v>
      </c>
    </row>
    <row r="13" spans="2:45" ht="13.95" customHeight="1">
      <c r="B13" s="52" t="s">
        <v>415</v>
      </c>
      <c r="H13" s="51"/>
      <c r="I13" s="1126"/>
      <c r="J13" s="1126"/>
      <c r="K13" s="1338"/>
      <c r="L13" s="1126"/>
      <c r="M13" s="1126"/>
      <c r="N13" s="1126"/>
      <c r="O13" s="1126"/>
      <c r="P13" s="1126"/>
      <c r="Q13" s="1126"/>
      <c r="R13" s="1126"/>
      <c r="S13" s="1111"/>
      <c r="T13" s="1318"/>
      <c r="AS13" s="7">
        <f>ROW()</f>
        <v>13</v>
      </c>
    </row>
    <row r="14" spans="2:45" ht="13.95" customHeight="1">
      <c r="B14" s="58" t="s">
        <v>414</v>
      </c>
      <c r="I14" s="122">
        <f>Summary!I110</f>
        <v>2005</v>
      </c>
      <c r="J14" s="122">
        <f>Summary!J110</f>
        <v>2006</v>
      </c>
      <c r="K14" s="122">
        <f>Summary!K110</f>
        <v>2007</v>
      </c>
      <c r="L14" s="122">
        <f>Summary!L110</f>
        <v>2008</v>
      </c>
      <c r="M14" s="122">
        <f>Summary!M110</f>
        <v>2009</v>
      </c>
      <c r="N14" s="122">
        <f>Summary!N110</f>
        <v>2010</v>
      </c>
      <c r="O14" s="122">
        <f>Summary!O110</f>
        <v>2011</v>
      </c>
      <c r="P14" s="122">
        <f>Summary!P110</f>
        <v>2012</v>
      </c>
      <c r="Q14" s="122">
        <f>Summary!Q110</f>
        <v>2013</v>
      </c>
      <c r="R14" s="212">
        <f>Summary!R110</f>
        <v>2014</v>
      </c>
      <c r="S14" s="212">
        <f>Summary!S110</f>
        <v>2015</v>
      </c>
      <c r="T14" s="249">
        <f>Summary!T110</f>
        <v>2017</v>
      </c>
      <c r="U14" s="12">
        <f t="shared" ref="U14:AQ14" si="0">T14+1</f>
        <v>2018</v>
      </c>
      <c r="V14" s="12">
        <f t="shared" si="0"/>
        <v>2019</v>
      </c>
      <c r="W14" s="12">
        <f t="shared" si="0"/>
        <v>2020</v>
      </c>
      <c r="X14" s="12">
        <f t="shared" si="0"/>
        <v>2021</v>
      </c>
      <c r="Y14" s="12">
        <f t="shared" si="0"/>
        <v>2022</v>
      </c>
      <c r="Z14" s="12">
        <f t="shared" si="0"/>
        <v>2023</v>
      </c>
      <c r="AA14" s="12">
        <f t="shared" si="0"/>
        <v>2024</v>
      </c>
      <c r="AB14" s="12">
        <f t="shared" si="0"/>
        <v>2025</v>
      </c>
      <c r="AC14" s="12">
        <f t="shared" si="0"/>
        <v>2026</v>
      </c>
      <c r="AD14" s="12">
        <f t="shared" si="0"/>
        <v>2027</v>
      </c>
      <c r="AE14" s="12">
        <f t="shared" si="0"/>
        <v>2028</v>
      </c>
      <c r="AF14" s="12">
        <f t="shared" si="0"/>
        <v>2029</v>
      </c>
      <c r="AG14" s="12">
        <f t="shared" si="0"/>
        <v>2030</v>
      </c>
      <c r="AH14" s="12">
        <f t="shared" si="0"/>
        <v>2031</v>
      </c>
      <c r="AI14" s="12">
        <f t="shared" si="0"/>
        <v>2032</v>
      </c>
      <c r="AJ14" s="12">
        <f t="shared" si="0"/>
        <v>2033</v>
      </c>
      <c r="AK14" s="12">
        <f t="shared" si="0"/>
        <v>2034</v>
      </c>
      <c r="AL14" s="12">
        <f t="shared" si="0"/>
        <v>2035</v>
      </c>
      <c r="AM14" s="12">
        <f t="shared" si="0"/>
        <v>2036</v>
      </c>
      <c r="AN14" s="12">
        <f t="shared" si="0"/>
        <v>2037</v>
      </c>
      <c r="AO14" s="12">
        <f t="shared" si="0"/>
        <v>2038</v>
      </c>
      <c r="AP14" s="12">
        <f t="shared" si="0"/>
        <v>2039</v>
      </c>
      <c r="AQ14" s="12">
        <f t="shared" si="0"/>
        <v>2040</v>
      </c>
      <c r="AS14" s="7">
        <f>ROW()</f>
        <v>14</v>
      </c>
    </row>
    <row r="15" spans="2:45" ht="13.95" customHeight="1">
      <c r="K15" s="12"/>
      <c r="L15" s="174"/>
      <c r="M15" s="174"/>
      <c r="N15" s="174"/>
      <c r="O15" s="151"/>
      <c r="P15" s="151"/>
      <c r="Q15" s="151"/>
      <c r="R15" s="151"/>
      <c r="S15" s="764"/>
      <c r="T15" s="50"/>
      <c r="U15" s="12"/>
      <c r="V15" s="12"/>
      <c r="W15" s="12"/>
      <c r="X15" s="12"/>
      <c r="Y15" s="12"/>
      <c r="AS15" s="7">
        <f>ROW()</f>
        <v>15</v>
      </c>
    </row>
    <row r="16" spans="2:45" s="802" customFormat="1" ht="13.95" customHeight="1">
      <c r="B16" s="802" t="s">
        <v>187</v>
      </c>
      <c r="M16" s="807">
        <f>Summary!$P79</f>
        <v>0</v>
      </c>
      <c r="N16" s="807">
        <f>Summary!$P79</f>
        <v>0</v>
      </c>
      <c r="O16" s="807">
        <f>Summary!$P79</f>
        <v>0</v>
      </c>
      <c r="P16" s="802">
        <f>Summary!P79</f>
        <v>0</v>
      </c>
      <c r="Q16" s="802">
        <f>Summary!Q79</f>
        <v>0</v>
      </c>
      <c r="R16" s="802">
        <f>Summary!R79</f>
        <v>0</v>
      </c>
      <c r="S16" s="802">
        <f>Summary!S79</f>
        <v>0</v>
      </c>
      <c r="T16" s="807">
        <f>Summary!T79</f>
        <v>1</v>
      </c>
      <c r="U16" s="802">
        <f>Summary!U79</f>
        <v>2</v>
      </c>
      <c r="V16" s="802">
        <f>Summary!V79</f>
        <v>3</v>
      </c>
      <c r="W16" s="802">
        <f>Summary!W79</f>
        <v>4</v>
      </c>
      <c r="X16" s="802">
        <f>Summary!X79</f>
        <v>5</v>
      </c>
      <c r="Y16" s="802">
        <f>Summary!Y79</f>
        <v>6</v>
      </c>
      <c r="Z16" s="802">
        <f>Summary!Z79</f>
        <v>7</v>
      </c>
      <c r="AA16" s="802">
        <f>Summary!AA79</f>
        <v>8</v>
      </c>
      <c r="AB16" s="802">
        <f>Summary!AB79</f>
        <v>9</v>
      </c>
      <c r="AC16" s="802">
        <f>Summary!AC79</f>
        <v>10</v>
      </c>
      <c r="AD16" s="802">
        <f>Summary!AD79</f>
        <v>11</v>
      </c>
      <c r="AE16" s="802">
        <f>Summary!AE79</f>
        <v>12</v>
      </c>
      <c r="AF16" s="802">
        <f>Summary!AF79</f>
        <v>13</v>
      </c>
      <c r="AG16" s="802">
        <f>Summary!AG79</f>
        <v>14</v>
      </c>
      <c r="AH16" s="802">
        <f>Summary!AH79</f>
        <v>15</v>
      </c>
      <c r="AI16" s="802">
        <f>Summary!AI79</f>
        <v>16</v>
      </c>
      <c r="AJ16" s="802">
        <f>Summary!AJ79</f>
        <v>17</v>
      </c>
      <c r="AK16" s="802">
        <f>Summary!AK79</f>
        <v>18</v>
      </c>
      <c r="AL16" s="802">
        <f>Summary!AL79</f>
        <v>19</v>
      </c>
      <c r="AM16" s="802">
        <f>Summary!AM79</f>
        <v>20</v>
      </c>
      <c r="AN16" s="802">
        <f>Summary!AN79</f>
        <v>21</v>
      </c>
      <c r="AO16" s="802">
        <f>Summary!AO79</f>
        <v>22</v>
      </c>
      <c r="AP16" s="802">
        <f>Summary!AP79</f>
        <v>23</v>
      </c>
      <c r="AQ16" s="802">
        <f>Summary!AQ79</f>
        <v>24</v>
      </c>
      <c r="AS16" s="81">
        <f>ROW()</f>
        <v>16</v>
      </c>
    </row>
    <row r="17" spans="2:45" s="287" customFormat="1" ht="13.95" customHeight="1">
      <c r="B17" s="802" t="s">
        <v>847</v>
      </c>
      <c r="Q17" s="288"/>
      <c r="R17" s="288"/>
      <c r="S17" s="294"/>
      <c r="T17" s="288"/>
      <c r="AS17" s="81">
        <f>ROW()</f>
        <v>17</v>
      </c>
    </row>
    <row r="18" spans="2:45" ht="13.95" customHeight="1">
      <c r="B18" s="803" t="str">
        <f>CONCATENATE("Tax in year shown, in nominal $, per ton of CO2 (taken directly from 'Summary' tab, Row ",Summary!AR82, ")")</f>
        <v>Tax in year shown, in nominal $, per ton of CO2 (taken directly from 'Summary' tab, Row 82)</v>
      </c>
      <c r="L18" s="67"/>
      <c r="M18" s="363"/>
      <c r="N18" s="363"/>
      <c r="O18" s="363"/>
      <c r="P18" s="363"/>
      <c r="Q18" s="363"/>
      <c r="R18" s="363"/>
      <c r="S18" s="363"/>
      <c r="T18" s="522">
        <f>Summary!T82</f>
        <v>11.337868480725623</v>
      </c>
      <c r="U18" s="363">
        <f>Summary!U82</f>
        <v>23.153901748198756</v>
      </c>
      <c r="V18" s="363">
        <f>Summary!V82</f>
        <v>35.463224441830718</v>
      </c>
      <c r="W18" s="363">
        <f>Summary!W82</f>
        <v>48.28138644674759</v>
      </c>
      <c r="X18" s="363">
        <f>Summary!X82</f>
        <v>61.624374102771327</v>
      </c>
      <c r="Y18" s="363">
        <f>Summary!Y82</f>
        <v>75.508621697038407</v>
      </c>
      <c r="Z18" s="363">
        <f>Summary!Z82</f>
        <v>89.951023247233749</v>
      </c>
      <c r="AA18" s="363">
        <f>Summary!AA82</f>
        <v>104.96894458258619</v>
      </c>
      <c r="AB18" s="363">
        <f>Summary!AB82</f>
        <v>120.58023572994358</v>
      </c>
      <c r="AC18" s="363">
        <f>Summary!AC82</f>
        <v>136.80324361242219</v>
      </c>
      <c r="AD18" s="363">
        <f>Summary!AD82</f>
        <v>153.65682506830512</v>
      </c>
      <c r="AE18" s="363">
        <f>Summary!AE82</f>
        <v>171.1603601980494</v>
      </c>
      <c r="AF18" s="363">
        <f>Summary!AF82</f>
        <v>189.33376604745069</v>
      </c>
      <c r="AG18" s="363">
        <f>Summary!AG82</f>
        <v>208.19751063520698</v>
      </c>
      <c r="AH18" s="363">
        <f>Summary!AH82</f>
        <v>227.77262733332276</v>
      </c>
      <c r="AI18" s="363">
        <f>Summary!AI82</f>
        <v>248.08072960899591</v>
      </c>
      <c r="AJ18" s="363">
        <f>Summary!AJ82</f>
        <v>269.1440261368387</v>
      </c>
      <c r="AK18" s="363">
        <f>Summary!AK82</f>
        <v>290.98533629049541</v>
      </c>
      <c r="AL18" s="363">
        <f>Summary!AL82</f>
        <v>313.62810602293854</v>
      </c>
      <c r="AM18" s="363">
        <f>Summary!AM82</f>
        <v>337.09642414494658</v>
      </c>
      <c r="AN18" s="363">
        <f>Summary!AN82</f>
        <v>361.41503901149451</v>
      </c>
      <c r="AO18" s="363">
        <f>Summary!AO82</f>
        <v>386.60937562602271</v>
      </c>
      <c r="AP18" s="363">
        <f>Summary!AP82</f>
        <v>412.70555317278786</v>
      </c>
      <c r="AQ18" s="363">
        <f>Summary!AQ82</f>
        <v>439.73040298774407</v>
      </c>
      <c r="AS18" s="81">
        <f>ROW()</f>
        <v>18</v>
      </c>
    </row>
    <row r="19" spans="2:45" s="31" customFormat="1" ht="13.95" customHeight="1">
      <c r="B19" s="803" t="str">
        <f>CONCATENATE("Tax equivalent, in constant ",S$14, "$, per ton of CO2 (taken directly from 'Summary' tab, Row ",Summary!AR83, ")")</f>
        <v>Tax equivalent, in constant 2015$, per ton of CO2 (taken directly from 'Summary' tab, Row 83)</v>
      </c>
      <c r="H19" s="17"/>
      <c r="I19" s="17"/>
      <c r="J19" s="17"/>
      <c r="M19" s="399"/>
      <c r="N19" s="399"/>
      <c r="O19" s="399"/>
      <c r="P19" s="399"/>
      <c r="Q19" s="399"/>
      <c r="R19" s="399"/>
      <c r="S19" s="399"/>
      <c r="T19" s="522">
        <f>Summary!T83</f>
        <v>10.87441401983205</v>
      </c>
      <c r="U19" s="363">
        <f>Summary!U83</f>
        <v>21.748828039664104</v>
      </c>
      <c r="V19" s="363">
        <f>Summary!V83</f>
        <v>32.623242059496157</v>
      </c>
      <c r="W19" s="363">
        <f>Summary!W83</f>
        <v>43.497656079328209</v>
      </c>
      <c r="X19" s="363">
        <f>Summary!X83</f>
        <v>54.372070099160254</v>
      </c>
      <c r="Y19" s="363">
        <f>Summary!Y83</f>
        <v>65.246484118992299</v>
      </c>
      <c r="Z19" s="363">
        <f>Summary!Z83</f>
        <v>76.120898138824344</v>
      </c>
      <c r="AA19" s="363">
        <f>Summary!AA83</f>
        <v>86.995312158656404</v>
      </c>
      <c r="AB19" s="363">
        <f>Summary!AB83</f>
        <v>97.869726178488449</v>
      </c>
      <c r="AC19" s="363">
        <f>Summary!AC83</f>
        <v>108.74414019832052</v>
      </c>
      <c r="AD19" s="363">
        <f>Summary!AD83</f>
        <v>119.61855421815258</v>
      </c>
      <c r="AE19" s="363">
        <f>Summary!AE83</f>
        <v>130.4929682379846</v>
      </c>
      <c r="AF19" s="363">
        <f>Summary!AF83</f>
        <v>141.36738225781667</v>
      </c>
      <c r="AG19" s="363">
        <f>Summary!AG83</f>
        <v>152.24179627764875</v>
      </c>
      <c r="AH19" s="363">
        <f>Summary!AH83</f>
        <v>163.11621029748079</v>
      </c>
      <c r="AI19" s="363">
        <f>Summary!AI83</f>
        <v>173.99062431731281</v>
      </c>
      <c r="AJ19" s="363">
        <f>Summary!AJ83</f>
        <v>184.86503833714488</v>
      </c>
      <c r="AK19" s="363">
        <f>Summary!AK83</f>
        <v>195.73945235697698</v>
      </c>
      <c r="AL19" s="363">
        <f>Summary!AL83</f>
        <v>206.61386637680897</v>
      </c>
      <c r="AM19" s="363">
        <f>Summary!AM83</f>
        <v>217.48828039664099</v>
      </c>
      <c r="AN19" s="363">
        <f>Summary!AN83</f>
        <v>228.36269441647306</v>
      </c>
      <c r="AO19" s="363">
        <f>Summary!AO83</f>
        <v>239.23710843630516</v>
      </c>
      <c r="AP19" s="363">
        <f>Summary!AP83</f>
        <v>250.11152245613718</v>
      </c>
      <c r="AQ19" s="363">
        <f>Summary!AQ83</f>
        <v>260.9859364759692</v>
      </c>
      <c r="AS19" s="81">
        <f>ROW()</f>
        <v>19</v>
      </c>
    </row>
    <row r="20" spans="2:45" s="31" customFormat="1" ht="13.95" customHeight="1">
      <c r="B20" s="803" t="s">
        <v>857</v>
      </c>
      <c r="H20" s="17"/>
      <c r="I20" s="17"/>
      <c r="J20" s="17"/>
      <c r="M20" s="399"/>
      <c r="N20" s="399"/>
      <c r="O20" s="399"/>
      <c r="P20" s="399"/>
      <c r="Q20" s="399"/>
      <c r="R20" s="399"/>
      <c r="S20" s="364"/>
      <c r="T20" s="363">
        <f>T18*Parameters!$I$18/2000</f>
        <v>12.5</v>
      </c>
      <c r="U20" s="363">
        <f>U18*Parameters!$I$18/2000</f>
        <v>25.527176677389129</v>
      </c>
      <c r="V20" s="363">
        <f>V18*Parameters!$I$18/2000</f>
        <v>39.098204947118361</v>
      </c>
      <c r="W20" s="363">
        <f>W18*Parameters!$I$18/2000</f>
        <v>53.230228557539213</v>
      </c>
      <c r="X20" s="363">
        <f>X18*Parameters!$I$18/2000</f>
        <v>67.940872448305385</v>
      </c>
      <c r="Y20" s="363">
        <f>Y18*Parameters!$I$18/2000</f>
        <v>83.248255420984847</v>
      </c>
      <c r="Z20" s="363">
        <f>Z18*Parameters!$I$18/2000</f>
        <v>99.171003130075206</v>
      </c>
      <c r="AA20" s="363">
        <f>AA18*Parameters!$I$18/2000</f>
        <v>115.72826140230127</v>
      </c>
      <c r="AB20" s="363">
        <f>AB18*Parameters!$I$18/2000</f>
        <v>132.93970989226278</v>
      </c>
      <c r="AC20" s="363">
        <f>AC18*Parameters!$I$18/2000</f>
        <v>150.82557608269548</v>
      </c>
      <c r="AD20" s="363">
        <f>AD18*Parameters!$I$18/2000</f>
        <v>169.4066496378064</v>
      </c>
      <c r="AE20" s="363">
        <f>AE18*Parameters!$I$18/2000</f>
        <v>188.70429711834947</v>
      </c>
      <c r="AF20" s="363">
        <f>AF18*Parameters!$I$18/2000</f>
        <v>208.74047706731437</v>
      </c>
      <c r="AG20" s="363">
        <f>AG18*Parameters!$I$18/2000</f>
        <v>229.53775547531569</v>
      </c>
      <c r="AH20" s="363">
        <f>AH18*Parameters!$I$18/2000</f>
        <v>251.11932163498832</v>
      </c>
      <c r="AI20" s="363">
        <f>AI18*Parameters!$I$18/2000</f>
        <v>273.50900439391796</v>
      </c>
      <c r="AJ20" s="363">
        <f>AJ18*Parameters!$I$18/2000</f>
        <v>296.73128881586467</v>
      </c>
      <c r="AK20" s="363">
        <f>AK18*Parameters!$I$18/2000</f>
        <v>320.81133326027117</v>
      </c>
      <c r="AL20" s="363">
        <f>AL18*Parameters!$I$18/2000</f>
        <v>345.77498689028977</v>
      </c>
      <c r="AM20" s="363">
        <f>AM18*Parameters!$I$18/2000</f>
        <v>371.64880761980356</v>
      </c>
      <c r="AN20" s="363">
        <f>AN18*Parameters!$I$18/2000</f>
        <v>398.4600805101727</v>
      </c>
      <c r="AO20" s="363">
        <f>AO18*Parameters!$I$18/2000</f>
        <v>426.23683662769008</v>
      </c>
      <c r="AP20" s="363">
        <f>AP18*Parameters!$I$18/2000</f>
        <v>455.00787237299863</v>
      </c>
      <c r="AQ20" s="363">
        <f>AQ18*Parameters!$I$18/2000</f>
        <v>484.80276929398781</v>
      </c>
      <c r="AS20" s="81">
        <f>ROW()</f>
        <v>20</v>
      </c>
    </row>
    <row r="21" spans="2:45" ht="13.95" customHeight="1">
      <c r="B21" s="802" t="s">
        <v>849</v>
      </c>
      <c r="K21" s="12"/>
      <c r="L21" s="151"/>
      <c r="M21"/>
      <c r="N21"/>
      <c r="O21"/>
      <c r="P21"/>
      <c r="Q21" s="151"/>
      <c r="R21" s="151"/>
      <c r="S21" s="250"/>
      <c r="T21" s="50"/>
      <c r="U21" s="12"/>
      <c r="V21" s="12"/>
      <c r="W21" s="12"/>
      <c r="X21" s="12"/>
      <c r="Y21" s="12"/>
      <c r="AS21" s="7">
        <f>ROW()</f>
        <v>21</v>
      </c>
    </row>
    <row r="22" spans="2:45" ht="13.95" customHeight="1">
      <c r="B22" s="803" t="str">
        <f>CONCATENATE("Felt tax in constant ",S$14, "$, per ton of CO2 (taken directly from 'Summary' tab, Row ",Summary!AR86, ")")</f>
        <v>Felt tax in constant 2015$, per ton of CO2 (taken directly from 'Summary' tab, Row 86)</v>
      </c>
      <c r="K22" s="12"/>
      <c r="L22" s="151"/>
      <c r="M22"/>
      <c r="N22"/>
      <c r="O22"/>
      <c r="P22"/>
      <c r="Q22" s="151"/>
      <c r="R22" s="151"/>
      <c r="S22" s="250"/>
      <c r="T22" s="522">
        <f>Summary!T86</f>
        <v>10.87441401983205</v>
      </c>
      <c r="U22" s="363">
        <f>Summary!U86</f>
        <v>21.748828039664104</v>
      </c>
      <c r="V22" s="363">
        <f>Summary!V86</f>
        <v>32.623242059496157</v>
      </c>
      <c r="W22" s="363">
        <f>Summary!W86</f>
        <v>43.497656079328209</v>
      </c>
      <c r="X22" s="363">
        <f>Summary!X86</f>
        <v>54.372070099160254</v>
      </c>
      <c r="Y22" s="363">
        <f>Summary!Y86</f>
        <v>65.246484118992299</v>
      </c>
      <c r="Z22" s="363">
        <f>Summary!Z86</f>
        <v>76.120898138824344</v>
      </c>
      <c r="AA22" s="363">
        <f>Summary!AA86</f>
        <v>86.995312158656404</v>
      </c>
      <c r="AB22" s="363">
        <f>Summary!AB86</f>
        <v>97.869726178488449</v>
      </c>
      <c r="AC22" s="363">
        <f>Summary!AC86</f>
        <v>108.74414019832052</v>
      </c>
      <c r="AD22" s="363">
        <f>Summary!AD86</f>
        <v>119.61855421815258</v>
      </c>
      <c r="AE22" s="363">
        <f>Summary!AE86</f>
        <v>130.4929682379846</v>
      </c>
      <c r="AF22" s="363">
        <f>Summary!AF86</f>
        <v>141.36738225781667</v>
      </c>
      <c r="AG22" s="363">
        <f>Summary!AG86</f>
        <v>152.24179627764875</v>
      </c>
      <c r="AH22" s="363">
        <f>Summary!AH86</f>
        <v>163.11621029748079</v>
      </c>
      <c r="AI22" s="363">
        <f>Summary!AI86</f>
        <v>173.99062431731281</v>
      </c>
      <c r="AJ22" s="363">
        <f>Summary!AJ86</f>
        <v>184.86503833714488</v>
      </c>
      <c r="AK22" s="363">
        <f>Summary!AK86</f>
        <v>195.73945235697698</v>
      </c>
      <c r="AL22" s="363">
        <f>Summary!AL86</f>
        <v>206.61386637680897</v>
      </c>
      <c r="AM22" s="363">
        <f>Summary!AM86</f>
        <v>217.48828039664099</v>
      </c>
      <c r="AN22" s="363">
        <f>Summary!AN86</f>
        <v>228.36269441647306</v>
      </c>
      <c r="AO22" s="363">
        <f>Summary!AO86</f>
        <v>239.23710843630516</v>
      </c>
      <c r="AP22" s="363">
        <f>Summary!AP86</f>
        <v>250.11152245613718</v>
      </c>
      <c r="AQ22" s="363">
        <f>Summary!AQ86</f>
        <v>260.9859364759692</v>
      </c>
      <c r="AS22" s="7">
        <f>ROW()</f>
        <v>22</v>
      </c>
    </row>
    <row r="23" spans="2:45" ht="13.95" customHeight="1">
      <c r="B23" s="803" t="str">
        <f>CONCATENATE("Felt tax in nominal $ per ton of CO2 (taken directly from 'Summary' tab, Row ",Summary!AR88, ")")</f>
        <v>Felt tax in nominal $ per ton of CO2 (taken directly from 'Summary' tab, Row 88)</v>
      </c>
      <c r="K23" s="12"/>
      <c r="L23" s="151"/>
      <c r="M23"/>
      <c r="N23"/>
      <c r="O23"/>
      <c r="P23"/>
      <c r="Q23" s="151"/>
      <c r="R23" s="151"/>
      <c r="S23" s="250"/>
      <c r="T23" s="522">
        <f>Summary!T88</f>
        <v>11.337868480725623</v>
      </c>
      <c r="U23" s="363">
        <f>Summary!U88</f>
        <v>23.153901748198756</v>
      </c>
      <c r="V23" s="363">
        <f>Summary!V88</f>
        <v>35.463224441830718</v>
      </c>
      <c r="W23" s="363">
        <f>Summary!W88</f>
        <v>48.281386446747597</v>
      </c>
      <c r="X23" s="363">
        <f>Summary!X88</f>
        <v>61.624374102771327</v>
      </c>
      <c r="Y23" s="363">
        <f>Summary!Y88</f>
        <v>75.508621697038393</v>
      </c>
      <c r="Z23" s="363">
        <f>Summary!Z88</f>
        <v>89.951023247233749</v>
      </c>
      <c r="AA23" s="363">
        <f>Summary!AA88</f>
        <v>104.96894458258619</v>
      </c>
      <c r="AB23" s="363">
        <f>Summary!AB88</f>
        <v>120.58023572994358</v>
      </c>
      <c r="AC23" s="363">
        <f>Summary!AC88</f>
        <v>136.80324361242219</v>
      </c>
      <c r="AD23" s="363">
        <f>Summary!AD88</f>
        <v>153.65682506830512</v>
      </c>
      <c r="AE23" s="363">
        <f>Summary!AE88</f>
        <v>171.1603601980494</v>
      </c>
      <c r="AF23" s="363">
        <f>Summary!AF88</f>
        <v>189.33376604745072</v>
      </c>
      <c r="AG23" s="363">
        <f>Summary!AG88</f>
        <v>208.19751063520698</v>
      </c>
      <c r="AH23" s="363">
        <f>Summary!AH88</f>
        <v>227.77262733332276</v>
      </c>
      <c r="AI23" s="363">
        <f>Summary!AI88</f>
        <v>248.08072960899591</v>
      </c>
      <c r="AJ23" s="363">
        <f>Summary!AJ88</f>
        <v>269.1440261368387</v>
      </c>
      <c r="AK23" s="363">
        <f>Summary!AK88</f>
        <v>290.98533629049541</v>
      </c>
      <c r="AL23" s="363">
        <f>Summary!AL88</f>
        <v>313.62810602293854</v>
      </c>
      <c r="AM23" s="363">
        <f>Summary!AM88</f>
        <v>337.09642414494658</v>
      </c>
      <c r="AN23" s="363">
        <f>Summary!AN88</f>
        <v>361.41503901149451</v>
      </c>
      <c r="AO23" s="363">
        <f>Summary!AO88</f>
        <v>386.60937562602271</v>
      </c>
      <c r="AP23" s="363">
        <f>Summary!AP88</f>
        <v>412.70555317278786</v>
      </c>
      <c r="AQ23" s="363">
        <f>Summary!AQ88</f>
        <v>439.73040298774407</v>
      </c>
      <c r="AS23" s="7">
        <f>ROW()</f>
        <v>23</v>
      </c>
    </row>
    <row r="24" spans="2:45" s="31" customFormat="1" ht="13.95" customHeight="1">
      <c r="B24"/>
      <c r="C24"/>
      <c r="D24"/>
      <c r="E24"/>
      <c r="F24"/>
      <c r="G24"/>
      <c r="H24"/>
      <c r="I24"/>
      <c r="J24"/>
      <c r="K24"/>
      <c r="L24"/>
      <c r="M24"/>
      <c r="N24"/>
      <c r="O24"/>
      <c r="P24"/>
      <c r="Q24"/>
      <c r="R24"/>
      <c r="S24" s="26"/>
      <c r="T24" s="399"/>
      <c r="U24" s="363"/>
      <c r="V24" s="363"/>
      <c r="W24" s="363"/>
      <c r="X24" s="363"/>
      <c r="Y24" s="363"/>
      <c r="Z24" s="363"/>
      <c r="AA24" s="363"/>
      <c r="AB24" s="363"/>
      <c r="AC24" s="363"/>
      <c r="AD24" s="363"/>
      <c r="AE24" s="363"/>
      <c r="AF24" s="363"/>
      <c r="AG24" s="363"/>
      <c r="AH24" s="363"/>
      <c r="AI24" s="363"/>
      <c r="AJ24" s="363"/>
      <c r="AK24" s="363"/>
      <c r="AL24" s="363"/>
      <c r="AM24" s="363"/>
      <c r="AN24" s="363"/>
      <c r="AO24" s="363"/>
      <c r="AP24" s="363"/>
      <c r="AQ24" s="363"/>
      <c r="AS24" s="81">
        <f>ROW()</f>
        <v>24</v>
      </c>
    </row>
    <row r="25" spans="2:45" s="31" customFormat="1" ht="13.95" customHeight="1">
      <c r="B25" s="8" t="s">
        <v>671</v>
      </c>
      <c r="C25"/>
      <c r="D25"/>
      <c r="E25"/>
      <c r="F25"/>
      <c r="G25"/>
      <c r="H25" s="536" t="s">
        <v>670</v>
      </c>
      <c r="I25" s="129">
        <f>Other_Petrol!I33</f>
        <v>19.138175684593421</v>
      </c>
      <c r="J25" s="129">
        <f>Other_Petrol!J33</f>
        <v>18.569379976959922</v>
      </c>
      <c r="K25" s="129">
        <f>Other_Petrol!K33</f>
        <v>19.189390308291607</v>
      </c>
      <c r="L25" s="129">
        <f>Other_Petrol!L33</f>
        <v>18.67079249547244</v>
      </c>
      <c r="M25" s="129">
        <f>Other_Petrol!M33</f>
        <v>17.708574944104974</v>
      </c>
      <c r="N25" s="129">
        <f>Other_Petrol!N33</f>
        <v>18.309884452191767</v>
      </c>
      <c r="O25" s="129">
        <f>Other_Petrol!O33</f>
        <v>18.229476296257388</v>
      </c>
      <c r="P25" s="129">
        <f>Other_Petrol!P33</f>
        <v>17.565823933095288</v>
      </c>
      <c r="Q25" s="129">
        <f>Other_Petrol!Q33</f>
        <v>19.31873689381878</v>
      </c>
      <c r="R25" s="129">
        <f>Other_Petrol!R33</f>
        <v>20.251465629233643</v>
      </c>
      <c r="S25" s="296">
        <f>Other_Petrol!S33</f>
        <v>19.783620493404278</v>
      </c>
      <c r="T25" s="399"/>
      <c r="U25" s="363"/>
      <c r="V25" s="363"/>
      <c r="W25" s="363"/>
      <c r="X25" s="363"/>
      <c r="Y25" s="363"/>
      <c r="Z25" s="363"/>
      <c r="AA25" s="363"/>
      <c r="AB25" s="363"/>
      <c r="AC25" s="363"/>
      <c r="AD25" s="363"/>
      <c r="AE25" s="363"/>
      <c r="AF25" s="363"/>
      <c r="AG25" s="363"/>
      <c r="AH25" s="363"/>
      <c r="AI25" s="363"/>
      <c r="AJ25" s="363"/>
      <c r="AK25" s="363"/>
      <c r="AL25" s="363"/>
      <c r="AM25" s="363"/>
      <c r="AN25" s="363"/>
      <c r="AO25" s="363"/>
      <c r="AP25" s="363"/>
      <c r="AQ25" s="363"/>
      <c r="AS25" s="81">
        <f>ROW()</f>
        <v>25</v>
      </c>
    </row>
    <row r="26" spans="2:45" s="31" customFormat="1" ht="13.95" customHeight="1">
      <c r="B26" s="84" t="str">
        <f>CONCATENATE("All values through ",S14, " are from 'Other_Petrol' tab, Row ",Other_Petrol!AS14, ". (Those are drawn from 'Energy' tab, Row ",Energy!R65, ", except that ",S14, " value was prorated from other figures in that tab; see note in 'Other_Petrol' tab, Row ",Other_Petrol!AS34, ".)")</f>
        <v>All values through 2015 are from 'Other_Petrol' tab, Row 14. (Those are drawn from 'Energy' tab, Row 65, except that 2015 value was prorated from other figures in that tab; see note in 'Other_Petrol' tab, Row 34.)</v>
      </c>
      <c r="C26"/>
      <c r="D26"/>
      <c r="E26"/>
      <c r="F26"/>
      <c r="G26"/>
      <c r="H26"/>
      <c r="I26"/>
      <c r="J26" s="327"/>
      <c r="K26" s="328"/>
      <c r="L26"/>
      <c r="M26"/>
      <c r="N26" s="67"/>
      <c r="O26" s="67"/>
      <c r="P26" s="67"/>
      <c r="Q26" s="67"/>
      <c r="R26" s="67"/>
      <c r="S26" s="26"/>
      <c r="T26" s="399"/>
      <c r="U26" s="363"/>
      <c r="V26" s="363"/>
      <c r="W26" s="363"/>
      <c r="X26" s="363"/>
      <c r="Y26" s="363"/>
      <c r="Z26" s="363"/>
      <c r="AA26" s="363"/>
      <c r="AB26" s="363"/>
      <c r="AC26" s="363"/>
      <c r="AD26" s="363"/>
      <c r="AE26" s="363"/>
      <c r="AF26" s="363"/>
      <c r="AG26" s="363"/>
      <c r="AH26" s="363"/>
      <c r="AI26" s="363"/>
      <c r="AJ26" s="363"/>
      <c r="AK26" s="363"/>
      <c r="AL26" s="363"/>
      <c r="AM26" s="363"/>
      <c r="AN26" s="363"/>
      <c r="AO26" s="363"/>
      <c r="AP26" s="363"/>
      <c r="AQ26" s="363"/>
      <c r="AS26" s="81">
        <f>ROW()</f>
        <v>26</v>
      </c>
    </row>
    <row r="27" spans="2:45" s="31" customFormat="1" ht="13.95" customHeight="1">
      <c r="B27" s="8" t="s">
        <v>669</v>
      </c>
      <c r="C27"/>
      <c r="D27"/>
      <c r="E27"/>
      <c r="F27"/>
      <c r="G27"/>
      <c r="H27"/>
      <c r="I27" s="1032">
        <v>0.56999999999999995</v>
      </c>
      <c r="J27" s="1032">
        <v>0.54</v>
      </c>
      <c r="K27" s="1032">
        <v>0.55000000000000004</v>
      </c>
      <c r="L27" s="1032">
        <v>0.56999999999999995</v>
      </c>
      <c r="M27" s="1032">
        <v>0.52</v>
      </c>
      <c r="N27" s="1032">
        <v>0.52</v>
      </c>
      <c r="O27" s="1032">
        <v>0.53</v>
      </c>
      <c r="P27" s="1032">
        <v>0.53</v>
      </c>
      <c r="Q27" s="1032">
        <v>0.53</v>
      </c>
      <c r="R27" s="1032">
        <v>0.55000000000000004</v>
      </c>
      <c r="S27" s="1032">
        <v>0.56999999999999995</v>
      </c>
      <c r="T27" s="399"/>
      <c r="U27" s="363"/>
      <c r="V27" s="363"/>
      <c r="W27" s="363"/>
      <c r="X27" s="363"/>
      <c r="Y27" s="363"/>
      <c r="Z27" s="363"/>
      <c r="AA27" s="363"/>
      <c r="AB27" s="363"/>
      <c r="AC27" s="363"/>
      <c r="AD27" s="363"/>
      <c r="AE27" s="363"/>
      <c r="AF27" s="363"/>
      <c r="AG27" s="363"/>
      <c r="AH27" s="363"/>
      <c r="AI27" s="363"/>
      <c r="AJ27" s="363"/>
      <c r="AK27" s="363"/>
      <c r="AL27" s="363"/>
      <c r="AM27" s="363"/>
      <c r="AN27" s="363"/>
      <c r="AO27" s="363"/>
      <c r="AP27" s="363"/>
      <c r="AQ27" s="363"/>
      <c r="AS27" s="81">
        <f>ROW()</f>
        <v>27</v>
      </c>
    </row>
    <row r="28" spans="2:45" s="31" customFormat="1" ht="13.95" customHeight="1">
      <c r="B28" s="84" t="str">
        <f>CONCATENATE("CTC assumptions; yearly variations assist true-up of sum of oil consumption in 'Graph_Oil' tab, Row ",Graph_Oil!AS53," to EIA data copied from 'Energy' tab, Row ",Energy!R21, ". Complements of percents shown are considered to be other petroleum products.")</f>
        <v>CTC assumptions; yearly variations assist true-up of sum of oil consumption in 'Graph_Oil' tab, Row 53 to EIA data copied from 'Energy' tab, Row 21. Complements of percents shown are considered to be other petroleum products.</v>
      </c>
      <c r="C28"/>
      <c r="D28"/>
      <c r="E28"/>
      <c r="F28"/>
      <c r="G28"/>
      <c r="H28"/>
      <c r="I28"/>
      <c r="J28" s="327"/>
      <c r="K28" s="328"/>
      <c r="L28"/>
      <c r="M28"/>
      <c r="N28" s="67"/>
      <c r="O28" s="67"/>
      <c r="P28" s="67"/>
      <c r="Q28" s="67"/>
      <c r="R28" s="67"/>
      <c r="S28" s="26"/>
      <c r="T28" s="399"/>
      <c r="U28" s="363"/>
      <c r="V28" s="363"/>
      <c r="W28" s="363"/>
      <c r="X28" s="363"/>
      <c r="Y28" s="363"/>
      <c r="Z28" s="363"/>
      <c r="AA28" s="363"/>
      <c r="AB28" s="363"/>
      <c r="AC28" s="363"/>
      <c r="AD28" s="363"/>
      <c r="AE28" s="363"/>
      <c r="AF28" s="363"/>
      <c r="AG28" s="363"/>
      <c r="AH28" s="363"/>
      <c r="AI28" s="363"/>
      <c r="AJ28" s="363"/>
      <c r="AK28" s="363"/>
      <c r="AL28" s="363"/>
      <c r="AM28" s="363"/>
      <c r="AN28" s="363"/>
      <c r="AO28" s="363"/>
      <c r="AP28" s="363"/>
      <c r="AQ28" s="363"/>
      <c r="AS28" s="81">
        <f>ROW()</f>
        <v>28</v>
      </c>
    </row>
    <row r="29" spans="2:45" ht="13.95" customHeight="1">
      <c r="B29" s="8" t="s">
        <v>672</v>
      </c>
      <c r="I29" s="129">
        <f t="shared" ref="I29:S29" si="1">I27*I25</f>
        <v>10.908760140218249</v>
      </c>
      <c r="J29" s="129">
        <f t="shared" si="1"/>
        <v>10.027465187558359</v>
      </c>
      <c r="K29" s="129">
        <f t="shared" si="1"/>
        <v>10.554164669560384</v>
      </c>
      <c r="L29" s="129">
        <f t="shared" si="1"/>
        <v>10.64235172241929</v>
      </c>
      <c r="M29" s="129">
        <f t="shared" si="1"/>
        <v>9.2084589709345863</v>
      </c>
      <c r="N29" s="129">
        <f t="shared" si="1"/>
        <v>9.5211399151397185</v>
      </c>
      <c r="O29" s="129">
        <f t="shared" si="1"/>
        <v>9.6616224370164172</v>
      </c>
      <c r="P29" s="129">
        <f t="shared" si="1"/>
        <v>9.3098866845405031</v>
      </c>
      <c r="Q29" s="129">
        <f t="shared" si="1"/>
        <v>10.238930553723954</v>
      </c>
      <c r="R29" s="129">
        <f t="shared" si="1"/>
        <v>11.138306096078505</v>
      </c>
      <c r="S29" s="296">
        <f t="shared" si="1"/>
        <v>11.276663681240437</v>
      </c>
      <c r="T29" s="151"/>
      <c r="U29" s="12"/>
      <c r="V29" s="12"/>
      <c r="W29" s="12"/>
      <c r="X29" s="12"/>
      <c r="Y29" s="12"/>
      <c r="AS29" s="7">
        <f>ROW()</f>
        <v>29</v>
      </c>
    </row>
    <row r="30" spans="2:45" ht="13.95" customHeight="1">
      <c r="B30" s="84" t="str">
        <f>CONCATENATE("Product of Rows ",AS27, " and ",AS25, ".")</f>
        <v>Product of Rows 27 and 25.</v>
      </c>
      <c r="J30" s="327"/>
      <c r="K30" s="328"/>
      <c r="M30"/>
      <c r="S30" s="26"/>
      <c r="AS30" s="7">
        <f>ROW()</f>
        <v>30</v>
      </c>
    </row>
    <row r="31" spans="2:45" ht="13.95" customHeight="1">
      <c r="B31" s="8" t="s">
        <v>474</v>
      </c>
      <c r="I31" s="129">
        <f>I29*Parameters!$I$37</f>
        <v>559.00938167437994</v>
      </c>
      <c r="J31" s="129">
        <f>J29*Parameters!$I$37</f>
        <v>513.84823226539675</v>
      </c>
      <c r="K31" s="129">
        <f>K29*Parameters!$I$37</f>
        <v>540.83846286700918</v>
      </c>
      <c r="L31" s="129">
        <f>L29*Parameters!$I$37</f>
        <v>545.35752729382648</v>
      </c>
      <c r="M31" s="129">
        <f>M29*Parameters!$I$37</f>
        <v>471.87901185377547</v>
      </c>
      <c r="N31" s="129">
        <f>N29*Parameters!$I$37</f>
        <v>487.90205929773322</v>
      </c>
      <c r="O31" s="129">
        <f>O29*Parameters!$I$37</f>
        <v>495.10095694338077</v>
      </c>
      <c r="P31" s="129">
        <f>P29*Parameters!$I$37</f>
        <v>477.07658176444318</v>
      </c>
      <c r="Q31" s="129">
        <f>Q29*Parameters!$I$37</f>
        <v>524.68458049070568</v>
      </c>
      <c r="R31" s="129">
        <f>R29*Parameters!$I$37</f>
        <v>570.77225309165624</v>
      </c>
      <c r="S31" s="296">
        <f>S29*Parameters!$I$37</f>
        <v>577.86226030945033</v>
      </c>
      <c r="AS31" s="7">
        <f>ROW()</f>
        <v>31</v>
      </c>
    </row>
    <row r="32" spans="2:45" ht="13.95" customHeight="1">
      <c r="B32" s="84" t="str">
        <f>CONCATENATE("Product of Row ",AS29, " and kg of CO2 per million btu of natural gas from 'Parameter' tab, Row ",Parameters!B35, ". Note that billions on either side of fraction bar cancel out.")</f>
        <v>Product of Row 29 and kg of CO2 per million btu of natural gas from 'Parameter' tab, Row 35. Note that billions on either side of fraction bar cancel out.</v>
      </c>
      <c r="J32" s="327"/>
      <c r="K32" s="328"/>
      <c r="M32"/>
      <c r="S32" s="26"/>
      <c r="AS32" s="7">
        <f>ROW()</f>
        <v>32</v>
      </c>
    </row>
    <row r="33" spans="2:45" ht="13.95" customHeight="1">
      <c r="S33" s="756"/>
      <c r="AS33" s="7">
        <f>ROW()</f>
        <v>33</v>
      </c>
    </row>
    <row r="34" spans="2:45" ht="13.95" customHeight="1">
      <c r="B34" s="1127" t="s">
        <v>831</v>
      </c>
      <c r="C34" s="1343"/>
      <c r="D34" s="1343"/>
      <c r="E34" s="1343"/>
      <c r="F34" s="1343"/>
      <c r="G34" s="1343"/>
      <c r="H34" s="1343"/>
      <c r="I34" s="1343"/>
      <c r="J34" s="1343"/>
      <c r="K34" s="1343"/>
      <c r="L34" s="1343"/>
      <c r="M34" s="1343"/>
      <c r="N34" s="1343"/>
      <c r="O34" s="1343"/>
      <c r="P34" s="1343"/>
      <c r="Q34" s="1343"/>
      <c r="R34" s="1343"/>
      <c r="S34" s="1344"/>
      <c r="AS34" s="7">
        <f>ROW()</f>
        <v>34</v>
      </c>
    </row>
    <row r="35" spans="2:45" ht="13.95" customHeight="1">
      <c r="B35" s="1345"/>
      <c r="C35" s="1346"/>
      <c r="D35" s="1346"/>
      <c r="E35" s="1346"/>
      <c r="F35" s="1346"/>
      <c r="G35" s="1346"/>
      <c r="H35" s="1346"/>
      <c r="I35" s="1346"/>
      <c r="J35" s="1346"/>
      <c r="K35" s="1346"/>
      <c r="L35" s="1346"/>
      <c r="M35" s="1346"/>
      <c r="N35" s="1346"/>
      <c r="O35" s="1346"/>
      <c r="P35" s="1346"/>
      <c r="Q35" s="1346"/>
      <c r="R35" s="1346"/>
      <c r="S35" s="1347"/>
      <c r="AS35" s="7">
        <f>ROW()</f>
        <v>35</v>
      </c>
    </row>
    <row r="36" spans="2:45" ht="13.95" customHeight="1">
      <c r="B36" s="1345"/>
      <c r="C36" s="1346"/>
      <c r="D36" s="1346"/>
      <c r="E36" s="1346"/>
      <c r="F36" s="1346"/>
      <c r="G36" s="1346"/>
      <c r="H36" s="1346"/>
      <c r="I36" s="1346"/>
      <c r="J36" s="1346"/>
      <c r="K36" s="1346"/>
      <c r="L36" s="1346"/>
      <c r="M36" s="1346"/>
      <c r="N36" s="1346"/>
      <c r="O36" s="1346"/>
      <c r="P36" s="1346"/>
      <c r="Q36" s="1346"/>
      <c r="R36" s="1346"/>
      <c r="S36" s="1347"/>
      <c r="AS36" s="7">
        <f>ROW()</f>
        <v>36</v>
      </c>
    </row>
    <row r="37" spans="2:45" ht="13.95" customHeight="1">
      <c r="B37" s="1348"/>
      <c r="C37" s="1349"/>
      <c r="D37" s="1349"/>
      <c r="E37" s="1349"/>
      <c r="F37" s="1349"/>
      <c r="G37" s="1349"/>
      <c r="H37" s="1349"/>
      <c r="I37" s="1349"/>
      <c r="J37" s="1349"/>
      <c r="K37" s="1349"/>
      <c r="L37" s="1349"/>
      <c r="M37" s="1349"/>
      <c r="N37" s="1349"/>
      <c r="O37" s="1349"/>
      <c r="P37" s="1349"/>
      <c r="Q37" s="1349"/>
      <c r="R37" s="1349"/>
      <c r="S37" s="1350"/>
      <c r="AS37" s="7">
        <f>ROW()</f>
        <v>37</v>
      </c>
    </row>
    <row r="38" spans="2:45" ht="13.95" customHeight="1">
      <c r="B38" s="8" t="s">
        <v>682</v>
      </c>
      <c r="J38" s="327"/>
      <c r="K38" s="328"/>
      <c r="M38"/>
      <c r="S38" s="26"/>
      <c r="AS38" s="7">
        <f>ROW()</f>
        <v>38</v>
      </c>
    </row>
    <row r="39" spans="2:45" ht="13.95" customHeight="1">
      <c r="I39" s="12">
        <f t="shared" ref="I39:AQ39" si="2">I$14</f>
        <v>2005</v>
      </c>
      <c r="J39" s="12">
        <f t="shared" si="2"/>
        <v>2006</v>
      </c>
      <c r="K39" s="12">
        <f t="shared" si="2"/>
        <v>2007</v>
      </c>
      <c r="L39" s="12">
        <f t="shared" si="2"/>
        <v>2008</v>
      </c>
      <c r="M39" s="12">
        <f t="shared" si="2"/>
        <v>2009</v>
      </c>
      <c r="N39" s="12">
        <f t="shared" si="2"/>
        <v>2010</v>
      </c>
      <c r="O39" s="12">
        <f t="shared" si="2"/>
        <v>2011</v>
      </c>
      <c r="P39" s="12">
        <f t="shared" si="2"/>
        <v>2012</v>
      </c>
      <c r="Q39" s="178">
        <f t="shared" si="2"/>
        <v>2013</v>
      </c>
      <c r="R39" s="178">
        <f t="shared" si="2"/>
        <v>2014</v>
      </c>
      <c r="S39" s="338">
        <f t="shared" si="2"/>
        <v>2015</v>
      </c>
      <c r="T39" s="12">
        <f t="shared" si="2"/>
        <v>2017</v>
      </c>
      <c r="U39" s="12">
        <f t="shared" si="2"/>
        <v>2018</v>
      </c>
      <c r="V39" s="12">
        <f t="shared" si="2"/>
        <v>2019</v>
      </c>
      <c r="W39" s="12">
        <f t="shared" si="2"/>
        <v>2020</v>
      </c>
      <c r="X39" s="12">
        <f t="shared" si="2"/>
        <v>2021</v>
      </c>
      <c r="Y39" s="12">
        <f t="shared" si="2"/>
        <v>2022</v>
      </c>
      <c r="Z39" s="12">
        <f t="shared" si="2"/>
        <v>2023</v>
      </c>
      <c r="AA39" s="12">
        <f t="shared" si="2"/>
        <v>2024</v>
      </c>
      <c r="AB39" s="12">
        <f t="shared" si="2"/>
        <v>2025</v>
      </c>
      <c r="AC39" s="12">
        <f t="shared" si="2"/>
        <v>2026</v>
      </c>
      <c r="AD39" s="12">
        <f t="shared" si="2"/>
        <v>2027</v>
      </c>
      <c r="AE39" s="12">
        <f t="shared" si="2"/>
        <v>2028</v>
      </c>
      <c r="AF39" s="12">
        <f t="shared" si="2"/>
        <v>2029</v>
      </c>
      <c r="AG39" s="12">
        <f t="shared" si="2"/>
        <v>2030</v>
      </c>
      <c r="AH39" s="12">
        <f t="shared" si="2"/>
        <v>2031</v>
      </c>
      <c r="AI39" s="12">
        <f t="shared" si="2"/>
        <v>2032</v>
      </c>
      <c r="AJ39" s="12">
        <f t="shared" si="2"/>
        <v>2033</v>
      </c>
      <c r="AK39" s="12">
        <f t="shared" si="2"/>
        <v>2034</v>
      </c>
      <c r="AL39" s="12">
        <f t="shared" si="2"/>
        <v>2035</v>
      </c>
      <c r="AM39" s="12">
        <f t="shared" si="2"/>
        <v>2036</v>
      </c>
      <c r="AN39" s="12">
        <f t="shared" si="2"/>
        <v>2037</v>
      </c>
      <c r="AO39" s="12">
        <f t="shared" si="2"/>
        <v>2038</v>
      </c>
      <c r="AP39" s="12">
        <f t="shared" si="2"/>
        <v>2039</v>
      </c>
      <c r="AQ39" s="12">
        <f t="shared" si="2"/>
        <v>2040</v>
      </c>
      <c r="AS39" s="7">
        <f>ROW()</f>
        <v>39</v>
      </c>
    </row>
    <row r="40" spans="2:45" ht="13.95" customHeight="1">
      <c r="D40" s="31"/>
      <c r="K40" s="12"/>
      <c r="L40" s="12"/>
      <c r="M40" s="12"/>
      <c r="N40" s="12"/>
      <c r="O40" s="12"/>
      <c r="P40" s="12"/>
      <c r="Q40" s="178"/>
      <c r="R40" s="178"/>
      <c r="S40" s="338"/>
      <c r="AS40" s="7">
        <f>ROW()</f>
        <v>40</v>
      </c>
    </row>
    <row r="41" spans="2:45" ht="13.95" customHeight="1">
      <c r="B41" s="31" t="s">
        <v>399</v>
      </c>
      <c r="I41" s="326">
        <f>1000*Energy!G93/Energy!$D$51</f>
        <v>10.089965047878545</v>
      </c>
      <c r="J41" s="326">
        <f>1000*Energy!H93/Energy!$D$51</f>
        <v>10.085781030124707</v>
      </c>
      <c r="K41" s="326">
        <f>1000*Energy!I93/Energy!$D$51</f>
        <v>9.7367174228985149</v>
      </c>
      <c r="L41" s="326">
        <f>1000*Energy!J93/Energy!$D$51</f>
        <v>11.139160216947776</v>
      </c>
      <c r="M41" s="326">
        <f>1000*Energy!K93/Energy!$D$51</f>
        <v>8.1760092120317047</v>
      </c>
      <c r="N41" s="326">
        <f>1000*Energy!L93/Energy!$D$51</f>
        <v>7.7995994048842023</v>
      </c>
      <c r="O41" s="326">
        <f>1000*Energy!M93/Energy!$D$51</f>
        <v>7.3713687786155484</v>
      </c>
      <c r="P41" s="326">
        <f>1000*Energy!N93/Energy!$D$51</f>
        <v>6.2710011913259907</v>
      </c>
      <c r="Q41" s="326">
        <f>1000*Energy!O93/Energy!$D$51</f>
        <v>6.7389302930076393</v>
      </c>
      <c r="R41" s="326">
        <f>1000*Energy!P93/Energy!$D$51</f>
        <v>7.522780241674365</v>
      </c>
      <c r="S41" s="339">
        <f>1000*Energy!Q93/Energy!$D$51</f>
        <v>6.2118628387400054</v>
      </c>
      <c r="AS41" s="7">
        <f>ROW()</f>
        <v>41</v>
      </c>
    </row>
    <row r="42" spans="2:45" ht="13.95" customHeight="1">
      <c r="B42" s="84" t="str">
        <f>CONCATENATE("Ratio of Row ",Energy!R93, " in 'Energy' tab (deliv'd $/mcf) to Cell D",Energy!R52, " in 'Energy' tab (btu/mcf)")</f>
        <v>Ratio of Row 93 in 'Energy' tab (deliv'd $/mcf) to Cell D52 in 'Energy' tab (btu/mcf)</v>
      </c>
      <c r="M42"/>
      <c r="N42"/>
      <c r="P42"/>
      <c r="S42" s="26"/>
      <c r="AS42" s="7">
        <f>ROW()</f>
        <v>42</v>
      </c>
    </row>
    <row r="43" spans="2:45" ht="13.95" customHeight="1">
      <c r="B43" s="31" t="s">
        <v>400</v>
      </c>
      <c r="I43" s="326">
        <f>1000*Energy!G100/Energy!$D$51</f>
        <v>7.1234207968901844</v>
      </c>
      <c r="J43" s="326">
        <f>1000*Energy!H100/Energy!$D$51</f>
        <v>6.2099125364431487</v>
      </c>
      <c r="K43" s="326">
        <f>1000*Energy!I100/Energy!$D$51</f>
        <v>6.073858114674441</v>
      </c>
      <c r="L43" s="326">
        <f>1000*Energy!J100/Energy!$D$51</f>
        <v>7.7453838678328477</v>
      </c>
      <c r="M43" s="326">
        <f>1000*Energy!K100/Energy!$D$51</f>
        <v>3.5665694849368319</v>
      </c>
      <c r="N43" s="326">
        <f>1000*Energy!L100/Energy!$D$51</f>
        <v>4.3537414965986398</v>
      </c>
      <c r="O43" s="326">
        <f>1000*Energy!M100/Energy!$D$51</f>
        <v>3.8386783284742467</v>
      </c>
      <c r="P43" s="326">
        <f>1000*Energy!N100/Energy!$D$51</f>
        <v>2.5850340136054424</v>
      </c>
      <c r="Q43" s="326">
        <f>1000*Energy!O100/Energy!$D$51</f>
        <v>2.6670118364470521</v>
      </c>
      <c r="R43" s="326">
        <f>1000*Energy!P100/Energy!$D$51</f>
        <v>3.0299988847998214</v>
      </c>
      <c r="S43" s="339">
        <f>1000*Energy!Q100/Energy!$D$51</f>
        <v>2.3226433430515061</v>
      </c>
      <c r="AS43" s="7">
        <f>ROW()</f>
        <v>43</v>
      </c>
    </row>
    <row r="44" spans="2:45" ht="13.95" customHeight="1">
      <c r="B44" s="84" t="str">
        <f>CONCATENATE("Ratio of Row ",Energy!R100, " in 'Energy' tab (wellhead $/mcf) to Cell D",Energy!R52, " in 'Energy' tab (btu/mcf)")</f>
        <v>Ratio of Row 100 in 'Energy' tab (wellhead $/mcf) to Cell D52 in 'Energy' tab (btu/mcf)</v>
      </c>
      <c r="M44"/>
      <c r="N44"/>
      <c r="P44"/>
      <c r="S44" s="26"/>
      <c r="AS44" s="7">
        <f>ROW()</f>
        <v>44</v>
      </c>
    </row>
    <row r="45" spans="2:45" ht="13.95" customHeight="1">
      <c r="B45" s="14" t="s">
        <v>676</v>
      </c>
      <c r="I45" s="184">
        <f t="shared" ref="I45" si="3">I41-I43</f>
        <v>2.9665442509883606</v>
      </c>
      <c r="J45" s="184">
        <f t="shared" ref="J45" si="4">J41-J43</f>
        <v>3.8758684936815584</v>
      </c>
      <c r="K45" s="184">
        <f t="shared" ref="K45:O45" si="5">K41-K43</f>
        <v>3.6628593082240739</v>
      </c>
      <c r="L45" s="184">
        <f t="shared" si="5"/>
        <v>3.393776349114928</v>
      </c>
      <c r="M45" s="184">
        <f t="shared" si="5"/>
        <v>4.6094397270948733</v>
      </c>
      <c r="N45" s="184">
        <f t="shared" si="5"/>
        <v>3.4458579082855625</v>
      </c>
      <c r="O45" s="184">
        <f t="shared" si="5"/>
        <v>3.5326904501413017</v>
      </c>
      <c r="P45" s="184">
        <f t="shared" ref="P45:S45" si="6">P41-P43</f>
        <v>3.6859671777205483</v>
      </c>
      <c r="Q45" s="326">
        <f t="shared" si="6"/>
        <v>4.0719184565605868</v>
      </c>
      <c r="R45" s="326">
        <f t="shared" si="6"/>
        <v>4.4927813568745432</v>
      </c>
      <c r="S45" s="339">
        <f t="shared" si="6"/>
        <v>3.8892194956884993</v>
      </c>
      <c r="AS45" s="7">
        <f>ROW()</f>
        <v>45</v>
      </c>
    </row>
    <row r="46" spans="2:45" ht="13.95" customHeight="1">
      <c r="B46" s="84" t="str">
        <f>CONCATENATE("Row ",AS41, " less Row ",AS43, ".")</f>
        <v>Row 41 less Row 43.</v>
      </c>
      <c r="M46"/>
      <c r="N46"/>
      <c r="O46"/>
      <c r="P46"/>
      <c r="S46" s="26"/>
      <c r="AS46" s="7">
        <f>ROW()</f>
        <v>46</v>
      </c>
    </row>
    <row r="47" spans="2:45" ht="13.95" customHeight="1">
      <c r="B47" s="14" t="s">
        <v>1198</v>
      </c>
      <c r="I47" s="184">
        <f>I43/AEO!$O$28^(I$39-$S$39)</f>
        <v>8.6507679044917829</v>
      </c>
      <c r="J47" s="184">
        <f>J43/AEO!$O$28^(J$39-$S$39)</f>
        <v>7.3963071456239682</v>
      </c>
      <c r="K47" s="184">
        <f>K43/AEO!$O$28^(K$39-$S$39)</f>
        <v>7.0950831731751807</v>
      </c>
      <c r="L47" s="184">
        <f>L43/AEO!$O$28^(L$39-$S$39)</f>
        <v>8.8735865355709418</v>
      </c>
      <c r="M47" s="184">
        <f>M43/AEO!$O$28^(M$39-$S$39)</f>
        <v>4.0074704229099574</v>
      </c>
      <c r="N47" s="184">
        <f>N43/AEO!$O$28^(N$39-$S$39)</f>
        <v>4.7978389898764595</v>
      </c>
      <c r="O47" s="184">
        <f>O43/AEO!$O$28^(O$39-$S$39)</f>
        <v>4.1488539325761744</v>
      </c>
      <c r="P47" s="184">
        <f>P43/AEO!$O$28^(P$39-$S$39)</f>
        <v>2.7401609946749486</v>
      </c>
      <c r="Q47" s="184">
        <f>Q43/AEO!$O$28^(Q$39-$S$39)</f>
        <v>2.7726698199080899</v>
      </c>
      <c r="R47" s="184">
        <f>R43/AEO!$O$28^(R$39-$S$39)</f>
        <v>3.0894350879812666</v>
      </c>
      <c r="S47" s="339">
        <f>S43/AEO!$O$28^(S$39-$S$39)</f>
        <v>2.3226433430515061</v>
      </c>
      <c r="T47" s="184">
        <f>S47*IF(T$14&gt;=2040,AEO!$R13,IF(T$14&gt;=2031,AEO!$Q13,IF(T$14&gt;=2021,AEO!$P13,AEO!$O13)))</f>
        <v>2.5799008355159381</v>
      </c>
      <c r="U47" s="184">
        <f>T47*IF(U$14&gt;=2040,AEO!$R13,IF(U$14&gt;=2031,AEO!$Q13,IF(U$14&gt;=2021,AEO!$P13,AEO!$O13)))</f>
        <v>2.8656523357354038</v>
      </c>
      <c r="V47" s="184">
        <f>U47*IF(V$14&gt;=2040,AEO!$R13,IF(V$14&gt;=2031,AEO!$Q13,IF(V$14&gt;=2021,AEO!$P13,AEO!$O13)))</f>
        <v>3.183053858604421</v>
      </c>
      <c r="W47" s="184">
        <f>V47*IF(W$14&gt;=2040,AEO!$R13,IF(W$14&gt;=2031,AEO!$Q13,IF(W$14&gt;=2021,AEO!$P13,AEO!$O13)))</f>
        <v>3.5356109812868808</v>
      </c>
      <c r="X47" s="184">
        <f>W47*IF(X$14&gt;=2040,AEO!$R13,IF(X$14&gt;=2031,AEO!$Q13,IF(X$14&gt;=2021,AEO!$P13,AEO!$O13)))</f>
        <v>3.5829368455959014</v>
      </c>
      <c r="Y47" s="184">
        <f>X47*IF(Y$14&gt;=2040,AEO!$R13,IF(Y$14&gt;=2031,AEO!$Q13,IF(Y$14&gt;=2021,AEO!$P13,AEO!$O13)))</f>
        <v>3.6308961895056049</v>
      </c>
      <c r="Z47" s="184">
        <f>Y47*IF(Z$14&gt;=2040,AEO!$R13,IF(Z$14&gt;=2031,AEO!$Q13,IF(Z$14&gt;=2021,AEO!$P13,AEO!$O13)))</f>
        <v>3.6794974924470663</v>
      </c>
      <c r="AA47" s="184">
        <f>Z47*IF(AA$14&gt;=2040,AEO!$R13,IF(AA$14&gt;=2031,AEO!$Q13,IF(AA$14&gt;=2021,AEO!$P13,AEO!$O13)))</f>
        <v>3.7287493473526503</v>
      </c>
      <c r="AB47" s="184">
        <f>AA47*IF(AB$14&gt;=2040,AEO!$R13,IF(AB$14&gt;=2031,AEO!$Q13,IF(AB$14&gt;=2021,AEO!$P13,AEO!$O13)))</f>
        <v>3.7786604621752802</v>
      </c>
      <c r="AC47" s="184">
        <f>AB47*IF(AC$14&gt;=2040,AEO!$R13,IF(AC$14&gt;=2031,AEO!$Q13,IF(AC$14&gt;=2021,AEO!$P13,AEO!$O13)))</f>
        <v>3.8292396614280437</v>
      </c>
      <c r="AD47" s="184">
        <f>AC47*IF(AD$14&gt;=2040,AEO!$R13,IF(AD$14&gt;=2031,AEO!$Q13,IF(AD$14&gt;=2021,AEO!$P13,AEO!$O13)))</f>
        <v>3.880495887744408</v>
      </c>
      <c r="AE47" s="184">
        <f>AD47*IF(AE$14&gt;=2040,AEO!$R13,IF(AE$14&gt;=2031,AEO!$Q13,IF(AE$14&gt;=2021,AEO!$P13,AEO!$O13)))</f>
        <v>3.9324382034593173</v>
      </c>
      <c r="AF47" s="184">
        <f>AE47*IF(AF$14&gt;=2040,AEO!$R13,IF(AF$14&gt;=2031,AEO!$Q13,IF(AF$14&gt;=2021,AEO!$P13,AEO!$O13)))</f>
        <v>3.9850757922114557</v>
      </c>
      <c r="AG47" s="184">
        <f>AF47*IF(AG$14&gt;=2040,AEO!$R13,IF(AG$14&gt;=2031,AEO!$Q13,IF(AG$14&gt;=2021,AEO!$P13,AEO!$O13)))</f>
        <v>4.0384179605669566</v>
      </c>
      <c r="AH47" s="184">
        <f>AG47*IF(AH$14&gt;=2040,AEO!$R13,IF(AH$14&gt;=2031,AEO!$Q13,IF(AH$14&gt;=2021,AEO!$P13,AEO!$O13)))</f>
        <v>4.0221646056162808</v>
      </c>
      <c r="AI47" s="184">
        <f>AH47*IF(AI$14&gt;=2040,AEO!$R13,IF(AI$14&gt;=2031,AEO!$Q13,IF(AI$14&gt;=2021,AEO!$P13,AEO!$O13)))</f>
        <v>4.0059766652783892</v>
      </c>
      <c r="AJ47" s="184">
        <f>AI47*IF(AJ$14&gt;=2040,AEO!$R13,IF(AJ$14&gt;=2031,AEO!$Q13,IF(AJ$14&gt;=2021,AEO!$P13,AEO!$O13)))</f>
        <v>3.9898538762801565</v>
      </c>
      <c r="AK47" s="184">
        <f>AJ47*IF(AK$14&gt;=2040,AEO!$R13,IF(AK$14&gt;=2031,AEO!$Q13,IF(AK$14&gt;=2021,AEO!$P13,AEO!$O13)))</f>
        <v>3.9737959764080473</v>
      </c>
      <c r="AL47" s="184">
        <f>AK47*IF(AL$14&gt;=2040,AEO!$R13,IF(AL$14&gt;=2031,AEO!$Q13,IF(AL$14&gt;=2021,AEO!$P13,AEO!$O13)))</f>
        <v>3.9578027045038531</v>
      </c>
      <c r="AM47" s="184">
        <f>AL47*IF(AM$14&gt;=2040,AEO!$R13,IF(AM$14&gt;=2031,AEO!$Q13,IF(AM$14&gt;=2021,AEO!$P13,AEO!$O13)))</f>
        <v>3.9418738004604452</v>
      </c>
      <c r="AN47" s="184">
        <f>AM47*IF(AN$14&gt;=2040,AEO!$R13,IF(AN$14&gt;=2031,AEO!$Q13,IF(AN$14&gt;=2021,AEO!$P13,AEO!$O13)))</f>
        <v>3.9260090052175429</v>
      </c>
      <c r="AO47" s="184">
        <f>AN47*IF(AO$14&gt;=2040,AEO!$R13,IF(AO$14&gt;=2031,AEO!$Q13,IF(AO$14&gt;=2021,AEO!$P13,AEO!$O13)))</f>
        <v>3.9102080607575016</v>
      </c>
      <c r="AP47" s="184">
        <f>AO47*IF(AP$14&gt;=2040,AEO!$R13,IF(AP$14&gt;=2031,AEO!$Q13,IF(AP$14&gt;=2021,AEO!$P13,AEO!$O13)))</f>
        <v>3.8944707101011162</v>
      </c>
      <c r="AQ47" s="184">
        <f>AP47*IF(AQ$14&gt;=2040,AEO!$R13,IF(AQ$14&gt;=2031,AEO!$Q13,IF(AQ$14&gt;=2021,AEO!$P13,AEO!$O13)))</f>
        <v>3.878796697303442</v>
      </c>
      <c r="AS47" s="7">
        <f>ROW()</f>
        <v>47</v>
      </c>
    </row>
    <row r="48" spans="2:45" ht="13.95" customHeight="1">
      <c r="B48" s="84" t="str">
        <f>CONCATENATE("Historical prices adjust Row ",AS43, " figures to ",S39, " dollars using 2013-2020 inflation rate in 'AEO' tab. Future prices apply projected escalation in same tab, Row ",AEO!V13, ", to figure in Cell S",AS43, ".")</f>
        <v>Historical prices adjust Row 43 figures to 2015 dollars using 2013-2020 inflation rate in 'AEO' tab. Future prices apply projected escalation in same tab, Row 13, to figure in Cell S43.</v>
      </c>
      <c r="M48"/>
      <c r="N48"/>
      <c r="O48"/>
      <c r="P48"/>
      <c r="S48" s="26"/>
      <c r="AS48" s="7">
        <f>ROW()</f>
        <v>48</v>
      </c>
    </row>
    <row r="49" spans="2:45" ht="13.95" customHeight="1">
      <c r="B49" s="14" t="s">
        <v>1201</v>
      </c>
      <c r="I49" s="184">
        <f>I45/AEO!$O$28^(I$39-$S$39)</f>
        <v>3.6026070234273075</v>
      </c>
      <c r="J49" s="184">
        <f>J45/AEO!$O$28^(J$39-$S$39)</f>
        <v>4.6163474392081172</v>
      </c>
      <c r="K49" s="184">
        <f>K45/AEO!$O$28^(K$39-$S$39)</f>
        <v>4.2787123032559817</v>
      </c>
      <c r="L49" s="184">
        <f>L45/AEO!$O$28^(L$39-$S$39)</f>
        <v>3.8881182172668067</v>
      </c>
      <c r="M49" s="184">
        <f>M45/AEO!$O$28^(M$39-$S$39)</f>
        <v>5.1792607575808987</v>
      </c>
      <c r="N49" s="184">
        <f>N45/AEO!$O$28^(N$39-$S$39)</f>
        <v>3.7973479681471121</v>
      </c>
      <c r="O49" s="184">
        <f>O45/AEO!$O$28^(O$39-$S$39)</f>
        <v>3.8181414050571352</v>
      </c>
      <c r="P49" s="184">
        <f>P45/AEO!$O$28^(P$39-$S$39)</f>
        <v>3.9071607703741229</v>
      </c>
      <c r="Q49" s="184">
        <f>Q45/AEO!$O$28^(Q$39-$S$39)</f>
        <v>4.2332340859321906</v>
      </c>
      <c r="R49" s="184">
        <f>R45/AEO!$O$28^(R$39-$S$39)</f>
        <v>4.5809113779503257</v>
      </c>
      <c r="S49" s="339">
        <f>S45/AEO!$O$28^(S$39-$S$39)</f>
        <v>3.8892194956884993</v>
      </c>
      <c r="T49" s="184">
        <f>S49</f>
        <v>3.8892194956884993</v>
      </c>
      <c r="U49" s="184">
        <f>T49</f>
        <v>3.8892194956884993</v>
      </c>
      <c r="V49" s="184">
        <f t="shared" ref="V49:AQ49" si="7">U49</f>
        <v>3.8892194956884993</v>
      </c>
      <c r="W49" s="184">
        <f t="shared" si="7"/>
        <v>3.8892194956884993</v>
      </c>
      <c r="X49" s="184">
        <f t="shared" si="7"/>
        <v>3.8892194956884993</v>
      </c>
      <c r="Y49" s="184">
        <f t="shared" si="7"/>
        <v>3.8892194956884993</v>
      </c>
      <c r="Z49" s="184">
        <f t="shared" si="7"/>
        <v>3.8892194956884993</v>
      </c>
      <c r="AA49" s="184">
        <f t="shared" si="7"/>
        <v>3.8892194956884993</v>
      </c>
      <c r="AB49" s="184">
        <f t="shared" si="7"/>
        <v>3.8892194956884993</v>
      </c>
      <c r="AC49" s="184">
        <f t="shared" si="7"/>
        <v>3.8892194956884993</v>
      </c>
      <c r="AD49" s="184">
        <f t="shared" si="7"/>
        <v>3.8892194956884993</v>
      </c>
      <c r="AE49" s="184">
        <f t="shared" si="7"/>
        <v>3.8892194956884993</v>
      </c>
      <c r="AF49" s="184">
        <f t="shared" si="7"/>
        <v>3.8892194956884993</v>
      </c>
      <c r="AG49" s="184">
        <f t="shared" si="7"/>
        <v>3.8892194956884993</v>
      </c>
      <c r="AH49" s="184">
        <f t="shared" si="7"/>
        <v>3.8892194956884993</v>
      </c>
      <c r="AI49" s="184">
        <f t="shared" si="7"/>
        <v>3.8892194956884993</v>
      </c>
      <c r="AJ49" s="184">
        <f t="shared" si="7"/>
        <v>3.8892194956884993</v>
      </c>
      <c r="AK49" s="184">
        <f t="shared" si="7"/>
        <v>3.8892194956884993</v>
      </c>
      <c r="AL49" s="184">
        <f t="shared" si="7"/>
        <v>3.8892194956884993</v>
      </c>
      <c r="AM49" s="184">
        <f t="shared" si="7"/>
        <v>3.8892194956884993</v>
      </c>
      <c r="AN49" s="184">
        <f t="shared" si="7"/>
        <v>3.8892194956884993</v>
      </c>
      <c r="AO49" s="184">
        <f t="shared" si="7"/>
        <v>3.8892194956884993</v>
      </c>
      <c r="AP49" s="184">
        <f t="shared" si="7"/>
        <v>3.8892194956884993</v>
      </c>
      <c r="AQ49" s="184">
        <f t="shared" si="7"/>
        <v>3.8892194956884993</v>
      </c>
      <c r="AS49" s="7">
        <f>ROW()</f>
        <v>49</v>
      </c>
    </row>
    <row r="50" spans="2:45" ht="13.95" customHeight="1">
      <c r="B50" s="84" t="str">
        <f>CONCATENATE("Historical prices adjust Row ",AS45, " figures to ",S39, " dollars using 2013-2020 inflation rate in 'AEO' tab. Future prices are assumed unchanged in real terms from ",S39, ".")</f>
        <v>Historical prices adjust Row 45 figures to 2015 dollars using 2013-2020 inflation rate in 'AEO' tab. Future prices are assumed unchanged in real terms from 2015.</v>
      </c>
      <c r="M50"/>
      <c r="N50"/>
      <c r="O50"/>
      <c r="P50"/>
      <c r="Q50"/>
      <c r="R50"/>
      <c r="S50" s="26"/>
      <c r="AS50" s="7">
        <f>ROW()</f>
        <v>50</v>
      </c>
    </row>
    <row r="51" spans="2:45" ht="13.95" customHeight="1">
      <c r="B51" s="14" t="s">
        <v>1199</v>
      </c>
      <c r="I51" s="184">
        <f t="shared" ref="I51:AQ51" si="8">I47+I49</f>
        <v>12.25337492791909</v>
      </c>
      <c r="J51" s="184">
        <f t="shared" si="8"/>
        <v>12.012654584832084</v>
      </c>
      <c r="K51" s="184">
        <f t="shared" si="8"/>
        <v>11.373795476431162</v>
      </c>
      <c r="L51" s="184">
        <f t="shared" si="8"/>
        <v>12.761704752837748</v>
      </c>
      <c r="M51" s="184">
        <f t="shared" si="8"/>
        <v>9.186731180490856</v>
      </c>
      <c r="N51" s="184">
        <f t="shared" si="8"/>
        <v>8.5951869580235716</v>
      </c>
      <c r="O51" s="184">
        <f t="shared" si="8"/>
        <v>7.9669953376333096</v>
      </c>
      <c r="P51" s="184">
        <f t="shared" si="8"/>
        <v>6.647321765049071</v>
      </c>
      <c r="Q51" s="184">
        <f t="shared" si="8"/>
        <v>7.005903905840281</v>
      </c>
      <c r="R51" s="184">
        <f t="shared" si="8"/>
        <v>7.6703464659315923</v>
      </c>
      <c r="S51" s="339">
        <f t="shared" si="8"/>
        <v>6.2118628387400054</v>
      </c>
      <c r="T51" s="326">
        <f t="shared" si="8"/>
        <v>6.4691203312044374</v>
      </c>
      <c r="U51" s="326">
        <f t="shared" si="8"/>
        <v>6.7548718314239036</v>
      </c>
      <c r="V51" s="326">
        <f t="shared" si="8"/>
        <v>7.0722733542929204</v>
      </c>
      <c r="W51" s="326">
        <f t="shared" si="8"/>
        <v>7.4248304769753801</v>
      </c>
      <c r="X51" s="326">
        <f t="shared" si="8"/>
        <v>7.4721563412844008</v>
      </c>
      <c r="Y51" s="326">
        <f t="shared" si="8"/>
        <v>7.5201156851941047</v>
      </c>
      <c r="Z51" s="326">
        <f t="shared" si="8"/>
        <v>7.5687169881355656</v>
      </c>
      <c r="AA51" s="326">
        <f t="shared" si="8"/>
        <v>7.6179688430411492</v>
      </c>
      <c r="AB51" s="326">
        <f t="shared" si="8"/>
        <v>7.6678799578637795</v>
      </c>
      <c r="AC51" s="326">
        <f t="shared" si="8"/>
        <v>7.7184591571165431</v>
      </c>
      <c r="AD51" s="326">
        <f t="shared" si="8"/>
        <v>7.7697153834329074</v>
      </c>
      <c r="AE51" s="326">
        <f t="shared" si="8"/>
        <v>7.8216576991478171</v>
      </c>
      <c r="AF51" s="326">
        <f t="shared" si="8"/>
        <v>7.8742952878999546</v>
      </c>
      <c r="AG51" s="326">
        <f t="shared" si="8"/>
        <v>7.9276374562554555</v>
      </c>
      <c r="AH51" s="326">
        <f t="shared" si="8"/>
        <v>7.9113841013047796</v>
      </c>
      <c r="AI51" s="326">
        <f t="shared" si="8"/>
        <v>7.8951961609668881</v>
      </c>
      <c r="AJ51" s="326">
        <f t="shared" si="8"/>
        <v>7.8790733719686559</v>
      </c>
      <c r="AK51" s="326">
        <f t="shared" si="8"/>
        <v>7.8630154720965466</v>
      </c>
      <c r="AL51" s="326">
        <f t="shared" si="8"/>
        <v>7.8470222001923524</v>
      </c>
      <c r="AM51" s="326">
        <f t="shared" si="8"/>
        <v>7.8310932961489446</v>
      </c>
      <c r="AN51" s="326">
        <f t="shared" si="8"/>
        <v>7.8152285009060423</v>
      </c>
      <c r="AO51" s="326">
        <f t="shared" si="8"/>
        <v>7.7994275564460009</v>
      </c>
      <c r="AP51" s="326">
        <f t="shared" si="8"/>
        <v>7.7836902057896156</v>
      </c>
      <c r="AQ51" s="326">
        <f t="shared" si="8"/>
        <v>7.7680161929919418</v>
      </c>
      <c r="AS51" s="7">
        <f>ROW()</f>
        <v>51</v>
      </c>
    </row>
    <row r="52" spans="2:45" ht="13.95" customHeight="1">
      <c r="B52" s="84" t="str">
        <f>CONCATENATE("Row ",AS47, " plus Row ",AS49, ".")</f>
        <v>Row 47 plus Row 49.</v>
      </c>
      <c r="M52"/>
      <c r="N52"/>
      <c r="S52" s="26"/>
      <c r="AS52" s="7">
        <f>ROW()</f>
        <v>52</v>
      </c>
    </row>
    <row r="53" spans="2:45" ht="13.95" customHeight="1">
      <c r="B53" s="31" t="s">
        <v>401</v>
      </c>
      <c r="M53"/>
      <c r="N53"/>
      <c r="S53" s="26"/>
      <c r="T53" s="184">
        <f>T51*AEO!$S$28^(T39-$S$39)</f>
        <v>6.74482646765337</v>
      </c>
      <c r="U53" s="184">
        <f>U51*AEO!$S$28^(U39-$S$39)</f>
        <v>7.1912674292715577</v>
      </c>
      <c r="V53" s="184">
        <f>V51*AEO!$S$28^(V39-$S$39)</f>
        <v>7.6879427501370277</v>
      </c>
      <c r="W53" s="184">
        <f>W51*AEO!$S$28^(W39-$S$39)</f>
        <v>8.2413891200634577</v>
      </c>
      <c r="X53" s="184">
        <f>X51*AEO!$S$28^(X39-$S$39)</f>
        <v>8.4688141703991633</v>
      </c>
      <c r="Y53" s="184">
        <f>Y51*AEO!$S$28^(Y39-$S$39)</f>
        <v>8.7028991379168943</v>
      </c>
      <c r="Z53" s="184">
        <f>Z51*AEO!$S$28^(Z39-$S$39)</f>
        <v>8.9438492503056288</v>
      </c>
      <c r="AA53" s="184">
        <f>AA51*AEO!$S$28^(AA39-$S$39)</f>
        <v>9.1918763146536513</v>
      </c>
      <c r="AB53" s="184">
        <f>AB51*AEO!$S$28^(AB39-$S$39)</f>
        <v>9.4471989344479059</v>
      </c>
      <c r="AC53" s="184">
        <f>AC51*AEO!$S$28^(AC39-$S$39)</f>
        <v>9.7100427338691038</v>
      </c>
      <c r="AD53" s="184">
        <f>AD51*AEO!$S$28^(AD39-$S$39)</f>
        <v>9.980640589630994</v>
      </c>
      <c r="AE53" s="184">
        <f>AE51*AEO!$S$28^(AE39-$S$39)</f>
        <v>10.259232870620639</v>
      </c>
      <c r="AF53" s="184">
        <f>AF51*AEO!$S$28^(AF39-$S$39)</f>
        <v>10.546067685605449</v>
      </c>
      <c r="AG53" s="184">
        <f>AG51*AEO!$S$28^(AG39-$S$39)</f>
        <v>10.84140113928181</v>
      </c>
      <c r="AH53" s="184">
        <f>AH51*AEO!$S$28^(AH39-$S$39)</f>
        <v>11.047318591517685</v>
      </c>
      <c r="AI53" s="184">
        <f>AI51*AEO!$S$28^(AI39-$S$39)</f>
        <v>11.257192918894052</v>
      </c>
      <c r="AJ53" s="184">
        <f>AJ51*AEO!$S$28^(AJ39-$S$39)</f>
        <v>11.471101018526708</v>
      </c>
      <c r="AK53" s="184">
        <f>AK51*AEO!$S$28^(AK39-$S$39)</f>
        <v>11.689121298002995</v>
      </c>
      <c r="AL53" s="184">
        <f>AL51*AEO!$S$28^(AL39-$S$39)</f>
        <v>11.911333705347648</v>
      </c>
      <c r="AM53" s="184">
        <f>AM51*AEO!$S$28^(AM39-$S$39)</f>
        <v>12.137819759588496</v>
      </c>
      <c r="AN53" s="184">
        <f>AN51*AEO!$S$28^(AN39-$S$39)</f>
        <v>12.368662581934185</v>
      </c>
      <c r="AO53" s="184">
        <f>AO51*AEO!$S$28^(AO39-$S$39)</f>
        <v>12.603946927576208</v>
      </c>
      <c r="AP53" s="184">
        <f>AP51*AEO!$S$28^(AP39-$S$39)</f>
        <v>12.843759218127897</v>
      </c>
      <c r="AQ53" s="184">
        <f>AQ51*AEO!$S$28^(AQ39-$S$39)</f>
        <v>13.088187574713199</v>
      </c>
      <c r="AS53" s="7">
        <f>ROW()</f>
        <v>53</v>
      </c>
    </row>
    <row r="54" spans="2:45" ht="13.95" customHeight="1">
      <c r="B54" s="84" t="str">
        <f>CONCATENATE("Row ",AS51, " figures adjusted to ",S39, " dollars using projected inflation rates in 'AEO' tab.")</f>
        <v>Row 51 figures adjusted to 2015 dollars using projected inflation rates in 'AEO' tab.</v>
      </c>
      <c r="M54"/>
      <c r="N54"/>
      <c r="S54" s="26"/>
      <c r="AS54" s="7">
        <f>ROW()</f>
        <v>54</v>
      </c>
    </row>
    <row r="55" spans="2:45" ht="13.95" customHeight="1">
      <c r="B55" s="14" t="s">
        <v>830</v>
      </c>
      <c r="M55"/>
      <c r="N55"/>
      <c r="S55" s="26"/>
      <c r="T55" s="334">
        <f t="shared" ref="T55:AQ55" si="9">T51/S51</f>
        <v>1.0414139041931283</v>
      </c>
      <c r="U55" s="334">
        <f t="shared" si="9"/>
        <v>1.0441716161687573</v>
      </c>
      <c r="V55" s="334">
        <f t="shared" si="9"/>
        <v>1.0469885337264955</v>
      </c>
      <c r="W55" s="334">
        <f t="shared" si="9"/>
        <v>1.0498506074384772</v>
      </c>
      <c r="X55" s="334">
        <f t="shared" si="9"/>
        <v>1.0063739993062171</v>
      </c>
      <c r="Y55" s="334">
        <f t="shared" si="9"/>
        <v>1.0064184074474893</v>
      </c>
      <c r="Z55" s="334">
        <f t="shared" si="9"/>
        <v>1.0064628397987478</v>
      </c>
      <c r="AA55" s="334">
        <f t="shared" si="9"/>
        <v>1.0065072924490093</v>
      </c>
      <c r="AB55" s="334">
        <f t="shared" si="9"/>
        <v>1.0065517614801252</v>
      </c>
      <c r="AC55" s="334">
        <f t="shared" si="9"/>
        <v>1.0065962429681612</v>
      </c>
      <c r="AD55" s="334">
        <f t="shared" si="9"/>
        <v>1.0066407329847831</v>
      </c>
      <c r="AE55" s="334">
        <f t="shared" si="9"/>
        <v>1.0066852275986409</v>
      </c>
      <c r="AF55" s="334">
        <f t="shared" si="9"/>
        <v>1.0067297228767595</v>
      </c>
      <c r="AG55" s="334">
        <f t="shared" si="9"/>
        <v>1.00677421488593</v>
      </c>
      <c r="AH55" s="334">
        <f t="shared" si="9"/>
        <v>0.9979497857917492</v>
      </c>
      <c r="AI55" s="334">
        <f t="shared" si="9"/>
        <v>0.99795384219365335</v>
      </c>
      <c r="AJ55" s="334">
        <f t="shared" si="9"/>
        <v>0.99795789887046227</v>
      </c>
      <c r="AK55" s="334">
        <f t="shared" si="9"/>
        <v>0.99796195578921265</v>
      </c>
      <c r="AL55" s="334">
        <f t="shared" si="9"/>
        <v>0.99796601291693376</v>
      </c>
      <c r="AM55" s="334">
        <f t="shared" si="9"/>
        <v>0.99797007022064788</v>
      </c>
      <c r="AN55" s="334">
        <f t="shared" si="9"/>
        <v>0.99797412766737126</v>
      </c>
      <c r="AO55" s="334">
        <f t="shared" si="9"/>
        <v>0.99797818522411608</v>
      </c>
      <c r="AP55" s="334">
        <f t="shared" si="9"/>
        <v>0.99798224285789039</v>
      </c>
      <c r="AQ55" s="334">
        <f t="shared" si="9"/>
        <v>0.99798630053570025</v>
      </c>
      <c r="AS55" s="7">
        <f>ROW()</f>
        <v>55</v>
      </c>
    </row>
    <row r="56" spans="2:45" ht="13.95" customHeight="1">
      <c r="B56" s="84" t="str">
        <f>CONCATENATE("Ratio of instant to prior year in Row ",AS51, ".")</f>
        <v>Ratio of instant to prior year in Row 51.</v>
      </c>
      <c r="K56" s="119"/>
      <c r="L56" s="119"/>
      <c r="M56" s="119"/>
      <c r="N56" s="119"/>
      <c r="O56" s="119"/>
      <c r="P56" s="119"/>
      <c r="Q56" s="119"/>
      <c r="R56" s="119"/>
      <c r="S56" s="252"/>
      <c r="AS56" s="7">
        <f>ROW()</f>
        <v>56</v>
      </c>
    </row>
    <row r="57" spans="2:45" ht="13.95" customHeight="1">
      <c r="B57" s="31" t="s">
        <v>481</v>
      </c>
      <c r="I57" s="119">
        <f t="shared" ref="I57:S57" si="10">1000*I29</f>
        <v>10908.760140218248</v>
      </c>
      <c r="J57" s="119">
        <f t="shared" si="10"/>
        <v>10027.465187558359</v>
      </c>
      <c r="K57" s="119">
        <f t="shared" si="10"/>
        <v>10554.164669560385</v>
      </c>
      <c r="L57" s="119">
        <f t="shared" si="10"/>
        <v>10642.351722419291</v>
      </c>
      <c r="M57" s="119">
        <f t="shared" si="10"/>
        <v>9208.4589709345855</v>
      </c>
      <c r="N57" s="119">
        <f t="shared" si="10"/>
        <v>9521.1399151397181</v>
      </c>
      <c r="O57" s="119">
        <f t="shared" si="10"/>
        <v>9661.6224370164164</v>
      </c>
      <c r="P57" s="119">
        <f t="shared" si="10"/>
        <v>9309.8866845405028</v>
      </c>
      <c r="Q57" s="119">
        <f t="shared" si="10"/>
        <v>10238.930553723954</v>
      </c>
      <c r="R57" s="119">
        <f t="shared" si="10"/>
        <v>11138.306096078506</v>
      </c>
      <c r="S57" s="252">
        <f t="shared" si="10"/>
        <v>11276.663681240438</v>
      </c>
      <c r="T57" s="119">
        <f>S57*((AEO!O27^Parameters!$I$13)*(T55^Parameters!$H$13))^(T14-S14)</f>
        <v>11105.834807078734</v>
      </c>
      <c r="U57" s="119">
        <f>T57*(U55^Parameters!$H13)*IF(T$14&gt;=2040,AEO!$R27,IF(T$14&gt;=2031,AEO!$Q27,IF(T$14&gt;=2021,AEO!$P27,AEO!$O27)))^Parameters!$I$13</f>
        <v>11006.82962338468</v>
      </c>
      <c r="V57" s="119">
        <f>U57*(V55^Parameters!$H13)*IF(U$14&gt;=2040,AEO!$R27,IF(U$14&gt;=2031,AEO!$Q27,IF(U$14&gt;=2021,AEO!$P27,AEO!$O27)))^Parameters!$I$13</f>
        <v>10894.022245570897</v>
      </c>
      <c r="W57" s="119">
        <f>V57*(W55^Parameters!$H13)*IF(V$14&gt;=2040,AEO!$R27,IF(V$14&gt;=2031,AEO!$Q27,IF(V$14&gt;=2021,AEO!$P27,AEO!$O27)))^Parameters!$I$13</f>
        <v>10767.663682521854</v>
      </c>
      <c r="X57" s="119">
        <f>W57*(X55^Parameters!$H13)*IF(W$14&gt;=2040,AEO!$R27,IF(W$14&gt;=2031,AEO!$Q27,IF(W$14&gt;=2021,AEO!$P27,AEO!$O27)))^Parameters!$I$13</f>
        <v>10870.230541040304</v>
      </c>
      <c r="Y57" s="119">
        <f>X57*(Y55^Parameters!$H13)*IF(X$14&gt;=2040,AEO!$R27,IF(X$14&gt;=2031,AEO!$Q27,IF(X$14&gt;=2021,AEO!$P27,AEO!$O27)))^Parameters!$I$13</f>
        <v>10955.172925594454</v>
      </c>
      <c r="Z57" s="119">
        <f>Y57*(Z55^Parameters!$H13)*IF(Y$14&gt;=2040,AEO!$R27,IF(Y$14&gt;=2031,AEO!$Q27,IF(Y$14&gt;=2021,AEO!$P27,AEO!$O27)))^Parameters!$I$13</f>
        <v>11040.535357194389</v>
      </c>
      <c r="AA57" s="119">
        <f>Z57*(AA55^Parameters!$H13)*IF(Z$14&gt;=2040,AEO!$R27,IF(Z$14&gt;=2031,AEO!$Q27,IF(Z$14&gt;=2021,AEO!$P27,AEO!$O27)))^Parameters!$I$13</f>
        <v>11126.317224259887</v>
      </c>
      <c r="AB57" s="119">
        <f>AA57*(AB55^Parameters!$H13)*IF(AA$14&gt;=2040,AEO!$R27,IF(AA$14&gt;=2031,AEO!$Q27,IF(AA$14&gt;=2021,AEO!$P27,AEO!$O27)))^Parameters!$I$13</f>
        <v>11212.517902046842</v>
      </c>
      <c r="AC57" s="119">
        <f>AB57*(AC55^Parameters!$H13)*IF(AB$14&gt;=2040,AEO!$R27,IF(AB$14&gt;=2031,AEO!$Q27,IF(AB$14&gt;=2021,AEO!$P27,AEO!$O27)))^Parameters!$I$13</f>
        <v>11299.136753281724</v>
      </c>
      <c r="AD57" s="119">
        <f>AC57*(AD55^Parameters!$H13)*IF(AC$14&gt;=2040,AEO!$R27,IF(AC$14&gt;=2031,AEO!$Q27,IF(AC$14&gt;=2021,AEO!$P27,AEO!$O27)))^Parameters!$I$13</f>
        <v>11386.173128803855</v>
      </c>
      <c r="AE57" s="119">
        <f>AD57*(AE55^Parameters!$H13)*IF(AD$14&gt;=2040,AEO!$R27,IF(AD$14&gt;=2031,AEO!$Q27,IF(AD$14&gt;=2021,AEO!$P27,AEO!$O27)))^Parameters!$I$13</f>
        <v>11473.6263682151</v>
      </c>
      <c r="AF57" s="119">
        <f>AE57*(AF55^Parameters!$H13)*IF(AE$14&gt;=2040,AEO!$R27,IF(AE$14&gt;=2031,AEO!$Q27,IF(AE$14&gt;=2021,AEO!$P27,AEO!$O27)))^Parameters!$I$13</f>
        <v>11561.495800536506</v>
      </c>
      <c r="AG57" s="119">
        <f>AF57*(AG55^Parameters!$H13)*IF(AF$14&gt;=2040,AEO!$R27,IF(AF$14&gt;=2031,AEO!$Q27,IF(AF$14&gt;=2021,AEO!$P27,AEO!$O27)))^Parameters!$I$13</f>
        <v>11649.780744871519</v>
      </c>
      <c r="AH57" s="119">
        <f>AG57*(AH55^Parameters!$H13)*IF(AG$14&gt;=2040,AEO!$R27,IF(AG$14&gt;=2031,AEO!$Q27,IF(AG$14&gt;=2021,AEO!$P27,AEO!$O27)))^Parameters!$I$13</f>
        <v>11790.525860510914</v>
      </c>
      <c r="AI57" s="119">
        <f>AH57*(AI55^Parameters!$H13)*IF(AH$14&gt;=2040,AEO!$R27,IF(AH$14&gt;=2031,AEO!$Q27,IF(AH$14&gt;=2021,AEO!$P27,AEO!$O27)))^Parameters!$I$13</f>
        <v>11924.735504667557</v>
      </c>
      <c r="AJ57" s="119">
        <f>AI57*(AJ55^Parameters!$H13)*IF(AI$14&gt;=2040,AEO!$R27,IF(AI$14&gt;=2031,AEO!$Q27,IF(AI$14&gt;=2021,AEO!$P27,AEO!$O27)))^Parameters!$I$13</f>
        <v>12060.448322640199</v>
      </c>
      <c r="AK57" s="119">
        <f>AJ57*(AK55^Parameters!$H13)*IF(AJ$14&gt;=2040,AEO!$R27,IF(AJ$14&gt;=2031,AEO!$Q27,IF(AJ$14&gt;=2021,AEO!$P27,AEO!$O27)))^Parameters!$I$13</f>
        <v>12197.680865535513</v>
      </c>
      <c r="AL57" s="119">
        <f>AK57*(AL55^Parameters!$H13)*IF(AK$14&gt;=2040,AEO!$R27,IF(AK$14&gt;=2031,AEO!$Q27,IF(AK$14&gt;=2021,AEO!$P27,AEO!$O27)))^Parameters!$I$13</f>
        <v>12336.449863645277</v>
      </c>
      <c r="AM57" s="119">
        <f>AL57*(AM55^Parameters!$H13)*IF(AL$14&gt;=2040,AEO!$R27,IF(AL$14&gt;=2031,AEO!$Q27,IF(AL$14&gt;=2021,AEO!$P27,AEO!$O27)))^Parameters!$I$13</f>
        <v>12476.772228356738</v>
      </c>
      <c r="AN57" s="119">
        <f>AM57*(AN55^Parameters!$H13)*IF(AM$14&gt;=2040,AEO!$R27,IF(AM$14&gt;=2031,AEO!$Q27,IF(AM$14&gt;=2021,AEO!$P27,AEO!$O27)))^Parameters!$I$13</f>
        <v>12618.665054083103</v>
      </c>
      <c r="AO57" s="119">
        <f>AN57*(AO55^Parameters!$H13)*IF(AN$14&gt;=2040,AEO!$R27,IF(AN$14&gt;=2031,AEO!$Q27,IF(AN$14&gt;=2021,AEO!$P27,AEO!$O27)))^Parameters!$I$13</f>
        <v>12762.145620214358</v>
      </c>
      <c r="AP57" s="119">
        <f>AO57*(AP55^Parameters!$H13)*IF(AO$14&gt;=2040,AEO!$R27,IF(AO$14&gt;=2031,AEO!$Q27,IF(AO$14&gt;=2021,AEO!$P27,AEO!$O27)))^Parameters!$I$13</f>
        <v>12907.231393088623</v>
      </c>
      <c r="AQ57" s="119">
        <f>AP57*(AQ55^Parameters!$H13)*IF(AP$14&gt;=2040,AEO!$R27,IF(AP$14&gt;=2031,AEO!$Q27,IF(AP$14&gt;=2021,AEO!$P27,AEO!$O27)))^Parameters!$I$13</f>
        <v>13053.940027984281</v>
      </c>
      <c r="AR57" s="119"/>
      <c r="AS57" s="7">
        <f>ROW()</f>
        <v>57</v>
      </c>
    </row>
    <row r="58" spans="2:45" ht="13.95" customHeight="1">
      <c r="B58" s="1145" t="str">
        <f>CONCATENATE("Historical figures are Row ",AS29, " figures multiplied by 1,000. Projections for ",T14, " and later apply (i) 'other' sector's income-elasticity in 'Parameters' page, Row ",Parameters!B13,", to assumed real GDP growth rate in 'AEO' tab, Row ",AEO!$V$27, ", with IF statement selecting applicable growth rate for income; and (ii) 'other' sector's price-elasticity in  'Parameters' page, Row ",Parameters!B13,", to year-on-year real increase in natural gas price in Row ",AS55, ". First-year value dispenses with IF statement and pivots off year ",S39, ".")</f>
        <v>Historical figures are Row 29 figures multiplied by 1,000. Projections for 2017 and later apply (i) 'other' sector's income-elasticity in 'Parameters' page, Row 13, to assumed real GDP growth rate in 'AEO' tab, Row 27, with IF statement selecting applicable growth rate for income; and (ii) 'other' sector's price-elasticity in  'Parameters' page, Row 13, to year-on-year real increase in natural gas price in Row 55. First-year value dispenses with IF statement and pivots off year 2015.</v>
      </c>
      <c r="C58" s="1145"/>
      <c r="D58" s="1145"/>
      <c r="E58" s="1145"/>
      <c r="F58" s="1145"/>
      <c r="G58" s="1145"/>
      <c r="H58" s="1145"/>
      <c r="I58" s="1145"/>
      <c r="J58" s="1145"/>
      <c r="K58" s="1145"/>
      <c r="L58" s="1145"/>
      <c r="M58" s="1145"/>
      <c r="N58" s="1145"/>
      <c r="O58" s="248"/>
      <c r="P58" s="248"/>
      <c r="Q58" s="754"/>
      <c r="R58" s="754"/>
      <c r="S58" s="342"/>
      <c r="AS58" s="7">
        <f>ROW()</f>
        <v>58</v>
      </c>
    </row>
    <row r="59" spans="2:45" ht="13.95" customHeight="1">
      <c r="B59" s="1145"/>
      <c r="C59" s="1145"/>
      <c r="D59" s="1145"/>
      <c r="E59" s="1145"/>
      <c r="F59" s="1145"/>
      <c r="G59" s="1145"/>
      <c r="H59" s="1145"/>
      <c r="I59" s="1145"/>
      <c r="J59" s="1145"/>
      <c r="K59" s="1145"/>
      <c r="L59" s="1145"/>
      <c r="M59" s="1145"/>
      <c r="N59" s="1145"/>
      <c r="O59" s="248"/>
      <c r="P59" s="248"/>
      <c r="Q59" s="754"/>
      <c r="R59" s="754"/>
      <c r="S59" s="342"/>
      <c r="AS59" s="7">
        <f>ROW()</f>
        <v>59</v>
      </c>
    </row>
    <row r="60" spans="2:45" ht="13.95" customHeight="1">
      <c r="B60" s="1145"/>
      <c r="C60" s="1145"/>
      <c r="D60" s="1145"/>
      <c r="E60" s="1145"/>
      <c r="F60" s="1145"/>
      <c r="G60" s="1145"/>
      <c r="H60" s="1145"/>
      <c r="I60" s="1145"/>
      <c r="J60" s="1145"/>
      <c r="K60" s="1145"/>
      <c r="L60" s="1145"/>
      <c r="M60" s="1145"/>
      <c r="N60" s="1145"/>
      <c r="O60" s="248"/>
      <c r="P60" s="248"/>
      <c r="Q60" s="754"/>
      <c r="R60" s="754"/>
      <c r="S60" s="342"/>
      <c r="AS60" s="7">
        <f>ROW()</f>
        <v>60</v>
      </c>
    </row>
    <row r="61" spans="2:45" ht="13.95" customHeight="1">
      <c r="I61" s="12">
        <f t="shared" ref="I61:AQ61" si="11">I$14</f>
        <v>2005</v>
      </c>
      <c r="J61" s="12">
        <f t="shared" si="11"/>
        <v>2006</v>
      </c>
      <c r="K61" s="12">
        <f t="shared" si="11"/>
        <v>2007</v>
      </c>
      <c r="L61" s="12">
        <f t="shared" si="11"/>
        <v>2008</v>
      </c>
      <c r="M61" s="12">
        <f t="shared" si="11"/>
        <v>2009</v>
      </c>
      <c r="N61" s="12">
        <f t="shared" si="11"/>
        <v>2010</v>
      </c>
      <c r="O61" s="12">
        <f t="shared" si="11"/>
        <v>2011</v>
      </c>
      <c r="P61" s="12">
        <f t="shared" si="11"/>
        <v>2012</v>
      </c>
      <c r="Q61" s="178">
        <f t="shared" si="11"/>
        <v>2013</v>
      </c>
      <c r="R61" s="178">
        <f t="shared" si="11"/>
        <v>2014</v>
      </c>
      <c r="S61" s="338">
        <f t="shared" si="11"/>
        <v>2015</v>
      </c>
      <c r="T61" s="12">
        <f t="shared" si="11"/>
        <v>2017</v>
      </c>
      <c r="U61" s="12">
        <f t="shared" si="11"/>
        <v>2018</v>
      </c>
      <c r="V61" s="12">
        <f t="shared" si="11"/>
        <v>2019</v>
      </c>
      <c r="W61" s="12">
        <f t="shared" si="11"/>
        <v>2020</v>
      </c>
      <c r="X61" s="12">
        <f t="shared" si="11"/>
        <v>2021</v>
      </c>
      <c r="Y61" s="12">
        <f t="shared" si="11"/>
        <v>2022</v>
      </c>
      <c r="Z61" s="12">
        <f t="shared" si="11"/>
        <v>2023</v>
      </c>
      <c r="AA61" s="12">
        <f t="shared" si="11"/>
        <v>2024</v>
      </c>
      <c r="AB61" s="12">
        <f t="shared" si="11"/>
        <v>2025</v>
      </c>
      <c r="AC61" s="12">
        <f t="shared" si="11"/>
        <v>2026</v>
      </c>
      <c r="AD61" s="12">
        <f t="shared" si="11"/>
        <v>2027</v>
      </c>
      <c r="AE61" s="12">
        <f t="shared" si="11"/>
        <v>2028</v>
      </c>
      <c r="AF61" s="12">
        <f t="shared" si="11"/>
        <v>2029</v>
      </c>
      <c r="AG61" s="12">
        <f t="shared" si="11"/>
        <v>2030</v>
      </c>
      <c r="AH61" s="12">
        <f t="shared" si="11"/>
        <v>2031</v>
      </c>
      <c r="AI61" s="12">
        <f t="shared" si="11"/>
        <v>2032</v>
      </c>
      <c r="AJ61" s="12">
        <f t="shared" si="11"/>
        <v>2033</v>
      </c>
      <c r="AK61" s="12">
        <f t="shared" si="11"/>
        <v>2034</v>
      </c>
      <c r="AL61" s="12">
        <f t="shared" si="11"/>
        <v>2035</v>
      </c>
      <c r="AM61" s="12">
        <f t="shared" si="11"/>
        <v>2036</v>
      </c>
      <c r="AN61" s="12">
        <f t="shared" si="11"/>
        <v>2037</v>
      </c>
      <c r="AO61" s="12">
        <f t="shared" si="11"/>
        <v>2038</v>
      </c>
      <c r="AP61" s="12">
        <f t="shared" si="11"/>
        <v>2039</v>
      </c>
      <c r="AQ61" s="12">
        <f t="shared" si="11"/>
        <v>2040</v>
      </c>
      <c r="AS61" s="7">
        <f>ROW()</f>
        <v>61</v>
      </c>
    </row>
    <row r="62" spans="2:45" ht="13.95" customHeight="1">
      <c r="B62" s="67" t="s">
        <v>96</v>
      </c>
      <c r="C62" s="67"/>
      <c r="D62" s="67"/>
      <c r="E62" s="67"/>
      <c r="F62" s="67"/>
      <c r="G62" s="67"/>
      <c r="H62" s="67"/>
      <c r="I62" s="108">
        <f t="shared" ref="I62:S62" si="12">I31</f>
        <v>559.00938167437994</v>
      </c>
      <c r="J62" s="108">
        <f t="shared" si="12"/>
        <v>513.84823226539675</v>
      </c>
      <c r="K62" s="108">
        <f t="shared" si="12"/>
        <v>540.83846286700918</v>
      </c>
      <c r="L62" s="108">
        <f t="shared" si="12"/>
        <v>545.35752729382648</v>
      </c>
      <c r="M62" s="108">
        <f t="shared" si="12"/>
        <v>471.87901185377547</v>
      </c>
      <c r="N62" s="108">
        <f t="shared" si="12"/>
        <v>487.90205929773322</v>
      </c>
      <c r="O62" s="108">
        <f t="shared" si="12"/>
        <v>495.10095694338077</v>
      </c>
      <c r="P62" s="108">
        <f t="shared" si="12"/>
        <v>477.07658176444318</v>
      </c>
      <c r="Q62" s="119">
        <f t="shared" si="12"/>
        <v>524.68458049070568</v>
      </c>
      <c r="R62" s="119">
        <f t="shared" si="12"/>
        <v>570.77225309165624</v>
      </c>
      <c r="S62" s="252">
        <f t="shared" si="12"/>
        <v>577.86226030945033</v>
      </c>
      <c r="T62" s="108">
        <f>T57*Parameters!$I$37/1000</f>
        <v>569.10829174750586</v>
      </c>
      <c r="U62" s="108">
        <f>U57*Parameters!$I$37/1000</f>
        <v>564.03486215440967</v>
      </c>
      <c r="V62" s="108">
        <f>V57*Parameters!$I$37/1000</f>
        <v>558.25415181616495</v>
      </c>
      <c r="W62" s="108">
        <f>W57*Parameters!$I$37/1000</f>
        <v>551.77902345222833</v>
      </c>
      <c r="X62" s="108">
        <f>X57*Parameters!$I$37/1000</f>
        <v>557.03496779637953</v>
      </c>
      <c r="Y62" s="108">
        <f>Y57*Parameters!$I$37/1000</f>
        <v>561.38776217972111</v>
      </c>
      <c r="Z62" s="108">
        <f>Z57*Parameters!$I$37/1000</f>
        <v>565.76208148764817</v>
      </c>
      <c r="AA62" s="108">
        <f>AA57*Parameters!$I$37/1000</f>
        <v>570.15789438029447</v>
      </c>
      <c r="AB62" s="108">
        <f>AB57*Parameters!$I$37/1000</f>
        <v>574.57516884322297</v>
      </c>
      <c r="AC62" s="108">
        <f>AC57*Parameters!$I$37/1000</f>
        <v>579.01387221993764</v>
      </c>
      <c r="AD62" s="108">
        <f>AD57*Parameters!$I$37/1000</f>
        <v>583.47397124479642</v>
      </c>
      <c r="AE62" s="108">
        <f>AE57*Parameters!$I$37/1000</f>
        <v>587.95543207630408</v>
      </c>
      <c r="AF62" s="108">
        <f>AF57*Parameters!$I$37/1000</f>
        <v>592.45822033076149</v>
      </c>
      <c r="AG62" s="108">
        <f>AG57*Parameters!$I$37/1000</f>
        <v>596.98230111625082</v>
      </c>
      <c r="AH62" s="108">
        <f>AH57*Parameters!$I$37/1000</f>
        <v>604.19465513778619</v>
      </c>
      <c r="AI62" s="108">
        <f>AI57*Parameters!$I$37/1000</f>
        <v>611.07210493321656</v>
      </c>
      <c r="AJ62" s="108">
        <f>AJ57*Parameters!$I$37/1000</f>
        <v>618.02658348852708</v>
      </c>
      <c r="AK62" s="108">
        <f>AK57*Parameters!$I$37/1000</f>
        <v>625.05893894995882</v>
      </c>
      <c r="AL62" s="108">
        <f>AL57*Parameters!$I$37/1000</f>
        <v>632.17002864592871</v>
      </c>
      <c r="AM62" s="108">
        <f>AM57*Parameters!$I$37/1000</f>
        <v>639.36071918492439</v>
      </c>
      <c r="AN62" s="108">
        <f>AN57*Parameters!$I$37/1000</f>
        <v>646.63188655443071</v>
      </c>
      <c r="AO62" s="108">
        <f>AO57*Parameters!$I$37/1000</f>
        <v>653.98441622089717</v>
      </c>
      <c r="AP62" s="108">
        <f>AP57*Parameters!$I$37/1000</f>
        <v>661.41920323075897</v>
      </c>
      <c r="AQ62" s="108">
        <f>AQ57*Parameters!$I$37/1000</f>
        <v>668.93715231252088</v>
      </c>
      <c r="AS62" s="7">
        <f>ROW()</f>
        <v>62</v>
      </c>
    </row>
    <row r="63" spans="2:45" ht="13.95" customHeight="1">
      <c r="B63" s="1342" t="str">
        <f>CONCATENATE("Values through ",S39, " are from Row ",AS31, ". Future values are product of projected fuel usage in Row ",AS57, " and CO2 emission factor per million Btu of natural gas in Cell I",Parameters!B37, " of 'Parameters' tab.")</f>
        <v>Values through 2015 are from Row 31. Future values are product of projected fuel usage in Row 57 and CO2 emission factor per million Btu of natural gas in Cell I37 of 'Parameters' tab.</v>
      </c>
      <c r="C63" s="1102"/>
      <c r="D63" s="1102"/>
      <c r="E63" s="1102"/>
      <c r="F63" s="1102"/>
      <c r="G63" s="1102"/>
      <c r="H63" s="1102"/>
      <c r="I63" s="1102"/>
      <c r="J63" s="1102"/>
      <c r="K63" s="1102"/>
      <c r="L63" s="1102"/>
      <c r="M63" s="1102"/>
      <c r="N63" s="1102"/>
      <c r="O63" s="344"/>
      <c r="P63" s="344"/>
      <c r="Q63" s="344"/>
      <c r="R63" s="344"/>
      <c r="S63" s="343"/>
      <c r="T63" s="177"/>
      <c r="U63" s="177"/>
      <c r="V63" s="177"/>
      <c r="W63" s="177"/>
      <c r="X63" s="177"/>
      <c r="Y63" s="177"/>
      <c r="Z63" s="177"/>
      <c r="AA63" s="177"/>
      <c r="AB63" s="177"/>
      <c r="AC63" s="177"/>
      <c r="AD63" s="177"/>
      <c r="AE63" s="177"/>
      <c r="AF63" s="177"/>
      <c r="AG63" s="177"/>
      <c r="AH63" s="177"/>
      <c r="AI63" s="177"/>
      <c r="AJ63" s="177"/>
      <c r="AK63" s="177"/>
      <c r="AL63" s="177"/>
      <c r="AM63" s="177"/>
      <c r="AN63" s="177"/>
      <c r="AO63" s="177"/>
      <c r="AP63" s="177"/>
      <c r="AQ63" s="177"/>
      <c r="AS63" s="7">
        <f>ROW()</f>
        <v>63</v>
      </c>
    </row>
    <row r="64" spans="2:45" ht="13.95" customHeight="1">
      <c r="B64" s="1102"/>
      <c r="C64" s="1102"/>
      <c r="D64" s="1102"/>
      <c r="E64" s="1102"/>
      <c r="F64" s="1102"/>
      <c r="G64" s="1102"/>
      <c r="H64" s="1102"/>
      <c r="I64" s="1102"/>
      <c r="J64" s="1102"/>
      <c r="K64" s="1102"/>
      <c r="L64" s="1102"/>
      <c r="M64" s="1102"/>
      <c r="N64" s="1102"/>
      <c r="O64" s="344"/>
      <c r="P64" s="344"/>
      <c r="Q64" s="344"/>
      <c r="R64" s="344"/>
      <c r="S64" s="343"/>
      <c r="T64" s="177"/>
      <c r="U64" s="177"/>
      <c r="V64" s="177"/>
      <c r="W64" s="177"/>
      <c r="X64" s="177"/>
      <c r="Y64" s="177"/>
      <c r="Z64" s="177"/>
      <c r="AA64" s="177"/>
      <c r="AB64" s="177"/>
      <c r="AC64" s="177"/>
      <c r="AD64" s="177"/>
      <c r="AE64" s="177"/>
      <c r="AF64" s="177"/>
      <c r="AG64" s="177"/>
      <c r="AH64" s="177"/>
      <c r="AI64" s="177"/>
      <c r="AJ64" s="177"/>
      <c r="AK64" s="177"/>
      <c r="AL64" s="177"/>
      <c r="AM64" s="177"/>
      <c r="AN64" s="177"/>
      <c r="AO64" s="177"/>
      <c r="AP64" s="177"/>
      <c r="AQ64" s="177"/>
      <c r="AS64" s="7">
        <f>ROW()</f>
        <v>64</v>
      </c>
    </row>
    <row r="65" spans="1:45" ht="13.95" customHeight="1">
      <c r="B65" s="345" t="s">
        <v>832</v>
      </c>
      <c r="C65" s="67"/>
      <c r="D65" s="67"/>
      <c r="E65" s="67"/>
      <c r="F65" s="346">
        <v>10</v>
      </c>
      <c r="G65" s="54" t="s">
        <v>860</v>
      </c>
      <c r="H65" s="67"/>
      <c r="I65" s="120">
        <v>0.01</v>
      </c>
      <c r="J65" s="120"/>
      <c r="K65" s="67"/>
      <c r="L65" s="67"/>
      <c r="S65" s="26"/>
      <c r="T65" s="69"/>
      <c r="AS65" s="7">
        <f>ROW()</f>
        <v>65</v>
      </c>
    </row>
    <row r="66" spans="1:45" ht="13.95" customHeight="1">
      <c r="B66" s="191" t="s">
        <v>677</v>
      </c>
      <c r="C66" s="67"/>
      <c r="D66" s="67"/>
      <c r="E66" s="67"/>
      <c r="F66" s="67"/>
      <c r="G66" s="67"/>
      <c r="H66" s="121"/>
      <c r="I66" s="121"/>
      <c r="J66" s="121"/>
      <c r="K66" s="67"/>
      <c r="L66" s="67"/>
      <c r="S66" s="26"/>
      <c r="T66" s="69"/>
      <c r="AS66" s="7">
        <f>ROW()</f>
        <v>66</v>
      </c>
    </row>
    <row r="67" spans="1:45" ht="13.95" customHeight="1">
      <c r="B67" s="537" t="s">
        <v>869</v>
      </c>
      <c r="C67" s="67"/>
      <c r="D67" s="67"/>
      <c r="E67" s="67"/>
      <c r="F67" s="347"/>
      <c r="G67" s="348"/>
      <c r="H67" s="67"/>
      <c r="I67" s="67"/>
      <c r="J67" s="67"/>
      <c r="K67" s="116"/>
      <c r="L67" s="67"/>
      <c r="M67" s="116"/>
      <c r="N67" s="263"/>
      <c r="O67" s="263"/>
      <c r="P67" s="263"/>
      <c r="Q67" s="755" t="str">
        <f>CONCATENATE("Calculated as tax level in Row ",AS23, " with conversion to MMBtu.")</f>
        <v>Calculated as tax level in Row 23 with conversion to MMBtu.</v>
      </c>
      <c r="R67" s="755"/>
      <c r="S67" s="340"/>
      <c r="T67" s="69">
        <f>T23*Parameters!$I$35/Parameters!$I$19</f>
        <v>0.64055100498249196</v>
      </c>
      <c r="U67" s="69">
        <f>U23*Parameters!$I$35/Parameters!$I$19</f>
        <v>1.3081166940053788</v>
      </c>
      <c r="V67" s="69">
        <f>V23*Parameters!$I$35/Parameters!$I$19</f>
        <v>2.0035515577510488</v>
      </c>
      <c r="W67" s="69">
        <f>W23*Parameters!$I$35/Parameters!$I$19</f>
        <v>2.7277341118383598</v>
      </c>
      <c r="X67" s="69">
        <f>X23*Parameters!$I$35/Parameters!$I$19</f>
        <v>3.4815675300919451</v>
      </c>
      <c r="Y67" s="69">
        <f>Y23*Parameters!$I$35/Parameters!$I$19</f>
        <v>4.2659802938360807</v>
      </c>
      <c r="Z67" s="69">
        <f>Z23*Parameters!$I$35/Parameters!$I$19</f>
        <v>5.0819268576073231</v>
      </c>
      <c r="AA67" s="69">
        <f>AA23*Parameters!$I$35/Parameters!$I$19</f>
        <v>5.9303883316896489</v>
      </c>
      <c r="AB67" s="69">
        <f>AB23*Parameters!$I$35/Parameters!$I$19</f>
        <v>6.8123731818855884</v>
      </c>
      <c r="AC67" s="69">
        <f>AC23*Parameters!$I$35/Parameters!$I$19</f>
        <v>7.7289179469467104</v>
      </c>
      <c r="AD67" s="69">
        <f>AD23*Parameters!$I$35/Parameters!$I$19</f>
        <v>8.6810879740971032</v>
      </c>
      <c r="AE67" s="69">
        <f>AE23*Parameters!$I$35/Parameters!$I$19</f>
        <v>9.669978173093881</v>
      </c>
      <c r="AF67" s="69">
        <f>AF23*Parameters!$I$35/Parameters!$I$19</f>
        <v>10.696713789279446</v>
      </c>
      <c r="AG67" s="69">
        <f>AG23*Parameters!$I$35/Parameters!$I$19</f>
        <v>11.762451196091117</v>
      </c>
      <c r="AH67" s="69">
        <f>AH23*Parameters!$I$35/Parameters!$I$19</f>
        <v>12.868378707505073</v>
      </c>
      <c r="AI67" s="69">
        <f>AI23*Parameters!$I$35/Parameters!$I$19</f>
        <v>14.015717410902798</v>
      </c>
      <c r="AJ67" s="69">
        <f>AJ23*Parameters!$I$35/Parameters!$I$19</f>
        <v>15.205722020860176</v>
      </c>
      <c r="AK67" s="69">
        <f>AK23*Parameters!$I$35/Parameters!$I$19</f>
        <v>16.439681754371186</v>
      </c>
      <c r="AL67" s="69">
        <f>AL23*Parameters!$I$35/Parameters!$I$19</f>
        <v>17.718921228030645</v>
      </c>
      <c r="AM67" s="69">
        <f>AM23*Parameters!$I$35/Parameters!$I$19</f>
        <v>19.044801377712801</v>
      </c>
      <c r="AN67" s="69">
        <f>AN23*Parameters!$I$35/Parameters!$I$19</f>
        <v>20.418720401295662</v>
      </c>
      <c r="AO67" s="69">
        <f>AO23*Parameters!$I$35/Parameters!$I$19</f>
        <v>21.842114724994008</v>
      </c>
      <c r="AP67" s="69">
        <f>AP23*Parameters!$I$35/Parameters!$I$19</f>
        <v>23.316459993877576</v>
      </c>
      <c r="AQ67" s="69">
        <f>AQ23*Parameters!$I$35/Parameters!$I$19</f>
        <v>24.843272087164728</v>
      </c>
      <c r="AR67" s="69"/>
      <c r="AS67" s="7">
        <f>ROW()</f>
        <v>67</v>
      </c>
    </row>
    <row r="68" spans="1:45" ht="13.95" customHeight="1">
      <c r="B68" s="537" t="s">
        <v>870</v>
      </c>
      <c r="C68" s="67"/>
      <c r="D68" s="67"/>
      <c r="E68" s="67"/>
      <c r="F68" s="67"/>
      <c r="G68" s="67"/>
      <c r="H68" s="67"/>
      <c r="I68" s="67"/>
      <c r="J68" s="67"/>
      <c r="K68" s="67"/>
      <c r="L68" s="72"/>
      <c r="M68" s="72"/>
      <c r="Q68" s="755" t="str">
        <f>CONCATENATE("Sum of Rows ",AS67, " and ",AS53, ".")</f>
        <v>Sum of Rows 67 and 53.</v>
      </c>
      <c r="R68" s="755"/>
      <c r="S68" s="340"/>
      <c r="T68" s="184">
        <f t="shared" ref="T68:AQ68" si="13">T53+T67</f>
        <v>7.3853774726358621</v>
      </c>
      <c r="U68" s="184">
        <f t="shared" si="13"/>
        <v>8.4993841232769363</v>
      </c>
      <c r="V68" s="184">
        <f t="shared" si="13"/>
        <v>9.6914943078880764</v>
      </c>
      <c r="W68" s="184">
        <f t="shared" si="13"/>
        <v>10.969123231901818</v>
      </c>
      <c r="X68" s="184">
        <f t="shared" si="13"/>
        <v>11.950381700491109</v>
      </c>
      <c r="Y68" s="184">
        <f t="shared" si="13"/>
        <v>12.968879431752974</v>
      </c>
      <c r="Z68" s="184">
        <f t="shared" si="13"/>
        <v>14.025776107912952</v>
      </c>
      <c r="AA68" s="184">
        <f t="shared" si="13"/>
        <v>15.1222646463433</v>
      </c>
      <c r="AB68" s="184">
        <f t="shared" si="13"/>
        <v>16.259572116333494</v>
      </c>
      <c r="AC68" s="184">
        <f t="shared" si="13"/>
        <v>17.438960680815814</v>
      </c>
      <c r="AD68" s="184">
        <f t="shared" si="13"/>
        <v>18.661728563728097</v>
      </c>
      <c r="AE68" s="184">
        <f t="shared" si="13"/>
        <v>19.92921104371452</v>
      </c>
      <c r="AF68" s="184">
        <f t="shared" si="13"/>
        <v>21.242781474884893</v>
      </c>
      <c r="AG68" s="184">
        <f t="shared" si="13"/>
        <v>22.603852335372927</v>
      </c>
      <c r="AH68" s="184">
        <f t="shared" si="13"/>
        <v>23.91569729902276</v>
      </c>
      <c r="AI68" s="184">
        <f t="shared" si="13"/>
        <v>25.272910329796851</v>
      </c>
      <c r="AJ68" s="184">
        <f t="shared" si="13"/>
        <v>26.676823039386882</v>
      </c>
      <c r="AK68" s="184">
        <f t="shared" si="13"/>
        <v>28.128803052374181</v>
      </c>
      <c r="AL68" s="184">
        <f t="shared" si="13"/>
        <v>29.630254933378293</v>
      </c>
      <c r="AM68" s="184">
        <f t="shared" si="13"/>
        <v>31.182621137301297</v>
      </c>
      <c r="AN68" s="184">
        <f t="shared" si="13"/>
        <v>32.787382983229847</v>
      </c>
      <c r="AO68" s="184">
        <f t="shared" si="13"/>
        <v>34.446061652570215</v>
      </c>
      <c r="AP68" s="184">
        <f t="shared" si="13"/>
        <v>36.160219212005472</v>
      </c>
      <c r="AQ68" s="184">
        <f t="shared" si="13"/>
        <v>37.931459661877923</v>
      </c>
      <c r="AS68" s="7">
        <f>ROW()</f>
        <v>68</v>
      </c>
    </row>
    <row r="69" spans="1:45" ht="13.95" customHeight="1">
      <c r="B69" s="537" t="s">
        <v>871</v>
      </c>
      <c r="C69" s="67"/>
      <c r="D69" s="67"/>
      <c r="E69" s="67"/>
      <c r="F69" s="67"/>
      <c r="G69" s="67"/>
      <c r="H69" s="67"/>
      <c r="I69" s="67"/>
      <c r="J69" s="67"/>
      <c r="K69" s="206"/>
      <c r="L69" s="67"/>
      <c r="Q69" s="755" t="str">
        <f>CONCATENATE("Calculated as excess of Row ",AS68, " over Row ",AS53, ".")</f>
        <v>Calculated as excess of Row 68 over Row 53.</v>
      </c>
      <c r="R69" s="755"/>
      <c r="S69" s="340"/>
      <c r="T69" s="336">
        <f t="shared" ref="T69:AQ69" si="14">T68/T53-1</f>
        <v>9.4969234279699721E-2</v>
      </c>
      <c r="U69" s="336">
        <f t="shared" si="14"/>
        <v>0.18190349710550047</v>
      </c>
      <c r="V69" s="336">
        <f t="shared" si="14"/>
        <v>0.26060958345655449</v>
      </c>
      <c r="W69" s="336">
        <f t="shared" si="14"/>
        <v>0.33097989575540843</v>
      </c>
      <c r="X69" s="336">
        <f t="shared" si="14"/>
        <v>0.41110448996046967</v>
      </c>
      <c r="Y69" s="336">
        <f t="shared" si="14"/>
        <v>0.49017921800908915</v>
      </c>
      <c r="Z69" s="336">
        <f t="shared" si="14"/>
        <v>0.5682035458540029</v>
      </c>
      <c r="AA69" s="336">
        <f t="shared" si="14"/>
        <v>0.64517712474388378</v>
      </c>
      <c r="AB69" s="336">
        <f t="shared" si="14"/>
        <v>0.7210997914995958</v>
      </c>
      <c r="AC69" s="336">
        <f t="shared" si="14"/>
        <v>0.79597156869226393</v>
      </c>
      <c r="AD69" s="336">
        <f t="shared" si="14"/>
        <v>0.86979266472294259</v>
      </c>
      <c r="AE69" s="336">
        <f t="shared" si="14"/>
        <v>0.94256347380375716</v>
      </c>
      <c r="AF69" s="336">
        <f t="shared" si="14"/>
        <v>1.0142845758404921</v>
      </c>
      <c r="AG69" s="336">
        <f t="shared" si="14"/>
        <v>1.0849567362166916</v>
      </c>
      <c r="AH69" s="336">
        <f t="shared" si="14"/>
        <v>1.164841821198642</v>
      </c>
      <c r="AI69" s="336">
        <f t="shared" si="14"/>
        <v>1.2450455021854379</v>
      </c>
      <c r="AJ69" s="336">
        <f t="shared" si="14"/>
        <v>1.3255677895523514</v>
      </c>
      <c r="AK69" s="336">
        <f t="shared" si="14"/>
        <v>1.4064086884939582</v>
      </c>
      <c r="AL69" s="336">
        <f t="shared" si="14"/>
        <v>1.4875681990233933</v>
      </c>
      <c r="AM69" s="336">
        <f t="shared" si="14"/>
        <v>1.5690463159718622</v>
      </c>
      <c r="AN69" s="336">
        <f t="shared" si="14"/>
        <v>1.6508430289883957</v>
      </c>
      <c r="AO69" s="336">
        <f t="shared" si="14"/>
        <v>1.7329583225398695</v>
      </c>
      <c r="AP69" s="336">
        <f t="shared" si="14"/>
        <v>1.8153921759112657</v>
      </c>
      <c r="AQ69" s="336">
        <f t="shared" si="14"/>
        <v>1.8981445632061944</v>
      </c>
      <c r="AS69" s="7">
        <f>ROW()</f>
        <v>69</v>
      </c>
    </row>
    <row r="70" spans="1:45" ht="13.95" customHeight="1">
      <c r="B70" s="537" t="s">
        <v>1200</v>
      </c>
      <c r="C70" s="67"/>
      <c r="D70" s="67"/>
      <c r="E70" s="67"/>
      <c r="F70" s="67"/>
      <c r="G70" s="67"/>
      <c r="H70" s="67"/>
      <c r="I70" s="67"/>
      <c r="J70" s="67"/>
      <c r="K70" s="67"/>
      <c r="L70" s="67"/>
      <c r="S70" s="26"/>
      <c r="T70" s="184">
        <f>T68/AEO!$S$28^(T14-$S14)</f>
        <v>7.0834877355221604</v>
      </c>
      <c r="U70" s="184">
        <f>U68/AEO!$S$28^(U14-$S14)</f>
        <v>7.9836066400593477</v>
      </c>
      <c r="V70" s="184">
        <f>V68/AEO!$S$28^(V14-$S14)</f>
        <v>8.9153755672460875</v>
      </c>
      <c r="W70" s="184">
        <f>W68/AEO!$S$28^(W14-$S14)</f>
        <v>9.882300094246272</v>
      </c>
      <c r="X70" s="184">
        <f>X68/AEO!$S$28^(X14-$S14)</f>
        <v>10.543993362873014</v>
      </c>
      <c r="Y70" s="184">
        <f>Y68/AEO!$S$28^(Y14-$S14)</f>
        <v>11.206320111100437</v>
      </c>
      <c r="Z70" s="184">
        <f>Z68/AEO!$S$28^(Z14-$S14)</f>
        <v>11.869288818359623</v>
      </c>
      <c r="AA70" s="184">
        <f>AA68/AEO!$S$28^(AA14-$S14)</f>
        <v>12.532908077582928</v>
      </c>
      <c r="AB70" s="184">
        <f>AB68/AEO!$S$28^(AB14-$S14)</f>
        <v>13.197186596723281</v>
      </c>
      <c r="AC70" s="184">
        <f>AC68/AEO!$S$28^(AC14-$S14)</f>
        <v>13.862133200293769</v>
      </c>
      <c r="AD70" s="184">
        <f>AD68/AEO!$S$28^(AD14-$S14)</f>
        <v>14.527756830927855</v>
      </c>
      <c r="AE70" s="184">
        <f>AE68/AEO!$S$28^(AE14-$S14)</f>
        <v>15.194066550960486</v>
      </c>
      <c r="AF70" s="184">
        <f>AF68/AEO!$S$28^(AF14-$S14)</f>
        <v>15.861071544030345</v>
      </c>
      <c r="AG70" s="184">
        <f>AG68/AEO!$S$28^(AG14-$S14)</f>
        <v>16.52878111670357</v>
      </c>
      <c r="AH70" s="184">
        <f>AH68/AEO!$S$28^(AH14-$S14)</f>
        <v>17.126895166070618</v>
      </c>
      <c r="AI70" s="184">
        <f>AI68/AEO!$S$28^(AI14-$S14)</f>
        <v>17.725074630050447</v>
      </c>
      <c r="AJ70" s="184">
        <f>AJ68/AEO!$S$28^(AJ14-$S14)</f>
        <v>18.323319245369937</v>
      </c>
      <c r="AK70" s="184">
        <f>AK68/AEO!$S$28^(AK14-$S14)</f>
        <v>18.92162874981555</v>
      </c>
      <c r="AL70" s="184">
        <f>AL68/AEO!$S$28^(AL14-$S14)</f>
        <v>19.520002882229079</v>
      </c>
      <c r="AM70" s="184">
        <f>AM68/AEO!$S$28^(AM14-$S14)</f>
        <v>20.118441382503391</v>
      </c>
      <c r="AN70" s="184">
        <f>AN68/AEO!$S$28^(AN14-$S14)</f>
        <v>20.716943991578212</v>
      </c>
      <c r="AO70" s="184">
        <f>AO68/AEO!$S$28^(AO14-$S14)</f>
        <v>21.315510451435895</v>
      </c>
      <c r="AP70" s="184">
        <f>AP68/AEO!$S$28^(AP14-$S14)</f>
        <v>21.914140505097233</v>
      </c>
      <c r="AQ70" s="184">
        <f>AQ68/AEO!$S$28^(AQ14-$S14)</f>
        <v>22.512833896617277</v>
      </c>
      <c r="AS70" s="7">
        <f>ROW()</f>
        <v>70</v>
      </c>
    </row>
    <row r="71" spans="1:45" ht="13.95" customHeight="1">
      <c r="B71" s="349" t="s">
        <v>475</v>
      </c>
      <c r="C71" s="67"/>
      <c r="D71" s="67"/>
      <c r="E71" s="67"/>
      <c r="F71" s="67"/>
      <c r="G71" s="67"/>
      <c r="H71" s="67"/>
      <c r="I71" s="1339">
        <f>Parameters!I37</f>
        <v>51.244080398599358</v>
      </c>
      <c r="J71" s="1340"/>
      <c r="K71" s="1340"/>
      <c r="L71" s="1340"/>
      <c r="M71" s="1340"/>
      <c r="N71" s="1340"/>
      <c r="O71" s="1340"/>
      <c r="P71" s="1340"/>
      <c r="Q71" s="1340"/>
      <c r="R71" s="1340"/>
      <c r="S71" s="1341"/>
      <c r="T71" s="7">
        <f t="shared" ref="T71:AQ71" si="15">$I$71*(1-$I$65)^(T22/$F$65)</f>
        <v>50.687075430263114</v>
      </c>
      <c r="U71" s="7">
        <f t="shared" si="15"/>
        <v>50.136124908261699</v>
      </c>
      <c r="V71" s="7">
        <f t="shared" si="15"/>
        <v>49.591163022912077</v>
      </c>
      <c r="W71" s="7">
        <f t="shared" si="15"/>
        <v>49.052124679859098</v>
      </c>
      <c r="X71" s="7">
        <f t="shared" si="15"/>
        <v>48.518945492300148</v>
      </c>
      <c r="Y71" s="7">
        <f t="shared" si="15"/>
        <v>47.991561773294329</v>
      </c>
      <c r="Z71" s="7">
        <f t="shared" si="15"/>
        <v>47.469910528155168</v>
      </c>
      <c r="AA71" s="7">
        <f t="shared" si="15"/>
        <v>46.953929446926082</v>
      </c>
      <c r="AB71" s="7">
        <f t="shared" si="15"/>
        <v>46.443556896937608</v>
      </c>
      <c r="AC71" s="7">
        <f t="shared" si="15"/>
        <v>45.938731915445537</v>
      </c>
      <c r="AD71" s="7">
        <f t="shared" si="15"/>
        <v>45.439394202349028</v>
      </c>
      <c r="AE71" s="7">
        <f t="shared" si="15"/>
        <v>44.94548411298797</v>
      </c>
      <c r="AF71" s="7">
        <f t="shared" si="15"/>
        <v>44.456942651018515</v>
      </c>
      <c r="AG71" s="7">
        <f t="shared" si="15"/>
        <v>43.973711461366143</v>
      </c>
      <c r="AH71" s="7">
        <f t="shared" si="15"/>
        <v>43.495732823255295</v>
      </c>
      <c r="AI71" s="7">
        <f t="shared" si="15"/>
        <v>43.022949643314739</v>
      </c>
      <c r="AJ71" s="7">
        <f t="shared" si="15"/>
        <v>42.555305448757956</v>
      </c>
      <c r="AK71" s="7">
        <f t="shared" si="15"/>
        <v>42.092744380637534</v>
      </c>
      <c r="AL71" s="7">
        <f t="shared" si="15"/>
        <v>41.635211187173034</v>
      </c>
      <c r="AM71" s="7">
        <f t="shared" si="15"/>
        <v>41.182651217151246</v>
      </c>
      <c r="AN71" s="7">
        <f t="shared" si="15"/>
        <v>40.73501041339825</v>
      </c>
      <c r="AO71" s="7">
        <f t="shared" si="15"/>
        <v>40.292235306322439</v>
      </c>
      <c r="AP71" s="7">
        <f t="shared" si="15"/>
        <v>39.854273007527667</v>
      </c>
      <c r="AQ71" s="7">
        <f t="shared" si="15"/>
        <v>39.421071203495906</v>
      </c>
      <c r="AS71" s="7">
        <f>ROW()</f>
        <v>71</v>
      </c>
    </row>
    <row r="72" spans="1:45" ht="13.95" customHeight="1">
      <c r="B72" s="84" t="str">
        <f>CONCATENATE("Historical figure is copied from Cell H",Parameters!B35, " in 'Parameters' tab. Figures after ",S61, " reduce that baseline value by percentage calculated from Cell I",AS65, " normalized by ratio of felt carbon tax in Row ",AS22, " to Cell F",AS65, ".")</f>
        <v>Historical figure is copied from Cell H35 in 'Parameters' tab. Figures after 2015 reduce that baseline value by percentage calculated from Cell I65 normalized by ratio of felt carbon tax in Row 22 to Cell F65.</v>
      </c>
      <c r="C72" s="8"/>
      <c r="D72" s="8"/>
      <c r="E72" s="8"/>
      <c r="F72" s="8"/>
      <c r="G72" s="8"/>
      <c r="K72" s="30"/>
      <c r="L72" s="30"/>
      <c r="S72" s="26"/>
      <c r="AS72" s="7">
        <f>ROW()</f>
        <v>72</v>
      </c>
    </row>
    <row r="73" spans="1:45" ht="13.95" customHeight="1">
      <c r="B73" s="84"/>
      <c r="C73" s="8"/>
      <c r="D73" s="8"/>
      <c r="E73" s="8"/>
      <c r="F73" s="8"/>
      <c r="G73" s="8"/>
      <c r="K73" s="30"/>
      <c r="L73" s="30"/>
      <c r="S73" s="26"/>
      <c r="AS73" s="81">
        <f>ROW()</f>
        <v>73</v>
      </c>
    </row>
    <row r="74" spans="1:45" s="8" customFormat="1" ht="13.95" customHeight="1">
      <c r="I74" s="23"/>
      <c r="J74" s="23"/>
      <c r="K74" s="13">
        <f t="shared" ref="K74:T74" si="16">K14</f>
        <v>2007</v>
      </c>
      <c r="L74" s="13">
        <f t="shared" si="16"/>
        <v>2008</v>
      </c>
      <c r="M74" s="13">
        <f t="shared" si="16"/>
        <v>2009</v>
      </c>
      <c r="N74" s="13">
        <f t="shared" si="16"/>
        <v>2010</v>
      </c>
      <c r="O74" s="13">
        <f t="shared" si="16"/>
        <v>2011</v>
      </c>
      <c r="P74" s="13">
        <f t="shared" si="16"/>
        <v>2012</v>
      </c>
      <c r="Q74" s="155">
        <f t="shared" si="16"/>
        <v>2013</v>
      </c>
      <c r="R74" s="155">
        <f t="shared" si="16"/>
        <v>2014</v>
      </c>
      <c r="S74" s="251">
        <f t="shared" si="16"/>
        <v>2015</v>
      </c>
      <c r="T74" s="13">
        <f t="shared" si="16"/>
        <v>2017</v>
      </c>
      <c r="U74" s="13">
        <f t="shared" ref="U74:AP74" si="17">U14</f>
        <v>2018</v>
      </c>
      <c r="V74" s="13">
        <f t="shared" si="17"/>
        <v>2019</v>
      </c>
      <c r="W74" s="13">
        <f t="shared" si="17"/>
        <v>2020</v>
      </c>
      <c r="X74" s="13">
        <f t="shared" si="17"/>
        <v>2021</v>
      </c>
      <c r="Y74" s="13">
        <f t="shared" si="17"/>
        <v>2022</v>
      </c>
      <c r="Z74" s="13">
        <f t="shared" si="17"/>
        <v>2023</v>
      </c>
      <c r="AA74" s="13">
        <f t="shared" si="17"/>
        <v>2024</v>
      </c>
      <c r="AB74" s="13">
        <f t="shared" si="17"/>
        <v>2025</v>
      </c>
      <c r="AC74" s="13">
        <f t="shared" si="17"/>
        <v>2026</v>
      </c>
      <c r="AD74" s="13">
        <f t="shared" si="17"/>
        <v>2027</v>
      </c>
      <c r="AE74" s="13">
        <f t="shared" si="17"/>
        <v>2028</v>
      </c>
      <c r="AF74" s="13">
        <f t="shared" si="17"/>
        <v>2029</v>
      </c>
      <c r="AG74" s="13">
        <f t="shared" si="17"/>
        <v>2030</v>
      </c>
      <c r="AH74" s="13">
        <f t="shared" si="17"/>
        <v>2031</v>
      </c>
      <c r="AI74" s="13">
        <f t="shared" si="17"/>
        <v>2032</v>
      </c>
      <c r="AJ74" s="13">
        <f t="shared" si="17"/>
        <v>2033</v>
      </c>
      <c r="AK74" s="13">
        <f t="shared" si="17"/>
        <v>2034</v>
      </c>
      <c r="AL74" s="13">
        <f t="shared" si="17"/>
        <v>2035</v>
      </c>
      <c r="AM74" s="13">
        <f t="shared" si="17"/>
        <v>2036</v>
      </c>
      <c r="AN74" s="13">
        <f t="shared" si="17"/>
        <v>2037</v>
      </c>
      <c r="AO74" s="13">
        <f t="shared" si="17"/>
        <v>2038</v>
      </c>
      <c r="AP74" s="13">
        <f t="shared" si="17"/>
        <v>2039</v>
      </c>
      <c r="AQ74" s="13">
        <f t="shared" ref="AQ74" si="18">AQ14</f>
        <v>2040</v>
      </c>
      <c r="AS74" s="7">
        <f>ROW()</f>
        <v>74</v>
      </c>
    </row>
    <row r="75" spans="1:45" s="8" customFormat="1" ht="13.95" customHeight="1">
      <c r="B75" s="8" t="s">
        <v>487</v>
      </c>
      <c r="I75" s="23"/>
      <c r="J75" s="1342" t="str">
        <f>CONCATENATE("Calculated as one plus % increase in avg price of natural gas from Row ",AS70,", raised to (negative) price-elasticity given in Cell G",Parameters!B13, " of the 'Parameters' tab; less one.")</f>
        <v>Calculated as one plus % increase in avg price of natural gas from Row 70, raised to (negative) price-elasticity given in Cell G13 of the 'Parameters' tab; less one.</v>
      </c>
      <c r="K75" s="1102"/>
      <c r="L75" s="1102"/>
      <c r="M75" s="1102"/>
      <c r="N75" s="1102"/>
      <c r="O75" s="1102"/>
      <c r="P75" s="1102"/>
      <c r="Q75" s="1102"/>
      <c r="R75" s="777"/>
      <c r="S75" s="758"/>
      <c r="T75" s="285">
        <f>(1+T69)^Parameters!$H$13-1</f>
        <v>-4.4349609532066459E-2</v>
      </c>
      <c r="U75" s="285">
        <f>(1+U69)^Parameters!$H$13-1</f>
        <v>-8.0166989700450997E-2</v>
      </c>
      <c r="V75" s="285">
        <f>(1+V69)^Parameters!$H$13-1</f>
        <v>-0.10934461550501851</v>
      </c>
      <c r="W75" s="285">
        <f>(1+W69)^Parameters!$H$13-1</f>
        <v>-0.13320928166312951</v>
      </c>
      <c r="X75" s="285">
        <f>(1+X69)^Parameters!$H$13-1</f>
        <v>-0.15817772511833639</v>
      </c>
      <c r="Y75" s="285">
        <f>(1+Y69)^Parameters!$H$13-1</f>
        <v>-0.18081734386697046</v>
      </c>
      <c r="Z75" s="285">
        <f>(1+Z69)^Parameters!$H$13-1</f>
        <v>-0.20145612251949674</v>
      </c>
      <c r="AA75" s="285">
        <f>(1+AA69)^Parameters!$H$13-1</f>
        <v>-0.22036079696077193</v>
      </c>
      <c r="AB75" s="285">
        <f>(1+AB69)^Parameters!$H$13-1</f>
        <v>-0.23775080566830809</v>
      </c>
      <c r="AC75" s="285">
        <f>(1+AC69)^Parameters!$H$13-1</f>
        <v>-0.25380854506598005</v>
      </c>
      <c r="AD75" s="285">
        <f>(1+AD69)^Parameters!$H$13-1</f>
        <v>-0.2686870327766665</v>
      </c>
      <c r="AE75" s="285">
        <f>(1+AE69)^Parameters!$H$13-1</f>
        <v>-0.2825157189526788</v>
      </c>
      <c r="AF75" s="285">
        <f>(1+AF69)^Parameters!$H$13-1</f>
        <v>-0.29540495226125818</v>
      </c>
      <c r="AG75" s="285">
        <f>(1+AG69)^Parameters!$H$13-1</f>
        <v>-0.30744945368083265</v>
      </c>
      <c r="AH75" s="285">
        <f>(1+AH69)^Parameters!$H$13-1</f>
        <v>-0.32034750519789179</v>
      </c>
      <c r="AI75" s="285">
        <f>(1+AI69)^Parameters!$H$13-1</f>
        <v>-0.33259811922849114</v>
      </c>
      <c r="AJ75" s="285">
        <f>(1+AJ69)^Parameters!$H$13-1</f>
        <v>-0.34425422934914141</v>
      </c>
      <c r="AK75" s="285">
        <f>(1+AK69)^Parameters!$H$13-1</f>
        <v>-0.35536288484337064</v>
      </c>
      <c r="AL75" s="285">
        <f>(1+AL69)^Parameters!$H$13-1</f>
        <v>-0.36596606654898189</v>
      </c>
      <c r="AM75" s="285">
        <f>(1+AM69)^Parameters!$H$13-1</f>
        <v>-0.37610136853202925</v>
      </c>
      <c r="AN75" s="285">
        <f>(1+AN69)^Parameters!$H$13-1</f>
        <v>-0.38580257091393377</v>
      </c>
      <c r="AO75" s="285">
        <f>(1+AO69)^Parameters!$H$13-1</f>
        <v>-0.39510012381700699</v>
      </c>
      <c r="AP75" s="285">
        <f>(1+AP69)^Parameters!$H$13-1</f>
        <v>-0.40402155828347841</v>
      </c>
      <c r="AQ75" s="285">
        <f>(1+AQ69)^Parameters!$H$13-1</f>
        <v>-0.41259183684640577</v>
      </c>
      <c r="AS75" s="7">
        <f>ROW()</f>
        <v>75</v>
      </c>
    </row>
    <row r="76" spans="1:45" s="8" customFormat="1" ht="13.95" customHeight="1">
      <c r="I76" s="23"/>
      <c r="J76" s="1102"/>
      <c r="K76" s="1102"/>
      <c r="L76" s="1102"/>
      <c r="M76" s="1102"/>
      <c r="N76" s="1102"/>
      <c r="O76" s="1102"/>
      <c r="P76" s="1102"/>
      <c r="Q76" s="1102"/>
      <c r="R76" s="777"/>
      <c r="S76" s="758"/>
      <c r="T76" s="763"/>
      <c r="U76" s="335"/>
      <c r="V76" s="335"/>
      <c r="W76" s="335"/>
      <c r="X76" s="335"/>
      <c r="Y76" s="335"/>
      <c r="Z76" s="335"/>
      <c r="AA76" s="335"/>
      <c r="AB76" s="335"/>
      <c r="AC76" s="335"/>
      <c r="AD76" s="335"/>
      <c r="AE76" s="335"/>
      <c r="AF76" s="335"/>
      <c r="AG76" s="335"/>
      <c r="AH76" s="335"/>
      <c r="AI76" s="335"/>
      <c r="AJ76" s="335"/>
      <c r="AK76" s="335"/>
      <c r="AL76" s="335"/>
      <c r="AM76" s="335"/>
      <c r="AN76" s="335"/>
      <c r="AO76" s="335"/>
      <c r="AP76" s="335"/>
      <c r="AQ76" s="335"/>
      <c r="AS76" s="7">
        <f>ROW()</f>
        <v>76</v>
      </c>
    </row>
    <row r="77" spans="1:45" s="8" customFormat="1" ht="13.95" customHeight="1">
      <c r="B77" s="8" t="s">
        <v>488</v>
      </c>
      <c r="H77" s="23"/>
      <c r="I77" s="23"/>
      <c r="J77" s="84" t="str">
        <f>CONCATENATE("Product of Rows ",AS75, " and ",AS57, ".")</f>
        <v>Product of Rows 75 and 57.</v>
      </c>
      <c r="M77" s="105"/>
      <c r="N77"/>
      <c r="O77"/>
      <c r="P77"/>
      <c r="Q77" s="268"/>
      <c r="R77" s="268"/>
      <c r="S77" s="245"/>
      <c r="T77" s="24">
        <f t="shared" ref="T77:AP77" si="19">T75*T57</f>
        <v>-492.53943722157447</v>
      </c>
      <c r="U77" s="24">
        <f t="shared" si="19"/>
        <v>-882.38439705249857</v>
      </c>
      <c r="V77" s="24">
        <f t="shared" si="19"/>
        <v>-1191.2026737450681</v>
      </c>
      <c r="W77" s="24">
        <f t="shared" si="19"/>
        <v>-1434.3527443389039</v>
      </c>
      <c r="X77" s="24">
        <f t="shared" si="19"/>
        <v>-1719.4283384936182</v>
      </c>
      <c r="Y77" s="24">
        <f t="shared" si="19"/>
        <v>-1980.8852700093371</v>
      </c>
      <c r="Z77" s="24">
        <f t="shared" si="19"/>
        <v>-2224.1834435997885</v>
      </c>
      <c r="AA77" s="24">
        <f t="shared" si="19"/>
        <v>-2451.8041307762724</v>
      </c>
      <c r="AB77" s="24">
        <f t="shared" si="19"/>
        <v>-2665.7851647819643</v>
      </c>
      <c r="AC77" s="24">
        <f t="shared" si="19"/>
        <v>-2867.8174598519759</v>
      </c>
      <c r="AD77" s="24">
        <f t="shared" si="19"/>
        <v>-3059.3170726597209</v>
      </c>
      <c r="AE77" s="24">
        <f t="shared" si="19"/>
        <v>-3241.4798024107022</v>
      </c>
      <c r="AF77" s="24">
        <f t="shared" si="19"/>
        <v>-3415.3231150262236</v>
      </c>
      <c r="AG77" s="24">
        <f t="shared" si="19"/>
        <v>-3581.7187255122321</v>
      </c>
      <c r="AH77" s="24">
        <f t="shared" si="19"/>
        <v>-3777.0655443858977</v>
      </c>
      <c r="AI77" s="24">
        <f t="shared" si="19"/>
        <v>-3966.1446011496414</v>
      </c>
      <c r="AJ77" s="24">
        <f t="shared" si="19"/>
        <v>-4151.8603429156465</v>
      </c>
      <c r="AK77" s="24">
        <f t="shared" si="19"/>
        <v>-4334.6030607754819</v>
      </c>
      <c r="AL77" s="24">
        <f t="shared" si="19"/>
        <v>-4514.7220317769861</v>
      </c>
      <c r="AM77" s="24">
        <f t="shared" si="19"/>
        <v>-4692.5311099473856</v>
      </c>
      <c r="AN77" s="24">
        <f t="shared" si="19"/>
        <v>-4868.3134193670749</v>
      </c>
      <c r="AO77" s="24">
        <f t="shared" si="19"/>
        <v>-5042.3253147173664</v>
      </c>
      <c r="AP77" s="24">
        <f t="shared" si="19"/>
        <v>-5214.7997405610977</v>
      </c>
      <c r="AQ77" s="24">
        <f t="shared" ref="AQ77" si="20">AQ75*AQ57</f>
        <v>-5385.9490942288558</v>
      </c>
      <c r="AS77" s="7">
        <f>ROW()</f>
        <v>77</v>
      </c>
    </row>
    <row r="78" spans="1:45" s="8" customFormat="1" ht="13.95" customHeight="1">
      <c r="B78" s="8" t="s">
        <v>489</v>
      </c>
      <c r="J78" s="84" t="str">
        <f>CONCATENATE("Sum of Rows ",AS57, " (x 1000) and ",AS77, ".")</f>
        <v>Sum of Rows 57 (x 1000) and 77.</v>
      </c>
      <c r="M78" s="107"/>
      <c r="N78"/>
      <c r="O78"/>
      <c r="P78"/>
      <c r="Q78" s="268"/>
      <c r="R78" s="268"/>
      <c r="S78" s="245"/>
      <c r="T78" s="24">
        <f t="shared" ref="T78:AP78" si="21">T57+T77</f>
        <v>10613.29536985716</v>
      </c>
      <c r="U78" s="24">
        <f t="shared" si="21"/>
        <v>10124.44522633218</v>
      </c>
      <c r="V78" s="24">
        <f t="shared" si="21"/>
        <v>9702.8195718258285</v>
      </c>
      <c r="W78" s="24">
        <f t="shared" si="21"/>
        <v>9333.310938182949</v>
      </c>
      <c r="X78" s="24">
        <f t="shared" si="21"/>
        <v>9150.8022025466853</v>
      </c>
      <c r="Y78" s="24">
        <f t="shared" si="21"/>
        <v>8974.2876555851162</v>
      </c>
      <c r="Z78" s="24">
        <f t="shared" si="21"/>
        <v>8816.3519135946008</v>
      </c>
      <c r="AA78" s="24">
        <f t="shared" si="21"/>
        <v>8674.5130934836143</v>
      </c>
      <c r="AB78" s="24">
        <f t="shared" si="21"/>
        <v>8546.7327372648779</v>
      </c>
      <c r="AC78" s="24">
        <f t="shared" si="21"/>
        <v>8431.3192934297476</v>
      </c>
      <c r="AD78" s="24">
        <f t="shared" si="21"/>
        <v>8326.8560561441336</v>
      </c>
      <c r="AE78" s="24">
        <f t="shared" si="21"/>
        <v>8232.1465658043981</v>
      </c>
      <c r="AF78" s="24">
        <f t="shared" si="21"/>
        <v>8146.1726855102825</v>
      </c>
      <c r="AG78" s="24">
        <f t="shared" si="21"/>
        <v>8068.0620193592877</v>
      </c>
      <c r="AH78" s="24">
        <f t="shared" si="21"/>
        <v>8013.4603161250161</v>
      </c>
      <c r="AI78" s="24">
        <f t="shared" si="21"/>
        <v>7958.5909035179156</v>
      </c>
      <c r="AJ78" s="24">
        <f t="shared" si="21"/>
        <v>7908.5879797245525</v>
      </c>
      <c r="AK78" s="24">
        <f t="shared" si="21"/>
        <v>7863.0778047600306</v>
      </c>
      <c r="AL78" s="24">
        <f t="shared" si="21"/>
        <v>7821.7278318682911</v>
      </c>
      <c r="AM78" s="24">
        <f t="shared" si="21"/>
        <v>7784.2411184093526</v>
      </c>
      <c r="AN78" s="24">
        <f t="shared" si="21"/>
        <v>7750.3516347160285</v>
      </c>
      <c r="AO78" s="24">
        <f t="shared" si="21"/>
        <v>7719.8203054969918</v>
      </c>
      <c r="AP78" s="24">
        <f t="shared" si="21"/>
        <v>7692.4316525275253</v>
      </c>
      <c r="AQ78" s="24">
        <f t="shared" ref="AQ78" si="22">AQ57+AQ77</f>
        <v>7667.9909337554254</v>
      </c>
      <c r="AS78" s="7">
        <f>ROW()</f>
        <v>78</v>
      </c>
    </row>
    <row r="79" spans="1:45" s="80" customFormat="1" ht="13.95" customHeight="1">
      <c r="A79" s="8"/>
      <c r="B79" s="8" t="s">
        <v>97</v>
      </c>
      <c r="J79" s="84" t="str">
        <f>CONCATENATE("Product of Rows ",AS78, " and ",AS71, ", with appropriate conversion factor.")</f>
        <v>Product of Rows 78 and 71, with appropriate conversion factor.</v>
      </c>
      <c r="M79" s="159"/>
      <c r="N79"/>
      <c r="O79"/>
      <c r="P79"/>
      <c r="Q79" s="268"/>
      <c r="R79" s="268"/>
      <c r="S79" s="245"/>
      <c r="T79" s="80">
        <f t="shared" ref="T79:AP79" si="23">T78*T71/1000</f>
        <v>537.95690297561214</v>
      </c>
      <c r="U79" s="80">
        <f t="shared" si="23"/>
        <v>507.60045049424406</v>
      </c>
      <c r="V79" s="80">
        <f t="shared" si="23"/>
        <v>481.1741071683166</v>
      </c>
      <c r="W79" s="80">
        <f t="shared" si="23"/>
        <v>457.81873181564265</v>
      </c>
      <c r="X79" s="80">
        <f t="shared" si="23"/>
        <v>443.98727327618275</v>
      </c>
      <c r="Y79" s="80">
        <f t="shared" si="23"/>
        <v>430.69008039432583</v>
      </c>
      <c r="Z79" s="80">
        <f t="shared" si="23"/>
        <v>418.5114365230653</v>
      </c>
      <c r="AA79" s="80">
        <f t="shared" si="23"/>
        <v>407.30247577786616</v>
      </c>
      <c r="AB79" s="80">
        <f t="shared" si="23"/>
        <v>396.94066816608068</v>
      </c>
      <c r="AC79" s="80">
        <f t="shared" si="23"/>
        <v>387.32411671439286</v>
      </c>
      <c r="AD79" s="80">
        <f t="shared" si="23"/>
        <v>378.36729480135062</v>
      </c>
      <c r="AE79" s="80">
        <f t="shared" si="23"/>
        <v>369.99781268915007</v>
      </c>
      <c r="AF79" s="80">
        <f t="shared" si="23"/>
        <v>362.15393190502408</v>
      </c>
      <c r="AG79" s="80">
        <f t="shared" si="23"/>
        <v>354.78263129171239</v>
      </c>
      <c r="AH79" s="80">
        <f t="shared" si="23"/>
        <v>348.55132889993263</v>
      </c>
      <c r="AI79" s="80">
        <f t="shared" si="23"/>
        <v>342.402055673794</v>
      </c>
      <c r="AJ79" s="80">
        <f t="shared" si="23"/>
        <v>336.55237714555392</v>
      </c>
      <c r="AK79" s="80">
        <f t="shared" si="23"/>
        <v>330.97852408082849</v>
      </c>
      <c r="AL79" s="80">
        <f t="shared" si="23"/>
        <v>325.65929012842537</v>
      </c>
      <c r="AM79" s="80">
        <f t="shared" si="23"/>
        <v>320.57568696965967</v>
      </c>
      <c r="AN79" s="80">
        <f t="shared" si="23"/>
        <v>315.71065454765557</v>
      </c>
      <c r="AO79" s="80">
        <f t="shared" si="23"/>
        <v>311.0488162716108</v>
      </c>
      <c r="AP79" s="80">
        <f t="shared" si="23"/>
        <v>306.57627117157921</v>
      </c>
      <c r="AQ79" s="80">
        <f t="shared" ref="AQ79" si="24">AQ78*AQ71/1000</f>
        <v>302.28041658733366</v>
      </c>
      <c r="AS79" s="7">
        <f>ROW()</f>
        <v>79</v>
      </c>
    </row>
    <row r="80" spans="1:45" s="8" customFormat="1" ht="13.95" customHeight="1">
      <c r="B80" s="8" t="s">
        <v>280</v>
      </c>
      <c r="H80" s="23"/>
      <c r="I80" s="23"/>
      <c r="J80" s="84" t="str">
        <f>CONCATENATE("Row ",AS79, " less Row ",AS62, ".")</f>
        <v>Row 79 less Row 62.</v>
      </c>
      <c r="M80" s="129"/>
      <c r="N80"/>
      <c r="O80"/>
      <c r="P80"/>
      <c r="Q80" s="268"/>
      <c r="R80" s="268"/>
      <c r="S80" s="245"/>
      <c r="T80" s="24">
        <f t="shared" ref="T80:AP80" si="25">T79-T62</f>
        <v>-31.151388771893721</v>
      </c>
      <c r="U80" s="24">
        <f t="shared" si="25"/>
        <v>-56.434411660165608</v>
      </c>
      <c r="V80" s="24">
        <f t="shared" si="25"/>
        <v>-77.080044647848354</v>
      </c>
      <c r="W80" s="24">
        <f t="shared" si="25"/>
        <v>-93.96029163658568</v>
      </c>
      <c r="X80" s="24">
        <f t="shared" si="25"/>
        <v>-113.04769452019679</v>
      </c>
      <c r="Y80" s="24">
        <f t="shared" si="25"/>
        <v>-130.69768178539528</v>
      </c>
      <c r="Z80" s="24">
        <f t="shared" si="25"/>
        <v>-147.25064496458288</v>
      </c>
      <c r="AA80" s="24">
        <f t="shared" si="25"/>
        <v>-162.8554186024283</v>
      </c>
      <c r="AB80" s="24">
        <f t="shared" si="25"/>
        <v>-177.63450067714228</v>
      </c>
      <c r="AC80" s="24">
        <f t="shared" si="25"/>
        <v>-191.68975550554478</v>
      </c>
      <c r="AD80" s="24">
        <f t="shared" si="25"/>
        <v>-205.10667644344579</v>
      </c>
      <c r="AE80" s="24">
        <f t="shared" si="25"/>
        <v>-217.95761938715401</v>
      </c>
      <c r="AF80" s="24">
        <f t="shared" si="25"/>
        <v>-230.30428842573741</v>
      </c>
      <c r="AG80" s="24">
        <f t="shared" si="25"/>
        <v>-242.19966982453843</v>
      </c>
      <c r="AH80" s="24">
        <f t="shared" si="25"/>
        <v>-255.64332623785356</v>
      </c>
      <c r="AI80" s="24">
        <f t="shared" si="25"/>
        <v>-268.67004925942257</v>
      </c>
      <c r="AJ80" s="24">
        <f t="shared" si="25"/>
        <v>-281.47420634297316</v>
      </c>
      <c r="AK80" s="24">
        <f t="shared" si="25"/>
        <v>-294.08041486913032</v>
      </c>
      <c r="AL80" s="24">
        <f t="shared" si="25"/>
        <v>-306.51073851750334</v>
      </c>
      <c r="AM80" s="24">
        <f t="shared" si="25"/>
        <v>-318.78503221526472</v>
      </c>
      <c r="AN80" s="24">
        <f t="shared" si="25"/>
        <v>-330.92123200677514</v>
      </c>
      <c r="AO80" s="24">
        <f t="shared" si="25"/>
        <v>-342.93559994928637</v>
      </c>
      <c r="AP80" s="24">
        <f t="shared" si="25"/>
        <v>-354.84293205917976</v>
      </c>
      <c r="AQ80" s="24">
        <f t="shared" ref="AQ80" si="26">AQ79-AQ62</f>
        <v>-366.65673572518722</v>
      </c>
      <c r="AS80" s="7">
        <f>ROW()</f>
        <v>80</v>
      </c>
    </row>
    <row r="81" spans="1:45" s="8" customFormat="1" ht="13.95" customHeight="1">
      <c r="B81" s="8" t="s">
        <v>403</v>
      </c>
      <c r="H81" s="23"/>
      <c r="I81" s="23"/>
      <c r="J81" s="84" t="str">
        <f>CONCATENATE("Row ",AS79, " less Cell I",AS62, ".")</f>
        <v>Row 79 less Cell I62.</v>
      </c>
      <c r="M81" s="129"/>
      <c r="N81"/>
      <c r="O81"/>
      <c r="P81"/>
      <c r="Q81" s="268"/>
      <c r="R81" s="268"/>
      <c r="S81" s="245"/>
      <c r="T81" s="24">
        <f t="shared" ref="T81:AP81" si="27">T79-$I$62</f>
        <v>-21.0524786987678</v>
      </c>
      <c r="U81" s="24">
        <f t="shared" si="27"/>
        <v>-51.40893118013588</v>
      </c>
      <c r="V81" s="24">
        <f t="shared" si="27"/>
        <v>-77.835274506063342</v>
      </c>
      <c r="W81" s="24">
        <f t="shared" si="27"/>
        <v>-101.19064985873729</v>
      </c>
      <c r="X81" s="24">
        <f t="shared" si="27"/>
        <v>-115.02210839819719</v>
      </c>
      <c r="Y81" s="24">
        <f t="shared" si="27"/>
        <v>-128.31930128005411</v>
      </c>
      <c r="Z81" s="24">
        <f t="shared" si="27"/>
        <v>-140.49794515131464</v>
      </c>
      <c r="AA81" s="24">
        <f t="shared" si="27"/>
        <v>-151.70690589651377</v>
      </c>
      <c r="AB81" s="24">
        <f t="shared" si="27"/>
        <v>-162.06871350829925</v>
      </c>
      <c r="AC81" s="24">
        <f t="shared" si="27"/>
        <v>-171.68526495998708</v>
      </c>
      <c r="AD81" s="24">
        <f t="shared" si="27"/>
        <v>-180.64208687302931</v>
      </c>
      <c r="AE81" s="24">
        <f t="shared" si="27"/>
        <v>-189.01156898522987</v>
      </c>
      <c r="AF81" s="24">
        <f t="shared" si="27"/>
        <v>-196.85544976935586</v>
      </c>
      <c r="AG81" s="24">
        <f t="shared" si="27"/>
        <v>-204.22675038266755</v>
      </c>
      <c r="AH81" s="24">
        <f t="shared" si="27"/>
        <v>-210.45805277444731</v>
      </c>
      <c r="AI81" s="24">
        <f t="shared" si="27"/>
        <v>-216.60732600058594</v>
      </c>
      <c r="AJ81" s="24">
        <f t="shared" si="27"/>
        <v>-222.45700452882602</v>
      </c>
      <c r="AK81" s="24">
        <f t="shared" si="27"/>
        <v>-228.03085759355145</v>
      </c>
      <c r="AL81" s="24">
        <f t="shared" si="27"/>
        <v>-233.35009154595457</v>
      </c>
      <c r="AM81" s="24">
        <f t="shared" si="27"/>
        <v>-238.43369470472027</v>
      </c>
      <c r="AN81" s="24">
        <f t="shared" si="27"/>
        <v>-243.29872712672437</v>
      </c>
      <c r="AO81" s="24">
        <f t="shared" si="27"/>
        <v>-247.96056540276913</v>
      </c>
      <c r="AP81" s="24">
        <f t="shared" si="27"/>
        <v>-252.43311050280073</v>
      </c>
      <c r="AQ81" s="24">
        <f t="shared" ref="AQ81" si="28">AQ79-$I$62</f>
        <v>-256.72896508704628</v>
      </c>
      <c r="AS81" s="7">
        <f>ROW()</f>
        <v>81</v>
      </c>
    </row>
    <row r="82" spans="1:45" s="8" customFormat="1" ht="13.95" customHeight="1">
      <c r="B82" s="8" t="s">
        <v>311</v>
      </c>
      <c r="H82" s="23"/>
      <c r="I82" s="23"/>
      <c r="J82" s="84" t="str">
        <f>CONCATENATE("Product of Rows ",AS20, " and ",AS79, ".")</f>
        <v>Product of Rows 20 and 79.</v>
      </c>
      <c r="M82" s="129"/>
      <c r="N82"/>
      <c r="O82"/>
      <c r="P82"/>
      <c r="Q82" s="268"/>
      <c r="R82" s="268"/>
      <c r="S82" s="245"/>
      <c r="T82" s="784">
        <f t="shared" ref="T82:AQ82" si="29">ROUND(T79*T20,-2)/1000</f>
        <v>6.7</v>
      </c>
      <c r="U82" s="784">
        <f t="shared" si="29"/>
        <v>13</v>
      </c>
      <c r="V82" s="784">
        <f t="shared" si="29"/>
        <v>18.8</v>
      </c>
      <c r="W82" s="784">
        <f t="shared" si="29"/>
        <v>24.4</v>
      </c>
      <c r="X82" s="784">
        <f t="shared" si="29"/>
        <v>30.2</v>
      </c>
      <c r="Y82" s="784">
        <f t="shared" si="29"/>
        <v>35.9</v>
      </c>
      <c r="Z82" s="784">
        <f t="shared" si="29"/>
        <v>41.5</v>
      </c>
      <c r="AA82" s="784">
        <f t="shared" si="29"/>
        <v>47.1</v>
      </c>
      <c r="AB82" s="784">
        <f t="shared" si="29"/>
        <v>52.8</v>
      </c>
      <c r="AC82" s="784">
        <f t="shared" si="29"/>
        <v>58.4</v>
      </c>
      <c r="AD82" s="784">
        <f t="shared" si="29"/>
        <v>64.099999999999994</v>
      </c>
      <c r="AE82" s="784">
        <f t="shared" si="29"/>
        <v>69.8</v>
      </c>
      <c r="AF82" s="784">
        <f t="shared" si="29"/>
        <v>75.599999999999994</v>
      </c>
      <c r="AG82" s="784">
        <f t="shared" si="29"/>
        <v>81.400000000000006</v>
      </c>
      <c r="AH82" s="784">
        <f t="shared" si="29"/>
        <v>87.5</v>
      </c>
      <c r="AI82" s="784">
        <f t="shared" si="29"/>
        <v>93.7</v>
      </c>
      <c r="AJ82" s="784">
        <f t="shared" si="29"/>
        <v>99.9</v>
      </c>
      <c r="AK82" s="784">
        <f t="shared" si="29"/>
        <v>106.2</v>
      </c>
      <c r="AL82" s="784">
        <f t="shared" si="29"/>
        <v>112.6</v>
      </c>
      <c r="AM82" s="784">
        <f t="shared" si="29"/>
        <v>119.1</v>
      </c>
      <c r="AN82" s="784">
        <f t="shared" si="29"/>
        <v>125.8</v>
      </c>
      <c r="AO82" s="784">
        <f t="shared" si="29"/>
        <v>132.6</v>
      </c>
      <c r="AP82" s="784">
        <f t="shared" si="29"/>
        <v>139.5</v>
      </c>
      <c r="AQ82" s="784">
        <f t="shared" si="29"/>
        <v>146.5</v>
      </c>
      <c r="AS82" s="7">
        <f>ROW()</f>
        <v>82</v>
      </c>
    </row>
    <row r="83" spans="1:45" s="8" customFormat="1" ht="13.95" customHeight="1">
      <c r="H83" s="23"/>
      <c r="I83" s="23"/>
      <c r="J83" s="23"/>
      <c r="M83" s="129"/>
      <c r="N83" s="189"/>
      <c r="O83" s="189"/>
      <c r="P83" s="189"/>
      <c r="Q83" s="189"/>
      <c r="R83" s="189"/>
      <c r="S83" s="189"/>
      <c r="T83" s="24"/>
      <c r="U83" s="24"/>
      <c r="V83" s="24"/>
      <c r="W83" s="24"/>
      <c r="X83" s="24"/>
      <c r="Y83" s="24"/>
      <c r="Z83" s="24"/>
      <c r="AA83" s="24"/>
      <c r="AB83" s="24"/>
      <c r="AC83" s="24"/>
      <c r="AD83" s="24"/>
      <c r="AE83" s="24"/>
      <c r="AF83" s="24"/>
      <c r="AG83" s="24"/>
      <c r="AH83" s="24"/>
      <c r="AI83" s="24"/>
      <c r="AJ83" s="24"/>
      <c r="AK83" s="24"/>
      <c r="AL83" s="24"/>
      <c r="AM83" s="24"/>
      <c r="AN83" s="24"/>
      <c r="AO83" s="24"/>
      <c r="AP83" s="24"/>
      <c r="AQ83" s="24"/>
      <c r="AS83" s="7">
        <f>ROW()</f>
        <v>83</v>
      </c>
    </row>
    <row r="84" spans="1:45" ht="13.95" customHeight="1">
      <c r="B84" s="53" t="s">
        <v>102</v>
      </c>
      <c r="H84" s="54">
        <f>-Parameters!H13</f>
        <v>0.5</v>
      </c>
      <c r="I84" s="54"/>
      <c r="J84" s="54"/>
      <c r="AS84" s="7">
        <f>ROW()</f>
        <v>84</v>
      </c>
    </row>
    <row r="85" spans="1:45" ht="13.95" customHeight="1">
      <c r="B85" s="191" t="s">
        <v>748</v>
      </c>
      <c r="C85" s="100"/>
      <c r="D85" s="100"/>
      <c r="E85" s="100"/>
      <c r="F85" s="100"/>
      <c r="G85" s="100"/>
      <c r="H85" s="100"/>
      <c r="I85" s="100"/>
      <c r="J85" s="100"/>
      <c r="K85" s="100"/>
      <c r="L85" s="100"/>
      <c r="M85" s="100"/>
      <c r="N85" s="125"/>
      <c r="O85" s="125"/>
      <c r="P85" s="519"/>
      <c r="Q85" s="759"/>
      <c r="R85" s="778"/>
      <c r="S85" s="759"/>
      <c r="AS85" s="7">
        <f>ROW()</f>
        <v>85</v>
      </c>
    </row>
    <row r="86" spans="1:45" ht="13.95" customHeight="1">
      <c r="C86" s="100"/>
      <c r="D86" s="100"/>
      <c r="E86" s="100"/>
      <c r="F86" s="100"/>
      <c r="G86" s="100"/>
      <c r="H86" s="100"/>
      <c r="I86" s="100"/>
      <c r="J86" s="100"/>
      <c r="K86" s="100"/>
      <c r="L86" s="100"/>
      <c r="M86" s="100"/>
      <c r="N86" s="125"/>
      <c r="O86" s="125"/>
      <c r="P86" s="519"/>
      <c r="Q86" s="759"/>
      <c r="R86" s="778"/>
      <c r="S86" s="759"/>
      <c r="AS86" s="7">
        <f>ROW()</f>
        <v>86</v>
      </c>
    </row>
    <row r="87" spans="1:45" ht="13.95" customHeight="1">
      <c r="B87" s="100"/>
      <c r="C87" s="67"/>
      <c r="D87" s="67"/>
      <c r="E87" s="67"/>
      <c r="F87" s="67"/>
      <c r="G87" s="67"/>
      <c r="H87" s="121"/>
      <c r="I87" s="121"/>
      <c r="J87" s="121"/>
      <c r="K87" s="67"/>
      <c r="L87" s="67"/>
      <c r="AS87" s="7">
        <f>ROW()</f>
        <v>87</v>
      </c>
    </row>
    <row r="88" spans="1:45" ht="13.95" customHeight="1">
      <c r="B88" s="105" t="s">
        <v>105</v>
      </c>
      <c r="C88" s="67"/>
      <c r="D88" s="67" t="s">
        <v>82</v>
      </c>
      <c r="E88" s="67"/>
      <c r="F88" s="67"/>
      <c r="G88" s="67"/>
      <c r="H88" s="67"/>
      <c r="I88" s="67"/>
      <c r="J88" s="67"/>
      <c r="K88" s="67"/>
      <c r="L88" s="67"/>
      <c r="AS88" s="7">
        <f>ROW()</f>
        <v>88</v>
      </c>
    </row>
    <row r="89" spans="1:45" ht="13.95" customHeight="1">
      <c r="B89" s="67"/>
      <c r="C89" s="67"/>
      <c r="D89" s="67"/>
      <c r="E89" s="67"/>
      <c r="F89" s="67"/>
      <c r="G89" s="67"/>
      <c r="H89" s="67"/>
      <c r="I89" s="67"/>
      <c r="J89" s="67"/>
      <c r="K89" s="67"/>
      <c r="L89" s="67"/>
      <c r="AS89" s="7">
        <f>ROW()</f>
        <v>89</v>
      </c>
    </row>
    <row r="90" spans="1:45" ht="13.95" customHeight="1">
      <c r="B90" s="1255" t="s">
        <v>486</v>
      </c>
      <c r="C90" s="1155"/>
      <c r="D90" s="1155"/>
      <c r="E90" s="1155"/>
      <c r="F90" s="1155"/>
      <c r="G90" s="1155"/>
      <c r="H90" s="1155"/>
      <c r="I90" s="125"/>
      <c r="J90" s="125"/>
      <c r="K90" s="67"/>
      <c r="L90" s="67"/>
      <c r="AS90" s="7">
        <f>ROW()</f>
        <v>90</v>
      </c>
    </row>
    <row r="91" spans="1:45" ht="13.95" customHeight="1">
      <c r="B91" s="1155"/>
      <c r="C91" s="1155"/>
      <c r="D91" s="1155"/>
      <c r="E91" s="1155"/>
      <c r="F91" s="1155"/>
      <c r="G91" s="1155"/>
      <c r="H91" s="1155"/>
      <c r="I91" s="125"/>
      <c r="J91" s="125"/>
      <c r="K91" s="67"/>
      <c r="L91" s="67"/>
    </row>
    <row r="92" spans="1:45" ht="13.95" customHeight="1">
      <c r="B92" s="67"/>
      <c r="C92" s="67"/>
      <c r="D92" s="67"/>
      <c r="E92" s="67"/>
      <c r="F92" s="67"/>
      <c r="G92" s="67"/>
      <c r="H92" s="67"/>
      <c r="I92" s="67"/>
      <c r="J92" s="67"/>
      <c r="K92" s="67"/>
      <c r="L92" s="67"/>
    </row>
    <row r="93" spans="1:45" ht="13.95" customHeight="1">
      <c r="B93" s="13" t="s">
        <v>410</v>
      </c>
      <c r="F93" s="12"/>
      <c r="G93" s="12">
        <f>HLOOKUP(10,T16:AP39,24)</f>
        <v>2026</v>
      </c>
      <c r="H93" s="67"/>
      <c r="I93" s="67"/>
      <c r="J93" s="67"/>
      <c r="K93" s="67"/>
      <c r="L93" s="67"/>
    </row>
    <row r="94" spans="1:45" ht="13.95" customHeight="1">
      <c r="H94" s="67"/>
      <c r="I94" s="67"/>
      <c r="J94" s="67"/>
      <c r="K94" s="67"/>
      <c r="L94" s="67"/>
      <c r="Q94"/>
      <c r="R94"/>
    </row>
    <row r="95" spans="1:45" ht="13.95" customHeight="1">
      <c r="B95" s="14" t="s">
        <v>680</v>
      </c>
      <c r="G95" s="36">
        <f>HLOOKUP(G93,T39:AP92,19)</f>
        <v>11299.136753281724</v>
      </c>
      <c r="H95" s="67"/>
      <c r="I95" s="67"/>
      <c r="J95" s="67"/>
      <c r="K95" s="67"/>
      <c r="L95" s="67"/>
      <c r="Q95"/>
      <c r="R95"/>
    </row>
    <row r="96" spans="1:45" ht="13.95" customHeight="1">
      <c r="A96" s="13"/>
      <c r="B96" s="14" t="s">
        <v>679</v>
      </c>
      <c r="G96" s="36">
        <f>HLOOKUP(G93,T74:AP82,5)</f>
        <v>8431.3192934297476</v>
      </c>
      <c r="H96" s="67"/>
      <c r="I96" s="67"/>
      <c r="J96" s="67"/>
      <c r="K96" s="67"/>
      <c r="L96" s="67"/>
      <c r="Q96"/>
      <c r="R96"/>
    </row>
    <row r="97" spans="1:45" s="13" customFormat="1" ht="13.95" customHeight="1">
      <c r="A97"/>
      <c r="B97" s="13" t="s">
        <v>5</v>
      </c>
      <c r="G97" s="37">
        <f>G96/G95</f>
        <v>0.74619145493401995</v>
      </c>
      <c r="H97" s="155"/>
      <c r="I97" s="155"/>
      <c r="J97" s="155"/>
      <c r="K97" s="155"/>
      <c r="L97" s="155"/>
      <c r="M97" s="155"/>
      <c r="N97" s="155"/>
      <c r="O97" s="155"/>
      <c r="P97" s="155"/>
      <c r="Q97"/>
      <c r="R97"/>
      <c r="S97" s="67"/>
      <c r="T97"/>
      <c r="U97"/>
      <c r="V97"/>
      <c r="W97"/>
      <c r="X97"/>
      <c r="Y97"/>
      <c r="Z97"/>
      <c r="AA97"/>
      <c r="AB97"/>
      <c r="AC97"/>
      <c r="AS97"/>
    </row>
    <row r="98" spans="1:45" ht="13.95" customHeight="1">
      <c r="H98" s="67"/>
      <c r="I98" s="67"/>
      <c r="J98" s="67"/>
      <c r="K98" s="67"/>
      <c r="L98" s="67"/>
      <c r="Q98"/>
      <c r="R98"/>
    </row>
    <row r="99" spans="1:45" ht="13.95" customHeight="1">
      <c r="B99" t="s">
        <v>0</v>
      </c>
      <c r="G99" s="20">
        <f>I71</f>
        <v>51.244080398599358</v>
      </c>
      <c r="H99" s="67"/>
      <c r="I99" s="67"/>
      <c r="J99" s="67"/>
      <c r="K99" s="67"/>
      <c r="L99" s="67"/>
      <c r="Q99"/>
      <c r="R99"/>
    </row>
    <row r="100" spans="1:45" ht="13.95" customHeight="1">
      <c r="A100" s="13"/>
      <c r="B100" t="s">
        <v>1</v>
      </c>
      <c r="G100" s="20">
        <f>HLOOKUP(G93,T61:AP71,11)</f>
        <v>45.938731915445537</v>
      </c>
      <c r="H100" s="67"/>
      <c r="I100" s="67"/>
      <c r="J100" s="67"/>
      <c r="K100" s="67"/>
      <c r="L100" s="67"/>
      <c r="Q100"/>
      <c r="R100"/>
    </row>
    <row r="101" spans="1:45" s="13" customFormat="1" ht="13.95" customHeight="1">
      <c r="A101"/>
      <c r="B101" s="13" t="s">
        <v>5</v>
      </c>
      <c r="G101" s="37">
        <f>G100/G99</f>
        <v>0.89646904692431884</v>
      </c>
      <c r="H101" s="155"/>
      <c r="I101" s="155"/>
      <c r="J101" s="155"/>
      <c r="K101" s="155"/>
      <c r="L101" s="155"/>
      <c r="M101" s="155"/>
      <c r="N101" s="155"/>
      <c r="O101" s="155"/>
      <c r="P101" s="155"/>
      <c r="Q101"/>
      <c r="R101"/>
      <c r="S101" s="67"/>
      <c r="T101"/>
      <c r="U101"/>
      <c r="V101"/>
      <c r="W101"/>
      <c r="X101"/>
      <c r="Y101"/>
      <c r="Z101"/>
      <c r="AA101"/>
      <c r="AB101"/>
      <c r="AC101"/>
      <c r="AS101"/>
    </row>
    <row r="102" spans="1:45" ht="13.95" customHeight="1">
      <c r="G102" s="20"/>
      <c r="H102" s="67"/>
      <c r="I102" s="67"/>
      <c r="J102" s="67"/>
      <c r="K102" s="67"/>
      <c r="L102" s="67"/>
      <c r="Q102"/>
      <c r="R102"/>
    </row>
    <row r="103" spans="1:45" ht="13.95" customHeight="1">
      <c r="B103" s="3" t="s">
        <v>140</v>
      </c>
      <c r="G103" s="20"/>
      <c r="H103" s="67"/>
      <c r="I103" s="67"/>
      <c r="J103" s="67"/>
      <c r="K103" s="67"/>
      <c r="L103" s="67"/>
      <c r="Q103"/>
      <c r="R103"/>
    </row>
    <row r="104" spans="1:45" ht="13.95" customHeight="1">
      <c r="B104" s="31" t="s">
        <v>426</v>
      </c>
      <c r="G104" s="36">
        <f>HLOOKUP(G93,T61:AP62,2)</f>
        <v>579.01387221993764</v>
      </c>
      <c r="H104" s="67"/>
      <c r="I104" s="67"/>
      <c r="J104" s="67"/>
      <c r="K104" s="67"/>
      <c r="L104" s="67"/>
      <c r="Q104"/>
      <c r="R104"/>
      <c r="S104"/>
    </row>
    <row r="105" spans="1:45" ht="13.95" customHeight="1">
      <c r="A105" s="13"/>
      <c r="B105" s="31" t="s">
        <v>427</v>
      </c>
      <c r="G105" s="36">
        <f>HLOOKUP(G93,T74:AP82,6)</f>
        <v>387.32411671439286</v>
      </c>
      <c r="H105" s="67"/>
      <c r="I105" s="67"/>
      <c r="J105" s="67"/>
      <c r="K105" s="67"/>
      <c r="L105" s="67"/>
      <c r="Q105"/>
      <c r="R105"/>
      <c r="S105"/>
    </row>
    <row r="106" spans="1:45" ht="13.95" customHeight="1">
      <c r="A106" s="13"/>
      <c r="B106" s="13" t="s">
        <v>5</v>
      </c>
      <c r="C106" s="13"/>
      <c r="D106" s="13"/>
      <c r="E106" s="13"/>
      <c r="F106" s="13"/>
      <c r="G106" s="55">
        <f>G105/G104</f>
        <v>0.66893754242777159</v>
      </c>
      <c r="H106" s="67"/>
      <c r="I106" s="67"/>
      <c r="J106" s="67"/>
      <c r="K106" s="67"/>
      <c r="L106" s="67"/>
      <c r="Q106"/>
      <c r="R106"/>
      <c r="S106"/>
    </row>
    <row r="107" spans="1:45" ht="13.95" customHeight="1">
      <c r="A107" s="13"/>
      <c r="G107" s="20"/>
      <c r="H107" s="67"/>
      <c r="I107" s="67"/>
      <c r="J107" s="67"/>
      <c r="K107" s="67"/>
      <c r="L107" s="67"/>
      <c r="Q107"/>
      <c r="R107"/>
      <c r="S107"/>
    </row>
    <row r="108" spans="1:45" ht="13.95" customHeight="1">
      <c r="B108" s="13" t="s">
        <v>4</v>
      </c>
      <c r="C108" s="13"/>
      <c r="D108" s="13"/>
      <c r="E108" s="13"/>
      <c r="F108" s="13"/>
      <c r="G108" s="55">
        <f>G101*G97</f>
        <v>0.6689375424277717</v>
      </c>
      <c r="H108" s="67"/>
      <c r="M108"/>
      <c r="N108"/>
      <c r="O108"/>
      <c r="P108"/>
      <c r="Q108"/>
      <c r="R108"/>
      <c r="S108"/>
    </row>
    <row r="109" spans="1:45" ht="13.95" customHeight="1">
      <c r="G109" s="20"/>
      <c r="M109"/>
      <c r="N109"/>
      <c r="O109"/>
      <c r="P109"/>
      <c r="Q109"/>
      <c r="R109"/>
      <c r="S109"/>
    </row>
    <row r="110" spans="1:45" ht="13.95" customHeight="1">
      <c r="B110" t="s">
        <v>109</v>
      </c>
      <c r="G110" s="20"/>
      <c r="K110" s="67"/>
      <c r="M110"/>
      <c r="N110"/>
      <c r="O110"/>
      <c r="P110"/>
      <c r="Q110"/>
      <c r="R110"/>
      <c r="S110"/>
    </row>
    <row r="111" spans="1:45" ht="13.95" customHeight="1">
      <c r="B111" t="s">
        <v>110</v>
      </c>
      <c r="G111" s="6">
        <f>(1-G97)/(1-G101)</f>
        <v>2.4515233128438982</v>
      </c>
      <c r="M111"/>
      <c r="N111"/>
      <c r="O111"/>
      <c r="P111"/>
      <c r="Q111"/>
      <c r="R111"/>
      <c r="S111"/>
    </row>
    <row r="112" spans="1:45" ht="13.95" customHeight="1">
      <c r="M112"/>
      <c r="N112"/>
      <c r="O112"/>
      <c r="P112"/>
      <c r="Q112"/>
      <c r="R112"/>
      <c r="S112"/>
    </row>
    <row r="113" spans="2:19" ht="13.95" customHeight="1">
      <c r="B113" s="38" t="s">
        <v>111</v>
      </c>
      <c r="C113" s="39"/>
      <c r="D113" s="39"/>
      <c r="E113" s="39"/>
      <c r="F113" s="39"/>
      <c r="G113" s="40">
        <f>G111/(1+G111)</f>
        <v>0.71027285364732318</v>
      </c>
      <c r="M113"/>
      <c r="N113"/>
      <c r="O113"/>
      <c r="P113"/>
      <c r="Q113"/>
      <c r="R113"/>
      <c r="S113"/>
    </row>
    <row r="114" spans="2:19" ht="13.95" customHeight="1">
      <c r="B114" s="41" t="s">
        <v>112</v>
      </c>
      <c r="C114" s="42"/>
      <c r="D114" s="42"/>
      <c r="E114" s="42"/>
      <c r="F114" s="42"/>
      <c r="G114" s="43">
        <f>1-G113</f>
        <v>0.28972714635267682</v>
      </c>
      <c r="M114"/>
      <c r="N114"/>
      <c r="O114"/>
      <c r="P114"/>
      <c r="Q114"/>
      <c r="R114"/>
      <c r="S114"/>
    </row>
    <row r="115" spans="2:19" ht="13.95" customHeight="1">
      <c r="M115"/>
      <c r="N115"/>
      <c r="O115"/>
      <c r="P115"/>
      <c r="Q115"/>
      <c r="R115"/>
      <c r="S115"/>
    </row>
    <row r="116" spans="2:19" ht="13.95" customHeight="1">
      <c r="M116"/>
      <c r="N116"/>
      <c r="O116"/>
      <c r="P116"/>
      <c r="Q116"/>
      <c r="R116"/>
      <c r="S116"/>
    </row>
    <row r="117" spans="2:19" ht="13.95" customHeight="1">
      <c r="M117"/>
      <c r="N117"/>
      <c r="O117"/>
      <c r="P117"/>
      <c r="Q117"/>
      <c r="R117"/>
      <c r="S117"/>
    </row>
    <row r="118" spans="2:19" ht="13.95" customHeight="1">
      <c r="M118"/>
      <c r="N118"/>
      <c r="O118"/>
      <c r="P118"/>
      <c r="Q118"/>
      <c r="R118"/>
      <c r="S118"/>
    </row>
    <row r="119" spans="2:19" ht="13.95" customHeight="1">
      <c r="M119"/>
      <c r="N119"/>
      <c r="O119"/>
      <c r="P119"/>
      <c r="Q119"/>
      <c r="R119"/>
      <c r="S119"/>
    </row>
    <row r="120" spans="2:19" ht="13.95" customHeight="1">
      <c r="M120"/>
      <c r="N120"/>
      <c r="O120"/>
      <c r="P120"/>
      <c r="Q120"/>
      <c r="R120"/>
      <c r="S120"/>
    </row>
    <row r="121" spans="2:19" ht="13.95" customHeight="1">
      <c r="M121"/>
      <c r="N121"/>
      <c r="O121"/>
      <c r="P121"/>
      <c r="Q121"/>
      <c r="R121"/>
      <c r="S121"/>
    </row>
    <row r="122" spans="2:19" ht="13.95" customHeight="1">
      <c r="M122"/>
      <c r="N122"/>
      <c r="O122"/>
      <c r="P122"/>
      <c r="Q122"/>
      <c r="R122"/>
      <c r="S122"/>
    </row>
    <row r="123" spans="2:19" ht="13.95" customHeight="1">
      <c r="M123"/>
      <c r="N123"/>
      <c r="O123"/>
      <c r="P123"/>
      <c r="Q123"/>
      <c r="R123"/>
      <c r="S123"/>
    </row>
    <row r="124" spans="2:19" ht="13.95" customHeight="1">
      <c r="M124"/>
      <c r="N124"/>
      <c r="O124"/>
      <c r="P124"/>
      <c r="Q124"/>
      <c r="R124"/>
      <c r="S124"/>
    </row>
    <row r="125" spans="2:19" ht="13.95" customHeight="1">
      <c r="M125"/>
      <c r="N125"/>
      <c r="O125"/>
      <c r="P125"/>
      <c r="Q125"/>
      <c r="R125"/>
      <c r="S125"/>
    </row>
    <row r="126" spans="2:19" ht="13.95" customHeight="1">
      <c r="M126"/>
      <c r="N126"/>
      <c r="O126"/>
      <c r="P126"/>
      <c r="Q126"/>
      <c r="R126"/>
      <c r="S126"/>
    </row>
    <row r="127" spans="2:19" ht="13.95" customHeight="1">
      <c r="M127"/>
      <c r="N127"/>
      <c r="O127"/>
      <c r="P127"/>
      <c r="Q127"/>
      <c r="R127"/>
      <c r="S127"/>
    </row>
    <row r="128" spans="2:19" ht="13.95" customHeight="1">
      <c r="M128"/>
      <c r="N128"/>
      <c r="O128"/>
      <c r="P128"/>
      <c r="Q128"/>
      <c r="R128"/>
      <c r="S128"/>
    </row>
    <row r="129" spans="13:19" ht="13.95" customHeight="1">
      <c r="M129"/>
      <c r="N129"/>
      <c r="O129"/>
      <c r="P129"/>
      <c r="Q129"/>
      <c r="R129"/>
      <c r="S129"/>
    </row>
    <row r="130" spans="13:19" ht="13.95" customHeight="1">
      <c r="M130"/>
      <c r="N130"/>
      <c r="O130"/>
      <c r="P130"/>
      <c r="Q130"/>
    </row>
    <row r="131" spans="13:19" ht="13.95" customHeight="1">
      <c r="M131"/>
      <c r="N131"/>
      <c r="O131"/>
      <c r="P131"/>
      <c r="Q131"/>
    </row>
    <row r="132" spans="13:19" ht="13.95" customHeight="1">
      <c r="M132"/>
      <c r="N132"/>
      <c r="O132"/>
      <c r="P132"/>
      <c r="Q132"/>
    </row>
    <row r="133" spans="13:19" ht="13.95" customHeight="1">
      <c r="M133"/>
      <c r="N133"/>
      <c r="O133"/>
      <c r="P133"/>
      <c r="Q133"/>
    </row>
    <row r="134" spans="13:19" ht="13.95" customHeight="1">
      <c r="M134"/>
      <c r="N134"/>
      <c r="O134"/>
      <c r="P134"/>
      <c r="Q134"/>
    </row>
    <row r="135" spans="13:19" ht="13.95" customHeight="1">
      <c r="M135"/>
      <c r="N135"/>
      <c r="O135"/>
      <c r="P135"/>
      <c r="Q135"/>
    </row>
    <row r="136" spans="13:19" ht="13.95" customHeight="1">
      <c r="M136"/>
      <c r="N136"/>
      <c r="O136"/>
      <c r="P136"/>
      <c r="Q136"/>
    </row>
    <row r="137" spans="13:19" ht="13.95" customHeight="1">
      <c r="M137"/>
      <c r="N137"/>
      <c r="O137"/>
      <c r="P137"/>
      <c r="Q137"/>
    </row>
    <row r="138" spans="13:19" ht="13.95" customHeight="1">
      <c r="M138"/>
      <c r="N138"/>
      <c r="O138"/>
      <c r="P138"/>
      <c r="Q138"/>
    </row>
    <row r="139" spans="13:19" ht="13.95" customHeight="1">
      <c r="M139"/>
      <c r="N139"/>
      <c r="O139"/>
      <c r="P139"/>
      <c r="Q139"/>
    </row>
  </sheetData>
  <mergeCells count="21">
    <mergeCell ref="I71:S71"/>
    <mergeCell ref="B90:H91"/>
    <mergeCell ref="K10:K13"/>
    <mergeCell ref="M10:M13"/>
    <mergeCell ref="J75:Q76"/>
    <mergeCell ref="B63:N64"/>
    <mergeCell ref="B34:S37"/>
    <mergeCell ref="R10:R13"/>
    <mergeCell ref="T10:T13"/>
    <mergeCell ref="L10:L13"/>
    <mergeCell ref="N10:N13"/>
    <mergeCell ref="O10:O13"/>
    <mergeCell ref="Q10:Q13"/>
    <mergeCell ref="P10:P13"/>
    <mergeCell ref="S10:S13"/>
    <mergeCell ref="B3:I6"/>
    <mergeCell ref="B10:H11"/>
    <mergeCell ref="B58:N60"/>
    <mergeCell ref="I10:I13"/>
    <mergeCell ref="J10:J13"/>
    <mergeCell ref="K3:O3"/>
  </mergeCells>
  <phoneticPr fontId="3" type="noConversion"/>
  <printOptions gridLines="1"/>
  <pageMargins left="0.6" right="0.5" top="0.4" bottom="0.25" header="0.5" footer="0.5"/>
  <pageSetup scale="90" orientation="landscape" r:id="rId1"/>
  <headerFooter alignWithMargins="0"/>
</worksheet>
</file>

<file path=xl/worksheets/sheet16.xml><?xml version="1.0" encoding="utf-8"?>
<worksheet xmlns="http://schemas.openxmlformats.org/spreadsheetml/2006/main" xmlns:r="http://schemas.openxmlformats.org/officeDocument/2006/relationships">
  <dimension ref="A1:AS117"/>
  <sheetViews>
    <sheetView zoomScaleNormal="100" workbookViewId="0"/>
  </sheetViews>
  <sheetFormatPr defaultColWidth="9" defaultRowHeight="13.95" customHeight="1"/>
  <cols>
    <col min="1" max="1" width="2.625" customWidth="1"/>
    <col min="2" max="12" width="9.25" customWidth="1"/>
    <col min="13" max="19" width="9.25" style="67" customWidth="1"/>
    <col min="20" max="44" width="9.25" customWidth="1"/>
    <col min="45" max="45" width="2.375" customWidth="1"/>
  </cols>
  <sheetData>
    <row r="1" spans="2:45" ht="13.95" customHeight="1">
      <c r="B1" s="57" t="s">
        <v>697</v>
      </c>
      <c r="O1" s="215">
        <f>Summary!I1</f>
        <v>42552</v>
      </c>
      <c r="Q1"/>
      <c r="R1"/>
      <c r="S1" s="26"/>
      <c r="AS1" s="7">
        <f>ROW()</f>
        <v>1</v>
      </c>
    </row>
    <row r="2" spans="2:45" ht="13.95" customHeight="1">
      <c r="B2" s="1"/>
      <c r="Q2"/>
      <c r="R2"/>
      <c r="S2" s="26"/>
      <c r="AS2" s="7">
        <f>ROW()</f>
        <v>2</v>
      </c>
    </row>
    <row r="3" spans="2:45" ht="13.95" customHeight="1">
      <c r="B3" s="1145" t="s">
        <v>833</v>
      </c>
      <c r="C3" s="1145"/>
      <c r="D3" s="1145"/>
      <c r="E3" s="1145"/>
      <c r="F3" s="1145"/>
      <c r="G3" s="1145"/>
      <c r="H3" s="1145"/>
      <c r="I3" s="1145"/>
      <c r="K3" s="1257" t="str">
        <f>CONCATENATE("Tax Inputs (copied from 'Summary' Tab, Rows ",Summary!AR53,"-",Summary!AR73,")")</f>
        <v>Tax Inputs (copied from 'Summary' Tab, Rows 53-73)</v>
      </c>
      <c r="L3" s="1258"/>
      <c r="M3" s="1258"/>
      <c r="N3" s="1258"/>
      <c r="O3" s="1259"/>
      <c r="Q3"/>
      <c r="R3"/>
      <c r="S3" s="26"/>
      <c r="AS3" s="7">
        <f>ROW()</f>
        <v>3</v>
      </c>
    </row>
    <row r="4" spans="2:45" ht="13.95" customHeight="1">
      <c r="B4" s="1145"/>
      <c r="C4" s="1145"/>
      <c r="D4" s="1145"/>
      <c r="E4" s="1145"/>
      <c r="F4" s="1145"/>
      <c r="G4" s="1145"/>
      <c r="H4" s="1145"/>
      <c r="I4" s="1145"/>
      <c r="K4" s="848" t="s">
        <v>360</v>
      </c>
      <c r="L4" s="849"/>
      <c r="M4" s="849"/>
      <c r="N4" s="849"/>
      <c r="O4" s="850">
        <f>Summary!I56</f>
        <v>11.337868480725623</v>
      </c>
      <c r="P4" s="532"/>
      <c r="Q4"/>
      <c r="R4"/>
      <c r="S4" s="26"/>
      <c r="AS4" s="7">
        <f>ROW()</f>
        <v>4</v>
      </c>
    </row>
    <row r="5" spans="2:45" ht="13.95" customHeight="1">
      <c r="B5" s="1145"/>
      <c r="C5" s="1145"/>
      <c r="D5" s="1145"/>
      <c r="E5" s="1145"/>
      <c r="F5" s="1145"/>
      <c r="G5" s="1145"/>
      <c r="H5" s="1145"/>
      <c r="I5" s="1145"/>
      <c r="K5" s="848" t="s">
        <v>361</v>
      </c>
      <c r="L5" s="849"/>
      <c r="M5" s="849"/>
      <c r="N5" s="849"/>
      <c r="O5" s="851" t="str">
        <f>IF(Summary!I58=1,"By Constant Amount","By Constant Percent")</f>
        <v>By Constant Amount</v>
      </c>
      <c r="P5" s="178"/>
      <c r="Q5"/>
      <c r="R5"/>
      <c r="S5" s="26"/>
      <c r="AS5" s="7">
        <f>ROW()</f>
        <v>5</v>
      </c>
    </row>
    <row r="6" spans="2:45" ht="13.95" customHeight="1">
      <c r="B6" s="1145"/>
      <c r="C6" s="1145"/>
      <c r="D6" s="1145"/>
      <c r="E6" s="1145"/>
      <c r="F6" s="1145"/>
      <c r="G6" s="1145"/>
      <c r="H6" s="1145"/>
      <c r="I6" s="1145"/>
      <c r="K6" s="848" t="s">
        <v>362</v>
      </c>
      <c r="L6" s="849"/>
      <c r="M6" s="849"/>
      <c r="N6" s="849"/>
      <c r="O6" s="850" t="str">
        <f>IF(Summary!$I$58=1,CONCATENATE("$",ROUND(Summary!$I$60,2),""),CONCATENATE("",Summary!$I$64*100,"%"))</f>
        <v>$11.34</v>
      </c>
      <c r="P6" s="532"/>
      <c r="Q6"/>
      <c r="R6"/>
      <c r="S6" s="26"/>
      <c r="AS6" s="7">
        <f>ROW()</f>
        <v>6</v>
      </c>
    </row>
    <row r="7" spans="2:45" ht="13.95" customHeight="1">
      <c r="B7" s="13"/>
      <c r="I7" s="118"/>
      <c r="K7" s="848" t="s">
        <v>363</v>
      </c>
      <c r="L7" s="849"/>
      <c r="M7" s="849"/>
      <c r="N7" s="849"/>
      <c r="O7" s="851" t="str">
        <f>Summary!I69</f>
        <v>real</v>
      </c>
      <c r="P7" s="178"/>
      <c r="Q7"/>
      <c r="R7"/>
      <c r="S7" s="26"/>
      <c r="AS7" s="7">
        <f>ROW()</f>
        <v>7</v>
      </c>
    </row>
    <row r="8" spans="2:45" ht="13.95" customHeight="1">
      <c r="B8" s="312" t="str">
        <f>CONCATENATE("This worksheet is pre-formatted to print to four pages. Print area extends to ",AL14, ".")</f>
        <v>This worksheet is pre-formatted to print to four pages. Print area extends to 2035.</v>
      </c>
      <c r="H8" s="51"/>
      <c r="I8" s="51"/>
      <c r="K8" s="852" t="s">
        <v>884</v>
      </c>
      <c r="L8" s="853"/>
      <c r="M8" s="853"/>
      <c r="N8" s="853"/>
      <c r="O8" s="854">
        <f>Summary!I73</f>
        <v>12.5</v>
      </c>
      <c r="Q8"/>
      <c r="R8"/>
      <c r="S8" s="26"/>
      <c r="AS8" s="7">
        <f>ROW()</f>
        <v>8</v>
      </c>
    </row>
    <row r="9" spans="2:45" ht="13.95" customHeight="1">
      <c r="B9" s="13"/>
      <c r="H9" s="51"/>
      <c r="I9" s="51"/>
      <c r="Q9"/>
      <c r="R9"/>
      <c r="S9" s="756"/>
      <c r="AS9" s="7"/>
    </row>
    <row r="10" spans="2:45" ht="13.95" customHeight="1">
      <c r="B10" s="1277" t="s">
        <v>834</v>
      </c>
      <c r="C10" s="1145"/>
      <c r="D10" s="1145"/>
      <c r="E10" s="1145"/>
      <c r="F10" s="1145"/>
      <c r="G10" s="1145"/>
      <c r="H10" s="1145"/>
      <c r="I10" s="1125" t="s">
        <v>157</v>
      </c>
      <c r="J10" s="1125" t="s">
        <v>157</v>
      </c>
      <c r="K10" s="1109" t="s">
        <v>79</v>
      </c>
      <c r="L10" s="1125" t="s">
        <v>157</v>
      </c>
      <c r="M10" s="1125" t="s">
        <v>157</v>
      </c>
      <c r="N10" s="1125" t="s">
        <v>157</v>
      </c>
      <c r="O10" s="1125" t="s">
        <v>157</v>
      </c>
      <c r="P10" s="1125" t="s">
        <v>157</v>
      </c>
      <c r="Q10" s="1125" t="s">
        <v>157</v>
      </c>
      <c r="R10" s="1107" t="s">
        <v>157</v>
      </c>
      <c r="S10" s="1107" t="s">
        <v>366</v>
      </c>
      <c r="T10" s="1316" t="s">
        <v>80</v>
      </c>
      <c r="AS10" s="7">
        <f>ROW()</f>
        <v>10</v>
      </c>
    </row>
    <row r="11" spans="2:45" ht="13.95" customHeight="1">
      <c r="B11" s="1145"/>
      <c r="C11" s="1145"/>
      <c r="D11" s="1145"/>
      <c r="E11" s="1145"/>
      <c r="F11" s="1145"/>
      <c r="G11" s="1145"/>
      <c r="H11" s="1145"/>
      <c r="I11" s="1126"/>
      <c r="J11" s="1126"/>
      <c r="K11" s="1337"/>
      <c r="L11" s="1126"/>
      <c r="M11" s="1126"/>
      <c r="N11" s="1126"/>
      <c r="O11" s="1126"/>
      <c r="P11" s="1126"/>
      <c r="Q11" s="1126"/>
      <c r="R11" s="1108"/>
      <c r="S11" s="1108"/>
      <c r="T11" s="1317"/>
      <c r="AS11" s="7">
        <f>ROW()</f>
        <v>11</v>
      </c>
    </row>
    <row r="12" spans="2:45" ht="13.95" customHeight="1">
      <c r="I12" s="1126"/>
      <c r="J12" s="1126"/>
      <c r="K12" s="1337"/>
      <c r="L12" s="1126"/>
      <c r="M12" s="1126"/>
      <c r="N12" s="1126"/>
      <c r="O12" s="1126"/>
      <c r="P12" s="1126"/>
      <c r="Q12" s="1126"/>
      <c r="R12" s="1108"/>
      <c r="S12" s="1108"/>
      <c r="T12" s="1317"/>
      <c r="AS12" s="7">
        <f>ROW()</f>
        <v>12</v>
      </c>
    </row>
    <row r="13" spans="2:45" ht="13.95" customHeight="1">
      <c r="B13" s="52" t="s">
        <v>415</v>
      </c>
      <c r="H13" s="51"/>
      <c r="I13" s="1126"/>
      <c r="J13" s="1126"/>
      <c r="K13" s="1338"/>
      <c r="L13" s="1126"/>
      <c r="M13" s="1126"/>
      <c r="N13" s="1126"/>
      <c r="O13" s="1126"/>
      <c r="P13" s="1126"/>
      <c r="Q13" s="1126"/>
      <c r="R13" s="1108"/>
      <c r="S13" s="1108"/>
      <c r="T13" s="1318"/>
      <c r="AS13" s="7">
        <f>ROW()</f>
        <v>13</v>
      </c>
    </row>
    <row r="14" spans="2:45" ht="13.95" customHeight="1">
      <c r="B14" s="58" t="s">
        <v>414</v>
      </c>
      <c r="I14" s="122">
        <f>Summary!I110</f>
        <v>2005</v>
      </c>
      <c r="J14" s="122">
        <f>Summary!J110</f>
        <v>2006</v>
      </c>
      <c r="K14" s="122">
        <f>Summary!K110</f>
        <v>2007</v>
      </c>
      <c r="L14" s="122">
        <f>Summary!L110</f>
        <v>2008</v>
      </c>
      <c r="M14" s="122">
        <f>Summary!M110</f>
        <v>2009</v>
      </c>
      <c r="N14" s="122">
        <f>Summary!N110</f>
        <v>2010</v>
      </c>
      <c r="O14" s="122">
        <f>Summary!O110</f>
        <v>2011</v>
      </c>
      <c r="P14" s="122">
        <f>Summary!P110</f>
        <v>2012</v>
      </c>
      <c r="Q14" s="122">
        <f>Summary!Q110</f>
        <v>2013</v>
      </c>
      <c r="R14" s="212">
        <f>Summary!R110</f>
        <v>2014</v>
      </c>
      <c r="S14" s="212">
        <f>Summary!S110</f>
        <v>2015</v>
      </c>
      <c r="T14" s="249">
        <f>Summary!T110</f>
        <v>2017</v>
      </c>
      <c r="U14" s="12">
        <f t="shared" ref="U14:AQ14" si="0">T14+1</f>
        <v>2018</v>
      </c>
      <c r="V14" s="12">
        <f t="shared" si="0"/>
        <v>2019</v>
      </c>
      <c r="W14" s="12">
        <f t="shared" si="0"/>
        <v>2020</v>
      </c>
      <c r="X14" s="12">
        <f t="shared" si="0"/>
        <v>2021</v>
      </c>
      <c r="Y14" s="12">
        <f t="shared" si="0"/>
        <v>2022</v>
      </c>
      <c r="Z14" s="12">
        <f t="shared" si="0"/>
        <v>2023</v>
      </c>
      <c r="AA14" s="12">
        <f t="shared" si="0"/>
        <v>2024</v>
      </c>
      <c r="AB14" s="12">
        <f t="shared" si="0"/>
        <v>2025</v>
      </c>
      <c r="AC14" s="12">
        <f t="shared" si="0"/>
        <v>2026</v>
      </c>
      <c r="AD14" s="12">
        <f t="shared" si="0"/>
        <v>2027</v>
      </c>
      <c r="AE14" s="12">
        <f t="shared" si="0"/>
        <v>2028</v>
      </c>
      <c r="AF14" s="12">
        <f t="shared" si="0"/>
        <v>2029</v>
      </c>
      <c r="AG14" s="12">
        <f t="shared" si="0"/>
        <v>2030</v>
      </c>
      <c r="AH14" s="12">
        <f t="shared" si="0"/>
        <v>2031</v>
      </c>
      <c r="AI14" s="12">
        <f t="shared" si="0"/>
        <v>2032</v>
      </c>
      <c r="AJ14" s="12">
        <f t="shared" si="0"/>
        <v>2033</v>
      </c>
      <c r="AK14" s="12">
        <f t="shared" si="0"/>
        <v>2034</v>
      </c>
      <c r="AL14" s="12">
        <f t="shared" si="0"/>
        <v>2035</v>
      </c>
      <c r="AM14" s="12">
        <f t="shared" si="0"/>
        <v>2036</v>
      </c>
      <c r="AN14" s="12">
        <f t="shared" si="0"/>
        <v>2037</v>
      </c>
      <c r="AO14" s="12">
        <f t="shared" si="0"/>
        <v>2038</v>
      </c>
      <c r="AP14" s="12">
        <f t="shared" si="0"/>
        <v>2039</v>
      </c>
      <c r="AQ14" s="12">
        <f t="shared" si="0"/>
        <v>2040</v>
      </c>
      <c r="AS14" s="7">
        <f>ROW()</f>
        <v>14</v>
      </c>
    </row>
    <row r="15" spans="2:45" ht="13.95" customHeight="1">
      <c r="B15" s="287"/>
      <c r="K15" s="12"/>
      <c r="L15" s="174"/>
      <c r="M15" s="174"/>
      <c r="N15" s="174"/>
      <c r="O15" s="151"/>
      <c r="P15" s="151"/>
      <c r="Q15" s="151"/>
      <c r="R15" s="151"/>
      <c r="S15" s="250"/>
      <c r="T15" s="50"/>
      <c r="U15" s="12"/>
      <c r="V15" s="12"/>
      <c r="W15" s="12"/>
      <c r="X15" s="12"/>
      <c r="Y15" s="12"/>
      <c r="AS15" s="7">
        <f>ROW()</f>
        <v>15</v>
      </c>
    </row>
    <row r="16" spans="2:45" s="802" customFormat="1" ht="13.95" customHeight="1">
      <c r="B16" s="802" t="s">
        <v>187</v>
      </c>
      <c r="M16" s="807">
        <f>Summary!$P79</f>
        <v>0</v>
      </c>
      <c r="N16" s="807">
        <f>Summary!$P79</f>
        <v>0</v>
      </c>
      <c r="O16" s="807">
        <f>Summary!$P79</f>
        <v>0</v>
      </c>
      <c r="P16" s="807">
        <f>Summary!P79</f>
        <v>0</v>
      </c>
      <c r="Q16" s="807">
        <f>Summary!Q79</f>
        <v>0</v>
      </c>
      <c r="R16" s="807">
        <f>Summary!R79</f>
        <v>0</v>
      </c>
      <c r="S16" s="807">
        <f>Summary!S79</f>
        <v>0</v>
      </c>
      <c r="T16" s="807">
        <f>Summary!T79</f>
        <v>1</v>
      </c>
      <c r="U16" s="802">
        <f>Summary!U79</f>
        <v>2</v>
      </c>
      <c r="V16" s="802">
        <f>Summary!V79</f>
        <v>3</v>
      </c>
      <c r="W16" s="802">
        <f>Summary!W79</f>
        <v>4</v>
      </c>
      <c r="X16" s="802">
        <f>Summary!X79</f>
        <v>5</v>
      </c>
      <c r="Y16" s="802">
        <f>Summary!Y79</f>
        <v>6</v>
      </c>
      <c r="Z16" s="802">
        <f>Summary!Z79</f>
        <v>7</v>
      </c>
      <c r="AA16" s="802">
        <f>Summary!AA79</f>
        <v>8</v>
      </c>
      <c r="AB16" s="802">
        <f>Summary!AB79</f>
        <v>9</v>
      </c>
      <c r="AC16" s="802">
        <f>Summary!AC79</f>
        <v>10</v>
      </c>
      <c r="AD16" s="802">
        <f>Summary!AD79</f>
        <v>11</v>
      </c>
      <c r="AE16" s="802">
        <f>Summary!AE79</f>
        <v>12</v>
      </c>
      <c r="AF16" s="802">
        <f>Summary!AF79</f>
        <v>13</v>
      </c>
      <c r="AG16" s="802">
        <f>Summary!AG79</f>
        <v>14</v>
      </c>
      <c r="AH16" s="802">
        <f>Summary!AH79</f>
        <v>15</v>
      </c>
      <c r="AI16" s="802">
        <f>Summary!AI79</f>
        <v>16</v>
      </c>
      <c r="AJ16" s="802">
        <f>Summary!AJ79</f>
        <v>17</v>
      </c>
      <c r="AK16" s="802">
        <f>Summary!AK79</f>
        <v>18</v>
      </c>
      <c r="AL16" s="802">
        <f>Summary!AL79</f>
        <v>19</v>
      </c>
      <c r="AM16" s="802">
        <f>Summary!AM79</f>
        <v>20</v>
      </c>
      <c r="AN16" s="802">
        <f>Summary!AN79</f>
        <v>21</v>
      </c>
      <c r="AO16" s="802">
        <f>Summary!AO79</f>
        <v>22</v>
      </c>
      <c r="AP16" s="802">
        <f>Summary!AP79</f>
        <v>23</v>
      </c>
      <c r="AQ16" s="802">
        <f>Summary!AQ79</f>
        <v>24</v>
      </c>
      <c r="AS16" s="7">
        <f>ROW()</f>
        <v>16</v>
      </c>
    </row>
    <row r="17" spans="2:45" s="802" customFormat="1" ht="13.95" customHeight="1">
      <c r="B17" s="802" t="s">
        <v>847</v>
      </c>
      <c r="M17" s="807"/>
      <c r="N17" s="807"/>
      <c r="O17" s="807"/>
      <c r="P17" s="807"/>
      <c r="Q17" s="807"/>
      <c r="R17" s="807"/>
      <c r="S17" s="364"/>
      <c r="T17" s="807"/>
      <c r="AS17" s="7">
        <f>ROW()</f>
        <v>17</v>
      </c>
    </row>
    <row r="18" spans="2:45" ht="13.95" customHeight="1">
      <c r="B18" s="803" t="str">
        <f>CONCATENATE("Tax in year shown, in nominal $, per ton of CO2 (taken directly from 'Summary' tab, Row ",Summary!AR82, ")")</f>
        <v>Tax in year shown, in nominal $, per ton of CO2 (taken directly from 'Summary' tab, Row 82)</v>
      </c>
      <c r="H18" s="2"/>
      <c r="I18" s="2"/>
      <c r="J18" s="2"/>
      <c r="L18" s="363"/>
      <c r="M18" s="363"/>
      <c r="N18" s="363"/>
      <c r="O18" s="363"/>
      <c r="P18" s="363"/>
      <c r="Q18" s="363"/>
      <c r="R18" s="363"/>
      <c r="S18" s="363"/>
      <c r="T18" s="522">
        <f>Summary!T82</f>
        <v>11.337868480725623</v>
      </c>
      <c r="U18" s="363">
        <f>Summary!U82</f>
        <v>23.153901748198756</v>
      </c>
      <c r="V18" s="363">
        <f>Summary!V82</f>
        <v>35.463224441830718</v>
      </c>
      <c r="W18" s="363">
        <f>Summary!W82</f>
        <v>48.28138644674759</v>
      </c>
      <c r="X18" s="363">
        <f>Summary!X82</f>
        <v>61.624374102771327</v>
      </c>
      <c r="Y18" s="363">
        <f>Summary!Y82</f>
        <v>75.508621697038407</v>
      </c>
      <c r="Z18" s="363">
        <f>Summary!Z82</f>
        <v>89.951023247233749</v>
      </c>
      <c r="AA18" s="363">
        <f>Summary!AA82</f>
        <v>104.96894458258619</v>
      </c>
      <c r="AB18" s="363">
        <f>Summary!AB82</f>
        <v>120.58023572994358</v>
      </c>
      <c r="AC18" s="363">
        <f>Summary!AC82</f>
        <v>136.80324361242219</v>
      </c>
      <c r="AD18" s="363">
        <f>Summary!AD82</f>
        <v>153.65682506830512</v>
      </c>
      <c r="AE18" s="363">
        <f>Summary!AE82</f>
        <v>171.1603601980494</v>
      </c>
      <c r="AF18" s="363">
        <f>Summary!AF82</f>
        <v>189.33376604745069</v>
      </c>
      <c r="AG18" s="363">
        <f>Summary!AG82</f>
        <v>208.19751063520698</v>
      </c>
      <c r="AH18" s="363">
        <f>Summary!AH82</f>
        <v>227.77262733332276</v>
      </c>
      <c r="AI18" s="363">
        <f>Summary!AI82</f>
        <v>248.08072960899591</v>
      </c>
      <c r="AJ18" s="363">
        <f>Summary!AJ82</f>
        <v>269.1440261368387</v>
      </c>
      <c r="AK18" s="363">
        <f>Summary!AK82</f>
        <v>290.98533629049541</v>
      </c>
      <c r="AL18" s="363">
        <f>Summary!AL82</f>
        <v>313.62810602293854</v>
      </c>
      <c r="AM18" s="363">
        <f>Summary!AM82</f>
        <v>337.09642414494658</v>
      </c>
      <c r="AN18" s="363">
        <f>Summary!AN82</f>
        <v>361.41503901149451</v>
      </c>
      <c r="AO18" s="363">
        <f>Summary!AO82</f>
        <v>386.60937562602271</v>
      </c>
      <c r="AP18" s="363">
        <f>Summary!AP82</f>
        <v>412.70555317278786</v>
      </c>
      <c r="AQ18" s="363">
        <f>Summary!AQ82</f>
        <v>439.73040298774407</v>
      </c>
      <c r="AR18" s="67"/>
      <c r="AS18" s="7">
        <f>ROW()</f>
        <v>18</v>
      </c>
    </row>
    <row r="19" spans="2:45" s="31" customFormat="1" ht="13.95" customHeight="1">
      <c r="B19" s="803" t="str">
        <f>CONCATENATE("Tax equivalent, in constant ",S$14, "$, per ton of CO2 (taken directly from 'Summary' tab, Row ",Summary!AR83, ")")</f>
        <v>Tax equivalent, in constant 2015$, per ton of CO2 (taken directly from 'Summary' tab, Row 83)</v>
      </c>
      <c r="C19"/>
      <c r="D19"/>
      <c r="E19"/>
      <c r="F19"/>
      <c r="G19"/>
      <c r="H19"/>
      <c r="I19"/>
      <c r="J19"/>
      <c r="K19"/>
      <c r="L19" s="67"/>
      <c r="M19" s="399"/>
      <c r="N19" s="399"/>
      <c r="O19" s="399"/>
      <c r="P19" s="399"/>
      <c r="Q19" s="399"/>
      <c r="R19" s="399"/>
      <c r="S19" s="399"/>
      <c r="T19" s="522">
        <f>Summary!T83</f>
        <v>10.87441401983205</v>
      </c>
      <c r="U19" s="363">
        <f>Summary!U83</f>
        <v>21.748828039664104</v>
      </c>
      <c r="V19" s="363">
        <f>Summary!V83</f>
        <v>32.623242059496157</v>
      </c>
      <c r="W19" s="363">
        <f>Summary!W83</f>
        <v>43.497656079328209</v>
      </c>
      <c r="X19" s="363">
        <f>Summary!X83</f>
        <v>54.372070099160254</v>
      </c>
      <c r="Y19" s="363">
        <f>Summary!Y83</f>
        <v>65.246484118992299</v>
      </c>
      <c r="Z19" s="363">
        <f>Summary!Z83</f>
        <v>76.120898138824344</v>
      </c>
      <c r="AA19" s="363">
        <f>Summary!AA83</f>
        <v>86.995312158656404</v>
      </c>
      <c r="AB19" s="363">
        <f>Summary!AB83</f>
        <v>97.869726178488449</v>
      </c>
      <c r="AC19" s="363">
        <f>Summary!AC83</f>
        <v>108.74414019832052</v>
      </c>
      <c r="AD19" s="363">
        <f>Summary!AD83</f>
        <v>119.61855421815258</v>
      </c>
      <c r="AE19" s="363">
        <f>Summary!AE83</f>
        <v>130.4929682379846</v>
      </c>
      <c r="AF19" s="363">
        <f>Summary!AF83</f>
        <v>141.36738225781667</v>
      </c>
      <c r="AG19" s="363">
        <f>Summary!AG83</f>
        <v>152.24179627764875</v>
      </c>
      <c r="AH19" s="363">
        <f>Summary!AH83</f>
        <v>163.11621029748079</v>
      </c>
      <c r="AI19" s="363">
        <f>Summary!AI83</f>
        <v>173.99062431731281</v>
      </c>
      <c r="AJ19" s="363">
        <f>Summary!AJ83</f>
        <v>184.86503833714488</v>
      </c>
      <c r="AK19" s="363">
        <f>Summary!AK83</f>
        <v>195.73945235697698</v>
      </c>
      <c r="AL19" s="363">
        <f>Summary!AL83</f>
        <v>206.61386637680897</v>
      </c>
      <c r="AM19" s="363">
        <f>Summary!AM83</f>
        <v>217.48828039664099</v>
      </c>
      <c r="AN19" s="363">
        <f>Summary!AN83</f>
        <v>228.36269441647306</v>
      </c>
      <c r="AO19" s="363">
        <f>Summary!AO83</f>
        <v>239.23710843630516</v>
      </c>
      <c r="AP19" s="363">
        <f>Summary!AP83</f>
        <v>250.11152245613718</v>
      </c>
      <c r="AQ19" s="363">
        <f>Summary!AQ83</f>
        <v>260.9859364759692</v>
      </c>
      <c r="AS19" s="7">
        <f>ROW()</f>
        <v>19</v>
      </c>
    </row>
    <row r="20" spans="2:45" s="31" customFormat="1" ht="13.95" customHeight="1">
      <c r="B20" s="803" t="s">
        <v>857</v>
      </c>
      <c r="H20" s="17"/>
      <c r="I20" s="17"/>
      <c r="J20" s="17"/>
      <c r="L20"/>
      <c r="M20" s="399"/>
      <c r="N20" s="399"/>
      <c r="O20" s="399"/>
      <c r="P20" s="399"/>
      <c r="Q20" s="399"/>
      <c r="R20" s="399"/>
      <c r="S20" s="364"/>
      <c r="T20" s="363">
        <f>T18*Parameters!$I$18/2000</f>
        <v>12.5</v>
      </c>
      <c r="U20" s="363">
        <f>U18*Parameters!$I$18/2000</f>
        <v>25.527176677389129</v>
      </c>
      <c r="V20" s="363">
        <f>V18*Parameters!$I$18/2000</f>
        <v>39.098204947118361</v>
      </c>
      <c r="W20" s="363">
        <f>W18*Parameters!$I$18/2000</f>
        <v>53.230228557539213</v>
      </c>
      <c r="X20" s="363">
        <f>X18*Parameters!$I$18/2000</f>
        <v>67.940872448305385</v>
      </c>
      <c r="Y20" s="363">
        <f>Y18*Parameters!$I$18/2000</f>
        <v>83.248255420984847</v>
      </c>
      <c r="Z20" s="363">
        <f>Z18*Parameters!$I$18/2000</f>
        <v>99.171003130075206</v>
      </c>
      <c r="AA20" s="363">
        <f>AA18*Parameters!$I$18/2000</f>
        <v>115.72826140230127</v>
      </c>
      <c r="AB20" s="363">
        <f>AB18*Parameters!$I$18/2000</f>
        <v>132.93970989226278</v>
      </c>
      <c r="AC20" s="363">
        <f>AC18*Parameters!$I$18/2000</f>
        <v>150.82557608269548</v>
      </c>
      <c r="AD20" s="363">
        <f>AD18*Parameters!$I$18/2000</f>
        <v>169.4066496378064</v>
      </c>
      <c r="AE20" s="363">
        <f>AE18*Parameters!$I$18/2000</f>
        <v>188.70429711834947</v>
      </c>
      <c r="AF20" s="363">
        <f>AF18*Parameters!$I$18/2000</f>
        <v>208.74047706731437</v>
      </c>
      <c r="AG20" s="363">
        <f>AG18*Parameters!$I$18/2000</f>
        <v>229.53775547531569</v>
      </c>
      <c r="AH20" s="363">
        <f>AH18*Parameters!$I$18/2000</f>
        <v>251.11932163498832</v>
      </c>
      <c r="AI20" s="363">
        <f>AI18*Parameters!$I$18/2000</f>
        <v>273.50900439391796</v>
      </c>
      <c r="AJ20" s="363">
        <f>AJ18*Parameters!$I$18/2000</f>
        <v>296.73128881586467</v>
      </c>
      <c r="AK20" s="363">
        <f>AK18*Parameters!$I$18/2000</f>
        <v>320.81133326027117</v>
      </c>
      <c r="AL20" s="363">
        <f>AL18*Parameters!$I$18/2000</f>
        <v>345.77498689028977</v>
      </c>
      <c r="AM20" s="363">
        <f>AM18*Parameters!$I$18/2000</f>
        <v>371.64880761980356</v>
      </c>
      <c r="AN20" s="363">
        <f>AN18*Parameters!$I$18/2000</f>
        <v>398.4600805101727</v>
      </c>
      <c r="AO20" s="363">
        <f>AO18*Parameters!$I$18/2000</f>
        <v>426.23683662769008</v>
      </c>
      <c r="AP20" s="363">
        <f>AP18*Parameters!$I$18/2000</f>
        <v>455.00787237299863</v>
      </c>
      <c r="AQ20" s="363">
        <f>AQ18*Parameters!$I$18/2000</f>
        <v>484.80276929398781</v>
      </c>
      <c r="AS20" s="7">
        <f>ROW()</f>
        <v>20</v>
      </c>
    </row>
    <row r="21" spans="2:45" s="31" customFormat="1" ht="13.95" customHeight="1">
      <c r="B21" s="803" t="s">
        <v>856</v>
      </c>
      <c r="H21" s="17"/>
      <c r="I21" s="17"/>
      <c r="J21" s="17"/>
      <c r="L21"/>
      <c r="M21" s="399"/>
      <c r="N21" s="399"/>
      <c r="O21" s="399"/>
      <c r="P21" s="399"/>
      <c r="Q21" s="399"/>
      <c r="R21" s="399"/>
      <c r="S21" s="364"/>
      <c r="T21" s="399">
        <f>T18*T69*(1/Parameters!$I$19)</f>
        <v>6.2616576692973033E-2</v>
      </c>
      <c r="U21" s="399">
        <f>U18*U69*(1/Parameters!$I$19)</f>
        <v>0.1257327549521991</v>
      </c>
      <c r="V21" s="399">
        <f>V18*V69*(1/Parameters!$I$19)</f>
        <v>0.1893515244220127</v>
      </c>
      <c r="W21" s="399">
        <f>W18*W69*(1/Parameters!$I$19)</f>
        <v>0.2534758906491506</v>
      </c>
      <c r="X21" s="399">
        <f>X18*X69*(1/Parameters!$I$19)</f>
        <v>0.3181088751620525</v>
      </c>
      <c r="Y21" s="399">
        <f>Y18*Y69*(1/Parameters!$I$19)</f>
        <v>0.38325351555054177</v>
      </c>
      <c r="Z21" s="399">
        <f>Z18*Z69*(1/Parameters!$I$19)</f>
        <v>0.44891286554588677</v>
      </c>
      <c r="AA21" s="399">
        <f>AA18*AA69*(1/Parameters!$I$19)</f>
        <v>0.5150899951012462</v>
      </c>
      <c r="AB21" s="399">
        <f>AB18*AB69*(1/Parameters!$I$19)</f>
        <v>0.58178799047249863</v>
      </c>
      <c r="AC21" s="399">
        <f>AC18*AC69*(1/Parameters!$I$19)</f>
        <v>0.6490099542994594</v>
      </c>
      <c r="AD21" s="399">
        <f>AD18*AD69*(1/Parameters!$I$19)</f>
        <v>0.71675900568748574</v>
      </c>
      <c r="AE21" s="399">
        <f>AE18*AE69*(1/Parameters!$I$19)</f>
        <v>0.78503828028947187</v>
      </c>
      <c r="AF21" s="399">
        <f>AF18*AF69*(1/Parameters!$I$19)</f>
        <v>0.85385093038823823</v>
      </c>
      <c r="AG21" s="399">
        <f>AG18*AG69*(1/Parameters!$I$19)</f>
        <v>0.92320012497931103</v>
      </c>
      <c r="AH21" s="399">
        <f>AH18*AH69*(1/Parameters!$I$19)</f>
        <v>0.99308904985410151</v>
      </c>
      <c r="AI21" s="399">
        <f>AI18*AI69*(1/Parameters!$I$19)</f>
        <v>1.0635209076834802</v>
      </c>
      <c r="AJ21" s="399">
        <f>AJ18*AJ69*(1/Parameters!$I$19)</f>
        <v>1.1344989181017524</v>
      </c>
      <c r="AK21" s="399">
        <f>AK18*AK69*(1/Parameters!$I$19)</f>
        <v>1.2060263177910338</v>
      </c>
      <c r="AL21" s="399">
        <f>AL18*AL69*(1/Parameters!$I$19)</f>
        <v>1.2781063605660286</v>
      </c>
      <c r="AM21" s="399">
        <f>AM18*AM69*(1/Parameters!$I$19)</f>
        <v>1.3507423174592179</v>
      </c>
      <c r="AN21" s="399">
        <f>AN18*AN69*(1/Parameters!$I$19)</f>
        <v>1.4239374768064463</v>
      </c>
      <c r="AO21" s="399">
        <f>AO18*AO69*(1/Parameters!$I$19)</f>
        <v>1.4976951443329247</v>
      </c>
      <c r="AP21" s="399">
        <f>AP18*AP69*(1/Parameters!$I$19)</f>
        <v>1.5720186432396419</v>
      </c>
      <c r="AQ21" s="399">
        <f>AQ18*AQ69*(1/Parameters!$I$19)</f>
        <v>1.6469113142901883</v>
      </c>
      <c r="AS21" s="7">
        <f>ROW()</f>
        <v>21</v>
      </c>
    </row>
    <row r="22" spans="2:45" s="31" customFormat="1" ht="13.95" customHeight="1">
      <c r="B22" s="802" t="s">
        <v>849</v>
      </c>
      <c r="C22"/>
      <c r="D22"/>
      <c r="E22"/>
      <c r="F22"/>
      <c r="G22"/>
      <c r="H22"/>
      <c r="I22"/>
      <c r="J22"/>
      <c r="K22"/>
      <c r="L22"/>
      <c r="M22"/>
      <c r="N22"/>
      <c r="O22"/>
      <c r="P22"/>
      <c r="Q22" s="67"/>
      <c r="R22" s="67"/>
      <c r="S22" s="26"/>
      <c r="T22" s="399"/>
      <c r="U22" s="363"/>
      <c r="V22" s="363"/>
      <c r="W22" s="363"/>
      <c r="X22" s="363"/>
      <c r="Y22" s="363"/>
      <c r="Z22" s="363"/>
      <c r="AA22" s="363"/>
      <c r="AB22" s="363"/>
      <c r="AC22" s="363"/>
      <c r="AD22" s="363"/>
      <c r="AE22" s="363"/>
      <c r="AF22" s="363"/>
      <c r="AG22" s="363"/>
      <c r="AH22" s="363"/>
      <c r="AI22" s="363"/>
      <c r="AJ22" s="363"/>
      <c r="AK22" s="363"/>
      <c r="AL22" s="363"/>
      <c r="AM22" s="363"/>
      <c r="AN22" s="363"/>
      <c r="AO22" s="363"/>
      <c r="AP22" s="363"/>
      <c r="AQ22" s="363"/>
      <c r="AS22" s="7">
        <f>ROW()</f>
        <v>22</v>
      </c>
    </row>
    <row r="23" spans="2:45" s="31" customFormat="1" ht="13.95" customHeight="1">
      <c r="B23" s="803" t="str">
        <f>CONCATENATE("Felt tax in constant ",S$14, "$, per ton of CO2 (taken directly from 'Summary' tab, Row ",Summary!AR86, ")")</f>
        <v>Felt tax in constant 2015$, per ton of CO2 (taken directly from 'Summary' tab, Row 86)</v>
      </c>
      <c r="C23"/>
      <c r="D23"/>
      <c r="E23"/>
      <c r="F23"/>
      <c r="G23"/>
      <c r="H23"/>
      <c r="I23"/>
      <c r="J23"/>
      <c r="K23"/>
      <c r="L23"/>
      <c r="M23"/>
      <c r="N23"/>
      <c r="O23"/>
      <c r="P23"/>
      <c r="Q23" s="67"/>
      <c r="R23" s="67"/>
      <c r="S23" s="26"/>
      <c r="T23" s="522">
        <f>Summary!T86</f>
        <v>10.87441401983205</v>
      </c>
      <c r="U23" s="363">
        <f>Summary!U86</f>
        <v>21.748828039664104</v>
      </c>
      <c r="V23" s="363">
        <f>Summary!V86</f>
        <v>32.623242059496157</v>
      </c>
      <c r="W23" s="363">
        <f>Summary!W86</f>
        <v>43.497656079328209</v>
      </c>
      <c r="X23" s="363">
        <f>Summary!X86</f>
        <v>54.372070099160254</v>
      </c>
      <c r="Y23" s="363">
        <f>Summary!Y86</f>
        <v>65.246484118992299</v>
      </c>
      <c r="Z23" s="363">
        <f>Summary!Z86</f>
        <v>76.120898138824344</v>
      </c>
      <c r="AA23" s="363">
        <f>Summary!AA86</f>
        <v>86.995312158656404</v>
      </c>
      <c r="AB23" s="363">
        <f>Summary!AB86</f>
        <v>97.869726178488449</v>
      </c>
      <c r="AC23" s="363">
        <f>Summary!AC86</f>
        <v>108.74414019832052</v>
      </c>
      <c r="AD23" s="363">
        <f>Summary!AD86</f>
        <v>119.61855421815258</v>
      </c>
      <c r="AE23" s="363">
        <f>Summary!AE86</f>
        <v>130.4929682379846</v>
      </c>
      <c r="AF23" s="363">
        <f>Summary!AF86</f>
        <v>141.36738225781667</v>
      </c>
      <c r="AG23" s="363">
        <f>Summary!AG86</f>
        <v>152.24179627764875</v>
      </c>
      <c r="AH23" s="363">
        <f>Summary!AH86</f>
        <v>163.11621029748079</v>
      </c>
      <c r="AI23" s="363">
        <f>Summary!AI86</f>
        <v>173.99062431731281</v>
      </c>
      <c r="AJ23" s="363">
        <f>Summary!AJ86</f>
        <v>184.86503833714488</v>
      </c>
      <c r="AK23" s="363">
        <f>Summary!AK86</f>
        <v>195.73945235697698</v>
      </c>
      <c r="AL23" s="363">
        <f>Summary!AL86</f>
        <v>206.61386637680897</v>
      </c>
      <c r="AM23" s="363">
        <f>Summary!AM86</f>
        <v>217.48828039664099</v>
      </c>
      <c r="AN23" s="363">
        <f>Summary!AN86</f>
        <v>228.36269441647306</v>
      </c>
      <c r="AO23" s="363">
        <f>Summary!AO86</f>
        <v>239.23710843630516</v>
      </c>
      <c r="AP23" s="363">
        <f>Summary!AP86</f>
        <v>250.11152245613718</v>
      </c>
      <c r="AQ23" s="363">
        <f>Summary!AQ86</f>
        <v>260.9859364759692</v>
      </c>
      <c r="AS23" s="7">
        <f>ROW()</f>
        <v>23</v>
      </c>
    </row>
    <row r="24" spans="2:45" s="31" customFormat="1" ht="13.95" customHeight="1">
      <c r="B24" s="803" t="str">
        <f>CONCATENATE("Felt tax in nominal $ per ton of CO2 (taken directly from 'Summary' tab, Row ",Summary!AR88, ")")</f>
        <v>Felt tax in nominal $ per ton of CO2 (taken directly from 'Summary' tab, Row 88)</v>
      </c>
      <c r="C24"/>
      <c r="D24"/>
      <c r="E24"/>
      <c r="F24"/>
      <c r="G24"/>
      <c r="H24"/>
      <c r="I24"/>
      <c r="J24"/>
      <c r="K24"/>
      <c r="L24"/>
      <c r="M24"/>
      <c r="N24"/>
      <c r="O24"/>
      <c r="P24"/>
      <c r="Q24" s="67"/>
      <c r="R24" s="67"/>
      <c r="S24" s="26"/>
      <c r="T24" s="522">
        <f>Summary!T88</f>
        <v>11.337868480725623</v>
      </c>
      <c r="U24" s="363">
        <f>Summary!U88</f>
        <v>23.153901748198756</v>
      </c>
      <c r="V24" s="363">
        <f>Summary!V88</f>
        <v>35.463224441830718</v>
      </c>
      <c r="W24" s="363">
        <f>Summary!W88</f>
        <v>48.281386446747597</v>
      </c>
      <c r="X24" s="363">
        <f>Summary!X88</f>
        <v>61.624374102771327</v>
      </c>
      <c r="Y24" s="363">
        <f>Summary!Y88</f>
        <v>75.508621697038393</v>
      </c>
      <c r="Z24" s="363">
        <f>Summary!Z88</f>
        <v>89.951023247233749</v>
      </c>
      <c r="AA24" s="363">
        <f>Summary!AA88</f>
        <v>104.96894458258619</v>
      </c>
      <c r="AB24" s="363">
        <f>Summary!AB88</f>
        <v>120.58023572994358</v>
      </c>
      <c r="AC24" s="363">
        <f>Summary!AC88</f>
        <v>136.80324361242219</v>
      </c>
      <c r="AD24" s="363">
        <f>Summary!AD88</f>
        <v>153.65682506830512</v>
      </c>
      <c r="AE24" s="363">
        <f>Summary!AE88</f>
        <v>171.1603601980494</v>
      </c>
      <c r="AF24" s="363">
        <f>Summary!AF88</f>
        <v>189.33376604745072</v>
      </c>
      <c r="AG24" s="363">
        <f>Summary!AG88</f>
        <v>208.19751063520698</v>
      </c>
      <c r="AH24" s="363">
        <f>Summary!AH88</f>
        <v>227.77262733332276</v>
      </c>
      <c r="AI24" s="363">
        <f>Summary!AI88</f>
        <v>248.08072960899591</v>
      </c>
      <c r="AJ24" s="363">
        <f>Summary!AJ88</f>
        <v>269.1440261368387</v>
      </c>
      <c r="AK24" s="363">
        <f>Summary!AK88</f>
        <v>290.98533629049541</v>
      </c>
      <c r="AL24" s="363">
        <f>Summary!AL88</f>
        <v>313.62810602293854</v>
      </c>
      <c r="AM24" s="363">
        <f>Summary!AM88</f>
        <v>337.09642414494658</v>
      </c>
      <c r="AN24" s="363">
        <f>Summary!AN88</f>
        <v>361.41503901149451</v>
      </c>
      <c r="AO24" s="363">
        <f>Summary!AO88</f>
        <v>386.60937562602271</v>
      </c>
      <c r="AP24" s="363">
        <f>Summary!AP88</f>
        <v>412.70555317278786</v>
      </c>
      <c r="AQ24" s="363">
        <f>Summary!AQ88</f>
        <v>439.73040298774407</v>
      </c>
      <c r="AS24" s="7">
        <f>ROW()</f>
        <v>24</v>
      </c>
    </row>
    <row r="25" spans="2:45" s="31" customFormat="1" ht="13.95" customHeight="1">
      <c r="B25" s="803" t="s">
        <v>866</v>
      </c>
      <c r="C25"/>
      <c r="D25"/>
      <c r="E25"/>
      <c r="F25"/>
      <c r="G25"/>
      <c r="H25"/>
      <c r="I25"/>
      <c r="J25"/>
      <c r="K25"/>
      <c r="L25"/>
      <c r="M25"/>
      <c r="N25"/>
      <c r="O25"/>
      <c r="P25"/>
      <c r="Q25" s="67"/>
      <c r="R25" s="67"/>
      <c r="S25" s="26"/>
      <c r="T25" s="522">
        <f>T24*T69*(1/Parameters!$I$19)</f>
        <v>6.2616576692973033E-2</v>
      </c>
      <c r="U25" s="363">
        <f>U24*U69*(1/Parameters!$I$19)</f>
        <v>0.1257327549521991</v>
      </c>
      <c r="V25" s="363">
        <f>V24*V69*(1/Parameters!$I$19)</f>
        <v>0.1893515244220127</v>
      </c>
      <c r="W25" s="363">
        <f>W24*W69*(1/Parameters!$I$19)</f>
        <v>0.2534758906491506</v>
      </c>
      <c r="X25" s="363">
        <f>X24*X69*(1/Parameters!$I$19)</f>
        <v>0.3181088751620525</v>
      </c>
      <c r="Y25" s="363">
        <f>Y24*Y69*(1/Parameters!$I$19)</f>
        <v>0.38325351555054171</v>
      </c>
      <c r="Z25" s="363">
        <f>Z24*Z69*(1/Parameters!$I$19)</f>
        <v>0.44891286554588677</v>
      </c>
      <c r="AA25" s="363">
        <f>AA24*AA69*(1/Parameters!$I$19)</f>
        <v>0.5150899951012462</v>
      </c>
      <c r="AB25" s="363">
        <f>AB24*AB69*(1/Parameters!$I$19)</f>
        <v>0.58178799047249863</v>
      </c>
      <c r="AC25" s="363">
        <f>AC24*AC69*(1/Parameters!$I$19)</f>
        <v>0.6490099542994594</v>
      </c>
      <c r="AD25" s="363">
        <f>AD24*AD69*(1/Parameters!$I$19)</f>
        <v>0.71675900568748574</v>
      </c>
      <c r="AE25" s="363">
        <f>AE24*AE69*(1/Parameters!$I$19)</f>
        <v>0.78503828028947187</v>
      </c>
      <c r="AF25" s="363">
        <f>AF24*AF69*(1/Parameters!$I$19)</f>
        <v>0.85385093038823834</v>
      </c>
      <c r="AG25" s="363">
        <f>AG24*AG69*(1/Parameters!$I$19)</f>
        <v>0.92320012497931103</v>
      </c>
      <c r="AH25" s="363">
        <f>AH24*AH69*(1/Parameters!$I$19)</f>
        <v>0.99308904985410151</v>
      </c>
      <c r="AI25" s="363">
        <f>AI24*AI69*(1/Parameters!$I$19)</f>
        <v>1.0635209076834802</v>
      </c>
      <c r="AJ25" s="363">
        <f>AJ24*AJ69*(1/Parameters!$I$19)</f>
        <v>1.1344989181017524</v>
      </c>
      <c r="AK25" s="363">
        <f>AK24*AK69*(1/Parameters!$I$19)</f>
        <v>1.2060263177910338</v>
      </c>
      <c r="AL25" s="363">
        <f>AL24*AL69*(1/Parameters!$I$19)</f>
        <v>1.2781063605660286</v>
      </c>
      <c r="AM25" s="363">
        <f>AM24*AM69*(1/Parameters!$I$19)</f>
        <v>1.3507423174592179</v>
      </c>
      <c r="AN25" s="363">
        <f>AN24*AN69*(1/Parameters!$I$19)</f>
        <v>1.4239374768064463</v>
      </c>
      <c r="AO25" s="363">
        <f>AO24*AO69*(1/Parameters!$I$19)</f>
        <v>1.4976951443329247</v>
      </c>
      <c r="AP25" s="363">
        <f>AP24*AP69*(1/Parameters!$I$19)</f>
        <v>1.5720186432396419</v>
      </c>
      <c r="AQ25" s="363">
        <f>AQ24*AQ69*(1/Parameters!$I$19)</f>
        <v>1.6469113142901883</v>
      </c>
      <c r="AR25" s="363"/>
      <c r="AS25" s="7">
        <f>ROW()</f>
        <v>25</v>
      </c>
    </row>
    <row r="26" spans="2:45" s="31" customFormat="1" ht="13.95" customHeight="1">
      <c r="B26" s="287"/>
      <c r="C26"/>
      <c r="D26"/>
      <c r="E26"/>
      <c r="F26"/>
      <c r="G26"/>
      <c r="H26"/>
      <c r="I26"/>
      <c r="J26"/>
      <c r="K26"/>
      <c r="L26"/>
      <c r="M26"/>
      <c r="N26"/>
      <c r="O26"/>
      <c r="P26"/>
      <c r="Q26" s="67"/>
      <c r="R26" s="67"/>
      <c r="S26" s="26"/>
      <c r="T26" s="399"/>
      <c r="U26" s="363"/>
      <c r="V26" s="363"/>
      <c r="W26" s="363"/>
      <c r="X26" s="363"/>
      <c r="Y26" s="363"/>
      <c r="Z26" s="363"/>
      <c r="AA26" s="363"/>
      <c r="AB26" s="363"/>
      <c r="AC26" s="363"/>
      <c r="AD26" s="363"/>
      <c r="AE26" s="363"/>
      <c r="AF26" s="363"/>
      <c r="AG26" s="363"/>
      <c r="AH26" s="363"/>
      <c r="AI26" s="363"/>
      <c r="AJ26" s="363"/>
      <c r="AK26" s="363"/>
      <c r="AL26" s="363"/>
      <c r="AM26" s="363"/>
      <c r="AN26" s="363"/>
      <c r="AO26" s="363"/>
      <c r="AP26" s="363"/>
      <c r="AQ26" s="363"/>
      <c r="AS26" s="7">
        <f>ROW()</f>
        <v>26</v>
      </c>
    </row>
    <row r="27" spans="2:45" s="31" customFormat="1" ht="13.95" customHeight="1">
      <c r="B27" s="559" t="s">
        <v>716</v>
      </c>
      <c r="C27"/>
      <c r="D27"/>
      <c r="E27"/>
      <c r="F27"/>
      <c r="G27"/>
      <c r="H27"/>
      <c r="I27"/>
      <c r="J27"/>
      <c r="K27"/>
      <c r="L27"/>
      <c r="M27"/>
      <c r="N27"/>
      <c r="O27"/>
      <c r="P27"/>
      <c r="Q27" s="67"/>
      <c r="R27" s="67"/>
      <c r="S27" s="26"/>
      <c r="T27" s="399"/>
      <c r="U27" s="248" t="str">
        <f>CONCATENATE("Note: Primary source for this tab is Tables 3-20 and 3-21 of USEPA's 'Inventory of Greenhouse Gases,' which is " &amp; "fully referenced in Rows ",Emissions!S12, "-",Emissions!S14, " of 'Emissions' tab.")</f>
        <v>Note: Primary source for this tab is Tables 3-20 and 3-21 of USEPA's 'Inventory of Greenhouse Gases,' which is fully referenced in Rows 12-14 of 'Emissions' tab.</v>
      </c>
      <c r="V27" s="84"/>
      <c r="W27" s="84"/>
      <c r="X27" s="84"/>
      <c r="Y27" s="84"/>
      <c r="Z27" s="84"/>
      <c r="AA27" s="84"/>
      <c r="AB27" s="84"/>
      <c r="AC27" s="363"/>
      <c r="AD27" s="363"/>
      <c r="AE27" s="363"/>
      <c r="AF27" s="363"/>
      <c r="AG27" s="363"/>
      <c r="AH27" s="363"/>
      <c r="AI27" s="363"/>
      <c r="AJ27" s="363"/>
      <c r="AK27" s="363"/>
      <c r="AL27" s="363"/>
      <c r="AM27" s="363"/>
      <c r="AN27" s="363"/>
      <c r="AO27" s="363"/>
      <c r="AP27" s="363"/>
      <c r="AQ27" s="363"/>
      <c r="AS27" s="7">
        <f>ROW()</f>
        <v>27</v>
      </c>
    </row>
    <row r="28" spans="2:45" ht="13.95" customHeight="1">
      <c r="B28" s="14" t="s">
        <v>1098</v>
      </c>
      <c r="K28" s="184">
        <f>Freight!K55</f>
        <v>3.2623995650716364</v>
      </c>
      <c r="L28" s="184">
        <f>Freight!L55</f>
        <v>4.2284792151172841</v>
      </c>
      <c r="M28" s="184">
        <f>Freight!M55</f>
        <v>2.6609563559861784</v>
      </c>
      <c r="N28" s="184">
        <f>Freight!N55</f>
        <v>3.1498919897822781</v>
      </c>
      <c r="O28" s="184">
        <f>Freight!O55</f>
        <v>3.9686165941483726</v>
      </c>
      <c r="P28" s="184">
        <f>Freight!P55</f>
        <v>3.987795802616608</v>
      </c>
      <c r="Q28" s="326">
        <f>Freight!Q55</f>
        <v>3.8324581798564719</v>
      </c>
      <c r="R28" s="326">
        <f>Freight!R55</f>
        <v>3.5370456004190376</v>
      </c>
      <c r="S28" s="339">
        <f>Freight!S55</f>
        <v>2.3542000000000001</v>
      </c>
      <c r="T28" s="184">
        <f>Freight!T55</f>
        <v>2.3464333307964451</v>
      </c>
      <c r="U28" s="184">
        <f>Freight!U55</f>
        <v>2.3988685250196089</v>
      </c>
      <c r="V28" s="184">
        <f>Freight!V55</f>
        <v>2.4528472758646642</v>
      </c>
      <c r="W28" s="184">
        <f>Freight!W55</f>
        <v>2.5084143262960445</v>
      </c>
      <c r="X28" s="184">
        <f>Freight!X55</f>
        <v>2.5691833050016579</v>
      </c>
      <c r="Y28" s="184">
        <f>Freight!Y55</f>
        <v>2.6117666782518505</v>
      </c>
      <c r="Z28" s="184">
        <f>Freight!Z55</f>
        <v>2.6552322333434857</v>
      </c>
      <c r="AA28" s="184">
        <f>Freight!AA55</f>
        <v>2.699598234558962</v>
      </c>
      <c r="AB28" s="184">
        <f>Freight!AB55</f>
        <v>2.7448833243164845</v>
      </c>
      <c r="AC28" s="184">
        <f>Freight!AC55</f>
        <v>2.7911065309988241</v>
      </c>
      <c r="AD28" s="184">
        <f>Freight!AD55</f>
        <v>2.8382872769441607</v>
      </c>
      <c r="AE28" s="184">
        <f>Freight!AE55</f>
        <v>2.8864453866023658</v>
      </c>
      <c r="AF28" s="184">
        <f>Freight!AF55</f>
        <v>2.9356010948601505</v>
      </c>
      <c r="AG28" s="184">
        <f>Freight!AG55</f>
        <v>2.9857750555385714</v>
      </c>
      <c r="AH28" s="184">
        <f>Freight!AH55</f>
        <v>3.0394960417453838</v>
      </c>
      <c r="AI28" s="184">
        <f>Freight!AI55</f>
        <v>3.0930048205940452</v>
      </c>
      <c r="AJ28" s="184">
        <f>Freight!AJ55</f>
        <v>3.1476297040170973</v>
      </c>
      <c r="AK28" s="184">
        <f>Freight!AK55</f>
        <v>3.2033941328059297</v>
      </c>
      <c r="AL28" s="184">
        <f>Freight!AL55</f>
        <v>3.2603220401882393</v>
      </c>
      <c r="AM28" s="184">
        <f>Freight!AM55</f>
        <v>3.3184378621730657</v>
      </c>
      <c r="AN28" s="184">
        <f>Freight!AN55</f>
        <v>3.3777665481131502</v>
      </c>
      <c r="AO28" s="184">
        <f>Freight!AO55</f>
        <v>3.4383335714891912</v>
      </c>
      <c r="AP28" s="184">
        <f>Freight!AP55</f>
        <v>3.5001649409206519</v>
      </c>
      <c r="AQ28" s="184">
        <f>Freight!AQ55</f>
        <v>3.5632872114078822</v>
      </c>
      <c r="AS28" s="7">
        <f>ROW()</f>
        <v>28</v>
      </c>
    </row>
    <row r="29" spans="2:45" ht="13.95" customHeight="1">
      <c r="B29" s="84" t="str">
        <f>CONCATENATE("Copied from 'Freight' tab, Row ",Freight!AS55, ".")</f>
        <v>Copied from 'Freight' tab, Row 55.</v>
      </c>
      <c r="K29" s="491"/>
      <c r="L29" s="601"/>
      <c r="M29" s="602"/>
      <c r="N29" s="603"/>
      <c r="O29" s="603"/>
      <c r="P29" s="603"/>
      <c r="Q29" s="603"/>
      <c r="R29" s="604" t="s">
        <v>746</v>
      </c>
      <c r="S29" s="605">
        <v>0.9</v>
      </c>
      <c r="T29" s="184"/>
      <c r="AS29" s="7">
        <f>ROW()</f>
        <v>29</v>
      </c>
    </row>
    <row r="30" spans="2:45" s="31" customFormat="1" ht="13.95" customHeight="1">
      <c r="B30" s="14" t="s">
        <v>1204</v>
      </c>
      <c r="C30"/>
      <c r="D30"/>
      <c r="E30"/>
      <c r="F30"/>
      <c r="G30"/>
      <c r="H30"/>
      <c r="I30"/>
      <c r="J30"/>
      <c r="K30" s="184">
        <f t="shared" ref="K30:AQ30" si="1">$S$29*K28</f>
        <v>2.936159608564473</v>
      </c>
      <c r="L30" s="184">
        <f t="shared" si="1"/>
        <v>3.8056312936055559</v>
      </c>
      <c r="M30" s="184">
        <f t="shared" si="1"/>
        <v>2.3948607203875607</v>
      </c>
      <c r="N30" s="184">
        <f t="shared" si="1"/>
        <v>2.8349027908040503</v>
      </c>
      <c r="O30" s="184">
        <f t="shared" si="1"/>
        <v>3.5717549347335353</v>
      </c>
      <c r="P30" s="184">
        <f t="shared" si="1"/>
        <v>3.5890162223549473</v>
      </c>
      <c r="Q30" s="326">
        <f t="shared" si="1"/>
        <v>3.4492123618708246</v>
      </c>
      <c r="R30" s="326">
        <f t="shared" si="1"/>
        <v>3.1833410403771341</v>
      </c>
      <c r="S30" s="339">
        <f t="shared" si="1"/>
        <v>2.1187800000000001</v>
      </c>
      <c r="T30" s="184">
        <f t="shared" si="1"/>
        <v>2.1117899977168006</v>
      </c>
      <c r="U30" s="184">
        <f t="shared" si="1"/>
        <v>2.1589816725176481</v>
      </c>
      <c r="V30" s="184">
        <f t="shared" si="1"/>
        <v>2.2075625482781978</v>
      </c>
      <c r="W30" s="184">
        <f t="shared" si="1"/>
        <v>2.2575728936664401</v>
      </c>
      <c r="X30" s="184">
        <f t="shared" si="1"/>
        <v>2.3122649745014923</v>
      </c>
      <c r="Y30" s="184">
        <f t="shared" si="1"/>
        <v>2.3505900104266657</v>
      </c>
      <c r="Z30" s="184">
        <f t="shared" si="1"/>
        <v>2.3897090100091374</v>
      </c>
      <c r="AA30" s="184">
        <f t="shared" si="1"/>
        <v>2.429638411103066</v>
      </c>
      <c r="AB30" s="184">
        <f t="shared" si="1"/>
        <v>2.4703949918848362</v>
      </c>
      <c r="AC30" s="184">
        <f t="shared" si="1"/>
        <v>2.5119958778989417</v>
      </c>
      <c r="AD30" s="184">
        <f t="shared" si="1"/>
        <v>2.5544585492497447</v>
      </c>
      <c r="AE30" s="184">
        <f t="shared" si="1"/>
        <v>2.5978008479421293</v>
      </c>
      <c r="AF30" s="184">
        <f t="shared" si="1"/>
        <v>2.6420409853741353</v>
      </c>
      <c r="AG30" s="184">
        <f t="shared" si="1"/>
        <v>2.6871975499847145</v>
      </c>
      <c r="AH30" s="184">
        <f t="shared" si="1"/>
        <v>2.7355464375708456</v>
      </c>
      <c r="AI30" s="184">
        <f t="shared" si="1"/>
        <v>2.7837043385346409</v>
      </c>
      <c r="AJ30" s="184">
        <f t="shared" si="1"/>
        <v>2.8328667336153877</v>
      </c>
      <c r="AK30" s="184">
        <f t="shared" si="1"/>
        <v>2.8830547195253367</v>
      </c>
      <c r="AL30" s="184">
        <f t="shared" si="1"/>
        <v>2.9342898361694156</v>
      </c>
      <c r="AM30" s="184">
        <f t="shared" si="1"/>
        <v>2.9865940759557592</v>
      </c>
      <c r="AN30" s="184">
        <f t="shared" si="1"/>
        <v>3.0399898933018354</v>
      </c>
      <c r="AO30" s="184">
        <f t="shared" si="1"/>
        <v>3.0945002143402722</v>
      </c>
      <c r="AP30" s="184">
        <f t="shared" si="1"/>
        <v>3.1501484468285867</v>
      </c>
      <c r="AQ30" s="184">
        <f t="shared" si="1"/>
        <v>3.2069584902670942</v>
      </c>
      <c r="AS30" s="7">
        <f>ROW()</f>
        <v>30</v>
      </c>
    </row>
    <row r="31" spans="2:45" s="31" customFormat="1" ht="13.95" customHeight="1">
      <c r="B31" s="84" t="str">
        <f>CONCATENATE("Product of Row ",AS28, " and Cell Q",AS29, ".")</f>
        <v>Product of Row 28 and Cell Q29.</v>
      </c>
      <c r="C31"/>
      <c r="D31"/>
      <c r="E31"/>
      <c r="F31"/>
      <c r="G31"/>
      <c r="H31"/>
      <c r="I31"/>
      <c r="J31"/>
      <c r="K31"/>
      <c r="L31"/>
      <c r="M31"/>
      <c r="N31"/>
      <c r="O31"/>
      <c r="P31"/>
      <c r="Q31"/>
      <c r="R31"/>
      <c r="S31" s="26"/>
      <c r="T31" s="399"/>
      <c r="U31" s="363"/>
      <c r="V31" s="363"/>
      <c r="W31" s="363"/>
      <c r="X31" s="363"/>
      <c r="Y31" s="363"/>
      <c r="Z31" s="363"/>
      <c r="AA31" s="363"/>
      <c r="AB31" s="363"/>
      <c r="AC31" s="363"/>
      <c r="AD31" s="363"/>
      <c r="AE31" s="363"/>
      <c r="AF31" s="363"/>
      <c r="AG31" s="363"/>
      <c r="AH31" s="363"/>
      <c r="AI31" s="363"/>
      <c r="AJ31" s="363"/>
      <c r="AK31" s="363"/>
      <c r="AL31" s="363"/>
      <c r="AM31" s="363"/>
      <c r="AN31" s="363"/>
      <c r="AO31" s="363"/>
      <c r="AP31" s="363"/>
      <c r="AQ31" s="363"/>
      <c r="AS31" s="7">
        <f>ROW()</f>
        <v>31</v>
      </c>
    </row>
    <row r="32" spans="2:45" ht="13.95" customHeight="1">
      <c r="I32" s="13">
        <f t="shared" ref="I32:AP32" si="2">I14</f>
        <v>2005</v>
      </c>
      <c r="J32" s="13">
        <f t="shared" si="2"/>
        <v>2006</v>
      </c>
      <c r="K32" s="13">
        <f t="shared" si="2"/>
        <v>2007</v>
      </c>
      <c r="L32" s="13">
        <f t="shared" si="2"/>
        <v>2008</v>
      </c>
      <c r="M32" s="13">
        <f t="shared" si="2"/>
        <v>2009</v>
      </c>
      <c r="N32" s="13">
        <f t="shared" si="2"/>
        <v>2010</v>
      </c>
      <c r="O32" s="13">
        <f t="shared" si="2"/>
        <v>2011</v>
      </c>
      <c r="P32" s="13">
        <f t="shared" si="2"/>
        <v>2012</v>
      </c>
      <c r="Q32" s="13">
        <f t="shared" si="2"/>
        <v>2013</v>
      </c>
      <c r="R32" s="13">
        <f t="shared" si="2"/>
        <v>2014</v>
      </c>
      <c r="S32" s="251">
        <f t="shared" si="2"/>
        <v>2015</v>
      </c>
      <c r="T32" s="13">
        <f t="shared" si="2"/>
        <v>2017</v>
      </c>
      <c r="U32" s="13">
        <f t="shared" si="2"/>
        <v>2018</v>
      </c>
      <c r="V32" s="13">
        <f t="shared" si="2"/>
        <v>2019</v>
      </c>
      <c r="W32" s="13">
        <f t="shared" si="2"/>
        <v>2020</v>
      </c>
      <c r="X32" s="13">
        <f t="shared" si="2"/>
        <v>2021</v>
      </c>
      <c r="Y32" s="13">
        <f t="shared" si="2"/>
        <v>2022</v>
      </c>
      <c r="Z32" s="13">
        <f t="shared" si="2"/>
        <v>2023</v>
      </c>
      <c r="AA32" s="13">
        <f t="shared" si="2"/>
        <v>2024</v>
      </c>
      <c r="AB32" s="13">
        <f t="shared" si="2"/>
        <v>2025</v>
      </c>
      <c r="AC32" s="13">
        <f t="shared" si="2"/>
        <v>2026</v>
      </c>
      <c r="AD32" s="13">
        <f t="shared" si="2"/>
        <v>2027</v>
      </c>
      <c r="AE32" s="13">
        <f t="shared" si="2"/>
        <v>2028</v>
      </c>
      <c r="AF32" s="13">
        <f t="shared" si="2"/>
        <v>2029</v>
      </c>
      <c r="AG32" s="13">
        <f t="shared" si="2"/>
        <v>2030</v>
      </c>
      <c r="AH32" s="13">
        <f t="shared" si="2"/>
        <v>2031</v>
      </c>
      <c r="AI32" s="13">
        <f t="shared" si="2"/>
        <v>2032</v>
      </c>
      <c r="AJ32" s="13">
        <f t="shared" si="2"/>
        <v>2033</v>
      </c>
      <c r="AK32" s="13">
        <f t="shared" si="2"/>
        <v>2034</v>
      </c>
      <c r="AL32" s="13">
        <f t="shared" si="2"/>
        <v>2035</v>
      </c>
      <c r="AM32" s="13">
        <f t="shared" si="2"/>
        <v>2036</v>
      </c>
      <c r="AN32" s="13">
        <f t="shared" si="2"/>
        <v>2037</v>
      </c>
      <c r="AO32" s="13">
        <f t="shared" si="2"/>
        <v>2038</v>
      </c>
      <c r="AP32" s="13">
        <f t="shared" si="2"/>
        <v>2039</v>
      </c>
      <c r="AQ32" s="13">
        <f t="shared" ref="AQ32" si="3">AQ14</f>
        <v>2040</v>
      </c>
      <c r="AS32" s="7">
        <f>ROW()</f>
        <v>32</v>
      </c>
    </row>
    <row r="33" spans="2:45" s="31" customFormat="1" ht="13.95" customHeight="1">
      <c r="B33"/>
      <c r="C33"/>
      <c r="D33"/>
      <c r="E33"/>
      <c r="F33"/>
      <c r="G33"/>
      <c r="H33"/>
      <c r="I33"/>
      <c r="J33"/>
      <c r="K33"/>
      <c r="L33"/>
      <c r="M33"/>
      <c r="N33"/>
      <c r="O33"/>
      <c r="P33"/>
      <c r="Q33" s="67"/>
      <c r="R33" s="67"/>
      <c r="S33" s="26"/>
      <c r="T33" s="399"/>
      <c r="U33" s="363"/>
      <c r="V33" s="363"/>
      <c r="W33" s="363"/>
      <c r="X33" s="363"/>
      <c r="Y33" s="363"/>
      <c r="Z33" s="363"/>
      <c r="AA33" s="363"/>
      <c r="AB33" s="363"/>
      <c r="AC33" s="363"/>
      <c r="AD33" s="363"/>
      <c r="AE33" s="363"/>
      <c r="AF33" s="363"/>
      <c r="AG33" s="363"/>
      <c r="AH33" s="363"/>
      <c r="AI33" s="363"/>
      <c r="AJ33" s="363"/>
      <c r="AK33" s="363"/>
      <c r="AL33" s="363"/>
      <c r="AM33" s="363"/>
      <c r="AN33" s="363"/>
      <c r="AO33" s="363"/>
      <c r="AP33" s="363"/>
      <c r="AQ33" s="363"/>
      <c r="AS33" s="7">
        <f>ROW()</f>
        <v>33</v>
      </c>
    </row>
    <row r="34" spans="2:45" s="31" customFormat="1" ht="13.95" customHeight="1">
      <c r="B34" s="559" t="s">
        <v>709</v>
      </c>
      <c r="C34"/>
      <c r="D34"/>
      <c r="E34"/>
      <c r="F34"/>
      <c r="G34"/>
      <c r="H34"/>
      <c r="I34"/>
      <c r="J34"/>
      <c r="K34"/>
      <c r="L34"/>
      <c r="M34"/>
      <c r="N34"/>
      <c r="O34"/>
      <c r="P34"/>
      <c r="Q34" s="67"/>
      <c r="R34" s="67"/>
      <c r="S34" s="26"/>
      <c r="T34" s="129"/>
      <c r="U34" s="363"/>
      <c r="V34" s="363"/>
      <c r="W34" s="363"/>
      <c r="X34" s="363"/>
      <c r="Y34" s="363"/>
      <c r="Z34" s="363"/>
      <c r="AA34" s="363"/>
      <c r="AB34" s="363"/>
      <c r="AC34" s="363"/>
      <c r="AD34" s="363"/>
      <c r="AE34" s="363"/>
      <c r="AF34" s="363"/>
      <c r="AG34" s="363"/>
      <c r="AH34" s="363"/>
      <c r="AI34" s="363"/>
      <c r="AJ34" s="363"/>
      <c r="AK34" s="363"/>
      <c r="AL34" s="363"/>
      <c r="AM34" s="363"/>
      <c r="AN34" s="363"/>
      <c r="AO34" s="363"/>
      <c r="AP34" s="363"/>
      <c r="AQ34" s="363"/>
      <c r="AS34" s="81">
        <f>ROW()</f>
        <v>34</v>
      </c>
    </row>
    <row r="35" spans="2:45" s="31" customFormat="1" ht="13.95" customHeight="1">
      <c r="B35" s="8" t="s">
        <v>696</v>
      </c>
      <c r="C35"/>
      <c r="D35"/>
      <c r="E35"/>
      <c r="F35"/>
      <c r="G35"/>
      <c r="H35" s="536" t="s">
        <v>670</v>
      </c>
      <c r="I35" s="129">
        <f>Energy!G62</f>
        <v>5.3841000000000001</v>
      </c>
      <c r="J35" s="129">
        <f>Energy!H62</f>
        <v>5.2070333333333334</v>
      </c>
      <c r="K35" s="129">
        <f>Energy!I62</f>
        <v>5.0299666666666667</v>
      </c>
      <c r="L35" s="129">
        <f>Energy!J62</f>
        <v>4.8529</v>
      </c>
      <c r="M35" s="129">
        <f>Energy!K62</f>
        <v>4.4695999999999998</v>
      </c>
      <c r="N35" s="129">
        <f>Energy!L62</f>
        <v>4.7702999999999998</v>
      </c>
      <c r="O35" s="129">
        <f>Energy!M62</f>
        <v>4.6608999999999998</v>
      </c>
      <c r="P35" s="129">
        <f>Energy!N62</f>
        <v>4.5587</v>
      </c>
      <c r="Q35" s="129">
        <f>Energy!O62</f>
        <v>4.8091999999999997</v>
      </c>
      <c r="R35" s="129">
        <f>Energy!P62</f>
        <v>4.7611999999999997</v>
      </c>
      <c r="S35" s="296">
        <f>Energy!Q62</f>
        <v>4.7611999999999997</v>
      </c>
      <c r="T35" s="129">
        <f>S35*((T$30/S$30)^Parameters!$H$14)*IF(S$14&gt;=2040,AEO!$R$27,IF(S$14&gt;=2031,AEO!$Q$27,IF(S$14&gt;=2021,AEO!$P$27,AEO!$O$27)))^Parameters!$I$14</f>
        <v>4.8282245049176558</v>
      </c>
      <c r="U35" s="129">
        <f>T35*((U$30/T$30)^Parameters!$H$14)*IF(T$14&gt;=2040,AEO!$R$27,IF(T$14&gt;=2031,AEO!$Q$27,IF(T$14&gt;=2021,AEO!$P$27,AEO!$O$27)))^Parameters!$I$14</f>
        <v>4.8466888721334138</v>
      </c>
      <c r="V35" s="129">
        <f>U35*((V$30/U$30)^Parameters!$H$14)*IF(U$14&gt;=2040,AEO!$R$27,IF(U$14&gt;=2031,AEO!$Q$27,IF(U$14&gt;=2021,AEO!$P$27,AEO!$O$27)))^Parameters!$I$14</f>
        <v>4.864928852476627</v>
      </c>
      <c r="W35" s="129">
        <f>V35*((W$30/V$30)^Parameters!$H$14)*IF(V$14&gt;=2040,AEO!$R$27,IF(V$14&gt;=2031,AEO!$Q$27,IF(V$14&gt;=2021,AEO!$P$27,AEO!$O$27)))^Parameters!$I$14</f>
        <v>4.8829464781149428</v>
      </c>
      <c r="X35" s="129">
        <f>W35*((X$30/W$30)^Parameters!$H$14)*IF(W$14&gt;=2040,AEO!$R$27,IF(W$14&gt;=2031,AEO!$Q$27,IF(W$14&gt;=2021,AEO!$P$27,AEO!$O$27)))^Parameters!$I$14</f>
        <v>4.8980206639220283</v>
      </c>
      <c r="Y35" s="129">
        <f>X35*((Y$30/X$30)^Parameters!$H$14)*IF(X$14&gt;=2040,AEO!$R$27,IF(X$14&gt;=2031,AEO!$Q$27,IF(X$14&gt;=2021,AEO!$P$27,AEO!$O$27)))^Parameters!$I$14</f>
        <v>4.9196552120972052</v>
      </c>
      <c r="Z35" s="129">
        <f>Y35*((Z$30/Y$30)^Parameters!$H$14)*IF(Y$14&gt;=2040,AEO!$R$27,IF(Y$14&gt;=2031,AEO!$Q$27,IF(Y$14&gt;=2021,AEO!$P$27,AEO!$O$27)))^Parameters!$I$14</f>
        <v>4.9412540229073647</v>
      </c>
      <c r="AA35" s="129">
        <f>Z35*((AA$30/Z$30)^Parameters!$H$14)*IF(Z$14&gt;=2040,AEO!$R$27,IF(Z$14&gt;=2031,AEO!$Q$27,IF(Z$14&gt;=2021,AEO!$P$27,AEO!$O$27)))^Parameters!$I$14</f>
        <v>4.9628174363632205</v>
      </c>
      <c r="AB35" s="129">
        <f>AA35*((AB$30/AA$30)^Parameters!$H$14)*IF(AA$14&gt;=2040,AEO!$R$27,IF(AA$14&gt;=2031,AEO!$Q$27,IF(AA$14&gt;=2021,AEO!$P$27,AEO!$O$27)))^Parameters!$I$14</f>
        <v>4.9843458145700534</v>
      </c>
      <c r="AC35" s="129">
        <f>AB35*((AC$30/AB$30)^Parameters!$H$14)*IF(AB$14&gt;=2040,AEO!$R$27,IF(AB$14&gt;=2031,AEO!$Q$27,IF(AB$14&gt;=2021,AEO!$P$27,AEO!$O$27)))^Parameters!$I$14</f>
        <v>5.0058395410545886</v>
      </c>
      <c r="AD35" s="129">
        <f>AC35*((AD$30/AC$30)^Parameters!$H$14)*IF(AC$14&gt;=2040,AEO!$R$27,IF(AC$14&gt;=2031,AEO!$Q$27,IF(AC$14&gt;=2021,AEO!$P$27,AEO!$O$27)))^Parameters!$I$14</f>
        <v>5.0272990200928662</v>
      </c>
      <c r="AE35" s="129">
        <f>AD35*((AE$30/AD$30)^Parameters!$H$14)*IF(AD$14&gt;=2040,AEO!$R$27,IF(AD$14&gt;=2031,AEO!$Q$27,IF(AD$14&gt;=2021,AEO!$P$27,AEO!$O$27)))^Parameters!$I$14</f>
        <v>5.0487246760398996</v>
      </c>
      <c r="AF35" s="129">
        <f>AE35*((AF$30/AE$30)^Parameters!$H$14)*IF(AE$14&gt;=2040,AEO!$R$27,IF(AE$14&gt;=2031,AEO!$Q$27,IF(AE$14&gt;=2021,AEO!$P$27,AEO!$O$27)))^Parameters!$I$14</f>
        <v>5.0701169526618921</v>
      </c>
      <c r="AG35" s="129">
        <f>AF35*((AG$30/AF$30)^Parameters!$H$14)*IF(AF$14&gt;=2040,AEO!$R$27,IF(AF$14&gt;=2031,AEO!$Q$27,IF(AF$14&gt;=2021,AEO!$P$27,AEO!$O$27)))^Parameters!$I$14</f>
        <v>5.091476312471733</v>
      </c>
      <c r="AH35" s="129">
        <f>AG35*((AH$30/AG$30)^Parameters!$H$14)*IF(AG$14&gt;=2040,AEO!$R$27,IF(AG$14&gt;=2031,AEO!$Q$27,IF(AG$14&gt;=2021,AEO!$P$27,AEO!$O$27)))^Parameters!$I$14</f>
        <v>5.1111155208988377</v>
      </c>
      <c r="AI35" s="129">
        <f>AH35*((AI$30/AH$30)^Parameters!$H$14)*IF(AH$14&gt;=2040,AEO!$R$27,IF(AH$14&gt;=2031,AEO!$Q$27,IF(AH$14&gt;=2021,AEO!$P$27,AEO!$O$27)))^Parameters!$I$14</f>
        <v>5.1280812568360581</v>
      </c>
      <c r="AJ35" s="129">
        <f>AI35*((AJ$30/AI$30)^Parameters!$H$14)*IF(AI$14&gt;=2040,AEO!$R$27,IF(AI$14&gt;=2031,AEO!$Q$27,IF(AI$14&gt;=2021,AEO!$P$27,AEO!$O$27)))^Parameters!$I$14</f>
        <v>5.1449894669369662</v>
      </c>
      <c r="AK35" s="129">
        <f>AJ35*((AK$30/AJ$30)^Parameters!$H$14)*IF(AJ$14&gt;=2040,AEO!$R$27,IF(AJ$14&gt;=2031,AEO!$Q$27,IF(AJ$14&gt;=2021,AEO!$P$27,AEO!$O$27)))^Parameters!$I$14</f>
        <v>5.1618407378953242</v>
      </c>
      <c r="AL35" s="129">
        <f>AK35*((AL$30/AK$30)^Parameters!$H$14)*IF(AK$14&gt;=2040,AEO!$R$27,IF(AK$14&gt;=2031,AEO!$Q$27,IF(AK$14&gt;=2021,AEO!$P$27,AEO!$O$27)))^Parameters!$I$14</f>
        <v>5.1786356687858959</v>
      </c>
      <c r="AM35" s="129">
        <f>AL35*((AM$30/AL$30)^Parameters!$H$14)*IF(AL$14&gt;=2040,AEO!$R$27,IF(AL$14&gt;=2031,AEO!$Q$27,IF(AL$14&gt;=2021,AEO!$P$27,AEO!$O$27)))^Parameters!$I$14</f>
        <v>5.19537487046337</v>
      </c>
      <c r="AN35" s="129">
        <f>AM35*((AN$30/AM$30)^Parameters!$H$14)*IF(AM$14&gt;=2040,AEO!$R$27,IF(AM$14&gt;=2031,AEO!$Q$27,IF(AM$14&gt;=2021,AEO!$P$27,AEO!$O$27)))^Parameters!$I$14</f>
        <v>5.212058964970149</v>
      </c>
      <c r="AO35" s="129">
        <f>AN35*((AO$30/AN$30)^Parameters!$H$14)*IF(AN$14&gt;=2040,AEO!$R$27,IF(AN$14&gt;=2031,AEO!$Q$27,IF(AN$14&gt;=2021,AEO!$P$27,AEO!$O$27)))^Parameters!$I$14</f>
        <v>5.2286885849533684</v>
      </c>
      <c r="AP35" s="129">
        <f>AO35*((AP$30/AO$30)^Parameters!$H$14)*IF(AO$14&gt;=2040,AEO!$R$27,IF(AO$14&gt;=2031,AEO!$Q$27,IF(AO$14&gt;=2021,AEO!$P$27,AEO!$O$27)))^Parameters!$I$14</f>
        <v>5.2452643730914508</v>
      </c>
      <c r="AQ35" s="129">
        <f>AP35*((AQ$30/AP$30)^Parameters!$H$14)*IF(AP$14&gt;=2040,AEO!$R$27,IF(AP$14&gt;=2031,AEO!$Q$27,IF(AP$14&gt;=2021,AEO!$P$27,AEO!$O$27)))^Parameters!$I$14</f>
        <v>5.2617869815305038</v>
      </c>
      <c r="AR35" s="129"/>
      <c r="AS35" s="81">
        <f>ROW()</f>
        <v>35</v>
      </c>
    </row>
    <row r="36" spans="2:45" s="31" customFormat="1" ht="13.95" customHeight="1">
      <c r="B36" s="1145" t="str">
        <f>CONCATENATE("Past figures are from 'Energy' tab, Row ",Energy!R62, ". Future figures apply income- and price-elasticities for 'miscellaneous' fuels from 'Parameters' tab, Row ",Parameters!B14, ", to GDP growth projections in 'AEO' tab and year-on-year real price increases calculated on values in Row ",AS30, ".")</f>
        <v>Past figures are from 'Energy' tab, Row 62. Future figures apply income- and price-elasticities for 'miscellaneous' fuels from 'Parameters' tab, Row 14, to GDP growth projections in 'AEO' tab and year-on-year real price increases calculated on values in Row 30.</v>
      </c>
      <c r="C36" s="1155"/>
      <c r="D36" s="1155"/>
      <c r="E36" s="1155"/>
      <c r="F36" s="1155"/>
      <c r="G36" s="1155"/>
      <c r="H36" s="1155"/>
      <c r="I36" s="1155"/>
      <c r="J36" s="1155"/>
      <c r="K36" s="1155"/>
      <c r="L36" s="1155"/>
      <c r="M36" s="1155"/>
      <c r="N36" s="1155"/>
      <c r="O36" s="1155"/>
      <c r="P36" s="67"/>
      <c r="Q36" s="67"/>
      <c r="R36" s="67"/>
      <c r="S36" s="296"/>
      <c r="T36" s="773"/>
      <c r="U36" s="363"/>
      <c r="V36" s="363"/>
      <c r="W36" s="363"/>
      <c r="X36" s="363"/>
      <c r="Y36" s="363"/>
      <c r="Z36" s="363"/>
      <c r="AA36" s="363"/>
      <c r="AB36" s="363"/>
      <c r="AC36" s="363"/>
      <c r="AD36" s="363"/>
      <c r="AE36" s="363"/>
      <c r="AF36" s="363"/>
      <c r="AG36" s="363"/>
      <c r="AH36" s="363"/>
      <c r="AI36" s="363"/>
      <c r="AJ36" s="363"/>
      <c r="AK36" s="363"/>
      <c r="AL36" s="363"/>
      <c r="AM36" s="363"/>
      <c r="AN36" s="363"/>
      <c r="AO36" s="363"/>
      <c r="AP36" s="363"/>
      <c r="AQ36" s="363"/>
      <c r="AS36" s="81">
        <f>ROW()</f>
        <v>36</v>
      </c>
    </row>
    <row r="37" spans="2:45" s="31" customFormat="1" ht="13.95" customHeight="1">
      <c r="B37" s="1155"/>
      <c r="C37" s="1155"/>
      <c r="D37" s="1155"/>
      <c r="E37" s="1155"/>
      <c r="F37" s="1155"/>
      <c r="G37" s="1155"/>
      <c r="H37" s="1155"/>
      <c r="I37" s="1155"/>
      <c r="J37" s="1155"/>
      <c r="K37" s="1155"/>
      <c r="L37" s="1155"/>
      <c r="M37" s="1155"/>
      <c r="N37" s="1155"/>
      <c r="O37" s="1155"/>
      <c r="P37" s="67"/>
      <c r="Q37" s="67"/>
      <c r="R37" s="67"/>
      <c r="S37" s="296"/>
      <c r="T37" s="773"/>
      <c r="U37" s="363"/>
      <c r="V37" s="363"/>
      <c r="W37" s="363"/>
      <c r="X37" s="363"/>
      <c r="Y37" s="363"/>
      <c r="Z37" s="363"/>
      <c r="AA37" s="363"/>
      <c r="AB37" s="363"/>
      <c r="AC37" s="363"/>
      <c r="AD37" s="363"/>
      <c r="AE37" s="363"/>
      <c r="AF37" s="363"/>
      <c r="AG37" s="363"/>
      <c r="AH37" s="363"/>
      <c r="AI37" s="363"/>
      <c r="AJ37" s="363"/>
      <c r="AK37" s="363"/>
      <c r="AL37" s="363"/>
      <c r="AM37" s="363"/>
      <c r="AN37" s="363"/>
      <c r="AO37" s="363"/>
      <c r="AP37" s="363"/>
      <c r="AQ37" s="363"/>
      <c r="AS37" s="555">
        <f>ROW()</f>
        <v>37</v>
      </c>
    </row>
    <row r="38" spans="2:45" ht="13.95" customHeight="1">
      <c r="B38" s="8" t="s">
        <v>705</v>
      </c>
      <c r="I38" s="129">
        <f>(Energy!G71+Energy!G72)*Parameters!$I$49/1000000000000</f>
        <v>1.4229896120000001</v>
      </c>
      <c r="J38" s="129">
        <f>(Energy!H71+Energy!H72)*Parameters!$I$49/1000000000000</f>
        <v>1.372979476</v>
      </c>
      <c r="K38" s="129">
        <f>(Energy!I71+Energy!I72)*Parameters!$I$49/1000000000000</f>
        <v>1.3153488260000001</v>
      </c>
      <c r="L38" s="129">
        <f>(Energy!J71+Energy!J72)*Parameters!$I$49/1000000000000</f>
        <v>1.2737709159999999</v>
      </c>
      <c r="M38" s="129">
        <f>(Energy!K71+Energy!K72)*Parameters!$I$49/1000000000000</f>
        <v>1.067537306</v>
      </c>
      <c r="N38" s="129">
        <f>(Energy!L71+Energy!L72)*Parameters!$I$49/1000000000000</f>
        <v>1.1521196279999999</v>
      </c>
      <c r="O38" s="129">
        <f>(Energy!M71+Energy!M72)*Parameters!$I$49/1000000000000</f>
        <v>1.0786640919999999</v>
      </c>
      <c r="P38" s="129">
        <f>(Energy!N71+Energy!N72)*Parameters!$I$49/1000000000000</f>
        <v>0.98740967599999996</v>
      </c>
      <c r="Q38" s="129">
        <f>(Energy!O71+Energy!O72)*Parameters!$I$49/1000000000000</f>
        <v>0.99013358399999996</v>
      </c>
      <c r="R38" s="129">
        <f>(Energy!P71+Energy!P72)*Parameters!$I$49/1000000000000</f>
        <v>0.99058874200000002</v>
      </c>
      <c r="S38" s="296">
        <f>(Energy!Q71+Energy!Q72)*Parameters!$I$49/1000000000000</f>
        <v>0.94648399999999999</v>
      </c>
      <c r="T38" s="129">
        <f>S38*((T$30/S$30)^Parameters!$H$14)*IF(S$14&gt;=2040,AEO!$R$27,IF(S$14&gt;=2031,AEO!$Q$27,IF(S$14&gt;=2021,AEO!$P$27,AEO!$O$27)))^Parameters!$I$14</f>
        <v>0.95980787245074417</v>
      </c>
      <c r="U38" s="129">
        <f>T38*((U$30/T$30)^Parameters!$H$14)*IF(T$14&gt;=2040,AEO!$R$27,IF(T$14&gt;=2031,AEO!$Q$27,IF(T$14&gt;=2021,AEO!$P$27,AEO!$O$27)))^Parameters!$I$14</f>
        <v>0.96347842360168079</v>
      </c>
      <c r="V38" s="129">
        <f>U38*((V$30/U$30)^Parameters!$H$14)*IF(U$14&gt;=2040,AEO!$R$27,IF(U$14&gt;=2031,AEO!$Q$27,IF(U$14&gt;=2021,AEO!$P$27,AEO!$O$27)))^Parameters!$I$14</f>
        <v>0.96710436864813232</v>
      </c>
      <c r="W38" s="129">
        <f>V38*((W$30/V$30)^Parameters!$H$14)*IF(V$14&gt;=2040,AEO!$R$27,IF(V$14&gt;=2031,AEO!$Q$27,IF(V$14&gt;=2021,AEO!$P$27,AEO!$O$27)))^Parameters!$I$14</f>
        <v>0.97068611156686202</v>
      </c>
      <c r="X38" s="129">
        <f>W38*((X$30/W$30)^Parameters!$H$14)*IF(W$14&gt;=2040,AEO!$R$27,IF(W$14&gt;=2031,AEO!$Q$27,IF(W$14&gt;=2021,AEO!$P$27,AEO!$O$27)))^Parameters!$I$14</f>
        <v>0.97368272495832497</v>
      </c>
      <c r="Y38" s="129">
        <f>X38*((Y$30/X$30)^Parameters!$H$14)*IF(X$14&gt;=2040,AEO!$R$27,IF(X$14&gt;=2031,AEO!$Q$27,IF(X$14&gt;=2021,AEO!$P$27,AEO!$O$27)))^Parameters!$I$14</f>
        <v>0.97798347974599076</v>
      </c>
      <c r="Z38" s="129">
        <f>Y38*((Z$30/Y$30)^Parameters!$H$14)*IF(Y$14&gt;=2040,AEO!$R$27,IF(Y$14&gt;=2031,AEO!$Q$27,IF(Y$14&gt;=2021,AEO!$P$27,AEO!$O$27)))^Parameters!$I$14</f>
        <v>0.98227713026494456</v>
      </c>
      <c r="AA38" s="129">
        <f>Z38*((AA$30/Z$30)^Parameters!$H$14)*IF(Z$14&gt;=2040,AEO!$R$27,IF(Z$14&gt;=2031,AEO!$Q$27,IF(Z$14&gt;=2021,AEO!$P$27,AEO!$O$27)))^Parameters!$I$14</f>
        <v>0.98656374410627712</v>
      </c>
      <c r="AB38" s="129">
        <f>AA38*((AB$30/AA$30)^Parameters!$H$14)*IF(AA$14&gt;=2040,AEO!$R$27,IF(AA$14&gt;=2031,AEO!$Q$27,IF(AA$14&gt;=2021,AEO!$P$27,AEO!$O$27)))^Parameters!$I$14</f>
        <v>0.99084339325328141</v>
      </c>
      <c r="AC38" s="129">
        <f>AB38*((AC$30/AB$30)^Parameters!$H$14)*IF(AB$14&gt;=2040,AEO!$R$27,IF(AB$14&gt;=2031,AEO!$Q$27,IF(AB$14&gt;=2021,AEO!$P$27,AEO!$O$27)))^Parameters!$I$14</f>
        <v>0.99511615394764186</v>
      </c>
      <c r="AD38" s="129">
        <f>AC38*((AD$30/AC$30)^Parameters!$H$14)*IF(AC$14&gt;=2040,AEO!$R$27,IF(AC$14&gt;=2031,AEO!$Q$27,IF(AC$14&gt;=2021,AEO!$P$27,AEO!$O$27)))^Parameters!$I$14</f>
        <v>0.99938210655582149</v>
      </c>
      <c r="AE38" s="129">
        <f>AD38*((AE$30/AD$30)^Parameters!$H$14)*IF(AD$14&gt;=2040,AEO!$R$27,IF(AD$14&gt;=2031,AEO!$Q$27,IF(AD$14&gt;=2021,AEO!$P$27,AEO!$O$27)))^Parameters!$I$14</f>
        <v>1.0036413354358038</v>
      </c>
      <c r="AF38" s="129">
        <f>AE38*((AF$30/AE$30)^Parameters!$H$14)*IF(AE$14&gt;=2040,AEO!$R$27,IF(AE$14&gt;=2031,AEO!$Q$27,IF(AE$14&gt;=2021,AEO!$P$27,AEO!$O$27)))^Parameters!$I$14</f>
        <v>1.0078939288043431</v>
      </c>
      <c r="AG38" s="129">
        <f>AF38*((AG$30/AF$30)^Parameters!$H$14)*IF(AF$14&gt;=2040,AEO!$R$27,IF(AF$14&gt;=2031,AEO!$Q$27,IF(AF$14&gt;=2021,AEO!$P$27,AEO!$O$27)))^Parameters!$I$14</f>
        <v>1.0121399786048675</v>
      </c>
      <c r="AH38" s="129">
        <f>AG38*((AH$30/AG$30)^Parameters!$H$14)*IF(AG$14&gt;=2040,AEO!$R$27,IF(AG$14&gt;=2031,AEO!$Q$27,IF(AG$14&gt;=2021,AEO!$P$27,AEO!$O$27)))^Parameters!$I$14</f>
        <v>1.0160440776868047</v>
      </c>
      <c r="AI38" s="129">
        <f>AH38*((AI$30/AH$30)^Parameters!$H$14)*IF(AH$14&gt;=2040,AEO!$R$27,IF(AH$14&gt;=2031,AEO!$Q$27,IF(AH$14&gt;=2021,AEO!$P$27,AEO!$O$27)))^Parameters!$I$14</f>
        <v>1.0194167143357178</v>
      </c>
      <c r="AJ38" s="129">
        <f>AI38*((AJ$30/AI$30)^Parameters!$H$14)*IF(AI$14&gt;=2040,AEO!$R$27,IF(AI$14&gt;=2031,AEO!$Q$27,IF(AI$14&gt;=2021,AEO!$P$27,AEO!$O$27)))^Parameters!$I$14</f>
        <v>1.0227779153625909</v>
      </c>
      <c r="AK38" s="129">
        <f>AJ38*((AK$30/AJ$30)^Parameters!$H$14)*IF(AJ$14&gt;=2040,AEO!$R$27,IF(AJ$14&gt;=2031,AEO!$Q$27,IF(AJ$14&gt;=2021,AEO!$P$27,AEO!$O$27)))^Parameters!$I$14</f>
        <v>1.0261277973968994</v>
      </c>
      <c r="AL38" s="129">
        <f>AK38*((AL$30/AK$30)^Parameters!$H$14)*IF(AK$14&gt;=2040,AEO!$R$27,IF(AK$14&gt;=2031,AEO!$Q$27,IF(AK$14&gt;=2021,AEO!$P$27,AEO!$O$27)))^Parameters!$I$14</f>
        <v>1.0294664795293518</v>
      </c>
      <c r="AM38" s="129">
        <f>AL38*((AM$30/AL$30)^Parameters!$H$14)*IF(AL$14&gt;=2040,AEO!$R$27,IF(AL$14&gt;=2031,AEO!$Q$27,IF(AL$14&gt;=2021,AEO!$P$27,AEO!$O$27)))^Parameters!$I$14</f>
        <v>1.0327940831923994</v>
      </c>
      <c r="AN38" s="129">
        <f>AM38*((AN$30/AM$30)^Parameters!$H$14)*IF(AM$14&gt;=2040,AEO!$R$27,IF(AM$14&gt;=2031,AEO!$Q$27,IF(AM$14&gt;=2021,AEO!$P$27,AEO!$O$27)))^Parameters!$I$14</f>
        <v>1.0361107320425116</v>
      </c>
      <c r="AO38" s="129">
        <f>AN38*((AO$30/AN$30)^Parameters!$H$14)*IF(AN$14&gt;=2040,AEO!$R$27,IF(AN$14&gt;=2031,AEO!$Q$27,IF(AN$14&gt;=2021,AEO!$P$27,AEO!$O$27)))^Parameters!$I$14</f>
        <v>1.0394165518442837</v>
      </c>
      <c r="AP38" s="129">
        <f>AO38*((AP$30/AO$30)^Parameters!$H$14)*IF(AO$14&gt;=2040,AEO!$R$27,IF(AO$14&gt;=2031,AEO!$Q$27,IF(AO$14&gt;=2021,AEO!$P$27,AEO!$O$27)))^Parameters!$I$14</f>
        <v>1.0427116703564414</v>
      </c>
      <c r="AQ38" s="129">
        <f>AP38*((AQ$30/AP$30)^Parameters!$H$14)*IF(AP$14&gt;=2040,AEO!$R$27,IF(AP$14&gt;=2031,AEO!$Q$27,IF(AP$14&gt;=2021,AEO!$P$27,AEO!$O$27)))^Parameters!$I$14</f>
        <v>1.0459962172198014</v>
      </c>
      <c r="AS38" s="7">
        <f>ROW()</f>
        <v>38</v>
      </c>
    </row>
    <row r="39" spans="2:45" ht="13.95" customHeight="1">
      <c r="B39" s="1145" t="str">
        <f>CONCATENATE("Past figures are sum of industrial and commercial (but not coke) coal consumption tabulated in 'Energy' tab, Rows ",Energy!R71," and ",Energy!R72,", multiplied by approx btu content of short ton of coal specified in 'Parameters' tab, Cell H",Parameters!B47, ". Future figures apply procedure noted in Row ",AS36, ".")</f>
        <v>Past figures are sum of industrial and commercial (but not coke) coal consumption tabulated in 'Energy' tab, Rows 71 and 72, multiplied by approx btu content of short ton of coal specified in 'Parameters' tab, Cell H47. Future figures apply procedure noted in Row 36.</v>
      </c>
      <c r="C39" s="1155"/>
      <c r="D39" s="1155"/>
      <c r="E39" s="1155"/>
      <c r="F39" s="1155"/>
      <c r="G39" s="1155"/>
      <c r="H39" s="1155"/>
      <c r="I39" s="1155"/>
      <c r="J39" s="1155"/>
      <c r="K39" s="1155"/>
      <c r="L39" s="1155"/>
      <c r="M39" s="1155"/>
      <c r="N39" s="1155"/>
      <c r="O39" s="1155"/>
      <c r="P39" s="12"/>
      <c r="Q39" s="771"/>
      <c r="R39" s="771"/>
      <c r="S39" s="772"/>
      <c r="T39" s="396"/>
      <c r="AS39" s="7">
        <f>ROW()</f>
        <v>39</v>
      </c>
    </row>
    <row r="40" spans="2:45" ht="13.95" customHeight="1">
      <c r="B40" s="1155"/>
      <c r="C40" s="1155"/>
      <c r="D40" s="1155"/>
      <c r="E40" s="1155"/>
      <c r="F40" s="1155"/>
      <c r="G40" s="1155"/>
      <c r="H40" s="1155"/>
      <c r="I40" s="1155"/>
      <c r="J40" s="1155"/>
      <c r="K40" s="1155"/>
      <c r="L40" s="1155"/>
      <c r="M40" s="1155"/>
      <c r="N40" s="1155"/>
      <c r="O40" s="1155"/>
      <c r="P40" s="12"/>
      <c r="Q40" s="771"/>
      <c r="R40" s="771"/>
      <c r="S40" s="772"/>
      <c r="T40" s="396"/>
      <c r="AS40" s="555">
        <f>ROW()</f>
        <v>40</v>
      </c>
    </row>
    <row r="41" spans="2:45" ht="13.95" customHeight="1">
      <c r="B41" s="8" t="s">
        <v>706</v>
      </c>
      <c r="I41" s="129">
        <f>Energy!G63</f>
        <v>0.6794281132834048</v>
      </c>
      <c r="J41" s="129">
        <f>Energy!H63</f>
        <v>0.68487443082475474</v>
      </c>
      <c r="K41" s="129">
        <f>Energy!I63</f>
        <v>0.62768809664058034</v>
      </c>
      <c r="L41" s="129">
        <f>Energy!J63</f>
        <v>0.55824754798836862</v>
      </c>
      <c r="M41" s="129">
        <f>Energy!K63</f>
        <v>0.59637177077781822</v>
      </c>
      <c r="N41" s="129">
        <f>Energy!L63</f>
        <v>0.56369386552971856</v>
      </c>
      <c r="O41" s="129">
        <f>Energy!M63</f>
        <v>0.5650554449150561</v>
      </c>
      <c r="P41" s="129">
        <f>Energy!N63</f>
        <v>0.59364861200714325</v>
      </c>
      <c r="Q41" s="129">
        <f>Energy!O63</f>
        <v>0.59228703262180582</v>
      </c>
      <c r="R41" s="129">
        <f>Energy!P63</f>
        <v>0.55824754798836862</v>
      </c>
      <c r="S41" s="129">
        <f>Energy!Q63</f>
        <v>0.55824754798836862</v>
      </c>
      <c r="T41" s="129">
        <f>S41*((T$30/S$30)^Parameters!$H$14)*IF(S$14&gt;=2040,AEO!$R$27,IF(S$14&gt;=2031,AEO!$Q$27,IF(S$14&gt;=2021,AEO!$P$27,AEO!$O$27)))^Parameters!$I$14</f>
        <v>0.5661061268183728</v>
      </c>
      <c r="U41" s="129">
        <f>T41*((U$30/T$30)^Parameters!$H$14)*IF(T$14&gt;=2040,AEO!$R$27,IF(T$14&gt;=2031,AEO!$Q$27,IF(T$14&gt;=2021,AEO!$P$27,AEO!$O$27)))^Parameters!$I$14</f>
        <v>0.56827106165063224</v>
      </c>
      <c r="V41" s="129">
        <f>U41*((V$30/U$30)^Parameters!$H$14)*IF(U$14&gt;=2040,AEO!$R$27,IF(U$14&gt;=2031,AEO!$Q$27,IF(U$14&gt;=2021,AEO!$P$27,AEO!$O$27)))^Parameters!$I$14</f>
        <v>0.57040968727063446</v>
      </c>
      <c r="W41" s="129">
        <f>V41*((W$30/V$30)^Parameters!$H$14)*IF(V$14&gt;=2040,AEO!$R$27,IF(V$14&gt;=2031,AEO!$Q$27,IF(V$14&gt;=2021,AEO!$P$27,AEO!$O$27)))^Parameters!$I$14</f>
        <v>0.57252224194869084</v>
      </c>
      <c r="X41" s="129">
        <f>W41*((X$30/W$30)^Parameters!$H$14)*IF(W$14&gt;=2040,AEO!$R$27,IF(W$14&gt;=2031,AEO!$Q$27,IF(W$14&gt;=2021,AEO!$P$27,AEO!$O$27)))^Parameters!$I$14</f>
        <v>0.5742896802551527</v>
      </c>
      <c r="Y41" s="129">
        <f>X41*((Y$30/X$30)^Parameters!$H$14)*IF(X$14&gt;=2040,AEO!$R$27,IF(X$14&gt;=2031,AEO!$Q$27,IF(X$14&gt;=2021,AEO!$P$27,AEO!$O$27)))^Parameters!$I$14</f>
        <v>0.57682631670617956</v>
      </c>
      <c r="Z41" s="129">
        <f>Y41*((Z$30/Y$30)^Parameters!$H$14)*IF(Y$14&gt;=2040,AEO!$R$27,IF(Y$14&gt;=2031,AEO!$Q$27,IF(Y$14&gt;=2021,AEO!$P$27,AEO!$O$27)))^Parameters!$I$14</f>
        <v>0.57935876297481692</v>
      </c>
      <c r="AA41" s="129">
        <f>Z41*((AA$30/Z$30)^Parameters!$H$14)*IF(Z$14&gt;=2040,AEO!$R$27,IF(Z$14&gt;=2031,AEO!$Q$27,IF(Z$14&gt;=2021,AEO!$P$27,AEO!$O$27)))^Parameters!$I$14</f>
        <v>0.58188705892709591</v>
      </c>
      <c r="AB41" s="129">
        <f>AA41*((AB$30/AA$30)^Parameters!$H$14)*IF(AA$14&gt;=2040,AEO!$R$27,IF(AA$14&gt;=2031,AEO!$Q$27,IF(AA$14&gt;=2021,AEO!$P$27,AEO!$O$27)))^Parameters!$I$14</f>
        <v>0.58441124701962122</v>
      </c>
      <c r="AC41" s="129">
        <f>AB41*((AC$30/AB$30)^Parameters!$H$14)*IF(AB$14&gt;=2040,AEO!$R$27,IF(AB$14&gt;=2031,AEO!$Q$27,IF(AB$14&gt;=2021,AEO!$P$27,AEO!$O$27)))^Parameters!$I$14</f>
        <v>0.58693137222064706</v>
      </c>
      <c r="AD41" s="129">
        <f>AC41*((AD$30/AC$30)^Parameters!$H$14)*IF(AC$14&gt;=2040,AEO!$R$27,IF(AC$14&gt;=2031,AEO!$Q$27,IF(AC$14&gt;=2021,AEO!$P$27,AEO!$O$27)))^Parameters!$I$14</f>
        <v>0.58944748193127172</v>
      </c>
      <c r="AE41" s="129">
        <f>AD41*((AE$30/AD$30)^Parameters!$H$14)*IF(AD$14&gt;=2040,AEO!$R$27,IF(AD$14&gt;=2031,AEO!$Q$27,IF(AD$14&gt;=2021,AEO!$P$27,AEO!$O$27)))^Parameters!$I$14</f>
        <v>0.59195962590683959</v>
      </c>
      <c r="AF41" s="129">
        <f>AE41*((AF$30/AE$30)^Parameters!$H$14)*IF(AE$14&gt;=2040,AEO!$R$27,IF(AE$14&gt;=2031,AEO!$Q$27,IF(AE$14&gt;=2021,AEO!$P$27,AEO!$O$27)))^Parameters!$I$14</f>
        <v>0.59446785617864417</v>
      </c>
      <c r="AG41" s="129">
        <f>AF41*((AG$30/AF$30)^Parameters!$H$14)*IF(AF$14&gt;=2040,AEO!$R$27,IF(AF$14&gt;=2031,AEO!$Q$27,IF(AF$14&gt;=2021,AEO!$P$27,AEO!$O$27)))^Parameters!$I$14</f>
        <v>0.5969722269760156</v>
      </c>
      <c r="AH41" s="129">
        <f>AG41*((AH$30/AG$30)^Parameters!$H$14)*IF(AG$14&gt;=2040,AEO!$R$27,IF(AG$14&gt;=2031,AEO!$Q$27,IF(AG$14&gt;=2021,AEO!$P$27,AEO!$O$27)))^Parameters!$I$14</f>
        <v>0.59927491116253662</v>
      </c>
      <c r="AI41" s="129">
        <f>AH41*((AI$30/AH$30)^Parameters!$H$14)*IF(AH$14&gt;=2040,AEO!$R$27,IF(AH$14&gt;=2031,AEO!$Q$27,IF(AH$14&gt;=2021,AEO!$P$27,AEO!$O$27)))^Parameters!$I$14</f>
        <v>0.60126413246951194</v>
      </c>
      <c r="AJ41" s="129">
        <f>AI41*((AJ$30/AI$30)^Parameters!$H$14)*IF(AI$14&gt;=2040,AEO!$R$27,IF(AI$14&gt;=2031,AEO!$Q$27,IF(AI$14&gt;=2021,AEO!$P$27,AEO!$O$27)))^Parameters!$I$14</f>
        <v>0.60324660891026305</v>
      </c>
      <c r="AK41" s="129">
        <f>AJ41*((AK$30/AJ$30)^Parameters!$H$14)*IF(AJ$14&gt;=2040,AEO!$R$27,IF(AJ$14&gt;=2031,AEO!$Q$27,IF(AJ$14&gt;=2021,AEO!$P$27,AEO!$O$27)))^Parameters!$I$14</f>
        <v>0.60522240927424509</v>
      </c>
      <c r="AL41" s="129">
        <f>AK41*((AL$30/AK$30)^Parameters!$H$14)*IF(AK$14&gt;=2040,AEO!$R$27,IF(AK$14&gt;=2031,AEO!$Q$27,IF(AK$14&gt;=2021,AEO!$P$27,AEO!$O$27)))^Parameters!$I$14</f>
        <v>0.60719160380257742</v>
      </c>
      <c r="AM41" s="129">
        <f>AL41*((AM$30/AL$30)^Parameters!$H$14)*IF(AL$14&gt;=2040,AEO!$R$27,IF(AL$14&gt;=2031,AEO!$Q$27,IF(AL$14&gt;=2021,AEO!$P$27,AEO!$O$27)))^Parameters!$I$14</f>
        <v>0.6091542641175679</v>
      </c>
      <c r="AN41" s="129">
        <f>AM41*((AN$30/AM$30)^Parameters!$H$14)*IF(AM$14&gt;=2040,AEO!$R$27,IF(AM$14&gt;=2031,AEO!$Q$27,IF(AM$14&gt;=2021,AEO!$P$27,AEO!$O$27)))^Parameters!$I$14</f>
        <v>0.61111046315327633</v>
      </c>
      <c r="AO41" s="129">
        <f>AN41*((AO$30/AN$30)^Parameters!$H$14)*IF(AN$14&gt;=2040,AEO!$R$27,IF(AN$14&gt;=2031,AEO!$Q$27,IF(AN$14&gt;=2021,AEO!$P$27,AEO!$O$27)))^Parameters!$I$14</f>
        <v>0.61306027508716077</v>
      </c>
      <c r="AP41" s="129">
        <f>AO41*((AP$30/AO$30)^Parameters!$H$14)*IF(AO$14&gt;=2040,AEO!$R$27,IF(AO$14&gt;=2031,AEO!$Q$27,IF(AO$14&gt;=2021,AEO!$P$27,AEO!$O$27)))^Parameters!$I$14</f>
        <v>0.61500377527284067</v>
      </c>
      <c r="AQ41" s="129">
        <f>AP41*((AQ$30/AP$30)^Parameters!$H$14)*IF(AP$14&gt;=2040,AEO!$R$27,IF(AP$14&gt;=2031,AEO!$Q$27,IF(AP$14&gt;=2021,AEO!$P$27,AEO!$O$27)))^Parameters!$I$14</f>
        <v>0.61694104017401552</v>
      </c>
      <c r="AS41" s="7">
        <f>ROW()</f>
        <v>41</v>
      </c>
    </row>
    <row r="42" spans="2:45" ht="13.95" customHeight="1">
      <c r="B42" s="84" t="str">
        <f>CONCATENATE("Past figures are from 'Energy' tab, Row ",Energy!R63, ". Future figures apply procedure noted in Row ",AS36, ".")</f>
        <v>Past figures are from 'Energy' tab, Row 63. Future figures apply procedure noted in Row 36.</v>
      </c>
      <c r="S42" s="26"/>
      <c r="T42" s="396"/>
      <c r="AS42" s="7">
        <f>ROW()</f>
        <v>42</v>
      </c>
    </row>
    <row r="43" spans="2:45" ht="13.95" customHeight="1">
      <c r="B43" s="8" t="s">
        <v>708</v>
      </c>
      <c r="I43" s="25">
        <f t="shared" ref="I43:S43" si="4">I35+I38+I41</f>
        <v>7.486517725283405</v>
      </c>
      <c r="J43" s="25">
        <f t="shared" si="4"/>
        <v>7.2648872401580888</v>
      </c>
      <c r="K43" s="25">
        <f t="shared" si="4"/>
        <v>6.9730035893072468</v>
      </c>
      <c r="L43" s="25">
        <f t="shared" si="4"/>
        <v>6.6849184639883692</v>
      </c>
      <c r="M43" s="25">
        <f t="shared" si="4"/>
        <v>6.133509076777818</v>
      </c>
      <c r="N43" s="25">
        <f t="shared" si="4"/>
        <v>6.4861134935297189</v>
      </c>
      <c r="O43" s="25">
        <f t="shared" si="4"/>
        <v>6.3046195369150562</v>
      </c>
      <c r="P43" s="25">
        <f t="shared" si="4"/>
        <v>6.139758288007144</v>
      </c>
      <c r="Q43" s="129">
        <f t="shared" si="4"/>
        <v>6.3916206166218048</v>
      </c>
      <c r="R43" s="129">
        <f t="shared" si="4"/>
        <v>6.3100362899883677</v>
      </c>
      <c r="S43" s="296">
        <f t="shared" si="4"/>
        <v>6.2659315479883677</v>
      </c>
      <c r="T43" s="25">
        <f t="shared" ref="T43:AP43" si="5">T35+T38+T41</f>
        <v>6.3541385041867731</v>
      </c>
      <c r="U43" s="25">
        <f t="shared" si="5"/>
        <v>6.3784383573857273</v>
      </c>
      <c r="V43" s="25">
        <f t="shared" si="5"/>
        <v>6.4024429083953942</v>
      </c>
      <c r="W43" s="25">
        <f t="shared" si="5"/>
        <v>6.4261548316304955</v>
      </c>
      <c r="X43" s="25">
        <f t="shared" si="5"/>
        <v>6.4459930691355058</v>
      </c>
      <c r="Y43" s="25">
        <f t="shared" si="5"/>
        <v>6.4744650085493749</v>
      </c>
      <c r="Z43" s="25">
        <f t="shared" si="5"/>
        <v>6.5028899161471259</v>
      </c>
      <c r="AA43" s="25">
        <f t="shared" si="5"/>
        <v>6.531268239396594</v>
      </c>
      <c r="AB43" s="25">
        <f t="shared" si="5"/>
        <v>6.5596004548429558</v>
      </c>
      <c r="AC43" s="25">
        <f t="shared" si="5"/>
        <v>6.5878870672228773</v>
      </c>
      <c r="AD43" s="25">
        <f t="shared" si="5"/>
        <v>6.6161286085799595</v>
      </c>
      <c r="AE43" s="25">
        <f t="shared" si="5"/>
        <v>6.6443256373825426</v>
      </c>
      <c r="AF43" s="25">
        <f t="shared" si="5"/>
        <v>6.6724787376448793</v>
      </c>
      <c r="AG43" s="25">
        <f t="shared" si="5"/>
        <v>6.7005885180526166</v>
      </c>
      <c r="AH43" s="25">
        <f t="shared" si="5"/>
        <v>6.726434509748179</v>
      </c>
      <c r="AI43" s="25">
        <f t="shared" si="5"/>
        <v>6.7487621036412877</v>
      </c>
      <c r="AJ43" s="25">
        <f t="shared" si="5"/>
        <v>6.7710139912098199</v>
      </c>
      <c r="AK43" s="25">
        <f t="shared" si="5"/>
        <v>6.7931909445664687</v>
      </c>
      <c r="AL43" s="25">
        <f t="shared" si="5"/>
        <v>6.8152937521178245</v>
      </c>
      <c r="AM43" s="25">
        <f t="shared" si="5"/>
        <v>6.8373232177733376</v>
      </c>
      <c r="AN43" s="25">
        <f t="shared" si="5"/>
        <v>6.8592801601659374</v>
      </c>
      <c r="AO43" s="25">
        <f t="shared" si="5"/>
        <v>6.8811654118848136</v>
      </c>
      <c r="AP43" s="25">
        <f t="shared" si="5"/>
        <v>6.9029798187207323</v>
      </c>
      <c r="AQ43" s="25">
        <f t="shared" ref="AQ43" si="6">AQ35+AQ38+AQ41</f>
        <v>6.9247242389243215</v>
      </c>
      <c r="AS43" s="7">
        <f>ROW()</f>
        <v>43</v>
      </c>
    </row>
    <row r="44" spans="2:45" ht="13.95" customHeight="1">
      <c r="B44" s="84" t="str">
        <f>CONCATENATE("Sum of Rows ",AS35, ", ",AS38, " and ",AS41, ".")</f>
        <v>Sum of Rows 35, 38 and 41.</v>
      </c>
      <c r="Q44" s="129"/>
      <c r="R44" s="129"/>
      <c r="S44" s="296"/>
      <c r="AS44" s="7">
        <f>ROW()</f>
        <v>44</v>
      </c>
    </row>
    <row r="45" spans="2:45" ht="13.95" customHeight="1">
      <c r="B45" s="84"/>
      <c r="Q45" s="129"/>
      <c r="R45" s="129"/>
      <c r="S45" s="296"/>
      <c r="AS45" s="555">
        <f>ROW()</f>
        <v>45</v>
      </c>
    </row>
    <row r="46" spans="2:45" ht="13.95" customHeight="1">
      <c r="B46" s="559" t="s">
        <v>710</v>
      </c>
      <c r="I46" s="1351" t="s">
        <v>714</v>
      </c>
      <c r="J46" s="1351"/>
      <c r="K46" s="1351"/>
      <c r="L46" s="1351"/>
      <c r="M46" s="1351"/>
      <c r="N46" s="1351"/>
      <c r="O46" s="1351"/>
      <c r="P46" s="1351"/>
      <c r="Q46" s="1351"/>
      <c r="R46" s="129"/>
      <c r="S46" s="296"/>
      <c r="AS46" s="7">
        <f>ROW()</f>
        <v>46</v>
      </c>
    </row>
    <row r="47" spans="2:45" ht="13.95" customHeight="1">
      <c r="B47" s="8" t="s">
        <v>712</v>
      </c>
      <c r="I47" s="129">
        <f>Emissions!G88</f>
        <v>141</v>
      </c>
      <c r="J47" s="129">
        <f>Emissions!H88</f>
        <v>143.80000000000001</v>
      </c>
      <c r="K47" s="129">
        <f>Emissions!I88</f>
        <v>134.9</v>
      </c>
      <c r="L47" s="129">
        <f>Emissions!J88</f>
        <v>128</v>
      </c>
      <c r="M47" s="129">
        <f>Emissions!K88</f>
        <v>108.1</v>
      </c>
      <c r="N47" s="129">
        <f>Emissions!L88</f>
        <v>114.1</v>
      </c>
      <c r="O47" s="129">
        <f>Emissions!M88</f>
        <v>108.5</v>
      </c>
      <c r="P47" s="129">
        <f>Emissions!N88</f>
        <v>105.6</v>
      </c>
      <c r="Q47" s="129">
        <f>Emissions!O88</f>
        <v>121.7</v>
      </c>
      <c r="R47" s="129">
        <f>Emissions!P88</f>
        <v>114.3</v>
      </c>
      <c r="S47" s="296">
        <f>R47*S35/R35</f>
        <v>114.3</v>
      </c>
      <c r="U47" s="1352" t="s">
        <v>733</v>
      </c>
      <c r="V47" s="1353"/>
      <c r="W47" s="1353"/>
      <c r="X47" s="1353"/>
      <c r="Y47" s="1353"/>
      <c r="Z47" s="1354"/>
      <c r="AS47" s="7">
        <f>ROW()</f>
        <v>47</v>
      </c>
    </row>
    <row r="48" spans="2:45" ht="13.95" customHeight="1">
      <c r="B48" s="191" t="str">
        <f>CONCATENATE("Copied from 'Emissions' tab, Row ",Emissions!S88, ", except ",S32, " figure prorates prior year's emissions by ratio of respective years' quads in Row ",AS35, ".")</f>
        <v>Copied from 'Emissions' tab, Row 88, except 2015 figure prorates prior year's emissions by ratio of respective years' quads in Row 35.</v>
      </c>
      <c r="C48" s="67"/>
      <c r="D48" s="67"/>
      <c r="E48" s="67"/>
      <c r="F48" s="67"/>
      <c r="G48" s="67"/>
      <c r="H48" s="67"/>
      <c r="R48" s="780"/>
      <c r="S48" s="760"/>
      <c r="U48" s="582" t="s">
        <v>729</v>
      </c>
      <c r="V48" s="583"/>
      <c r="W48" s="583"/>
      <c r="X48" s="583"/>
      <c r="Y48" s="583"/>
      <c r="Z48" s="584">
        <v>0.85</v>
      </c>
      <c r="AS48" s="7">
        <f>ROW()</f>
        <v>48</v>
      </c>
    </row>
    <row r="49" spans="2:45" ht="13.95" customHeight="1">
      <c r="B49" s="105" t="s">
        <v>711</v>
      </c>
      <c r="C49" s="67"/>
      <c r="D49" s="67"/>
      <c r="E49" s="67"/>
      <c r="F49" s="67"/>
      <c r="G49" s="67"/>
      <c r="H49" s="67"/>
      <c r="I49" s="129">
        <f>Emissions!G93</f>
        <v>124.6</v>
      </c>
      <c r="J49" s="129">
        <f>Emissions!H93</f>
        <v>118.8</v>
      </c>
      <c r="K49" s="129">
        <f>Emissions!I93</f>
        <v>113.7</v>
      </c>
      <c r="L49" s="129">
        <f>Emissions!J93</f>
        <v>110</v>
      </c>
      <c r="M49" s="129">
        <f>Emissions!K93</f>
        <v>89.9</v>
      </c>
      <c r="N49" s="129">
        <f>Emissions!L93</f>
        <v>96.699999999999989</v>
      </c>
      <c r="O49" s="129">
        <f>Emissions!M93</f>
        <v>87.8</v>
      </c>
      <c r="P49" s="129">
        <f>Emissions!N93</f>
        <v>78.199999999999989</v>
      </c>
      <c r="Q49" s="129">
        <f>Emissions!O93</f>
        <v>79.600000000000009</v>
      </c>
      <c r="R49" s="129">
        <f>Emissions!P93</f>
        <v>79.8</v>
      </c>
      <c r="S49" s="296">
        <f>R49*S38/R38</f>
        <v>76.24700342092116</v>
      </c>
      <c r="U49" s="582" t="s">
        <v>730</v>
      </c>
      <c r="V49" s="583"/>
      <c r="W49" s="583"/>
      <c r="X49" s="583"/>
      <c r="Y49" s="583"/>
      <c r="Z49" s="584">
        <v>0</v>
      </c>
      <c r="AS49" s="7">
        <f>ROW()</f>
        <v>49</v>
      </c>
    </row>
    <row r="50" spans="2:45" ht="13.95" customHeight="1">
      <c r="B50" s="191" t="str">
        <f>CONCATENATE("Copied from 'Emissions' tab, Row ",Emissions!S93, ", except ",S32, " figure prorates prior year's emissions by ratio of respective years' quads in Row ",AS38, ".")</f>
        <v>Copied from 'Emissions' tab, Row 93, except 2015 figure prorates prior year's emissions by ratio of respective years' quads in Row 38.</v>
      </c>
      <c r="C50" s="67"/>
      <c r="D50" s="67"/>
      <c r="E50" s="67"/>
      <c r="F50" s="67"/>
      <c r="G50" s="67"/>
      <c r="H50" s="67"/>
      <c r="I50" s="67"/>
      <c r="J50" s="327"/>
      <c r="K50" s="328"/>
      <c r="L50" s="67"/>
      <c r="Q50" s="129"/>
      <c r="R50" s="129"/>
      <c r="S50" s="296"/>
      <c r="U50" s="582" t="s">
        <v>731</v>
      </c>
      <c r="V50" s="583"/>
      <c r="W50" s="583"/>
      <c r="X50" s="583"/>
      <c r="Y50" s="583"/>
      <c r="Z50" s="584">
        <v>0.9</v>
      </c>
      <c r="AS50" s="7">
        <f>ROW()</f>
        <v>50</v>
      </c>
    </row>
    <row r="51" spans="2:45" ht="13.95" customHeight="1">
      <c r="B51" s="105" t="s">
        <v>713</v>
      </c>
      <c r="C51" s="67"/>
      <c r="D51" s="67"/>
      <c r="E51" s="67"/>
      <c r="F51" s="67"/>
      <c r="G51" s="67"/>
      <c r="H51" s="67"/>
      <c r="I51" s="129">
        <f>Emissions!G90</f>
        <v>49.9</v>
      </c>
      <c r="J51" s="129">
        <f>Emissions!H90</f>
        <v>50.3</v>
      </c>
      <c r="K51" s="129">
        <f>Emissions!I90</f>
        <v>46.1</v>
      </c>
      <c r="L51" s="129">
        <f>Emissions!J90</f>
        <v>41</v>
      </c>
      <c r="M51" s="129">
        <f>Emissions!K90</f>
        <v>43.8</v>
      </c>
      <c r="N51" s="129">
        <f>Emissions!L90</f>
        <v>41.4</v>
      </c>
      <c r="O51" s="129">
        <f>Emissions!M90</f>
        <v>41.5</v>
      </c>
      <c r="P51" s="129">
        <f>Emissions!N90</f>
        <v>43.6</v>
      </c>
      <c r="Q51" s="129">
        <f>Emissions!O90</f>
        <v>43.5</v>
      </c>
      <c r="R51" s="129">
        <f>Emissions!P90</f>
        <v>41</v>
      </c>
      <c r="S51" s="296">
        <f>R51*S41/R41</f>
        <v>41</v>
      </c>
      <c r="U51" s="585" t="s">
        <v>732</v>
      </c>
      <c r="V51" s="586"/>
      <c r="W51" s="586"/>
      <c r="X51" s="586"/>
      <c r="Y51" s="586"/>
      <c r="Z51" s="587">
        <f>(Z48*Q35+Z49*Q38+Z50*Q41)/Q43</f>
        <v>0.72295879347762682</v>
      </c>
      <c r="AS51" s="7">
        <f>ROW()</f>
        <v>51</v>
      </c>
    </row>
    <row r="52" spans="2:45" ht="13.95" customHeight="1">
      <c r="B52" s="191" t="str">
        <f>CONCATENATE("Copied from 'Emissions' tab, Row ",Emissions!S90, ", except ",S32, " figure prorates prior year's emissions by ratio of respective years' quads in Row ",AS41, ".")</f>
        <v>Copied from 'Emissions' tab, Row 90, except 2015 figure prorates prior year's emissions by ratio of respective years' quads in Row 41.</v>
      </c>
      <c r="C52" s="67"/>
      <c r="D52" s="67"/>
      <c r="E52" s="67"/>
      <c r="F52" s="67"/>
      <c r="G52" s="67"/>
      <c r="H52" s="67"/>
      <c r="I52" s="67"/>
      <c r="J52" s="327"/>
      <c r="K52" s="328"/>
      <c r="L52" s="67"/>
      <c r="Q52" s="129"/>
      <c r="R52" s="129"/>
      <c r="S52" s="296"/>
      <c r="AS52" s="7">
        <f>ROW()</f>
        <v>52</v>
      </c>
    </row>
    <row r="53" spans="2:45" ht="13.95" customHeight="1">
      <c r="B53" s="105" t="s">
        <v>708</v>
      </c>
      <c r="C53" s="67"/>
      <c r="D53" s="67"/>
      <c r="E53" s="67"/>
      <c r="F53" s="67"/>
      <c r="G53" s="67"/>
      <c r="H53" s="67"/>
      <c r="I53" s="129">
        <f t="shared" ref="I53:S53" si="7">I47+I49+I51</f>
        <v>315.5</v>
      </c>
      <c r="J53" s="129">
        <f t="shared" si="7"/>
        <v>312.90000000000003</v>
      </c>
      <c r="K53" s="129">
        <f t="shared" si="7"/>
        <v>294.70000000000005</v>
      </c>
      <c r="L53" s="129">
        <f t="shared" si="7"/>
        <v>279</v>
      </c>
      <c r="M53" s="129">
        <f t="shared" si="7"/>
        <v>241.8</v>
      </c>
      <c r="N53" s="129">
        <f t="shared" si="7"/>
        <v>252.2</v>
      </c>
      <c r="O53" s="129">
        <f t="shared" si="7"/>
        <v>237.8</v>
      </c>
      <c r="P53" s="129">
        <f t="shared" si="7"/>
        <v>227.39999999999998</v>
      </c>
      <c r="Q53" s="129">
        <f t="shared" si="7"/>
        <v>244.8</v>
      </c>
      <c r="R53" s="129">
        <f t="shared" si="7"/>
        <v>235.1</v>
      </c>
      <c r="S53" s="296">
        <f t="shared" si="7"/>
        <v>231.54700342092116</v>
      </c>
      <c r="T53" s="575">
        <f t="shared" ref="T53:AP53" si="8">T43*T56</f>
        <v>232.02555253768097</v>
      </c>
      <c r="U53" s="575">
        <f t="shared" si="8"/>
        <v>231.52948781597368</v>
      </c>
      <c r="V53" s="575">
        <f t="shared" si="8"/>
        <v>231.02047505857806</v>
      </c>
      <c r="W53" s="575">
        <f t="shared" si="8"/>
        <v>230.4988447921076</v>
      </c>
      <c r="X53" s="575">
        <f t="shared" si="8"/>
        <v>229.83714165683742</v>
      </c>
      <c r="Y53" s="575">
        <f t="shared" si="8"/>
        <v>229.48118066428603</v>
      </c>
      <c r="Z53" s="575">
        <f t="shared" si="8"/>
        <v>229.11968288629234</v>
      </c>
      <c r="AA53" s="575">
        <f t="shared" si="8"/>
        <v>228.75275216662783</v>
      </c>
      <c r="AB53" s="575">
        <f t="shared" si="8"/>
        <v>228.38049207855974</v>
      </c>
      <c r="AC53" s="575">
        <f t="shared" si="8"/>
        <v>228.00300587770931</v>
      </c>
      <c r="AD53" s="575">
        <f t="shared" si="8"/>
        <v>227.62039645645135</v>
      </c>
      <c r="AE53" s="575">
        <f t="shared" si="8"/>
        <v>227.23276629986151</v>
      </c>
      <c r="AF53" s="575">
        <f t="shared" si="8"/>
        <v>226.84021744321259</v>
      </c>
      <c r="AG53" s="575">
        <f t="shared" si="8"/>
        <v>226.44285143102002</v>
      </c>
      <c r="AH53" s="575">
        <f t="shared" si="8"/>
        <v>225.96615415601607</v>
      </c>
      <c r="AI53" s="575">
        <f t="shared" si="8"/>
        <v>225.36963702005141</v>
      </c>
      <c r="AJ53" s="575">
        <f t="shared" si="8"/>
        <v>224.76972119187212</v>
      </c>
      <c r="AK53" s="575">
        <f t="shared" si="8"/>
        <v>224.16650849404132</v>
      </c>
      <c r="AL53" s="575">
        <f t="shared" si="8"/>
        <v>223.5600998026305</v>
      </c>
      <c r="AM53" s="575">
        <f t="shared" si="8"/>
        <v>222.95059502277618</v>
      </c>
      <c r="AN53" s="575">
        <f t="shared" si="8"/>
        <v>222.33809306563941</v>
      </c>
      <c r="AO53" s="575">
        <f t="shared" si="8"/>
        <v>221.7226918267479</v>
      </c>
      <c r="AP53" s="575">
        <f t="shared" si="8"/>
        <v>221.10448816569519</v>
      </c>
      <c r="AQ53" s="575">
        <f t="shared" ref="AQ53" si="9">AQ43*AQ56</f>
        <v>220.48357788717388</v>
      </c>
      <c r="AS53" s="7">
        <f>ROW()</f>
        <v>53</v>
      </c>
    </row>
    <row r="54" spans="2:45" ht="13.95" customHeight="1">
      <c r="B54" s="191" t="str">
        <f>CONCATENATE("Values through ",S32," are sums of Rows ",AS47, ", ",AS49, " and ",AS51, ". Future values are products of Rows ",AS43, " and ",AS56, ".")</f>
        <v>Values through 2015 are sums of Rows 47, 49 and 51. Future values are products of Rows 43 and 56.</v>
      </c>
      <c r="C54" s="67"/>
      <c r="D54" s="67"/>
      <c r="E54" s="67"/>
      <c r="F54" s="67"/>
      <c r="G54" s="67"/>
      <c r="H54" s="67"/>
      <c r="I54" s="67"/>
      <c r="J54" s="67"/>
      <c r="K54" s="67"/>
      <c r="L54" s="67"/>
      <c r="Q54" s="129"/>
      <c r="R54" s="129"/>
      <c r="S54" s="296"/>
      <c r="AS54" s="7">
        <f>ROW()</f>
        <v>54</v>
      </c>
    </row>
    <row r="55" spans="2:45" ht="13.95" customHeight="1">
      <c r="B55" s="768"/>
      <c r="C55" s="67"/>
      <c r="D55" s="67"/>
      <c r="E55" s="67"/>
      <c r="F55" s="67"/>
      <c r="G55" s="67"/>
      <c r="H55" s="67"/>
      <c r="I55" s="67"/>
      <c r="J55" s="327"/>
      <c r="K55" s="328"/>
      <c r="L55" s="67"/>
      <c r="Q55" s="129"/>
      <c r="R55" s="129"/>
      <c r="S55" s="296"/>
      <c r="AS55" s="7">
        <f>ROW()</f>
        <v>55</v>
      </c>
    </row>
    <row r="56" spans="2:45" s="14" customFormat="1" ht="13.95" customHeight="1">
      <c r="B56" s="537" t="s">
        <v>835</v>
      </c>
      <c r="C56" s="537"/>
      <c r="D56" s="537"/>
      <c r="E56" s="537"/>
      <c r="F56" s="537"/>
      <c r="G56" s="537"/>
      <c r="H56" s="537"/>
      <c r="I56" s="769">
        <f t="shared" ref="I56:S56" si="10">I53/I43</f>
        <v>42.142423430655356</v>
      </c>
      <c r="J56" s="769">
        <f t="shared" si="10"/>
        <v>43.070179846754392</v>
      </c>
      <c r="K56" s="769">
        <f t="shared" si="10"/>
        <v>42.26299272983421</v>
      </c>
      <c r="L56" s="769">
        <f t="shared" si="10"/>
        <v>41.735737167621707</v>
      </c>
      <c r="M56" s="769">
        <f t="shared" si="10"/>
        <v>39.422783430040575</v>
      </c>
      <c r="N56" s="769">
        <f t="shared" si="10"/>
        <v>38.883069229606356</v>
      </c>
      <c r="O56" s="769">
        <f t="shared" si="10"/>
        <v>37.718374377331429</v>
      </c>
      <c r="P56" s="769">
        <f t="shared" si="10"/>
        <v>37.037288657467649</v>
      </c>
      <c r="Q56" s="769">
        <f t="shared" si="10"/>
        <v>38.300145562986401</v>
      </c>
      <c r="R56" s="769">
        <f t="shared" si="10"/>
        <v>37.258105848458342</v>
      </c>
      <c r="S56" s="787">
        <f t="shared" si="10"/>
        <v>36.953324760666696</v>
      </c>
      <c r="T56" s="553">
        <f t="shared" ref="T56:AQ56" si="11">T58*$Q$56/$Q$58</f>
        <v>36.515658634887828</v>
      </c>
      <c r="U56" s="553">
        <f t="shared" si="11"/>
        <v>36.298773280121274</v>
      </c>
      <c r="V56" s="553">
        <f t="shared" si="11"/>
        <v>36.083176119484889</v>
      </c>
      <c r="W56" s="553">
        <f t="shared" si="11"/>
        <v>35.868859501728437</v>
      </c>
      <c r="X56" s="553">
        <f t="shared" si="11"/>
        <v>35.655815821046431</v>
      </c>
      <c r="Y56" s="553">
        <f t="shared" si="11"/>
        <v>35.444037516808208</v>
      </c>
      <c r="Z56" s="553">
        <f t="shared" si="11"/>
        <v>35.233517073289569</v>
      </c>
      <c r="AA56" s="553">
        <f t="shared" si="11"/>
        <v>35.02424701940609</v>
      </c>
      <c r="AB56" s="553">
        <f t="shared" si="11"/>
        <v>34.816219928447978</v>
      </c>
      <c r="AC56" s="553">
        <f t="shared" si="11"/>
        <v>34.60942841781651</v>
      </c>
      <c r="AD56" s="553">
        <f t="shared" si="11"/>
        <v>34.403865148762009</v>
      </c>
      <c r="AE56" s="553">
        <f t="shared" si="11"/>
        <v>34.199522826123449</v>
      </c>
      <c r="AF56" s="553">
        <f t="shared" si="11"/>
        <v>33.996394198069517</v>
      </c>
      <c r="AG56" s="553">
        <f t="shared" si="11"/>
        <v>33.794472055841268</v>
      </c>
      <c r="AH56" s="553">
        <f t="shared" si="11"/>
        <v>33.593749233496318</v>
      </c>
      <c r="AI56" s="553">
        <f t="shared" si="11"/>
        <v>33.394218607654501</v>
      </c>
      <c r="AJ56" s="553">
        <f t="shared" si="11"/>
        <v>33.195873097245084</v>
      </c>
      <c r="AK56" s="553">
        <f t="shared" si="11"/>
        <v>32.998705663255471</v>
      </c>
      <c r="AL56" s="553">
        <f t="shared" si="11"/>
        <v>32.802709308481404</v>
      </c>
      <c r="AM56" s="553">
        <f t="shared" si="11"/>
        <v>32.60787707727863</v>
      </c>
      <c r="AN56" s="553">
        <f t="shared" si="11"/>
        <v>32.414202055316061</v>
      </c>
      <c r="AO56" s="553">
        <f t="shared" si="11"/>
        <v>32.221677369330386</v>
      </c>
      <c r="AP56" s="553">
        <f t="shared" si="11"/>
        <v>32.030296186882161</v>
      </c>
      <c r="AQ56" s="553">
        <f t="shared" si="11"/>
        <v>31.840051716113326</v>
      </c>
      <c r="AS56" s="555">
        <f>ROW()</f>
        <v>56</v>
      </c>
    </row>
    <row r="57" spans="2:45" ht="13.95" customHeight="1">
      <c r="B57" s="191" t="str">
        <f>CONCATENATE("Values through ",S32, " are ratios of Row ",AS53," to Row ",AS43,". Future values prorate Row ",AS58, " by ratio of (past) Row ",AS56, " to ",AS58, ".")</f>
        <v>Values through 2015 are ratios of Row 53 to Row 43. Future values prorate Row 58 by ratio of (past) Row 56 to 58.</v>
      </c>
      <c r="C57" s="191"/>
      <c r="D57" s="191"/>
      <c r="E57" s="191"/>
      <c r="F57" s="191"/>
      <c r="G57" s="191"/>
      <c r="H57" s="191"/>
      <c r="I57" s="191"/>
      <c r="J57" s="191"/>
      <c r="K57" s="191"/>
      <c r="L57" s="191"/>
      <c r="M57" s="191"/>
      <c r="N57" s="191"/>
      <c r="O57" s="191"/>
      <c r="P57" s="178"/>
      <c r="Q57" s="178"/>
      <c r="R57" s="178"/>
      <c r="S57" s="338"/>
      <c r="T57" s="50"/>
      <c r="U57" s="12"/>
      <c r="AS57" s="7">
        <f>ROW()</f>
        <v>57</v>
      </c>
    </row>
    <row r="58" spans="2:45" ht="13.95" customHeight="1">
      <c r="B58" s="537" t="s">
        <v>740</v>
      </c>
      <c r="C58" s="67"/>
      <c r="D58" s="67"/>
      <c r="E58" s="67"/>
      <c r="F58" s="67"/>
      <c r="G58" s="67"/>
      <c r="H58" s="67"/>
      <c r="I58" s="753">
        <f>(I56*Parameters!$I$18/1000)/(1000000/Freight!$K$28)</f>
        <v>12.887679865387291</v>
      </c>
      <c r="J58" s="753">
        <f>(J56*Parameters!$I$18/1000)/(1000000/Freight!$K$28)</f>
        <v>13.171399374385578</v>
      </c>
      <c r="K58" s="753">
        <f>(K56*Parameters!$I$18/1000)/(1000000/Freight!$K$28)</f>
        <v>12.924551464192424</v>
      </c>
      <c r="L58" s="753">
        <f>(L56*Parameters!$I$18/1000)/(1000000/Freight!$K$28)</f>
        <v>12.763310122573314</v>
      </c>
      <c r="M58" s="753">
        <f>(M56*Parameters!$I$18/1000)/(1000000/Freight!$K$28)</f>
        <v>12.055979957699282</v>
      </c>
      <c r="N58" s="753">
        <f>(N56*Parameters!$I$18/1000)/(1000000/Freight!$K$28)</f>
        <v>11.890928608778992</v>
      </c>
      <c r="O58" s="753">
        <f>(O56*Parameters!$I$18/1000)/(1000000/Freight!$K$28)</f>
        <v>11.534750364267667</v>
      </c>
      <c r="P58" s="753">
        <f>(P56*Parameters!$I$18/1000)/(1000000/Freight!$K$28)</f>
        <v>11.326465837561823</v>
      </c>
      <c r="Q58" s="753">
        <f>(Q56*Parameters!$I$18/1000)/(1000000/Freight!$K$28)</f>
        <v>11.71266326498078</v>
      </c>
      <c r="R58" s="753">
        <f>(R56*Parameters!$I$18/1000)/(1000000/Freight!$K$28)</f>
        <v>11.393994494781667</v>
      </c>
      <c r="S58" s="568">
        <f>(S56*Parameters!$I$18/1000)/(1000000/Freight!$K$28)</f>
        <v>11.300788628371384</v>
      </c>
      <c r="T58" s="567">
        <f t="shared" ref="T58:AQ58" si="12">S58*(1-(1-$Q$60)*$Q$62)^(T14-S14)</f>
        <v>11.166944856281635</v>
      </c>
      <c r="U58" s="567">
        <f t="shared" si="12"/>
        <v>11.100618603727089</v>
      </c>
      <c r="V58" s="567">
        <f t="shared" si="12"/>
        <v>11.034686297039972</v>
      </c>
      <c r="W58" s="567">
        <f t="shared" si="12"/>
        <v>10.969145596372327</v>
      </c>
      <c r="X58" s="567">
        <f t="shared" si="12"/>
        <v>10.903994175773763</v>
      </c>
      <c r="Y58" s="567">
        <f t="shared" si="12"/>
        <v>10.839229723108911</v>
      </c>
      <c r="Z58" s="567">
        <f t="shared" si="12"/>
        <v>10.774849939975367</v>
      </c>
      <c r="AA58" s="567">
        <f t="shared" si="12"/>
        <v>10.710852541622126</v>
      </c>
      <c r="AB58" s="567">
        <f t="shared" si="12"/>
        <v>10.647235256868498</v>
      </c>
      <c r="AC58" s="567">
        <f t="shared" si="12"/>
        <v>10.583995828023511</v>
      </c>
      <c r="AD58" s="567">
        <f t="shared" si="12"/>
        <v>10.521132010805783</v>
      </c>
      <c r="AE58" s="567">
        <f t="shared" si="12"/>
        <v>10.458641574263877</v>
      </c>
      <c r="AF58" s="567">
        <f t="shared" si="12"/>
        <v>10.396522300697134</v>
      </c>
      <c r="AG58" s="567">
        <f t="shared" si="12"/>
        <v>10.334771985576959</v>
      </c>
      <c r="AH58" s="567">
        <f t="shared" si="12"/>
        <v>10.273388437468594</v>
      </c>
      <c r="AI58" s="567">
        <f t="shared" si="12"/>
        <v>10.212369477953342</v>
      </c>
      <c r="AJ58" s="567">
        <f t="shared" si="12"/>
        <v>10.151712941551262</v>
      </c>
      <c r="AK58" s="567">
        <f t="shared" si="12"/>
        <v>10.091416675644314</v>
      </c>
      <c r="AL58" s="567">
        <f t="shared" si="12"/>
        <v>10.03147854039997</v>
      </c>
      <c r="AM58" s="567">
        <f t="shared" si="12"/>
        <v>9.9718964086952724</v>
      </c>
      <c r="AN58" s="567">
        <f t="shared" si="12"/>
        <v>9.9126681660413443</v>
      </c>
      <c r="AO58" s="567">
        <f t="shared" si="12"/>
        <v>9.8537917105083501</v>
      </c>
      <c r="AP58" s="567">
        <f t="shared" si="12"/>
        <v>9.7952649526509017</v>
      </c>
      <c r="AQ58" s="567">
        <f t="shared" si="12"/>
        <v>9.7370858154339075</v>
      </c>
      <c r="AS58" s="555">
        <f>ROW()</f>
        <v>58</v>
      </c>
    </row>
    <row r="59" spans="2:45" ht="13.95" customHeight="1">
      <c r="B59" s="1264" t="str">
        <f>CONCATENATE("Values through ",S32, " are calc'd as ratio of Row ",AS56, " (converted from kg to lb) to number of gallons of diesel fuel in a million Btu's, which is calculated with value in 'Freight' tab, Cell K",Freight!AS28, ". Future values apply decline rate in Cell Q",AS60, ", attenuated by factor in Cell Q",AS62, ".")</f>
        <v>Values through 2015 are calc'd as ratio of Row 56 (converted from kg to lb) to number of gallons of diesel fuel in a million Btu's, which is calculated with value in 'Freight' tab, Cell K28. Future values apply decline rate in Cell Q60, attenuated by factor in Cell Q62.</v>
      </c>
      <c r="C59" s="1099"/>
      <c r="D59" s="1099"/>
      <c r="E59" s="1099"/>
      <c r="F59" s="1100"/>
      <c r="G59" s="84"/>
      <c r="H59" s="84"/>
      <c r="I59" s="84"/>
      <c r="J59" s="84"/>
      <c r="K59" s="84"/>
      <c r="L59" s="84"/>
      <c r="M59" s="84"/>
      <c r="N59" s="84"/>
      <c r="O59" s="84"/>
      <c r="P59" s="12"/>
      <c r="Q59" s="178"/>
      <c r="R59" s="178"/>
      <c r="S59" s="338"/>
      <c r="T59" s="50"/>
      <c r="U59" s="12"/>
      <c r="AS59" s="555">
        <f>ROW()</f>
        <v>59</v>
      </c>
    </row>
    <row r="60" spans="2:45" ht="13.95" customHeight="1">
      <c r="B60" s="1101"/>
      <c r="C60" s="1102"/>
      <c r="D60" s="1102"/>
      <c r="E60" s="1102"/>
      <c r="F60" s="1103"/>
      <c r="G60" s="770"/>
      <c r="H60" s="569"/>
      <c r="I60" s="569"/>
      <c r="J60" s="569"/>
      <c r="K60" s="569"/>
      <c r="L60" s="569"/>
      <c r="M60" s="569"/>
      <c r="N60" s="569"/>
      <c r="O60" s="115"/>
      <c r="P60" s="570" t="str">
        <f>CONCATENATE("Average year-on-year ratio of carbon content per unit of 'Miscellany' fuel, compounded between ",I32, " and ",Q32, ":")</f>
        <v>Average year-on-year ratio of carbon content per unit of 'Miscellany' fuel, compounded between 2005 and 2013:</v>
      </c>
      <c r="Q60" s="571">
        <f>(Q58/I58)^(1/(Q32-I32))</f>
        <v>0.98812096712070085</v>
      </c>
      <c r="R60" s="178"/>
      <c r="S60" s="338"/>
      <c r="T60" s="50"/>
      <c r="U60" s="12"/>
      <c r="AS60" s="555">
        <f>ROW()</f>
        <v>60</v>
      </c>
    </row>
    <row r="61" spans="2:45" ht="13.95" customHeight="1">
      <c r="B61" s="1101"/>
      <c r="C61" s="1102"/>
      <c r="D61" s="1102"/>
      <c r="E61" s="1102"/>
      <c r="F61" s="1103"/>
      <c r="I61" s="12"/>
      <c r="J61" s="12"/>
      <c r="K61" s="12"/>
      <c r="M61" s="12"/>
      <c r="N61" s="12"/>
      <c r="O61" s="12"/>
      <c r="Q61" s="536" t="str">
        <f>CONCATENATE("Calculated by back-compounding Cell Q",AS58, " vs. Cell I",AS58, ".")</f>
        <v>Calculated by back-compounding Cell Q58 vs. Cell I58.</v>
      </c>
      <c r="R61" s="178"/>
      <c r="S61" s="338"/>
      <c r="T61" s="50"/>
      <c r="U61" s="12"/>
      <c r="AS61" s="555">
        <f>ROW()</f>
        <v>61</v>
      </c>
    </row>
    <row r="62" spans="2:45" ht="13.95" customHeight="1">
      <c r="B62" s="1101"/>
      <c r="C62" s="1102"/>
      <c r="D62" s="1102"/>
      <c r="E62" s="1102"/>
      <c r="F62" s="1103"/>
      <c r="I62" s="12"/>
      <c r="K62" s="573"/>
      <c r="L62" s="573"/>
      <c r="M62" s="573"/>
      <c r="N62" s="573"/>
      <c r="O62" s="573"/>
      <c r="P62" s="570" t="str">
        <f>CONCATENATE("Percentage of that year-on-year change to apply after ",S32, ".")</f>
        <v>Percentage of that year-on-year change to apply after 2015.</v>
      </c>
      <c r="Q62" s="574">
        <v>0.5</v>
      </c>
      <c r="R62" s="178"/>
      <c r="S62" s="338"/>
      <c r="T62" s="50"/>
      <c r="U62" s="12"/>
      <c r="AS62" s="555">
        <f>ROW()</f>
        <v>62</v>
      </c>
    </row>
    <row r="63" spans="2:45" ht="13.95" customHeight="1">
      <c r="B63" s="1104"/>
      <c r="C63" s="1105"/>
      <c r="D63" s="1105"/>
      <c r="E63" s="1105"/>
      <c r="F63" s="1106"/>
      <c r="G63" s="67"/>
      <c r="I63" s="12"/>
      <c r="J63" s="178"/>
      <c r="K63" s="178"/>
      <c r="L63" s="178"/>
      <c r="M63" s="178"/>
      <c r="N63" s="178"/>
      <c r="O63" s="566"/>
      <c r="P63" s="572"/>
      <c r="Q63" s="178"/>
      <c r="R63" s="178"/>
      <c r="S63" s="338"/>
      <c r="T63" s="50"/>
      <c r="U63" s="12"/>
      <c r="AS63" s="7">
        <f>ROW()</f>
        <v>63</v>
      </c>
    </row>
    <row r="64" spans="2:45" ht="13.95" customHeight="1">
      <c r="B64" s="84"/>
      <c r="I64" s="12">
        <f>I32</f>
        <v>2005</v>
      </c>
      <c r="J64" s="12">
        <f t="shared" ref="J64:AP64" si="13">J32</f>
        <v>2006</v>
      </c>
      <c r="K64" s="12">
        <f t="shared" si="13"/>
        <v>2007</v>
      </c>
      <c r="L64" s="12">
        <f t="shared" si="13"/>
        <v>2008</v>
      </c>
      <c r="M64" s="12">
        <f t="shared" si="13"/>
        <v>2009</v>
      </c>
      <c r="N64" s="12">
        <f t="shared" si="13"/>
        <v>2010</v>
      </c>
      <c r="O64" s="12">
        <f t="shared" si="13"/>
        <v>2011</v>
      </c>
      <c r="P64" s="12">
        <f t="shared" si="13"/>
        <v>2012</v>
      </c>
      <c r="Q64" s="178">
        <f t="shared" si="13"/>
        <v>2013</v>
      </c>
      <c r="R64" s="178">
        <f t="shared" si="13"/>
        <v>2014</v>
      </c>
      <c r="S64" s="338">
        <f t="shared" si="13"/>
        <v>2015</v>
      </c>
      <c r="T64" s="12">
        <f t="shared" si="13"/>
        <v>2017</v>
      </c>
      <c r="U64" s="12">
        <f t="shared" si="13"/>
        <v>2018</v>
      </c>
      <c r="V64" s="12">
        <f t="shared" si="13"/>
        <v>2019</v>
      </c>
      <c r="W64" s="12">
        <f t="shared" si="13"/>
        <v>2020</v>
      </c>
      <c r="X64" s="12">
        <f t="shared" si="13"/>
        <v>2021</v>
      </c>
      <c r="Y64" s="12">
        <f t="shared" si="13"/>
        <v>2022</v>
      </c>
      <c r="Z64" s="12">
        <f t="shared" si="13"/>
        <v>2023</v>
      </c>
      <c r="AA64" s="12">
        <f t="shared" si="13"/>
        <v>2024</v>
      </c>
      <c r="AB64" s="12">
        <f t="shared" si="13"/>
        <v>2025</v>
      </c>
      <c r="AC64" s="12">
        <f t="shared" si="13"/>
        <v>2026</v>
      </c>
      <c r="AD64" s="12">
        <f t="shared" si="13"/>
        <v>2027</v>
      </c>
      <c r="AE64" s="12">
        <f t="shared" si="13"/>
        <v>2028</v>
      </c>
      <c r="AF64" s="12">
        <f t="shared" si="13"/>
        <v>2029</v>
      </c>
      <c r="AG64" s="12">
        <f t="shared" si="13"/>
        <v>2030</v>
      </c>
      <c r="AH64" s="12">
        <f t="shared" si="13"/>
        <v>2031</v>
      </c>
      <c r="AI64" s="12">
        <f t="shared" si="13"/>
        <v>2032</v>
      </c>
      <c r="AJ64" s="12">
        <f t="shared" si="13"/>
        <v>2033</v>
      </c>
      <c r="AK64" s="12">
        <f t="shared" si="13"/>
        <v>2034</v>
      </c>
      <c r="AL64" s="12">
        <f t="shared" si="13"/>
        <v>2035</v>
      </c>
      <c r="AM64" s="12">
        <f t="shared" si="13"/>
        <v>2036</v>
      </c>
      <c r="AN64" s="12">
        <f t="shared" si="13"/>
        <v>2037</v>
      </c>
      <c r="AO64" s="12">
        <f t="shared" si="13"/>
        <v>2038</v>
      </c>
      <c r="AP64" s="12">
        <f t="shared" si="13"/>
        <v>2039</v>
      </c>
      <c r="AQ64" s="12">
        <f t="shared" ref="AQ64" si="14">AQ32</f>
        <v>2040</v>
      </c>
      <c r="AS64" s="555">
        <f>ROW()</f>
        <v>64</v>
      </c>
    </row>
    <row r="65" spans="2:45" ht="13.95" customHeight="1">
      <c r="B65" s="84"/>
      <c r="I65" s="12"/>
      <c r="J65" s="12"/>
      <c r="K65" s="12"/>
      <c r="L65" s="12"/>
      <c r="M65" s="12"/>
      <c r="N65" s="12"/>
      <c r="O65" s="12"/>
      <c r="P65" s="12"/>
      <c r="Q65" s="178"/>
      <c r="R65" s="178"/>
      <c r="S65" s="338"/>
      <c r="T65" s="12"/>
      <c r="U65" s="12"/>
      <c r="V65" s="12"/>
      <c r="W65" s="12"/>
      <c r="X65" s="12"/>
      <c r="Y65" s="12"/>
      <c r="Z65" s="12"/>
      <c r="AA65" s="12"/>
      <c r="AB65" s="12"/>
      <c r="AC65" s="12"/>
      <c r="AD65" s="12"/>
      <c r="AE65" s="12"/>
      <c r="AF65" s="12"/>
      <c r="AG65" s="12"/>
      <c r="AH65" s="12"/>
      <c r="AI65" s="12"/>
      <c r="AJ65" s="12"/>
      <c r="AK65" s="12"/>
      <c r="AL65" s="12"/>
      <c r="AM65" s="12"/>
      <c r="AN65" s="12"/>
      <c r="AO65" s="12"/>
      <c r="AP65" s="12"/>
      <c r="AQ65" s="12"/>
      <c r="AS65" s="7">
        <f>ROW()</f>
        <v>65</v>
      </c>
    </row>
    <row r="66" spans="2:45" ht="13.95" customHeight="1">
      <c r="B66" s="345" t="s">
        <v>687</v>
      </c>
      <c r="C66" s="67"/>
      <c r="D66" s="67"/>
      <c r="E66" s="67"/>
      <c r="G66" s="346">
        <v>10</v>
      </c>
      <c r="H66" s="54" t="s">
        <v>860</v>
      </c>
      <c r="J66" s="120">
        <v>0.01</v>
      </c>
      <c r="K66" s="328"/>
      <c r="M66"/>
      <c r="Q66" s="129"/>
      <c r="R66" s="129"/>
      <c r="S66" s="296"/>
      <c r="AS66" s="7">
        <f>ROW()</f>
        <v>66</v>
      </c>
    </row>
    <row r="67" spans="2:45" ht="13.95" customHeight="1">
      <c r="B67" s="191" t="s">
        <v>81</v>
      </c>
      <c r="C67" s="67"/>
      <c r="D67" s="67"/>
      <c r="E67" s="67"/>
      <c r="F67" s="67"/>
      <c r="G67" s="67"/>
      <c r="H67" s="121"/>
      <c r="I67" s="121"/>
      <c r="J67" s="121"/>
      <c r="K67" s="328"/>
      <c r="M67"/>
      <c r="Q67" s="129"/>
      <c r="R67" s="129"/>
      <c r="S67" s="296"/>
      <c r="AS67" s="7">
        <f>ROW()</f>
        <v>67</v>
      </c>
    </row>
    <row r="68" spans="2:45" ht="13.95" customHeight="1">
      <c r="B68" s="169"/>
      <c r="S68" s="26"/>
      <c r="AS68" s="7">
        <f>ROW()</f>
        <v>68</v>
      </c>
    </row>
    <row r="69" spans="2:45" ht="13.95" customHeight="1">
      <c r="B69" s="14" t="s">
        <v>735</v>
      </c>
      <c r="I69" s="20">
        <f t="shared" ref="I69:S69" si="15">I58</f>
        <v>12.887679865387291</v>
      </c>
      <c r="J69" s="20">
        <f t="shared" si="15"/>
        <v>13.171399374385578</v>
      </c>
      <c r="K69" s="20">
        <f t="shared" si="15"/>
        <v>12.924551464192424</v>
      </c>
      <c r="L69" s="20">
        <f t="shared" si="15"/>
        <v>12.763310122573314</v>
      </c>
      <c r="M69" s="20">
        <f t="shared" si="15"/>
        <v>12.055979957699282</v>
      </c>
      <c r="N69" s="20">
        <f t="shared" si="15"/>
        <v>11.890928608778992</v>
      </c>
      <c r="O69" s="20">
        <f t="shared" si="15"/>
        <v>11.534750364267667</v>
      </c>
      <c r="P69" s="20">
        <f t="shared" si="15"/>
        <v>11.326465837561823</v>
      </c>
      <c r="Q69" s="753">
        <f t="shared" si="15"/>
        <v>11.71266326498078</v>
      </c>
      <c r="R69" s="753">
        <f t="shared" si="15"/>
        <v>11.393994494781667</v>
      </c>
      <c r="S69" s="568">
        <f t="shared" si="15"/>
        <v>11.300788628371384</v>
      </c>
      <c r="T69" s="567">
        <f t="shared" ref="T69:AQ69" si="16">T58*(1-$J$66)^(T23/$G$66)</f>
        <v>11.045564128640443</v>
      </c>
      <c r="U69" s="567">
        <f t="shared" si="16"/>
        <v>10.86061056314022</v>
      </c>
      <c r="V69" s="567">
        <f t="shared" si="16"/>
        <v>10.67875397132037</v>
      </c>
      <c r="W69" s="567">
        <f t="shared" si="16"/>
        <v>10.499942495591927</v>
      </c>
      <c r="X69" s="567">
        <f t="shared" si="16"/>
        <v>10.324125146700572</v>
      </c>
      <c r="Y69" s="567">
        <f t="shared" si="16"/>
        <v>10.151251789186709</v>
      </c>
      <c r="Z69" s="567">
        <f t="shared" si="16"/>
        <v>9.9812731270890147</v>
      </c>
      <c r="AA69" s="567">
        <f t="shared" si="16"/>
        <v>9.8141406898873793</v>
      </c>
      <c r="AB69" s="567">
        <f t="shared" si="16"/>
        <v>9.6498068186812098</v>
      </c>
      <c r="AC69" s="567">
        <f t="shared" si="16"/>
        <v>9.4882246525992038</v>
      </c>
      <c r="AD69" s="567">
        <f t="shared" si="16"/>
        <v>9.32934811543665</v>
      </c>
      <c r="AE69" s="567">
        <f t="shared" si="16"/>
        <v>9.1731319025165075</v>
      </c>
      <c r="AF69" s="567">
        <f t="shared" si="16"/>
        <v>9.0195314677704843</v>
      </c>
      <c r="AG69" s="567">
        <f t="shared" si="16"/>
        <v>8.8685030110364291</v>
      </c>
      <c r="AH69" s="567">
        <f t="shared" si="16"/>
        <v>8.7200034655684391</v>
      </c>
      <c r="AI69" s="567">
        <f t="shared" si="16"/>
        <v>8.5739904857560916</v>
      </c>
      <c r="AJ69" s="567">
        <f t="shared" si="16"/>
        <v>8.4304224350493175</v>
      </c>
      <c r="AK69" s="567">
        <f t="shared" si="16"/>
        <v>8.2892583740854757</v>
      </c>
      <c r="AL69" s="567">
        <f t="shared" si="16"/>
        <v>8.1504580490152172</v>
      </c>
      <c r="AM69" s="567">
        <f t="shared" si="16"/>
        <v>8.0139818800238487</v>
      </c>
      <c r="AN69" s="567">
        <f t="shared" si="16"/>
        <v>7.8797909500448817</v>
      </c>
      <c r="AO69" s="567">
        <f t="shared" si="16"/>
        <v>7.747846993662586</v>
      </c>
      <c r="AP69" s="567">
        <f t="shared" si="16"/>
        <v>7.6181123862003544</v>
      </c>
      <c r="AQ69" s="567">
        <f t="shared" si="16"/>
        <v>7.4905501329917827</v>
      </c>
      <c r="AS69" s="7">
        <f>ROW()</f>
        <v>69</v>
      </c>
    </row>
    <row r="70" spans="2:45" ht="13.95" customHeight="1">
      <c r="B70" s="84" t="str">
        <f>CONCATENATE("Past figures are copied from Row ",AS58, ". Future figures reduce baseline emission factors in that row by percentage calculated from Row ",AS23, " and Cell J",AS66, " normalized by Cell G",AS66, ".")</f>
        <v>Past figures are copied from Row 58. Future figures reduce baseline emission factors in that row by percentage calculated from Row 23 and Cell J66 normalized by Cell G66.</v>
      </c>
      <c r="K70" s="19"/>
      <c r="L70" s="19"/>
      <c r="M70" s="19"/>
      <c r="N70" s="19"/>
      <c r="O70" s="19"/>
      <c r="P70" s="19"/>
      <c r="S70" s="26"/>
      <c r="T70" s="293"/>
      <c r="U70" s="293"/>
      <c r="V70" s="293"/>
      <c r="W70" s="293"/>
      <c r="X70" s="293"/>
      <c r="Y70" s="293"/>
      <c r="Z70" s="293"/>
      <c r="AA70" s="293"/>
      <c r="AB70" s="293"/>
      <c r="AC70" s="293"/>
      <c r="AD70" s="293"/>
      <c r="AE70" s="293"/>
      <c r="AF70" s="293"/>
      <c r="AG70" s="293"/>
      <c r="AH70" s="293"/>
      <c r="AI70" s="293"/>
      <c r="AJ70" s="293"/>
      <c r="AK70" s="293"/>
      <c r="AL70" s="293"/>
      <c r="AM70" s="293"/>
      <c r="AN70" s="293"/>
      <c r="AO70" s="293"/>
      <c r="AP70" s="293"/>
      <c r="AQ70" s="293"/>
      <c r="AS70" s="7">
        <f>ROW()</f>
        <v>70</v>
      </c>
    </row>
    <row r="71" spans="2:45" ht="13.95" customHeight="1">
      <c r="B71" s="14" t="s">
        <v>734</v>
      </c>
      <c r="K71" s="19"/>
      <c r="L71" s="19"/>
      <c r="M71" s="19"/>
      <c r="N71" s="19"/>
      <c r="O71" s="19"/>
      <c r="P71" s="19"/>
      <c r="S71" s="26"/>
      <c r="T71" s="567">
        <f>T69*1000000000/(Freight!$K$28*Parameters!$I$18)</f>
        <v>36.11874638427286</v>
      </c>
      <c r="U71" s="567">
        <f>U69*1000000000/(Freight!$K$28*Parameters!$I$18)</f>
        <v>35.51395238304589</v>
      </c>
      <c r="V71" s="567">
        <f>V69*1000000000/(Freight!$K$28*Parameters!$I$18)</f>
        <v>34.919285416130371</v>
      </c>
      <c r="W71" s="567">
        <f>W69*1000000000/(Freight!$K$28*Parameters!$I$18)</f>
        <v>34.334575910376216</v>
      </c>
      <c r="X71" s="567">
        <f>X69*1000000000/(Freight!$K$28*Parameters!$I$18)</f>
        <v>33.759657132068092</v>
      </c>
      <c r="Y71" s="567">
        <f>Y69*1000000000/(Freight!$K$28*Parameters!$I$18)</f>
        <v>33.194365139380203</v>
      </c>
      <c r="Z71" s="567">
        <f>Z69*1000000000/(Freight!$K$28*Parameters!$I$18)</f>
        <v>32.638538735627272</v>
      </c>
      <c r="AA71" s="567">
        <f>AA69*1000000000/(Freight!$K$28*Parameters!$I$18)</f>
        <v>32.09201942329819</v>
      </c>
      <c r="AB71" s="567">
        <f>AB69*1000000000/(Freight!$K$28*Parameters!$I$18)</f>
        <v>31.554651358859463</v>
      </c>
      <c r="AC71" s="567">
        <f>AC69*1000000000/(Freight!$K$28*Parameters!$I$18)</f>
        <v>31.026281308315401</v>
      </c>
      <c r="AD71" s="567">
        <f>AD69*1000000000/(Freight!$K$28*Parameters!$I$18)</f>
        <v>30.506758603512445</v>
      </c>
      <c r="AE71" s="567">
        <f>AE69*1000000000/(Freight!$K$28*Parameters!$I$18)</f>
        <v>29.995935099175174</v>
      </c>
      <c r="AF71" s="567">
        <f>AF69*1000000000/(Freight!$K$28*Parameters!$I$18)</f>
        <v>29.493665130661711</v>
      </c>
      <c r="AG71" s="567">
        <f>AG69*1000000000/(Freight!$K$28*Parameters!$I$18)</f>
        <v>28.999805472426498</v>
      </c>
      <c r="AH71" s="567">
        <f>AH69*1000000000/(Freight!$K$28*Parameters!$I$18)</f>
        <v>28.51421529717863</v>
      </c>
      <c r="AI71" s="567">
        <f>AI69*1000000000/(Freight!$K$28*Parameters!$I$18)</f>
        <v>28.036756135723984</v>
      </c>
      <c r="AJ71" s="567">
        <f>AJ69*1000000000/(Freight!$K$28*Parameters!$I$18)</f>
        <v>27.567291837479885</v>
      </c>
      <c r="AK71" s="567">
        <f>AK69*1000000000/(Freight!$K$28*Parameters!$I$18)</f>
        <v>27.105688531650852</v>
      </c>
      <c r="AL71" s="567">
        <f>AL69*1000000000/(Freight!$K$28*Parameters!$I$18)</f>
        <v>26.65181458905446</v>
      </c>
      <c r="AM71" s="567">
        <f>AM69*1000000000/(Freight!$K$28*Parameters!$I$18)</f>
        <v>26.205540584586466</v>
      </c>
      <c r="AN71" s="567">
        <f>AN69*1000000000/(Freight!$K$28*Parameters!$I$18)</f>
        <v>25.766739260314349</v>
      </c>
      <c r="AO71" s="567">
        <f>AO69*1000000000/(Freight!$K$28*Parameters!$I$18)</f>
        <v>25.335285489188919</v>
      </c>
      <c r="AP71" s="567">
        <f>AP69*1000000000/(Freight!$K$28*Parameters!$I$18)</f>
        <v>24.911056239363514</v>
      </c>
      <c r="AQ71" s="567">
        <f>AQ69*1000000000/(Freight!$K$28*Parameters!$I$18)</f>
        <v>24.493930539110675</v>
      </c>
      <c r="AS71" s="7">
        <f>ROW()</f>
        <v>71</v>
      </c>
    </row>
    <row r="72" spans="2:45" ht="13.95" customHeight="1">
      <c r="B72" s="84" t="str">
        <f>CONCATENATE("Row ",AS69, " converted from lb to kg, calculated with Btu value of diesel fuel in 'Freight' tab, Cell K",Freight!AS28, ".")</f>
        <v>Row 69 converted from lb to kg, calculated with Btu value of diesel fuel in 'Freight' tab, Cell K28.</v>
      </c>
      <c r="K72" s="19"/>
      <c r="L72" s="19"/>
      <c r="M72" s="19"/>
      <c r="N72" s="19"/>
      <c r="O72" s="19"/>
      <c r="P72" s="19"/>
      <c r="S72" s="26"/>
      <c r="T72" s="293"/>
      <c r="U72" s="293"/>
      <c r="V72" s="293"/>
      <c r="W72" s="293"/>
      <c r="X72" s="293"/>
      <c r="Y72" s="293"/>
      <c r="Z72" s="293"/>
      <c r="AA72" s="293"/>
      <c r="AB72" s="293"/>
      <c r="AC72" s="293"/>
      <c r="AD72" s="293"/>
      <c r="AE72" s="293"/>
      <c r="AF72" s="293"/>
      <c r="AG72" s="293"/>
      <c r="AH72" s="293"/>
      <c r="AI72" s="293"/>
      <c r="AJ72" s="293"/>
      <c r="AK72" s="293"/>
      <c r="AL72" s="293"/>
      <c r="AM72" s="293"/>
      <c r="AN72" s="293"/>
      <c r="AO72" s="293"/>
      <c r="AP72" s="293"/>
      <c r="AQ72" s="293"/>
      <c r="AS72" s="7">
        <f>ROW()</f>
        <v>72</v>
      </c>
    </row>
    <row r="73" spans="2:45" ht="13.95" customHeight="1">
      <c r="B73" s="14" t="s">
        <v>717</v>
      </c>
      <c r="K73" s="184">
        <f>K30*AEO!$S$28^(Miscellany!K32-Miscellany!$R$32)</f>
        <v>2.5371154573536927</v>
      </c>
      <c r="L73" s="184">
        <f>L30*AEO!$S$28^(Miscellany!L32-Miscellany!$R$32)</f>
        <v>3.3577631331783979</v>
      </c>
      <c r="M73" s="184">
        <f>M30*AEO!$S$28^(Miscellany!M32-Miscellany!$R$32)</f>
        <v>2.1575773945142709</v>
      </c>
      <c r="N73" s="184">
        <f>N30*AEO!$S$28^(Miscellany!N32-Miscellany!$R$32)</f>
        <v>2.6078767911034157</v>
      </c>
      <c r="O73" s="184">
        <f>O30*AEO!$S$28^(Miscellany!O32-Miscellany!$R$32)</f>
        <v>3.3550061980972394</v>
      </c>
      <c r="P73" s="184">
        <f>P30*AEO!$S$28^(Miscellany!P32-Miscellany!$R$32)</f>
        <v>3.4423091423339112</v>
      </c>
      <c r="Q73" s="184">
        <f>Q30*AEO!$S$28^(Miscellany!Q32-Miscellany!$R$32)</f>
        <v>3.3779806571068902</v>
      </c>
      <c r="R73" s="184">
        <f>R30*AEO!$S$28^(Miscellany!R32-Miscellany!$R$32)</f>
        <v>3.1833410403771341</v>
      </c>
      <c r="S73" s="339">
        <f>S30*AEO!$S$28^(Miscellany!S32-Miscellany!$R$32)</f>
        <v>2.1634588560207417</v>
      </c>
      <c r="T73" s="184">
        <f>T30*AEO!$S$28^(Miscellany!T32-Miscellany!$R$32)</f>
        <v>2.2482212848798104</v>
      </c>
      <c r="U73" s="184">
        <f>U30*AEO!$S$28^(Miscellany!U32-Miscellany!$R$32)</f>
        <v>2.3469295748920089</v>
      </c>
      <c r="V73" s="184">
        <f>V30*AEO!$S$28^(Miscellany!V32-Miscellany!$R$32)</f>
        <v>2.4503430783581814</v>
      </c>
      <c r="W73" s="184">
        <f>W30*AEO!$S$28^(Miscellany!W32-Miscellany!$R$32)</f>
        <v>2.5586944971904861</v>
      </c>
      <c r="X73" s="184">
        <f>X30*AEO!$S$28^(Miscellany!X32-Miscellany!$R$32)</f>
        <v>2.6759440540049422</v>
      </c>
      <c r="Y73" s="184">
        <f>Y30*AEO!$S$28^(Miscellany!Y32-Miscellany!$R$32)</f>
        <v>2.7776600361046393</v>
      </c>
      <c r="Z73" s="184">
        <f>Z30*AEO!$S$28^(Miscellany!Z32-Miscellany!$R$32)</f>
        <v>2.8834339048370885</v>
      </c>
      <c r="AA73" s="184">
        <f>AA30*AEO!$S$28^(Miscellany!AA32-Miscellany!$R$32)</f>
        <v>2.9934320222275907</v>
      </c>
      <c r="AB73" s="184">
        <f>AB30*AEO!$S$28^(Miscellany!AB32-Miscellany!$R$32)</f>
        <v>3.1078276703221248</v>
      </c>
      <c r="AC73" s="184">
        <f>AC30*AEO!$S$28^(Miscellany!AC32-Miscellany!$R$32)</f>
        <v>3.226801341192322</v>
      </c>
      <c r="AD73" s="184">
        <f>AD30*AEO!$S$28^(Miscellany!AD32-Miscellany!$R$32)</f>
        <v>3.3505410391401003</v>
      </c>
      <c r="AE73" s="184">
        <f>AE30*AEO!$S$28^(Miscellany!AE32-Miscellany!$R$32)</f>
        <v>3.479242595616133</v>
      </c>
      <c r="AF73" s="184">
        <f>AF30*AEO!$S$28^(Miscellany!AF32-Miscellany!$R$32)</f>
        <v>3.6131099973880287</v>
      </c>
      <c r="AG73" s="184">
        <f>AG30*AEO!$S$28^(Miscellany!AG32-Miscellany!$R$32)</f>
        <v>3.7523557285166973</v>
      </c>
      <c r="AH73" s="184">
        <f>AH30*AEO!$S$28^(Miscellany!AH32-Miscellany!$R$32)</f>
        <v>3.9004191103666139</v>
      </c>
      <c r="AI73" s="184">
        <f>AI30*AEO!$S$28^(Miscellany!AI32-Miscellany!$R$32)</f>
        <v>4.0527803417400348</v>
      </c>
      <c r="AJ73" s="184">
        <f>AJ30*AEO!$S$28^(Miscellany!AJ32-Miscellany!$R$32)</f>
        <v>4.2113261747758663</v>
      </c>
      <c r="AK73" s="184">
        <f>AK30*AEO!$S$28^(Miscellany!AK32-Miscellany!$R$32)</f>
        <v>4.3763132025039964</v>
      </c>
      <c r="AL73" s="184">
        <f>AL30*AEO!$S$28^(Miscellany!AL32-Miscellany!$R$32)</f>
        <v>4.548008790973217</v>
      </c>
      <c r="AM73" s="184">
        <f>AM30*AEO!$S$28^(Miscellany!AM32-Miscellany!$R$32)</f>
        <v>4.7266915344084586</v>
      </c>
      <c r="AN73" s="184">
        <f>AN30*AEO!$S$28^(Miscellany!AN32-Miscellany!$R$32)</f>
        <v>4.9126517296615484</v>
      </c>
      <c r="AO73" s="184">
        <f>AO30*AEO!$S$28^(Miscellany!AO32-Miscellany!$R$32)</f>
        <v>5.1061918707747047</v>
      </c>
      <c r="AP73" s="184">
        <f>AP30*AEO!$S$28^(Miscellany!AP32-Miscellany!$R$32)</f>
        <v>5.3076271645108246</v>
      </c>
      <c r="AQ73" s="184">
        <f>AQ30*AEO!$S$28^(Miscellany!AQ32-Miscellany!$R$32)</f>
        <v>5.5172860677408835</v>
      </c>
      <c r="AR73" s="184"/>
      <c r="AS73" s="7">
        <f>ROW()</f>
        <v>73</v>
      </c>
    </row>
    <row r="74" spans="2:45" ht="13.95" customHeight="1">
      <c r="B74" s="291" t="str">
        <f>CONCATENATE("Prices in Row ",AS30, ", inflated or deflated to ",R32, " price basis using annual price deflator in 'AEO' tab, Cell Q",AEO!V28, ".")</f>
        <v>Prices in Row 30, inflated or deflated to 2014 price basis using annual price deflator in 'AEO' tab, Cell Q28.</v>
      </c>
      <c r="S74" s="26"/>
      <c r="AS74" s="7">
        <f>ROW()</f>
        <v>74</v>
      </c>
    </row>
    <row r="75" spans="2:45" ht="13.95" customHeight="1">
      <c r="B75" s="14" t="s">
        <v>718</v>
      </c>
      <c r="K75" s="184">
        <f t="shared" ref="K75:AQ75" si="17">K73+K25</f>
        <v>2.5371154573536927</v>
      </c>
      <c r="L75" s="184">
        <f t="shared" si="17"/>
        <v>3.3577631331783979</v>
      </c>
      <c r="M75" s="184">
        <f t="shared" si="17"/>
        <v>2.1575773945142709</v>
      </c>
      <c r="N75" s="184">
        <f t="shared" si="17"/>
        <v>2.6078767911034157</v>
      </c>
      <c r="O75" s="184">
        <f t="shared" si="17"/>
        <v>3.3550061980972394</v>
      </c>
      <c r="P75" s="184">
        <f t="shared" si="17"/>
        <v>3.4423091423339112</v>
      </c>
      <c r="Q75" s="326">
        <f t="shared" si="17"/>
        <v>3.3779806571068902</v>
      </c>
      <c r="R75" s="326">
        <f t="shared" si="17"/>
        <v>3.1833410403771341</v>
      </c>
      <c r="S75" s="339">
        <f t="shared" si="17"/>
        <v>2.1634588560207417</v>
      </c>
      <c r="T75" s="184">
        <f t="shared" si="17"/>
        <v>2.3108378615727836</v>
      </c>
      <c r="U75" s="184">
        <f t="shared" si="17"/>
        <v>2.4726623298442081</v>
      </c>
      <c r="V75" s="184">
        <f t="shared" si="17"/>
        <v>2.6396946027801942</v>
      </c>
      <c r="W75" s="184">
        <f t="shared" si="17"/>
        <v>2.8121703878396369</v>
      </c>
      <c r="X75" s="184">
        <f t="shared" si="17"/>
        <v>2.9940529291669948</v>
      </c>
      <c r="Y75" s="184">
        <f t="shared" si="17"/>
        <v>3.160913551655181</v>
      </c>
      <c r="Z75" s="184">
        <f t="shared" si="17"/>
        <v>3.3323467703829754</v>
      </c>
      <c r="AA75" s="184">
        <f t="shared" si="17"/>
        <v>3.5085220173288372</v>
      </c>
      <c r="AB75" s="184">
        <f t="shared" si="17"/>
        <v>3.6896156607946233</v>
      </c>
      <c r="AC75" s="184">
        <f t="shared" si="17"/>
        <v>3.8758112954917814</v>
      </c>
      <c r="AD75" s="184">
        <f t="shared" si="17"/>
        <v>4.0673000448275864</v>
      </c>
      <c r="AE75" s="184">
        <f t="shared" si="17"/>
        <v>4.2642808759056052</v>
      </c>
      <c r="AF75" s="184">
        <f t="shared" si="17"/>
        <v>4.4669609277762667</v>
      </c>
      <c r="AG75" s="184">
        <f t="shared" si="17"/>
        <v>4.6755558534960082</v>
      </c>
      <c r="AH75" s="184">
        <f t="shared" si="17"/>
        <v>4.8935081602207156</v>
      </c>
      <c r="AI75" s="184">
        <f t="shared" si="17"/>
        <v>5.1163012494235147</v>
      </c>
      <c r="AJ75" s="184">
        <f t="shared" si="17"/>
        <v>5.345825092877619</v>
      </c>
      <c r="AK75" s="184">
        <f t="shared" si="17"/>
        <v>5.5823395202950303</v>
      </c>
      <c r="AL75" s="184">
        <f t="shared" si="17"/>
        <v>5.8261151515392458</v>
      </c>
      <c r="AM75" s="184">
        <f t="shared" si="17"/>
        <v>6.077433851867676</v>
      </c>
      <c r="AN75" s="184">
        <f t="shared" si="17"/>
        <v>6.3365892064679947</v>
      </c>
      <c r="AO75" s="184">
        <f t="shared" si="17"/>
        <v>6.6038870151076292</v>
      </c>
      <c r="AP75" s="184">
        <f t="shared" si="17"/>
        <v>6.8796458077504665</v>
      </c>
      <c r="AQ75" s="184">
        <f t="shared" si="17"/>
        <v>7.1641973820310714</v>
      </c>
      <c r="AS75" s="7">
        <f>ROW()</f>
        <v>75</v>
      </c>
    </row>
    <row r="76" spans="2:45" ht="13.95" customHeight="1">
      <c r="B76" s="291" t="str">
        <f>CONCATENATE("Sum of Rows ",AS73, " and ",AS25, ".")</f>
        <v>Sum of Rows 73 and 25.</v>
      </c>
      <c r="M76" s="184"/>
      <c r="N76" s="184"/>
      <c r="O76" s="184"/>
      <c r="P76" s="184"/>
      <c r="Q76" s="326"/>
      <c r="R76" s="326"/>
      <c r="S76" s="339"/>
      <c r="T76" s="184"/>
      <c r="U76" s="184"/>
      <c r="V76" s="184"/>
      <c r="W76" s="184"/>
      <c r="X76" s="184"/>
      <c r="Y76" s="184"/>
      <c r="Z76" s="184"/>
      <c r="AA76" s="184"/>
      <c r="AB76" s="184"/>
      <c r="AC76" s="184"/>
      <c r="AD76" s="184"/>
      <c r="AE76" s="184"/>
      <c r="AF76" s="184"/>
      <c r="AG76" s="184"/>
      <c r="AH76" s="184"/>
      <c r="AI76" s="184"/>
      <c r="AJ76" s="184"/>
      <c r="AK76" s="184"/>
      <c r="AL76" s="184"/>
      <c r="AM76" s="184"/>
      <c r="AN76" s="184"/>
      <c r="AO76" s="184"/>
      <c r="AP76" s="184"/>
      <c r="AQ76" s="184"/>
      <c r="AS76" s="7">
        <f>ROW()</f>
        <v>76</v>
      </c>
    </row>
    <row r="77" spans="2:45" ht="13.95" customHeight="1">
      <c r="B77" s="14" t="s">
        <v>719</v>
      </c>
      <c r="M77"/>
      <c r="N77"/>
      <c r="O77"/>
      <c r="P77"/>
      <c r="Q77" s="326"/>
      <c r="R77" s="326"/>
      <c r="S77" s="339"/>
      <c r="T77" s="206">
        <f t="shared" ref="T77:AP77" si="18">T75/T73-1</f>
        <v>2.7851607452564764E-2</v>
      </c>
      <c r="U77" s="206">
        <f t="shared" si="18"/>
        <v>5.3573296914111612E-2</v>
      </c>
      <c r="V77" s="206">
        <f t="shared" si="18"/>
        <v>7.7275515455119459E-2</v>
      </c>
      <c r="W77" s="206">
        <f t="shared" si="18"/>
        <v>9.9064538938694602E-2</v>
      </c>
      <c r="X77" s="206">
        <f t="shared" si="18"/>
        <v>0.11887725181920605</v>
      </c>
      <c r="Y77" s="206">
        <f t="shared" si="18"/>
        <v>0.13797711403444901</v>
      </c>
      <c r="Z77" s="206">
        <f t="shared" si="18"/>
        <v>0.15568689290668858</v>
      </c>
      <c r="AA77" s="206">
        <f t="shared" si="18"/>
        <v>0.17207338976681941</v>
      </c>
      <c r="AB77" s="206">
        <f t="shared" si="18"/>
        <v>0.18720085287489452</v>
      </c>
      <c r="AC77" s="206">
        <f t="shared" si="18"/>
        <v>0.20113105384406671</v>
      </c>
      <c r="AD77" s="206">
        <f t="shared" si="18"/>
        <v>0.21392336261950073</v>
      </c>
      <c r="AE77" s="206">
        <f t="shared" si="18"/>
        <v>0.22563482100346355</v>
      </c>
      <c r="AF77" s="206">
        <f t="shared" si="18"/>
        <v>0.23632021471959042</v>
      </c>
      <c r="AG77" s="206">
        <f t="shared" si="18"/>
        <v>0.24603214401110396</v>
      </c>
      <c r="AH77" s="206">
        <f t="shared" si="18"/>
        <v>0.25461085636019187</v>
      </c>
      <c r="AI77" s="206">
        <f t="shared" si="18"/>
        <v>0.26241760421362104</v>
      </c>
      <c r="AJ77" s="206">
        <f t="shared" si="18"/>
        <v>0.26939231753098114</v>
      </c>
      <c r="AK77" s="206">
        <f t="shared" si="18"/>
        <v>0.27558043996964887</v>
      </c>
      <c r="AL77" s="206">
        <f t="shared" si="18"/>
        <v>0.28102548154761364</v>
      </c>
      <c r="AM77" s="206">
        <f t="shared" si="18"/>
        <v>0.2857690855488122</v>
      </c>
      <c r="AN77" s="206">
        <f t="shared" si="18"/>
        <v>0.2898510936993588</v>
      </c>
      <c r="AO77" s="206">
        <f t="shared" si="18"/>
        <v>0.29330960963393959</v>
      </c>
      <c r="AP77" s="206">
        <f t="shared" si="18"/>
        <v>0.29618106067262295</v>
      </c>
      <c r="AQ77" s="206">
        <f t="shared" ref="AQ77" si="19">AQ75/AQ73-1</f>
        <v>0.29850025792926393</v>
      </c>
      <c r="AS77" s="7">
        <f>ROW()</f>
        <v>77</v>
      </c>
    </row>
    <row r="78" spans="2:45" ht="13.95" customHeight="1">
      <c r="B78" s="84" t="str">
        <f>CONCATENATE("Calculated as excess of Row ",AS75, " over Row ",AS73, ".")</f>
        <v>Calculated as excess of Row 75 over Row 73.</v>
      </c>
      <c r="M78"/>
      <c r="N78"/>
      <c r="O78"/>
      <c r="P78"/>
      <c r="S78" s="26"/>
      <c r="T78" s="184"/>
      <c r="AS78" s="7">
        <f>ROW()</f>
        <v>78</v>
      </c>
    </row>
    <row r="79" spans="2:45" ht="13.95" customHeight="1">
      <c r="S79" s="26"/>
      <c r="AS79" s="7">
        <f>ROW()</f>
        <v>79</v>
      </c>
    </row>
    <row r="80" spans="2:45" ht="13.95" customHeight="1">
      <c r="I80" s="12">
        <f t="shared" ref="I80:AQ80" si="20">I$14</f>
        <v>2005</v>
      </c>
      <c r="J80" s="12">
        <f t="shared" si="20"/>
        <v>2006</v>
      </c>
      <c r="K80" s="12">
        <f t="shared" si="20"/>
        <v>2007</v>
      </c>
      <c r="L80" s="12">
        <f t="shared" si="20"/>
        <v>2008</v>
      </c>
      <c r="M80" s="12">
        <f t="shared" si="20"/>
        <v>2009</v>
      </c>
      <c r="N80" s="12">
        <f t="shared" si="20"/>
        <v>2010</v>
      </c>
      <c r="O80" s="12">
        <f t="shared" si="20"/>
        <v>2011</v>
      </c>
      <c r="P80" s="12">
        <f t="shared" si="20"/>
        <v>2012</v>
      </c>
      <c r="Q80" s="178">
        <f t="shared" si="20"/>
        <v>2013</v>
      </c>
      <c r="R80" s="178">
        <f t="shared" si="20"/>
        <v>2014</v>
      </c>
      <c r="S80" s="338">
        <f t="shared" si="20"/>
        <v>2015</v>
      </c>
      <c r="T80" s="12">
        <f t="shared" si="20"/>
        <v>2017</v>
      </c>
      <c r="U80" s="12">
        <f t="shared" si="20"/>
        <v>2018</v>
      </c>
      <c r="V80" s="12">
        <f t="shared" si="20"/>
        <v>2019</v>
      </c>
      <c r="W80" s="12">
        <f t="shared" si="20"/>
        <v>2020</v>
      </c>
      <c r="X80" s="12">
        <f t="shared" si="20"/>
        <v>2021</v>
      </c>
      <c r="Y80" s="12">
        <f t="shared" si="20"/>
        <v>2022</v>
      </c>
      <c r="Z80" s="12">
        <f t="shared" si="20"/>
        <v>2023</v>
      </c>
      <c r="AA80" s="12">
        <f t="shared" si="20"/>
        <v>2024</v>
      </c>
      <c r="AB80" s="12">
        <f t="shared" si="20"/>
        <v>2025</v>
      </c>
      <c r="AC80" s="12">
        <f t="shared" si="20"/>
        <v>2026</v>
      </c>
      <c r="AD80" s="12">
        <f t="shared" si="20"/>
        <v>2027</v>
      </c>
      <c r="AE80" s="12">
        <f t="shared" si="20"/>
        <v>2028</v>
      </c>
      <c r="AF80" s="12">
        <f t="shared" si="20"/>
        <v>2029</v>
      </c>
      <c r="AG80" s="12">
        <f t="shared" si="20"/>
        <v>2030</v>
      </c>
      <c r="AH80" s="12">
        <f t="shared" si="20"/>
        <v>2031</v>
      </c>
      <c r="AI80" s="12">
        <f t="shared" si="20"/>
        <v>2032</v>
      </c>
      <c r="AJ80" s="12">
        <f t="shared" si="20"/>
        <v>2033</v>
      </c>
      <c r="AK80" s="12">
        <f t="shared" si="20"/>
        <v>2034</v>
      </c>
      <c r="AL80" s="12">
        <f t="shared" si="20"/>
        <v>2035</v>
      </c>
      <c r="AM80" s="12">
        <f t="shared" si="20"/>
        <v>2036</v>
      </c>
      <c r="AN80" s="12">
        <f t="shared" si="20"/>
        <v>2037</v>
      </c>
      <c r="AO80" s="12">
        <f t="shared" si="20"/>
        <v>2038</v>
      </c>
      <c r="AP80" s="12">
        <f t="shared" si="20"/>
        <v>2039</v>
      </c>
      <c r="AQ80" s="12">
        <f t="shared" si="20"/>
        <v>2040</v>
      </c>
      <c r="AS80" s="7">
        <f>ROW()</f>
        <v>80</v>
      </c>
    </row>
    <row r="81" spans="1:45" ht="13.95" customHeight="1">
      <c r="B81" s="8" t="s">
        <v>720</v>
      </c>
      <c r="C81" s="67"/>
      <c r="D81" s="67"/>
      <c r="E81" s="67"/>
      <c r="F81" s="67"/>
      <c r="G81" s="67"/>
      <c r="H81" s="67"/>
      <c r="I81" s="108"/>
      <c r="J81" s="84" t="str">
        <f>CONCATENATE("Non-c-taxed sales in Row ",AS43, ", times price-elasticity in 'Parameters' exponentiated per Row ",AS77, ".")</f>
        <v>Non-c-taxed sales in Row 43, times price-elasticity in 'Parameters' exponentiated per Row 77.</v>
      </c>
      <c r="K81" s="108"/>
      <c r="L81" s="108"/>
      <c r="M81" s="108"/>
      <c r="N81" s="108"/>
      <c r="O81" s="108"/>
      <c r="P81" s="108"/>
      <c r="S81" s="26"/>
      <c r="T81" s="129">
        <f>T43*(1+T77)^Parameters!$H$14</f>
        <v>6.2846993903911228</v>
      </c>
      <c r="U81" s="129">
        <f>U43*(1+U77)^Parameters!$H$14</f>
        <v>6.246668522420209</v>
      </c>
      <c r="V81" s="129">
        <f>V43*(1+V77)^Parameters!$H$14</f>
        <v>6.2146260163117857</v>
      </c>
      <c r="W81" s="129">
        <f>W43*(1+W77)^Parameters!$H$14</f>
        <v>6.1878803420202058</v>
      </c>
      <c r="X81" s="129">
        <f>X43*(1+X77)^Parameters!$H$14</f>
        <v>6.1627827252964789</v>
      </c>
      <c r="Y81" s="129">
        <f>Y43*(1+Y77)^Parameters!$H$14</f>
        <v>6.1482352540860736</v>
      </c>
      <c r="Z81" s="129">
        <f>Z43*(1+Z77)^Parameters!$H$14</f>
        <v>6.1372007157213613</v>
      </c>
      <c r="AA81" s="129">
        <f>AA43*(1+AA77)^Parameters!$H$14</f>
        <v>6.1293666104354143</v>
      </c>
      <c r="AB81" s="129">
        <f>AB43*(1+AB77)^Parameters!$H$14</f>
        <v>6.124458657636481</v>
      </c>
      <c r="AC81" s="129">
        <f>AC43*(1+AC77)^Parameters!$H$14</f>
        <v>6.1222348833113509</v>
      </c>
      <c r="AD81" s="129">
        <f>AD43*(1+AD77)^Parameters!$H$14</f>
        <v>6.1224807854834529</v>
      </c>
      <c r="AE81" s="129">
        <f>AE43*(1+AE77)^Parameters!$H$14</f>
        <v>6.1250053530730053</v>
      </c>
      <c r="AF81" s="129">
        <f>AF43*(1+AF77)^Parameters!$H$14</f>
        <v>6.1296377658715508</v>
      </c>
      <c r="AG81" s="129">
        <f>AG43*(1+AG77)^Parameters!$H$14</f>
        <v>6.1362246422867184</v>
      </c>
      <c r="AH81" s="129">
        <f>AH43*(1+AH77)^Parameters!$H$14</f>
        <v>6.1430111225478967</v>
      </c>
      <c r="AI81" s="129">
        <f>AI43*(1+AI77)^Parameters!$H$14</f>
        <v>6.148128026776047</v>
      </c>
      <c r="AJ81" s="129">
        <f>AJ43*(1+AJ77)^Parameters!$H$14</f>
        <v>6.1548201220048364</v>
      </c>
      <c r="AK81" s="129">
        <f>AK43*(1+AK77)^Parameters!$H$14</f>
        <v>6.1629789104491515</v>
      </c>
      <c r="AL81" s="129">
        <f>AL43*(1+AL77)^Parameters!$H$14</f>
        <v>6.1725053076565564</v>
      </c>
      <c r="AM81" s="129">
        <f>AM43*(1+AM77)^Parameters!$H$14</f>
        <v>6.18330855328783</v>
      </c>
      <c r="AN81" s="129">
        <f>AN43*(1+AN77)^Parameters!$H$14</f>
        <v>6.1953052726038988</v>
      </c>
      <c r="AO81" s="129">
        <f>AO43*(1+AO77)^Parameters!$H$14</f>
        <v>6.2084186648046789</v>
      </c>
      <c r="AP81" s="129">
        <f>AP43*(1+AP77)^Parameters!$H$14</f>
        <v>6.2225777986183797</v>
      </c>
      <c r="AQ81" s="129">
        <f>AQ43*(1+AQ77)^Parameters!$H$14</f>
        <v>6.2377169989528207</v>
      </c>
      <c r="AS81" s="7">
        <f>ROW()</f>
        <v>81</v>
      </c>
    </row>
    <row r="82" spans="1:45" ht="13.95" customHeight="1">
      <c r="B82" s="8" t="s">
        <v>721</v>
      </c>
      <c r="C82" s="8"/>
      <c r="D82" s="8"/>
      <c r="E82" s="8"/>
      <c r="F82" s="8"/>
      <c r="G82" s="8"/>
      <c r="J82" s="84" t="str">
        <f>CONCATENATE("Product of Rows ",AS71, " and ",AS81, ".")</f>
        <v>Product of Rows 71 and 81.</v>
      </c>
      <c r="K82" s="30"/>
      <c r="L82" s="30"/>
      <c r="S82" s="26"/>
      <c r="T82" s="107">
        <f>T81*T71</f>
        <v>226.99546338293121</v>
      </c>
      <c r="U82" s="107">
        <f t="shared" ref="U82:AP82" si="21">U81*U71</f>
        <v>221.84388845790292</v>
      </c>
      <c r="V82" s="107">
        <f t="shared" si="21"/>
        <v>217.01029961810053</v>
      </c>
      <c r="W82" s="107">
        <f t="shared" si="21"/>
        <v>212.4582473274175</v>
      </c>
      <c r="X82" s="107">
        <f t="shared" si="21"/>
        <v>208.05343178544132</v>
      </c>
      <c r="Y82" s="107">
        <f t="shared" si="21"/>
        <v>204.08676598694313</v>
      </c>
      <c r="Z82" s="107">
        <f t="shared" si="21"/>
        <v>200.30926328839107</v>
      </c>
      <c r="AA82" s="107">
        <f t="shared" si="21"/>
        <v>196.70375231460869</v>
      </c>
      <c r="AB82" s="107">
        <f t="shared" si="21"/>
        <v>193.25515770346757</v>
      </c>
      <c r="AC82" s="107">
        <f t="shared" si="21"/>
        <v>189.95018172519949</v>
      </c>
      <c r="AD82" s="107">
        <f t="shared" si="21"/>
        <v>186.77704337738695</v>
      </c>
      <c r="AE82" s="107">
        <f t="shared" si="21"/>
        <v>183.7252630528784</v>
      </c>
      <c r="AF82" s="107">
        <f t="shared" si="21"/>
        <v>180.7854836388729</v>
      </c>
      <c r="AG82" s="107">
        <f t="shared" si="21"/>
        <v>177.94932096142472</v>
      </c>
      <c r="AH82" s="107">
        <f t="shared" si="21"/>
        <v>175.1631417212937</v>
      </c>
      <c r="AI82" s="107">
        <f t="shared" si="21"/>
        <v>172.37356617792992</v>
      </c>
      <c r="AJ82" s="107">
        <f t="shared" si="21"/>
        <v>169.67172251050087</v>
      </c>
      <c r="AK82" s="107">
        <f t="shared" si="21"/>
        <v>167.05178677376762</v>
      </c>
      <c r="AL82" s="107">
        <f t="shared" si="21"/>
        <v>164.50846700961711</v>
      </c>
      <c r="AM82" s="107">
        <f t="shared" si="21"/>
        <v>162.03694324020486</v>
      </c>
      <c r="AN82" s="107">
        <f t="shared" si="21"/>
        <v>159.63281559723538</v>
      </c>
      <c r="AO82" s="107">
        <f t="shared" si="21"/>
        <v>157.29205930923564</v>
      </c>
      <c r="AP82" s="107">
        <f t="shared" si="21"/>
        <v>155.01098549519727</v>
      </c>
      <c r="AQ82" s="107">
        <f t="shared" ref="AQ82" si="22">AQ81*AQ71</f>
        <v>152.7862068949803</v>
      </c>
      <c r="AS82" s="81">
        <f>ROW()</f>
        <v>82</v>
      </c>
    </row>
    <row r="83" spans="1:45" s="8" customFormat="1" ht="13.95" customHeight="1">
      <c r="B83" s="8" t="s">
        <v>355</v>
      </c>
      <c r="H83" s="23"/>
      <c r="I83" s="23"/>
      <c r="J83" s="84" t="str">
        <f>CONCATENATE("Row ",AS82, " less Row ",AS53, ".")</f>
        <v>Row 82 less Row 53.</v>
      </c>
      <c r="M83" s="105"/>
      <c r="N83"/>
      <c r="O83"/>
      <c r="P83"/>
      <c r="Q83" s="268"/>
      <c r="R83" s="268"/>
      <c r="S83" s="245"/>
      <c r="T83" s="24">
        <f t="shared" ref="T83:AQ83" si="23">T82-T53</f>
        <v>-5.0300891547497599</v>
      </c>
      <c r="U83" s="24">
        <f t="shared" si="23"/>
        <v>-9.6855993580707604</v>
      </c>
      <c r="V83" s="24">
        <f t="shared" si="23"/>
        <v>-14.010175440477525</v>
      </c>
      <c r="W83" s="24">
        <f t="shared" si="23"/>
        <v>-18.040597464690109</v>
      </c>
      <c r="X83" s="24">
        <f t="shared" si="23"/>
        <v>-21.783709871396098</v>
      </c>
      <c r="Y83" s="24">
        <f t="shared" si="23"/>
        <v>-25.394414677342894</v>
      </c>
      <c r="Z83" s="24">
        <f t="shared" si="23"/>
        <v>-28.810419597901273</v>
      </c>
      <c r="AA83" s="24">
        <f t="shared" si="23"/>
        <v>-32.048999852019136</v>
      </c>
      <c r="AB83" s="24">
        <f t="shared" si="23"/>
        <v>-35.125334375092166</v>
      </c>
      <c r="AC83" s="24">
        <f t="shared" si="23"/>
        <v>-38.052824152509828</v>
      </c>
      <c r="AD83" s="24">
        <f t="shared" si="23"/>
        <v>-40.8433530790644</v>
      </c>
      <c r="AE83" s="24">
        <f t="shared" si="23"/>
        <v>-43.507503246983106</v>
      </c>
      <c r="AF83" s="24">
        <f t="shared" si="23"/>
        <v>-46.054733804339691</v>
      </c>
      <c r="AG83" s="24">
        <f t="shared" si="23"/>
        <v>-48.493530469595299</v>
      </c>
      <c r="AH83" s="24">
        <f t="shared" si="23"/>
        <v>-50.803012434722376</v>
      </c>
      <c r="AI83" s="24">
        <f t="shared" si="23"/>
        <v>-52.996070842121497</v>
      </c>
      <c r="AJ83" s="24">
        <f t="shared" si="23"/>
        <v>-55.097998681371251</v>
      </c>
      <c r="AK83" s="24">
        <f t="shared" si="23"/>
        <v>-57.114721720273707</v>
      </c>
      <c r="AL83" s="24">
        <f t="shared" si="23"/>
        <v>-59.051632793013397</v>
      </c>
      <c r="AM83" s="24">
        <f t="shared" si="23"/>
        <v>-60.913651782571321</v>
      </c>
      <c r="AN83" s="24">
        <f t="shared" si="23"/>
        <v>-62.705277468404034</v>
      </c>
      <c r="AO83" s="24">
        <f t="shared" si="23"/>
        <v>-64.430632517512265</v>
      </c>
      <c r="AP83" s="24">
        <f t="shared" si="23"/>
        <v>-66.093502670497912</v>
      </c>
      <c r="AQ83" s="24">
        <f t="shared" si="23"/>
        <v>-67.697370992193584</v>
      </c>
      <c r="AS83" s="7">
        <f>ROW()</f>
        <v>83</v>
      </c>
    </row>
    <row r="84" spans="1:45" s="8" customFormat="1" ht="13.95" customHeight="1">
      <c r="B84" s="8" t="s">
        <v>356</v>
      </c>
      <c r="J84" s="84" t="str">
        <f>CONCATENATE("Row ",AS82, " less Cell I",AS53, ".")</f>
        <v>Row 82 less Cell I53.</v>
      </c>
      <c r="M84" s="107"/>
      <c r="N84"/>
      <c r="O84"/>
      <c r="P84"/>
      <c r="Q84" s="268"/>
      <c r="R84" s="268"/>
      <c r="S84" s="245"/>
      <c r="T84" s="24">
        <f t="shared" ref="T84:AP84" si="24">T82-$I$53</f>
        <v>-88.504536617068794</v>
      </c>
      <c r="U84" s="24">
        <f t="shared" si="24"/>
        <v>-93.656111542097079</v>
      </c>
      <c r="V84" s="24">
        <f t="shared" si="24"/>
        <v>-98.489700381899468</v>
      </c>
      <c r="W84" s="24">
        <f t="shared" si="24"/>
        <v>-103.0417526725825</v>
      </c>
      <c r="X84" s="24">
        <f t="shared" si="24"/>
        <v>-107.44656821455868</v>
      </c>
      <c r="Y84" s="24">
        <f t="shared" si="24"/>
        <v>-111.41323401305687</v>
      </c>
      <c r="Z84" s="24">
        <f t="shared" si="24"/>
        <v>-115.19073671160893</v>
      </c>
      <c r="AA84" s="24">
        <f t="shared" si="24"/>
        <v>-118.79624768539131</v>
      </c>
      <c r="AB84" s="24">
        <f t="shared" si="24"/>
        <v>-122.24484229653243</v>
      </c>
      <c r="AC84" s="24">
        <f t="shared" si="24"/>
        <v>-125.54981827480051</v>
      </c>
      <c r="AD84" s="24">
        <f t="shared" si="24"/>
        <v>-128.72295662261305</v>
      </c>
      <c r="AE84" s="24">
        <f t="shared" si="24"/>
        <v>-131.7747369471216</v>
      </c>
      <c r="AF84" s="24">
        <f t="shared" si="24"/>
        <v>-134.7145163611271</v>
      </c>
      <c r="AG84" s="24">
        <f t="shared" si="24"/>
        <v>-137.55067903857528</v>
      </c>
      <c r="AH84" s="24">
        <f t="shared" si="24"/>
        <v>-140.3368582787063</v>
      </c>
      <c r="AI84" s="24">
        <f t="shared" si="24"/>
        <v>-143.12643382207008</v>
      </c>
      <c r="AJ84" s="24">
        <f t="shared" si="24"/>
        <v>-145.82827748949913</v>
      </c>
      <c r="AK84" s="24">
        <f t="shared" si="24"/>
        <v>-148.44821322623238</v>
      </c>
      <c r="AL84" s="24">
        <f t="shared" si="24"/>
        <v>-150.99153299038289</v>
      </c>
      <c r="AM84" s="24">
        <f t="shared" si="24"/>
        <v>-153.46305675979514</v>
      </c>
      <c r="AN84" s="24">
        <f t="shared" si="24"/>
        <v>-155.86718440276462</v>
      </c>
      <c r="AO84" s="24">
        <f t="shared" si="24"/>
        <v>-158.20794069076436</v>
      </c>
      <c r="AP84" s="24">
        <f t="shared" si="24"/>
        <v>-160.48901450480273</v>
      </c>
      <c r="AQ84" s="24">
        <f t="shared" ref="AQ84" si="25">AQ82-$I$53</f>
        <v>-162.7137931050197</v>
      </c>
      <c r="AS84" s="7">
        <f>ROW()</f>
        <v>84</v>
      </c>
    </row>
    <row r="85" spans="1:45" s="80" customFormat="1" ht="13.95" customHeight="1">
      <c r="A85" s="8"/>
      <c r="B85" s="8" t="s">
        <v>311</v>
      </c>
      <c r="J85" s="84" t="str">
        <f>CONCATENATE("Product of Rows ",AS82, " and ",AS20, ".")</f>
        <v>Product of Rows 82 and 20.</v>
      </c>
      <c r="M85" s="159"/>
      <c r="N85"/>
      <c r="O85"/>
      <c r="P85"/>
      <c r="Q85" s="268"/>
      <c r="R85" s="268"/>
      <c r="S85" s="245"/>
      <c r="T85" s="785">
        <f t="shared" ref="T85:AQ85" si="26">T82*T20/1000</f>
        <v>2.8374432922866397</v>
      </c>
      <c r="U85" s="785">
        <f t="shared" si="26"/>
        <v>5.6630481354638951</v>
      </c>
      <c r="V85" s="785">
        <f t="shared" si="26"/>
        <v>8.4847131701040563</v>
      </c>
      <c r="W85" s="785">
        <f t="shared" si="26"/>
        <v>11.309201064172628</v>
      </c>
      <c r="X85" s="785">
        <f t="shared" si="26"/>
        <v>14.135331671366874</v>
      </c>
      <c r="Y85" s="785">
        <f t="shared" si="26"/>
        <v>16.989867222923802</v>
      </c>
      <c r="Z85" s="785">
        <f t="shared" si="26"/>
        <v>19.86487057655609</v>
      </c>
      <c r="AA85" s="785">
        <f t="shared" si="26"/>
        <v>22.764183266678561</v>
      </c>
      <c r="AB85" s="785">
        <f t="shared" si="26"/>
        <v>25.691284600282472</v>
      </c>
      <c r="AC85" s="785">
        <f t="shared" si="26"/>
        <v>28.649345585715906</v>
      </c>
      <c r="AD85" s="785">
        <f t="shared" si="26"/>
        <v>31.641273147818357</v>
      </c>
      <c r="AE85" s="785">
        <f t="shared" si="26"/>
        <v>34.669746627277277</v>
      </c>
      <c r="AF85" s="785">
        <f t="shared" si="26"/>
        <v>37.737248101623486</v>
      </c>
      <c r="AG85" s="785">
        <f t="shared" si="26"/>
        <v>40.846087721841975</v>
      </c>
      <c r="AH85" s="785">
        <f t="shared" si="26"/>
        <v>43.986849324504597</v>
      </c>
      <c r="AI85" s="785">
        <f t="shared" si="26"/>
        <v>47.145722469154748</v>
      </c>
      <c r="AJ85" s="785">
        <f t="shared" si="26"/>
        <v>50.346908896148676</v>
      </c>
      <c r="AK85" s="785">
        <f t="shared" si="26"/>
        <v>53.592106438402922</v>
      </c>
      <c r="AL85" s="785">
        <f t="shared" si="26"/>
        <v>56.882913023592025</v>
      </c>
      <c r="AM85" s="785">
        <f t="shared" si="26"/>
        <v>60.220836745579923</v>
      </c>
      <c r="AN85" s="785">
        <f t="shared" si="26"/>
        <v>63.607304554939958</v>
      </c>
      <c r="AO85" s="785">
        <f t="shared" si="26"/>
        <v>67.04366978662361</v>
      </c>
      <c r="AP85" s="785">
        <f t="shared" si="26"/>
        <v>70.531218704611476</v>
      </c>
      <c r="AQ85" s="785">
        <f t="shared" si="26"/>
        <v>74.071176212610624</v>
      </c>
      <c r="AR85" s="786"/>
      <c r="AS85" s="7">
        <f>ROW()</f>
        <v>85</v>
      </c>
    </row>
    <row r="86" spans="1:45" s="8" customFormat="1" ht="13.95" customHeight="1">
      <c r="H86" s="23"/>
      <c r="I86" s="23"/>
      <c r="J86" s="23"/>
      <c r="M86" s="129"/>
      <c r="N86" s="189"/>
      <c r="O86" s="189"/>
      <c r="P86" s="189"/>
      <c r="Q86" s="189"/>
      <c r="R86" s="189"/>
      <c r="S86" s="189"/>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S86" s="7">
        <f>ROW()</f>
        <v>86</v>
      </c>
    </row>
    <row r="87" spans="1:45" ht="13.95" customHeight="1">
      <c r="J87" s="54"/>
      <c r="AS87" s="7">
        <f>ROW()</f>
        <v>87</v>
      </c>
    </row>
    <row r="88" spans="1:45" ht="13.95" customHeight="1">
      <c r="B88" s="53" t="s">
        <v>102</v>
      </c>
      <c r="H88" s="54">
        <f>-Parameters!H14</f>
        <v>0.4</v>
      </c>
      <c r="I88" s="54"/>
      <c r="J88" s="100"/>
      <c r="K88" s="100"/>
      <c r="L88" s="100"/>
      <c r="M88" s="100"/>
      <c r="N88" s="543"/>
      <c r="O88" s="543"/>
      <c r="P88" s="543"/>
      <c r="Q88" s="759"/>
      <c r="R88" s="778"/>
      <c r="S88" s="734"/>
      <c r="AS88" s="7">
        <f>ROW()</f>
        <v>88</v>
      </c>
    </row>
    <row r="89" spans="1:45" ht="13.95" customHeight="1">
      <c r="B89" s="191" t="s">
        <v>747</v>
      </c>
      <c r="C89" s="100"/>
      <c r="D89" s="100"/>
      <c r="E89" s="100"/>
      <c r="F89" s="100"/>
      <c r="G89" s="100"/>
      <c r="H89" s="100"/>
      <c r="I89" s="100"/>
      <c r="J89" s="100"/>
      <c r="K89" s="100"/>
      <c r="L89" s="100"/>
      <c r="M89" s="100"/>
      <c r="N89" s="543"/>
      <c r="O89" s="543"/>
      <c r="P89" s="543"/>
      <c r="Q89" s="759"/>
      <c r="R89" s="778"/>
      <c r="S89" s="734"/>
      <c r="AS89" s="7">
        <f>ROW()</f>
        <v>89</v>
      </c>
    </row>
    <row r="90" spans="1:45" ht="13.95" customHeight="1">
      <c r="B90" s="100"/>
      <c r="C90" s="67"/>
      <c r="D90" s="67"/>
      <c r="E90" s="67"/>
      <c r="F90" s="67"/>
      <c r="G90" s="67"/>
      <c r="H90" s="121"/>
      <c r="I90" s="121"/>
      <c r="J90" s="121"/>
      <c r="K90" s="67"/>
      <c r="L90" s="67"/>
      <c r="AS90" s="7">
        <f>ROW()</f>
        <v>90</v>
      </c>
    </row>
    <row r="91" spans="1:45" ht="13.95" customHeight="1">
      <c r="B91" s="105" t="s">
        <v>105</v>
      </c>
      <c r="C91" s="67"/>
      <c r="D91" s="67" t="s">
        <v>82</v>
      </c>
      <c r="E91" s="67"/>
      <c r="F91" s="67"/>
      <c r="G91" s="67"/>
      <c r="H91" s="67"/>
      <c r="I91" s="67"/>
      <c r="J91" s="67"/>
      <c r="K91" s="67"/>
      <c r="L91" s="67"/>
      <c r="AS91" s="7">
        <f>ROW()</f>
        <v>91</v>
      </c>
    </row>
    <row r="92" spans="1:45" ht="13.95" customHeight="1">
      <c r="B92" s="67"/>
      <c r="C92" s="67"/>
      <c r="D92" s="67"/>
      <c r="E92" s="67"/>
      <c r="F92" s="67"/>
      <c r="G92" s="67"/>
      <c r="H92" s="67"/>
      <c r="I92" s="67"/>
      <c r="J92" s="67"/>
      <c r="K92" s="67"/>
      <c r="L92" s="67"/>
      <c r="AS92" s="7">
        <f>ROW()</f>
        <v>92</v>
      </c>
    </row>
    <row r="93" spans="1:45" ht="13.95" customHeight="1">
      <c r="B93" s="1255" t="s">
        <v>486</v>
      </c>
      <c r="C93" s="1155"/>
      <c r="D93" s="1155"/>
      <c r="E93" s="1155"/>
      <c r="F93" s="1155"/>
      <c r="G93" s="1155"/>
      <c r="H93" s="1155"/>
      <c r="I93" s="543"/>
      <c r="J93" s="543"/>
      <c r="K93" s="67"/>
      <c r="L93" s="67"/>
      <c r="AS93" s="7">
        <f>ROW()</f>
        <v>93</v>
      </c>
    </row>
    <row r="94" spans="1:45" ht="13.95" customHeight="1">
      <c r="B94" s="1155"/>
      <c r="C94" s="1155"/>
      <c r="D94" s="1155"/>
      <c r="E94" s="1155"/>
      <c r="F94" s="1155"/>
      <c r="G94" s="1155"/>
      <c r="H94" s="1155"/>
      <c r="I94" s="543"/>
      <c r="J94" s="543"/>
      <c r="K94" s="67"/>
      <c r="L94" s="67"/>
      <c r="AS94" s="7">
        <f>ROW()</f>
        <v>94</v>
      </c>
    </row>
    <row r="95" spans="1:45" ht="13.95" customHeight="1">
      <c r="B95" s="67"/>
      <c r="C95" s="67"/>
      <c r="D95" s="67"/>
      <c r="E95" s="67"/>
      <c r="F95" s="67"/>
      <c r="G95" s="67"/>
      <c r="H95" s="67"/>
      <c r="I95" s="67"/>
      <c r="J95" s="67"/>
      <c r="K95" s="67"/>
      <c r="L95" s="67"/>
      <c r="AS95" s="7">
        <f>ROW()</f>
        <v>95</v>
      </c>
    </row>
    <row r="96" spans="1:45" ht="13.95" customHeight="1">
      <c r="B96" s="13" t="s">
        <v>410</v>
      </c>
      <c r="F96" s="12"/>
      <c r="G96" s="12">
        <f>HLOOKUP(10,T16:AP32,17)</f>
        <v>2026</v>
      </c>
      <c r="H96" s="67"/>
      <c r="I96" s="67"/>
      <c r="J96" s="67"/>
      <c r="K96" s="67"/>
      <c r="L96" s="67"/>
      <c r="AS96" s="7">
        <f>ROW()</f>
        <v>96</v>
      </c>
    </row>
    <row r="97" spans="1:45" ht="13.95" customHeight="1">
      <c r="H97" s="67"/>
      <c r="I97" s="67"/>
      <c r="J97" s="67"/>
      <c r="K97" s="67"/>
      <c r="L97" s="67"/>
      <c r="S97"/>
      <c r="AS97" s="7">
        <f>ROW()</f>
        <v>97</v>
      </c>
    </row>
    <row r="98" spans="1:45" ht="13.95" customHeight="1">
      <c r="B98" s="14" t="s">
        <v>738</v>
      </c>
      <c r="G98" s="396">
        <f>HLOOKUP($G$96,T32:AP43,12)</f>
        <v>6.5878870672228773</v>
      </c>
      <c r="H98" s="67"/>
      <c r="I98" s="67"/>
      <c r="J98" s="67"/>
      <c r="K98" s="67"/>
      <c r="L98" s="67"/>
      <c r="S98"/>
      <c r="AS98" s="7">
        <f>ROW()</f>
        <v>98</v>
      </c>
    </row>
    <row r="99" spans="1:45" ht="13.95" customHeight="1">
      <c r="A99" s="13"/>
      <c r="B99" s="14" t="s">
        <v>739</v>
      </c>
      <c r="G99" s="396">
        <f>HLOOKUP($G$96,T80:AP81,2)</f>
        <v>6.1222348833113509</v>
      </c>
      <c r="H99" s="67"/>
      <c r="I99" s="67"/>
      <c r="J99" s="67"/>
      <c r="K99" s="67"/>
      <c r="L99" s="67"/>
      <c r="S99"/>
      <c r="AS99" s="7">
        <f>ROW()</f>
        <v>99</v>
      </c>
    </row>
    <row r="100" spans="1:45" s="13" customFormat="1" ht="13.95" customHeight="1">
      <c r="A100"/>
      <c r="B100" s="13" t="s">
        <v>5</v>
      </c>
      <c r="G100" s="37">
        <f>G99/G98</f>
        <v>0.92931691464045962</v>
      </c>
      <c r="H100" s="155"/>
      <c r="I100" s="155"/>
      <c r="J100" s="155"/>
      <c r="K100" s="155"/>
      <c r="L100" s="155"/>
      <c r="M100" s="155"/>
      <c r="N100" s="155"/>
      <c r="O100" s="155"/>
      <c r="P100" s="155"/>
      <c r="Q100" s="67"/>
      <c r="R100" s="67"/>
      <c r="S100"/>
      <c r="T100"/>
      <c r="U100"/>
      <c r="V100"/>
      <c r="W100"/>
      <c r="X100"/>
      <c r="Y100"/>
      <c r="Z100"/>
      <c r="AA100"/>
      <c r="AB100"/>
      <c r="AC100"/>
      <c r="AS100" s="7">
        <f>ROW()</f>
        <v>100</v>
      </c>
    </row>
    <row r="101" spans="1:45" ht="13.95" customHeight="1">
      <c r="H101" s="67"/>
      <c r="I101" s="67"/>
      <c r="J101" s="67"/>
      <c r="K101" s="67"/>
      <c r="L101" s="67"/>
      <c r="S101"/>
      <c r="AS101" s="7">
        <f>ROW()</f>
        <v>101</v>
      </c>
    </row>
    <row r="102" spans="1:45" ht="13.95" customHeight="1">
      <c r="B102" t="s">
        <v>0</v>
      </c>
      <c r="G102" s="396">
        <f>HLOOKUP($G$96,T32:AP58,27)</f>
        <v>10.583995828023511</v>
      </c>
      <c r="H102" s="67"/>
      <c r="I102" s="67"/>
      <c r="J102" s="67"/>
      <c r="K102" s="67"/>
      <c r="L102" s="67"/>
      <c r="S102"/>
      <c r="AS102" s="7">
        <f>ROW()</f>
        <v>102</v>
      </c>
    </row>
    <row r="103" spans="1:45" ht="13.95" customHeight="1">
      <c r="A103" s="13"/>
      <c r="B103" t="s">
        <v>1</v>
      </c>
      <c r="G103" s="396">
        <f>HLOOKUP($G$96,T64:AP69,6)</f>
        <v>9.4882246525992038</v>
      </c>
      <c r="H103" s="67"/>
      <c r="I103" s="67"/>
      <c r="J103" s="67"/>
      <c r="K103" s="67"/>
      <c r="L103" s="67"/>
      <c r="S103"/>
      <c r="AS103" s="7">
        <f>ROW()</f>
        <v>103</v>
      </c>
    </row>
    <row r="104" spans="1:45" s="13" customFormat="1" ht="13.95" customHeight="1">
      <c r="A104"/>
      <c r="B104" s="13" t="s">
        <v>5</v>
      </c>
      <c r="G104" s="37">
        <f>G103/G102</f>
        <v>0.89646904692431884</v>
      </c>
      <c r="H104" s="155"/>
      <c r="I104" s="155"/>
      <c r="J104" s="155"/>
      <c r="K104" s="155"/>
      <c r="L104" s="155"/>
      <c r="M104" s="155"/>
      <c r="N104" s="155"/>
      <c r="O104" s="155"/>
      <c r="P104" s="155"/>
      <c r="Q104" s="67"/>
      <c r="R104" s="67"/>
      <c r="S104"/>
      <c r="T104"/>
      <c r="U104"/>
      <c r="V104"/>
      <c r="W104"/>
      <c r="X104"/>
      <c r="Y104"/>
      <c r="Z104"/>
      <c r="AA104"/>
      <c r="AB104"/>
      <c r="AC104"/>
      <c r="AS104" s="7">
        <f>ROW()</f>
        <v>104</v>
      </c>
    </row>
    <row r="105" spans="1:45" ht="13.95" customHeight="1">
      <c r="G105" s="20"/>
      <c r="H105" s="67"/>
      <c r="I105" s="67"/>
      <c r="J105" s="67"/>
      <c r="K105" s="67"/>
      <c r="L105" s="67"/>
      <c r="S105"/>
      <c r="AS105" s="7">
        <f>ROW()</f>
        <v>105</v>
      </c>
    </row>
    <row r="106" spans="1:45" ht="13.95" customHeight="1">
      <c r="B106" s="3" t="s">
        <v>140</v>
      </c>
      <c r="G106" s="20"/>
      <c r="H106" s="67"/>
      <c r="I106" s="67"/>
      <c r="J106" s="67"/>
      <c r="K106" s="67"/>
      <c r="L106" s="67"/>
      <c r="S106"/>
      <c r="AS106" s="7">
        <f>ROW()</f>
        <v>106</v>
      </c>
    </row>
    <row r="107" spans="1:45" ht="13.95" customHeight="1">
      <c r="B107" s="31" t="s">
        <v>426</v>
      </c>
      <c r="G107" s="36">
        <f>HLOOKUP(G$96,T32:AP53,22)</f>
        <v>228.00300587770931</v>
      </c>
      <c r="H107" s="67"/>
      <c r="I107" s="67"/>
      <c r="J107" s="67"/>
      <c r="K107" s="67"/>
      <c r="L107" s="67"/>
      <c r="S107"/>
    </row>
    <row r="108" spans="1:45" ht="13.95" customHeight="1">
      <c r="A108" s="13"/>
      <c r="B108" s="31" t="s">
        <v>427</v>
      </c>
      <c r="G108" s="36">
        <f>HLOOKUP(G$96,T80:AP82,3)</f>
        <v>189.95018172519949</v>
      </c>
      <c r="H108" s="67"/>
      <c r="I108" s="67"/>
      <c r="J108" s="67"/>
      <c r="K108" s="67"/>
      <c r="L108" s="67"/>
      <c r="S108"/>
    </row>
    <row r="109" spans="1:45" ht="13.95" customHeight="1">
      <c r="A109" s="13"/>
      <c r="B109" s="13" t="s">
        <v>5</v>
      </c>
      <c r="C109" s="13"/>
      <c r="D109" s="13"/>
      <c r="E109" s="13"/>
      <c r="F109" s="13"/>
      <c r="G109" s="55">
        <f>G108/G107</f>
        <v>0.83310384875838139</v>
      </c>
      <c r="H109" s="67"/>
      <c r="I109" s="67"/>
      <c r="J109" s="67"/>
      <c r="K109" s="67"/>
      <c r="L109" s="67"/>
      <c r="S109"/>
    </row>
    <row r="110" spans="1:45" ht="11.4">
      <c r="A110" s="13"/>
      <c r="G110" s="20"/>
      <c r="H110" s="67"/>
      <c r="I110" s="67"/>
      <c r="J110" s="67"/>
      <c r="K110" s="67"/>
      <c r="L110" s="67"/>
      <c r="S110"/>
    </row>
    <row r="111" spans="1:45" ht="11.4">
      <c r="B111" s="13" t="s">
        <v>4</v>
      </c>
      <c r="C111" s="13"/>
      <c r="D111" s="13"/>
      <c r="E111" s="13"/>
      <c r="F111" s="13"/>
      <c r="G111" s="55">
        <f>G104*G100</f>
        <v>0.83310384875838139</v>
      </c>
      <c r="H111" s="67"/>
      <c r="I111" s="67"/>
      <c r="J111" s="67"/>
      <c r="K111" s="67"/>
      <c r="L111" s="67"/>
      <c r="S111"/>
    </row>
    <row r="112" spans="1:45" ht="11.4">
      <c r="G112" s="20"/>
      <c r="H112" s="67"/>
      <c r="I112" s="67"/>
      <c r="J112" s="67"/>
      <c r="K112" s="67"/>
      <c r="L112" s="67"/>
      <c r="S112"/>
    </row>
    <row r="113" spans="2:19" ht="11.4">
      <c r="B113" t="s">
        <v>109</v>
      </c>
      <c r="G113" s="20"/>
      <c r="H113" s="67"/>
      <c r="I113" s="67"/>
      <c r="J113" s="67"/>
      <c r="K113" s="67"/>
      <c r="L113" s="67"/>
      <c r="S113"/>
    </row>
    <row r="114" spans="2:19" ht="11.4">
      <c r="B114" t="s">
        <v>110</v>
      </c>
      <c r="G114" s="6">
        <f>(1-G100)/(1-G104)</f>
        <v>0.6827241830553904</v>
      </c>
      <c r="H114" s="67"/>
      <c r="I114" s="67"/>
      <c r="J114" s="67"/>
      <c r="K114" s="67"/>
      <c r="L114" s="67"/>
      <c r="Q114"/>
      <c r="R114"/>
      <c r="S114"/>
    </row>
    <row r="115" spans="2:19" ht="11.4">
      <c r="Q115"/>
      <c r="R115"/>
      <c r="S115"/>
    </row>
    <row r="116" spans="2:19" ht="13.95" customHeight="1">
      <c r="B116" s="38" t="s">
        <v>111</v>
      </c>
      <c r="C116" s="39"/>
      <c r="D116" s="39"/>
      <c r="E116" s="39"/>
      <c r="F116" s="39"/>
      <c r="G116" s="40">
        <f>G114/(1+G114)</f>
        <v>0.40572554309865594</v>
      </c>
      <c r="Q116"/>
      <c r="R116"/>
      <c r="S116"/>
    </row>
    <row r="117" spans="2:19" ht="13.95" customHeight="1">
      <c r="B117" s="41" t="s">
        <v>112</v>
      </c>
      <c r="C117" s="42"/>
      <c r="D117" s="42"/>
      <c r="E117" s="42"/>
      <c r="F117" s="42"/>
      <c r="G117" s="43">
        <f>1-G116</f>
        <v>0.59427445690134406</v>
      </c>
      <c r="Q117"/>
      <c r="R117"/>
      <c r="S117"/>
    </row>
  </sheetData>
  <mergeCells count="21">
    <mergeCell ref="U47:Z47"/>
    <mergeCell ref="T10:T13"/>
    <mergeCell ref="B3:I6"/>
    <mergeCell ref="B10:H11"/>
    <mergeCell ref="I10:I13"/>
    <mergeCell ref="J10:J13"/>
    <mergeCell ref="K10:K13"/>
    <mergeCell ref="L10:L13"/>
    <mergeCell ref="M10:M13"/>
    <mergeCell ref="N10:N13"/>
    <mergeCell ref="O10:O13"/>
    <mergeCell ref="P10:P13"/>
    <mergeCell ref="Q10:Q13"/>
    <mergeCell ref="S10:S13"/>
    <mergeCell ref="R10:R13"/>
    <mergeCell ref="K3:O3"/>
    <mergeCell ref="B93:H94"/>
    <mergeCell ref="I46:Q46"/>
    <mergeCell ref="B36:O37"/>
    <mergeCell ref="B39:O40"/>
    <mergeCell ref="B59:F63"/>
  </mergeCell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dimension ref="B1:AC145"/>
  <sheetViews>
    <sheetView zoomScaleNormal="100" zoomScalePageLayoutView="130" workbookViewId="0"/>
  </sheetViews>
  <sheetFormatPr defaultColWidth="9" defaultRowHeight="13.95" customHeight="1"/>
  <cols>
    <col min="1" max="1" width="2.625" customWidth="1"/>
    <col min="2" max="18" width="9.25" customWidth="1"/>
    <col min="19" max="19" width="2" customWidth="1"/>
    <col min="21" max="21" width="9.25" customWidth="1"/>
  </cols>
  <sheetData>
    <row r="1" spans="2:19" ht="13.95" customHeight="1">
      <c r="B1" s="57" t="s">
        <v>8</v>
      </c>
      <c r="N1" s="216">
        <f>Summary!I1</f>
        <v>42552</v>
      </c>
      <c r="O1" s="916"/>
      <c r="S1" s="7">
        <f>ROW()</f>
        <v>1</v>
      </c>
    </row>
    <row r="2" spans="2:19" ht="13.95" customHeight="1">
      <c r="S2" s="7">
        <f>ROW()</f>
        <v>2</v>
      </c>
    </row>
    <row r="3" spans="2:19" ht="13.95" customHeight="1">
      <c r="S3" s="7">
        <f>ROW()</f>
        <v>3</v>
      </c>
    </row>
    <row r="4" spans="2:19" ht="13.95" customHeight="1">
      <c r="S4" s="7">
        <f>ROW()</f>
        <v>4</v>
      </c>
    </row>
    <row r="5" spans="2:19" ht="13.95" customHeight="1">
      <c r="B5" s="316" t="s">
        <v>381</v>
      </c>
      <c r="C5" s="317"/>
      <c r="D5" s="317"/>
      <c r="E5" s="317"/>
      <c r="F5" s="317"/>
      <c r="G5" s="317"/>
      <c r="H5" s="317"/>
      <c r="I5" s="317"/>
      <c r="J5" s="317"/>
      <c r="K5" s="318"/>
      <c r="S5" s="7">
        <f>ROW()</f>
        <v>5</v>
      </c>
    </row>
    <row r="6" spans="2:19" ht="13.95" customHeight="1">
      <c r="S6" s="7">
        <f>ROW()</f>
        <v>6</v>
      </c>
    </row>
    <row r="7" spans="2:19" ht="13.95" customHeight="1">
      <c r="G7" s="1375" t="s">
        <v>19</v>
      </c>
      <c r="H7" s="1376"/>
      <c r="I7" s="1376"/>
      <c r="J7" s="1376"/>
      <c r="K7" s="1376"/>
      <c r="L7" s="1376"/>
      <c r="M7" s="1376"/>
      <c r="N7" s="1376"/>
      <c r="O7" s="1376"/>
      <c r="P7" s="955"/>
      <c r="Q7" s="142"/>
      <c r="R7" s="142"/>
      <c r="S7" s="7">
        <f>ROW()</f>
        <v>7</v>
      </c>
    </row>
    <row r="8" spans="2:19" ht="13.95" customHeight="1">
      <c r="G8" s="314"/>
      <c r="H8" s="314"/>
      <c r="I8" s="314"/>
      <c r="J8" s="314"/>
      <c r="K8" s="314"/>
      <c r="L8" s="314"/>
      <c r="M8" s="314"/>
      <c r="N8" s="315"/>
      <c r="S8" s="7">
        <f>ROW()</f>
        <v>8</v>
      </c>
    </row>
    <row r="9" spans="2:19" ht="13.95" customHeight="1">
      <c r="G9" s="74">
        <v>2005</v>
      </c>
      <c r="H9" s="307">
        <v>2006</v>
      </c>
      <c r="I9" s="307">
        <v>2007</v>
      </c>
      <c r="J9" s="74">
        <v>2008</v>
      </c>
      <c r="K9" s="74">
        <v>2009</v>
      </c>
      <c r="L9" s="74">
        <v>2010</v>
      </c>
      <c r="M9" s="74">
        <v>2011</v>
      </c>
      <c r="N9" s="74">
        <v>2012</v>
      </c>
      <c r="O9" s="500">
        <v>2013</v>
      </c>
      <c r="P9" s="517">
        <v>2014</v>
      </c>
      <c r="Q9" s="517">
        <v>2015</v>
      </c>
      <c r="R9" s="911"/>
      <c r="S9" s="7">
        <f>ROW()</f>
        <v>9</v>
      </c>
    </row>
    <row r="10" spans="2:19" ht="13.95" customHeight="1">
      <c r="O10" s="113"/>
      <c r="P10" s="113"/>
      <c r="Q10" s="113"/>
      <c r="R10" s="911"/>
      <c r="S10" s="7">
        <f>ROW()</f>
        <v>10</v>
      </c>
    </row>
    <row r="11" spans="2:19" ht="13.95" customHeight="1">
      <c r="B11" s="123" t="s">
        <v>114</v>
      </c>
      <c r="C11" s="27"/>
      <c r="D11" s="27"/>
      <c r="E11" s="27"/>
      <c r="F11" s="27"/>
      <c r="G11" s="27"/>
      <c r="H11" s="27"/>
      <c r="I11" s="27"/>
      <c r="J11" s="27"/>
      <c r="S11" s="7">
        <f>ROW()</f>
        <v>11</v>
      </c>
    </row>
    <row r="12" spans="2:19" ht="13.95" customHeight="1">
      <c r="B12" s="1145" t="s">
        <v>1023</v>
      </c>
      <c r="C12" s="1155"/>
      <c r="D12" s="1155"/>
      <c r="E12" s="1155"/>
      <c r="F12" s="1155"/>
      <c r="G12" s="1155"/>
      <c r="H12" s="1155"/>
      <c r="I12" s="1155"/>
      <c r="J12" s="1155"/>
      <c r="K12" s="1155"/>
      <c r="L12" s="1155"/>
      <c r="M12" s="1155"/>
      <c r="S12" s="7">
        <f>ROW()</f>
        <v>12</v>
      </c>
    </row>
    <row r="13" spans="2:19" ht="13.95" customHeight="1">
      <c r="B13" s="1155"/>
      <c r="C13" s="1155"/>
      <c r="D13" s="1155"/>
      <c r="E13" s="1155"/>
      <c r="F13" s="1155"/>
      <c r="G13" s="1155"/>
      <c r="H13" s="1155"/>
      <c r="I13" s="1155"/>
      <c r="J13" s="1155"/>
      <c r="K13" s="1155"/>
      <c r="L13" s="1155"/>
      <c r="M13" s="1155"/>
      <c r="S13" s="7">
        <f>ROW()</f>
        <v>13</v>
      </c>
    </row>
    <row r="14" spans="2:19" ht="13.95" customHeight="1">
      <c r="B14" s="1155"/>
      <c r="C14" s="1155"/>
      <c r="D14" s="1155"/>
      <c r="E14" s="1155"/>
      <c r="F14" s="1155"/>
      <c r="G14" s="1155"/>
      <c r="H14" s="1155"/>
      <c r="I14" s="1155"/>
      <c r="J14" s="1155"/>
      <c r="K14" s="1155"/>
      <c r="L14" s="1155"/>
      <c r="M14" s="1155"/>
      <c r="S14" s="7">
        <f>ROW()</f>
        <v>14</v>
      </c>
    </row>
    <row r="15" spans="2:19" ht="13.95" customHeight="1">
      <c r="G15" s="500">
        <v>2005</v>
      </c>
      <c r="H15" s="307">
        <v>2006</v>
      </c>
      <c r="I15" s="307">
        <v>2007</v>
      </c>
      <c r="J15" s="74">
        <v>2008</v>
      </c>
      <c r="K15" s="74">
        <v>2009</v>
      </c>
      <c r="L15" s="74">
        <v>2010</v>
      </c>
      <c r="M15" s="74">
        <v>2011</v>
      </c>
      <c r="N15" s="74">
        <v>2012</v>
      </c>
      <c r="O15" s="500">
        <v>2013</v>
      </c>
      <c r="P15" s="517">
        <v>2014</v>
      </c>
      <c r="Q15" s="517">
        <v>2015</v>
      </c>
      <c r="S15" s="7">
        <f>ROW()</f>
        <v>15</v>
      </c>
    </row>
    <row r="16" spans="2:19" ht="13.95" customHeight="1">
      <c r="B16" s="142" t="s">
        <v>135</v>
      </c>
      <c r="G16" s="63">
        <v>6134</v>
      </c>
      <c r="H16" s="548">
        <v>6019</v>
      </c>
      <c r="I16" s="548">
        <v>6123.4</v>
      </c>
      <c r="J16" s="63">
        <v>5936.9</v>
      </c>
      <c r="K16" s="63">
        <v>5500.6</v>
      </c>
      <c r="L16" s="63">
        <v>5704.5</v>
      </c>
      <c r="M16" s="63">
        <v>5568.9</v>
      </c>
      <c r="N16" s="63">
        <v>5358.3</v>
      </c>
      <c r="O16" s="396">
        <v>5505.2</v>
      </c>
      <c r="P16" s="396">
        <v>5556</v>
      </c>
      <c r="S16" s="7">
        <f>ROW()</f>
        <v>16</v>
      </c>
    </row>
    <row r="17" spans="2:29" ht="13.95" customHeight="1">
      <c r="B17" s="142" t="s">
        <v>136</v>
      </c>
      <c r="G17" s="63">
        <v>5747.7</v>
      </c>
      <c r="H17" s="548">
        <v>5653</v>
      </c>
      <c r="I17" s="548">
        <v>5762.6</v>
      </c>
      <c r="J17" s="63">
        <v>5593.4</v>
      </c>
      <c r="K17" s="63">
        <v>5197.1000000000004</v>
      </c>
      <c r="L17" s="63">
        <v>5367.1</v>
      </c>
      <c r="M17" s="63">
        <v>5231.3</v>
      </c>
      <c r="N17" s="63">
        <v>5026</v>
      </c>
      <c r="O17" s="396">
        <v>5157.7</v>
      </c>
      <c r="P17" s="396">
        <v>5208.2</v>
      </c>
      <c r="S17" s="7">
        <f>ROW()</f>
        <v>17</v>
      </c>
    </row>
    <row r="18" spans="2:29" ht="13.95" customHeight="1">
      <c r="B18" s="142" t="s">
        <v>137</v>
      </c>
      <c r="G18" s="63">
        <v>138.91409999999999</v>
      </c>
      <c r="H18" s="548">
        <v>143.80000000000001</v>
      </c>
      <c r="I18" s="548">
        <v>134.9</v>
      </c>
      <c r="J18" s="63">
        <v>128</v>
      </c>
      <c r="K18" s="63">
        <v>106</v>
      </c>
      <c r="L18" s="63">
        <v>114.6</v>
      </c>
      <c r="M18" s="553">
        <v>108.4</v>
      </c>
      <c r="N18" s="63">
        <v>104.9</v>
      </c>
      <c r="O18" s="396">
        <v>119.8</v>
      </c>
      <c r="P18" s="396">
        <v>114.3</v>
      </c>
      <c r="Q18" s="1379" t="s">
        <v>1000</v>
      </c>
      <c r="S18" s="7">
        <f>ROW()</f>
        <v>18</v>
      </c>
    </row>
    <row r="19" spans="2:29" ht="13.95" customHeight="1">
      <c r="B19" s="143" t="str">
        <f>CONCATENATE("20 misc. items incl IronSteel &amp; Cement (Row ",S16, " less ",S17, " &amp; ",S18,")")</f>
        <v>20 misc. items incl IronSteel &amp; Cement (Row 16 less 17 &amp; 18)</v>
      </c>
      <c r="G19" s="63">
        <f t="shared" ref="G19:P19" si="0">G16-G17-G18</f>
        <v>247.38590000000019</v>
      </c>
      <c r="H19" s="548">
        <f t="shared" si="0"/>
        <v>222.2</v>
      </c>
      <c r="I19" s="548">
        <f t="shared" si="0"/>
        <v>225.89999999999927</v>
      </c>
      <c r="J19" s="63">
        <f t="shared" si="0"/>
        <v>215.5</v>
      </c>
      <c r="K19" s="63">
        <f t="shared" si="0"/>
        <v>197.5</v>
      </c>
      <c r="L19" s="63">
        <f t="shared" si="0"/>
        <v>222.79999999999964</v>
      </c>
      <c r="M19" s="63">
        <f t="shared" si="0"/>
        <v>229.19999999999945</v>
      </c>
      <c r="N19" s="63">
        <f t="shared" si="0"/>
        <v>227.40000000000018</v>
      </c>
      <c r="O19" s="63">
        <f t="shared" si="0"/>
        <v>227.7</v>
      </c>
      <c r="P19" s="63">
        <f t="shared" si="0"/>
        <v>233.50000000000017</v>
      </c>
      <c r="Q19" s="1379"/>
      <c r="S19" s="7">
        <f>ROW()</f>
        <v>19</v>
      </c>
    </row>
    <row r="20" spans="2:29" ht="13.95" customHeight="1">
      <c r="B20" s="142" t="s">
        <v>320</v>
      </c>
      <c r="G20" s="63">
        <v>113.1</v>
      </c>
      <c r="H20" s="548">
        <v>128.4</v>
      </c>
      <c r="I20" s="548">
        <v>122</v>
      </c>
      <c r="J20" s="63">
        <v>114.3</v>
      </c>
      <c r="K20" s="63">
        <v>106.4</v>
      </c>
      <c r="L20" s="63">
        <v>117</v>
      </c>
      <c r="M20" s="63">
        <v>111.7</v>
      </c>
      <c r="N20" s="63">
        <v>105.8</v>
      </c>
      <c r="O20" s="396">
        <v>99.8</v>
      </c>
      <c r="P20" s="396">
        <v>103.2</v>
      </c>
      <c r="Q20" s="1379"/>
      <c r="S20" s="7">
        <f>ROW()</f>
        <v>20</v>
      </c>
      <c r="Y20" s="131"/>
      <c r="Z20" s="131"/>
      <c r="AA20" s="131"/>
      <c r="AB20" s="131"/>
      <c r="AC20" s="131"/>
    </row>
    <row r="21" spans="2:29" s="8" customFormat="1" ht="13.95" customHeight="1">
      <c r="B21" s="144" t="str">
        <f>CONCATENATE("CO2 from FF Comb + IBF, i.e., Rows ",S17, " + ",S20, )</f>
        <v>CO2 from FF Comb + IBF, i.e., Rows 17 + 20</v>
      </c>
      <c r="G21" s="549">
        <f t="shared" ref="G21:P21" si="1">G17+G20</f>
        <v>5860.8</v>
      </c>
      <c r="H21" s="550">
        <f t="shared" si="1"/>
        <v>5781.4</v>
      </c>
      <c r="I21" s="550">
        <f t="shared" si="1"/>
        <v>5884.6</v>
      </c>
      <c r="J21" s="549">
        <f t="shared" si="1"/>
        <v>5707.7</v>
      </c>
      <c r="K21" s="549">
        <f t="shared" si="1"/>
        <v>5303.5</v>
      </c>
      <c r="L21" s="549">
        <f t="shared" si="1"/>
        <v>5484.1</v>
      </c>
      <c r="M21" s="549">
        <f t="shared" si="1"/>
        <v>5343</v>
      </c>
      <c r="N21" s="549">
        <f t="shared" si="1"/>
        <v>5131.8</v>
      </c>
      <c r="O21" s="549">
        <f t="shared" si="1"/>
        <v>5257.5</v>
      </c>
      <c r="P21" s="549">
        <f t="shared" si="1"/>
        <v>5311.4</v>
      </c>
      <c r="Q21" s="1379"/>
      <c r="S21" s="7">
        <f>ROW()</f>
        <v>21</v>
      </c>
      <c r="T21" s="132"/>
      <c r="U21" s="132"/>
      <c r="V21" s="132"/>
      <c r="W21" s="132"/>
      <c r="X21" s="132"/>
      <c r="Y21" s="132"/>
      <c r="Z21" s="132"/>
      <c r="AA21" s="132"/>
      <c r="AB21" s="132"/>
      <c r="AC21" s="132"/>
    </row>
    <row r="22" spans="2:29" s="8" customFormat="1" ht="13.95" customHeight="1">
      <c r="B22" s="144"/>
      <c r="Q22" s="1379"/>
      <c r="S22" s="7">
        <f>ROW()</f>
        <v>22</v>
      </c>
      <c r="T22" s="132"/>
      <c r="U22" s="132"/>
      <c r="V22" s="132"/>
      <c r="W22" s="132"/>
      <c r="X22" s="132"/>
      <c r="Y22" s="132"/>
      <c r="Z22" s="132"/>
      <c r="AA22" s="132"/>
      <c r="AB22" s="132"/>
      <c r="AC22" s="132"/>
    </row>
    <row r="23" spans="2:29" ht="13.95" customHeight="1">
      <c r="B23" s="123"/>
      <c r="G23" s="500">
        <v>2005</v>
      </c>
      <c r="H23" s="307">
        <v>2006</v>
      </c>
      <c r="I23" s="307">
        <v>2007</v>
      </c>
      <c r="J23" s="74">
        <v>2008</v>
      </c>
      <c r="K23" s="74">
        <v>2009</v>
      </c>
      <c r="L23" s="74">
        <v>2010</v>
      </c>
      <c r="M23" s="74">
        <v>2011</v>
      </c>
      <c r="N23" s="74">
        <v>2012</v>
      </c>
      <c r="O23" s="500">
        <v>2013</v>
      </c>
      <c r="P23" s="517">
        <v>2014</v>
      </c>
      <c r="Q23" s="1379"/>
      <c r="S23" s="7">
        <f>ROW()</f>
        <v>23</v>
      </c>
      <c r="T23" s="131"/>
      <c r="U23" s="131"/>
      <c r="V23" s="131"/>
      <c r="W23" s="131"/>
      <c r="X23" s="131"/>
      <c r="Y23" s="131"/>
      <c r="Z23" s="131"/>
      <c r="AA23" s="131"/>
      <c r="AB23" s="131"/>
      <c r="AC23" s="131"/>
    </row>
    <row r="24" spans="2:29" ht="13.95" customHeight="1">
      <c r="B24" s="123"/>
      <c r="G24" s="1377" t="str">
        <f>CONCATENATE("Don't use figures in row ",S25, ", since they exclude MSW.")</f>
        <v>Don't use figures in row 25, since they exclude MSW.</v>
      </c>
      <c r="H24" s="1378"/>
      <c r="I24" s="1378"/>
      <c r="J24" s="1378"/>
      <c r="K24" s="1378"/>
      <c r="L24" s="1378"/>
      <c r="M24" s="1378"/>
      <c r="N24" s="1378"/>
      <c r="O24" s="1378"/>
      <c r="P24" s="946"/>
      <c r="Q24" s="1379"/>
      <c r="S24" s="7">
        <f>ROW()</f>
        <v>24</v>
      </c>
      <c r="T24" s="131"/>
      <c r="U24" s="131"/>
      <c r="V24" s="131"/>
      <c r="W24" s="131"/>
      <c r="X24" s="131"/>
      <c r="Y24" s="131"/>
      <c r="Z24" s="131"/>
      <c r="AA24" s="131"/>
      <c r="AB24" s="131"/>
      <c r="AC24" s="131"/>
    </row>
    <row r="25" spans="2:29" ht="13.95" customHeight="1">
      <c r="B25" s="8" t="s">
        <v>321</v>
      </c>
      <c r="G25" s="943">
        <v>2400.9</v>
      </c>
      <c r="H25" s="944">
        <v>2346.4</v>
      </c>
      <c r="I25" s="944">
        <v>2412.8000000000002</v>
      </c>
      <c r="J25" s="944">
        <v>2360.9</v>
      </c>
      <c r="K25" s="944">
        <v>2145.6999999999998</v>
      </c>
      <c r="L25" s="944">
        <v>2258.4</v>
      </c>
      <c r="M25" s="944">
        <v>2157.6999999999998</v>
      </c>
      <c r="N25" s="944">
        <v>2022.2</v>
      </c>
      <c r="O25" s="945">
        <v>2039.8</v>
      </c>
      <c r="P25" s="960">
        <v>2039.3</v>
      </c>
      <c r="Q25" s="1379"/>
      <c r="S25" s="7">
        <f>ROW()</f>
        <v>25</v>
      </c>
      <c r="T25" s="131"/>
      <c r="U25" s="131"/>
      <c r="V25" s="131"/>
      <c r="W25" s="131"/>
      <c r="X25" s="131"/>
      <c r="Y25" s="131"/>
      <c r="Z25" s="131"/>
      <c r="AA25" s="131"/>
      <c r="AB25" s="131"/>
      <c r="AC25" s="131"/>
    </row>
    <row r="26" spans="2:29" ht="13.95" customHeight="1">
      <c r="B26" s="92" t="s">
        <v>814</v>
      </c>
      <c r="G26">
        <v>1983.8</v>
      </c>
      <c r="H26" s="309">
        <v>1953.7</v>
      </c>
      <c r="I26" s="309">
        <v>1987.3</v>
      </c>
      <c r="J26">
        <v>1959.4</v>
      </c>
      <c r="K26">
        <v>1740.9</v>
      </c>
      <c r="L26" s="7">
        <v>1827.6</v>
      </c>
      <c r="M26" s="7">
        <v>1722.7</v>
      </c>
      <c r="N26" s="7">
        <v>1511.2</v>
      </c>
      <c r="O26" s="7">
        <v>1575</v>
      </c>
      <c r="P26" s="947">
        <v>1570.4</v>
      </c>
      <c r="Q26" s="912">
        <f>P26*Energy!Q11/Energy!P11</f>
        <v>1346.3605293005671</v>
      </c>
      <c r="R26" s="951"/>
      <c r="S26" s="7">
        <f>ROW()</f>
        <v>26</v>
      </c>
      <c r="T26" s="131"/>
      <c r="U26" s="131"/>
      <c r="V26" s="131"/>
      <c r="W26" s="131"/>
      <c r="X26" s="131"/>
      <c r="Y26" s="131"/>
      <c r="Z26" s="131"/>
      <c r="AA26" s="131"/>
      <c r="AB26" s="131"/>
      <c r="AC26" s="131"/>
    </row>
    <row r="27" spans="2:29" ht="13.95" customHeight="1">
      <c r="B27" s="83" t="s">
        <v>324</v>
      </c>
      <c r="C27" s="3"/>
      <c r="D27" s="3"/>
      <c r="E27" s="3"/>
      <c r="F27" s="3"/>
      <c r="G27" s="242">
        <f>G26*Parameters!$I$18/Energy!G11</f>
        <v>2.1731519574434204</v>
      </c>
      <c r="H27" s="310">
        <f>H26*Parameters!$I$18/Energy!H11</f>
        <v>2.1642222564105373</v>
      </c>
      <c r="I27" s="310">
        <f>I26*Parameters!$I$18/Energy!I11</f>
        <v>2.1731182847615851</v>
      </c>
      <c r="J27" s="242">
        <f>J26*Parameters!$I$18/Energy!J11</f>
        <v>2.1756845034351016</v>
      </c>
      <c r="K27" s="242">
        <f>K26*Parameters!$I$18/Energy!K11</f>
        <v>2.1861582107575201</v>
      </c>
      <c r="L27" s="242">
        <f>L26*Parameters!$I$18/Energy!L11</f>
        <v>2.1814968907764167</v>
      </c>
      <c r="M27" s="242">
        <f>M26*Parameters!$I$18/Energy!M11</f>
        <v>2.1913509567985123</v>
      </c>
      <c r="N27" s="242">
        <f>N26*Parameters!$I$18/Energy!N11</f>
        <v>2.2008596328157655</v>
      </c>
      <c r="O27" s="242">
        <f>O26*Parameters!$I$18/Energy!O11</f>
        <v>2.1964725044023941</v>
      </c>
      <c r="P27" s="242">
        <f>P26*Parameters!$I$18/Energy!P11</f>
        <v>2.1892331716939264</v>
      </c>
      <c r="R27" s="952"/>
      <c r="S27" s="7">
        <f>ROW()</f>
        <v>27</v>
      </c>
      <c r="AB27" s="3"/>
      <c r="AC27" s="3"/>
    </row>
    <row r="28" spans="2:29" ht="13.95" customHeight="1">
      <c r="B28" s="83" t="s">
        <v>656</v>
      </c>
      <c r="C28" s="3"/>
      <c r="D28" s="3"/>
      <c r="E28" s="3"/>
      <c r="F28" s="3"/>
      <c r="G28" s="243"/>
      <c r="H28" s="311">
        <f t="shared" ref="H28:P28" si="2">H27/G27-1</f>
        <v>-4.1091010696685526E-3</v>
      </c>
      <c r="I28" s="311">
        <f t="shared" si="2"/>
        <v>4.11049665749319E-3</v>
      </c>
      <c r="J28" s="243">
        <f t="shared" si="2"/>
        <v>1.1808923110681047E-3</v>
      </c>
      <c r="K28" s="243">
        <f t="shared" si="2"/>
        <v>4.8139825907120848E-3</v>
      </c>
      <c r="L28" s="243">
        <f t="shared" si="2"/>
        <v>-2.1321970011897173E-3</v>
      </c>
      <c r="M28" s="243">
        <f t="shared" si="2"/>
        <v>4.5171121094691458E-3</v>
      </c>
      <c r="N28" s="243">
        <f t="shared" si="2"/>
        <v>4.3391844595923601E-3</v>
      </c>
      <c r="O28" s="243">
        <f t="shared" si="2"/>
        <v>-1.9933703848975526E-3</v>
      </c>
      <c r="P28" s="243">
        <f t="shared" si="2"/>
        <v>-3.2958904306600312E-3</v>
      </c>
      <c r="R28" s="952"/>
      <c r="S28" s="7">
        <f>ROW()</f>
        <v>28</v>
      </c>
      <c r="AB28" s="3"/>
      <c r="AC28" s="3"/>
    </row>
    <row r="29" spans="2:29" ht="13.95" customHeight="1">
      <c r="B29" s="83" t="s">
        <v>657</v>
      </c>
      <c r="C29" s="3"/>
      <c r="D29" s="3"/>
      <c r="E29" s="3"/>
      <c r="F29" s="3"/>
      <c r="G29" s="243"/>
      <c r="H29" s="311">
        <f t="shared" ref="H29:P29" si="3">(H27/$G$27)^(1/(H15-$G$15))-1</f>
        <v>-4.1091010696685526E-3</v>
      </c>
      <c r="I29" s="311">
        <f t="shared" si="3"/>
        <v>-7.7474592053983216E-6</v>
      </c>
      <c r="J29" s="243">
        <f t="shared" si="3"/>
        <v>3.883089149767649E-4</v>
      </c>
      <c r="K29" s="243">
        <f t="shared" si="3"/>
        <v>1.4928965265705862E-3</v>
      </c>
      <c r="L29" s="243">
        <f t="shared" si="3"/>
        <v>7.6682579829445707E-4</v>
      </c>
      <c r="M29" s="243">
        <f t="shared" si="3"/>
        <v>1.3908997827147829E-3</v>
      </c>
      <c r="N29" s="243">
        <f t="shared" si="3"/>
        <v>1.8115528270679082E-3</v>
      </c>
      <c r="O29" s="243">
        <f t="shared" si="3"/>
        <v>1.3351452410728104E-3</v>
      </c>
      <c r="P29" s="243">
        <f t="shared" si="3"/>
        <v>8.1952495792769753E-4</v>
      </c>
      <c r="R29" s="952"/>
      <c r="S29" s="7">
        <f>ROW()</f>
        <v>29</v>
      </c>
      <c r="AB29" s="3"/>
      <c r="AC29" s="3"/>
    </row>
    <row r="30" spans="2:29" ht="13.95" customHeight="1">
      <c r="B30" s="92" t="s">
        <v>815</v>
      </c>
      <c r="G30">
        <v>318.8</v>
      </c>
      <c r="H30" s="308">
        <v>338</v>
      </c>
      <c r="I30" s="308">
        <v>371.3</v>
      </c>
      <c r="J30">
        <v>361.9</v>
      </c>
      <c r="K30">
        <v>372.2</v>
      </c>
      <c r="L30" s="7">
        <v>399</v>
      </c>
      <c r="M30" s="7">
        <v>408.8</v>
      </c>
      <c r="N30" s="7">
        <v>492.2</v>
      </c>
      <c r="O30" s="7">
        <v>441.9</v>
      </c>
      <c r="P30" s="947">
        <v>443.2</v>
      </c>
      <c r="Q30" s="912">
        <f>P30*Energy!Q13/Energy!P13</f>
        <v>525.20629393161255</v>
      </c>
      <c r="R30" s="952"/>
      <c r="S30" s="7">
        <f>ROW()</f>
        <v>30</v>
      </c>
    </row>
    <row r="31" spans="2:29" ht="13.95" customHeight="1">
      <c r="B31" s="83" t="s">
        <v>324</v>
      </c>
      <c r="G31" s="242">
        <f>G30*Parameters!$I$18/Energy!G13</f>
        <v>0.92377229468281796</v>
      </c>
      <c r="H31" s="310">
        <f>H30*Parameters!$I$18/Energy!H13</f>
        <v>0.91285250245403593</v>
      </c>
      <c r="I31" s="310">
        <f>I30*Parameters!$I$18/Energy!I13</f>
        <v>0.9131450170616543</v>
      </c>
      <c r="J31" s="242">
        <f>J30*Parameters!$I$18/Energy!J13</f>
        <v>0.90374522487101661</v>
      </c>
      <c r="K31" s="242">
        <f>K30*Parameters!$I$18/Energy!K13</f>
        <v>0.89111834717920035</v>
      </c>
      <c r="L31" s="242">
        <f>L30*Parameters!$I$18/Energy!L13</f>
        <v>0.89075373476240793</v>
      </c>
      <c r="M31" s="242">
        <f>M30*Parameters!$I$18/Energy!M13</f>
        <v>0.88923137484517201</v>
      </c>
      <c r="N31" s="242">
        <f>N30*Parameters!$I$18/Energy!N13</f>
        <v>0.8853137751470268</v>
      </c>
      <c r="O31" s="242">
        <f>O30*Parameters!$I$18/Energy!O13</f>
        <v>0.86625061889046251</v>
      </c>
      <c r="P31" s="242">
        <f>P30*Parameters!$I$18/Energy!P13</f>
        <v>0.86743138036355116</v>
      </c>
      <c r="R31" s="952"/>
      <c r="S31" s="7">
        <f>ROW()</f>
        <v>31</v>
      </c>
    </row>
    <row r="32" spans="2:29" ht="13.95" customHeight="1">
      <c r="B32" s="83" t="s">
        <v>656</v>
      </c>
      <c r="G32" s="243"/>
      <c r="H32" s="311">
        <f t="shared" ref="H32:N32" si="4">H31/G31-1</f>
        <v>-1.182087002569332E-2</v>
      </c>
      <c r="I32" s="311">
        <f t="shared" si="4"/>
        <v>3.2044016621735061E-4</v>
      </c>
      <c r="J32" s="243">
        <f t="shared" si="4"/>
        <v>-1.0293865722319384E-2</v>
      </c>
      <c r="K32" s="243">
        <f t="shared" si="4"/>
        <v>-1.3971722720436341E-2</v>
      </c>
      <c r="L32" s="243">
        <f t="shared" si="4"/>
        <v>-4.09162731242807E-4</v>
      </c>
      <c r="M32" s="243">
        <f t="shared" si="4"/>
        <v>-1.7090693620746E-3</v>
      </c>
      <c r="N32" s="243">
        <f t="shared" si="4"/>
        <v>-4.4056021964219427E-3</v>
      </c>
      <c r="O32" s="243">
        <f t="shared" ref="O32" si="5">O31/N31-1</f>
        <v>-2.1532655191543126E-2</v>
      </c>
      <c r="P32" s="243">
        <f t="shared" ref="P32" si="6">P31/O31-1</f>
        <v>1.3630714337624639E-3</v>
      </c>
      <c r="R32" s="952"/>
      <c r="S32" s="7">
        <f>ROW()</f>
        <v>32</v>
      </c>
    </row>
    <row r="33" spans="2:29" ht="13.95" customHeight="1">
      <c r="B33" s="83" t="s">
        <v>657</v>
      </c>
      <c r="G33" s="243"/>
      <c r="H33" s="311">
        <f t="shared" ref="H33:P33" si="7">(H31/$G$31)^(1/(H15-$G$15))-1</f>
        <v>-1.182087002569332E-2</v>
      </c>
      <c r="I33" s="311">
        <f t="shared" si="7"/>
        <v>-5.7687480978239059E-3</v>
      </c>
      <c r="J33" s="243">
        <f t="shared" si="7"/>
        <v>-7.2794148320856067E-3</v>
      </c>
      <c r="K33" s="243">
        <f t="shared" si="7"/>
        <v>-8.9567380829305154E-3</v>
      </c>
      <c r="L33" s="243">
        <f t="shared" si="7"/>
        <v>-7.2530903834088223E-3</v>
      </c>
      <c r="M33" s="243">
        <f t="shared" si="7"/>
        <v>-6.3312296218335229E-3</v>
      </c>
      <c r="N33" s="243">
        <f t="shared" si="7"/>
        <v>-6.0563681853368356E-3</v>
      </c>
      <c r="O33" s="243">
        <f t="shared" si="7"/>
        <v>-8.0042120746373069E-3</v>
      </c>
      <c r="P33" s="243">
        <f t="shared" si="7"/>
        <v>-6.9677451001909363E-3</v>
      </c>
      <c r="R33" s="952"/>
      <c r="S33" s="7">
        <f>ROW()</f>
        <v>33</v>
      </c>
    </row>
    <row r="34" spans="2:29" ht="13.95" customHeight="1">
      <c r="B34" s="92" t="s">
        <v>816</v>
      </c>
      <c r="G34">
        <v>97.9</v>
      </c>
      <c r="H34" s="309">
        <v>54.4</v>
      </c>
      <c r="I34" s="309">
        <v>53.9</v>
      </c>
      <c r="J34">
        <v>39.200000000000003</v>
      </c>
      <c r="K34" s="7">
        <v>32.200000000000003</v>
      </c>
      <c r="L34" s="7">
        <v>31.4</v>
      </c>
      <c r="M34" s="7">
        <v>25.8</v>
      </c>
      <c r="N34" s="7">
        <v>18.3</v>
      </c>
      <c r="O34" s="7">
        <v>22.4</v>
      </c>
      <c r="P34" s="947">
        <v>25.3</v>
      </c>
      <c r="Q34" s="912">
        <f>P34*Energy!Q12/Energy!P12</f>
        <v>23.802854591161683</v>
      </c>
      <c r="R34" s="952"/>
      <c r="S34" s="7">
        <f>ROW()</f>
        <v>34</v>
      </c>
      <c r="AB34" s="241"/>
      <c r="AC34" s="241"/>
    </row>
    <row r="35" spans="2:29" ht="13.95" customHeight="1">
      <c r="B35" s="83" t="s">
        <v>324</v>
      </c>
      <c r="G35" s="242">
        <f>G34*Parameters!$I$18/Energy!G12</f>
        <v>1.766164614237689</v>
      </c>
      <c r="H35" s="310">
        <f>H34*Parameters!$I$18/Energy!H12</f>
        <v>1.8693891792051835</v>
      </c>
      <c r="I35" s="310">
        <f>I34*Parameters!$I$18/Energy!I12</f>
        <v>1.8079000254613022</v>
      </c>
      <c r="J35" s="242">
        <f>J34*Parameters!$I$18/Energy!J12</f>
        <v>1.8691850711201174</v>
      </c>
      <c r="K35" s="242">
        <f>K34*Parameters!$I$18/Energy!K12</f>
        <v>1.8235068033181707</v>
      </c>
      <c r="L35" s="242">
        <f>L34*Parameters!$I$18/Energy!L12</f>
        <v>1.8681896255776926</v>
      </c>
      <c r="M35" s="242">
        <f>M34*Parameters!$I$18/Energy!M12</f>
        <v>1.8848498512950247</v>
      </c>
      <c r="N35" s="242">
        <f>N34*Parameters!$I$18/Energy!N12</f>
        <v>1.740073176089463</v>
      </c>
      <c r="O35" s="242">
        <f>O34*Parameters!$I$18/Energy!O12</f>
        <v>1.8182591920526701</v>
      </c>
      <c r="P35" s="242">
        <f>P34*Parameters!$I$18/Energy!P12</f>
        <v>1.8452798359354325</v>
      </c>
      <c r="R35" s="609"/>
      <c r="S35" s="7">
        <f>ROW()</f>
        <v>35</v>
      </c>
      <c r="T35" s="244"/>
      <c r="AB35" s="241"/>
      <c r="AC35" s="241"/>
    </row>
    <row r="36" spans="2:29" ht="13.95" customHeight="1">
      <c r="B36" s="83" t="s">
        <v>656</v>
      </c>
      <c r="G36" s="243"/>
      <c r="H36" s="311">
        <f t="shared" ref="H36:P36" si="8">H35/G35-1</f>
        <v>5.8445608147374317E-2</v>
      </c>
      <c r="I36" s="311">
        <f t="shared" si="8"/>
        <v>-3.2892644521471448E-2</v>
      </c>
      <c r="J36" s="243">
        <f t="shared" si="8"/>
        <v>3.3898470488254784E-2</v>
      </c>
      <c r="K36" s="243">
        <f t="shared" si="8"/>
        <v>-2.4437530829718113E-2</v>
      </c>
      <c r="L36" s="243">
        <f t="shared" si="8"/>
        <v>2.4503786976946884E-2</v>
      </c>
      <c r="M36" s="243">
        <f t="shared" si="8"/>
        <v>8.917845110171907E-3</v>
      </c>
      <c r="N36" s="243">
        <f t="shared" si="8"/>
        <v>-7.6810720549485678E-2</v>
      </c>
      <c r="O36" s="243">
        <f t="shared" si="8"/>
        <v>4.4932602282231393E-2</v>
      </c>
      <c r="P36" s="243">
        <f t="shared" si="8"/>
        <v>1.4860721728159332E-2</v>
      </c>
      <c r="S36" s="7">
        <f>ROW()</f>
        <v>36</v>
      </c>
      <c r="T36" s="244"/>
      <c r="AB36" s="241"/>
      <c r="AC36" s="241"/>
    </row>
    <row r="37" spans="2:29" ht="13.95" customHeight="1">
      <c r="B37" s="83" t="s">
        <v>657</v>
      </c>
      <c r="G37" s="243"/>
      <c r="H37" s="311">
        <f t="shared" ref="H37:P37" si="9">(H35/$G$35)^(1/(H15-$G$15))-1</f>
        <v>5.8445608147374317E-2</v>
      </c>
      <c r="I37" s="311">
        <f t="shared" si="9"/>
        <v>1.1746278971793478E-2</v>
      </c>
      <c r="J37" s="243">
        <f t="shared" si="9"/>
        <v>1.9077097546400523E-2</v>
      </c>
      <c r="K37" s="243">
        <f t="shared" si="9"/>
        <v>8.0197753124064963E-3</v>
      </c>
      <c r="L37" s="243">
        <f t="shared" si="9"/>
        <v>1.1295221975517133E-2</v>
      </c>
      <c r="M37" s="243">
        <f t="shared" si="9"/>
        <v>1.0898603828763287E-2</v>
      </c>
      <c r="N37" s="243">
        <f t="shared" si="9"/>
        <v>-2.1239046467851352E-3</v>
      </c>
      <c r="O37" s="243">
        <f t="shared" si="9"/>
        <v>3.6402653043567934E-3</v>
      </c>
      <c r="P37" s="243">
        <f t="shared" si="9"/>
        <v>4.8808312739840876E-3</v>
      </c>
      <c r="S37" s="7">
        <f>ROW()</f>
        <v>37</v>
      </c>
      <c r="T37" s="244"/>
      <c r="AB37" s="241"/>
      <c r="AC37" s="241"/>
    </row>
    <row r="38" spans="2:29" ht="13.95" customHeight="1">
      <c r="B38" s="124" t="s">
        <v>116</v>
      </c>
      <c r="G38">
        <v>12.5</v>
      </c>
      <c r="H38" s="309">
        <v>12.5</v>
      </c>
      <c r="I38" s="309">
        <v>12.7</v>
      </c>
      <c r="J38">
        <v>11.9</v>
      </c>
      <c r="K38">
        <v>11.7</v>
      </c>
      <c r="L38" s="7">
        <v>11</v>
      </c>
      <c r="M38" s="7">
        <v>10.5</v>
      </c>
      <c r="N38" s="7">
        <v>10.4</v>
      </c>
      <c r="O38" s="7">
        <v>9.4</v>
      </c>
      <c r="P38" s="948">
        <v>9.4</v>
      </c>
      <c r="R38" s="949"/>
      <c r="S38" s="7">
        <f>ROW()</f>
        <v>38</v>
      </c>
      <c r="T38" s="241"/>
      <c r="AB38" s="241"/>
      <c r="AC38" s="241"/>
    </row>
    <row r="39" spans="2:29" ht="13.95" customHeight="1">
      <c r="B39" s="124" t="s">
        <v>386</v>
      </c>
      <c r="G39">
        <v>0.4</v>
      </c>
      <c r="H39" s="309">
        <v>0.4</v>
      </c>
      <c r="I39" s="309">
        <v>0.4</v>
      </c>
      <c r="J39">
        <v>0.4</v>
      </c>
      <c r="K39">
        <v>0.4</v>
      </c>
      <c r="L39">
        <v>0.4</v>
      </c>
      <c r="M39">
        <v>0.4</v>
      </c>
      <c r="N39">
        <f>M39</f>
        <v>0.4</v>
      </c>
      <c r="O39">
        <f>N39</f>
        <v>0.4</v>
      </c>
      <c r="P39" s="372">
        <f>O39</f>
        <v>0.4</v>
      </c>
      <c r="R39" s="950"/>
      <c r="S39" s="7">
        <f>ROW()</f>
        <v>39</v>
      </c>
      <c r="T39" s="95"/>
      <c r="U39" s="112"/>
      <c r="V39" s="112"/>
      <c r="W39" s="112"/>
    </row>
    <row r="40" spans="2:29" ht="13.95" customHeight="1">
      <c r="B40" s="8" t="s">
        <v>133</v>
      </c>
      <c r="G40" s="321">
        <f t="shared" ref="G40:Q40" si="10">G26+G30+G34+G38</f>
        <v>2413</v>
      </c>
      <c r="H40" s="322">
        <f t="shared" si="10"/>
        <v>2358.6</v>
      </c>
      <c r="I40" s="322">
        <f t="shared" si="10"/>
        <v>2425.1999999999998</v>
      </c>
      <c r="J40" s="323">
        <f t="shared" si="10"/>
        <v>2372.4</v>
      </c>
      <c r="K40" s="323">
        <f t="shared" si="10"/>
        <v>2156.9999999999995</v>
      </c>
      <c r="L40" s="323">
        <f t="shared" si="10"/>
        <v>2269</v>
      </c>
      <c r="M40" s="323">
        <f t="shared" si="10"/>
        <v>2167.8000000000002</v>
      </c>
      <c r="N40" s="323">
        <f t="shared" si="10"/>
        <v>2032.1000000000001</v>
      </c>
      <c r="O40" s="323">
        <f t="shared" si="10"/>
        <v>2048.7000000000003</v>
      </c>
      <c r="P40" s="961">
        <f t="shared" si="10"/>
        <v>2048.3000000000002</v>
      </c>
      <c r="Q40" s="962">
        <f t="shared" si="10"/>
        <v>1895.3696778233411</v>
      </c>
      <c r="S40" s="7">
        <f>ROW()</f>
        <v>40</v>
      </c>
      <c r="T40" s="95"/>
      <c r="U40" s="112"/>
      <c r="V40" s="112"/>
      <c r="W40" s="112"/>
    </row>
    <row r="41" spans="2:29" ht="13.95" customHeight="1">
      <c r="G41" s="1380" t="s">
        <v>325</v>
      </c>
      <c r="H41" s="1381"/>
      <c r="I41" s="1381"/>
      <c r="J41" s="1381"/>
      <c r="K41" s="1381"/>
      <c r="L41" s="1381"/>
      <c r="M41" s="1381"/>
      <c r="N41" s="1381"/>
      <c r="O41" s="1381"/>
      <c r="P41" s="1382"/>
      <c r="S41" s="7">
        <f>ROW()</f>
        <v>41</v>
      </c>
    </row>
    <row r="42" spans="2:29" ht="13.95" customHeight="1">
      <c r="S42" s="7">
        <f>ROW()</f>
        <v>42</v>
      </c>
    </row>
    <row r="43" spans="2:29" ht="13.95" customHeight="1">
      <c r="B43" s="8" t="s">
        <v>142</v>
      </c>
      <c r="C43" s="27"/>
      <c r="D43" s="27"/>
      <c r="E43" s="27"/>
      <c r="F43" s="27"/>
      <c r="G43" s="65">
        <f>G40*Parameters!$I$18/(Energy!G7*1000)</f>
        <v>1.3119877576265015</v>
      </c>
      <c r="H43" s="65">
        <f>H40*Parameters!$I$18/(Energy!H7*1000)</f>
        <v>1.2794819173159859</v>
      </c>
      <c r="I43" s="65">
        <f>I40*Parameters!$I$18/(Energy!I7*1000)</f>
        <v>1.2864792897010242</v>
      </c>
      <c r="J43" s="65">
        <f>J40*Parameters!$I$18/(Energy!J7*1000)</f>
        <v>1.2698833673283527</v>
      </c>
      <c r="K43" s="65">
        <f>K40*Parameters!$I$18/(Energy!K7*1000)</f>
        <v>1.2039965987386247</v>
      </c>
      <c r="L43" s="65">
        <f>L40*Parameters!$I$18/(Energy!L7*1000)</f>
        <v>1.212866024078826</v>
      </c>
      <c r="M43" s="65">
        <f>M40*Parameters!$I$18/(Energy!M7*1000)</f>
        <v>1.1658133427861075</v>
      </c>
      <c r="N43" s="65">
        <f>N40*Parameters!$I$18/(Energy!N7*1000)</f>
        <v>1.1069763714509471</v>
      </c>
      <c r="O43" s="65">
        <f>O40*Parameters!$I$18/(Energy!O7*1000)</f>
        <v>1.1110239599884237</v>
      </c>
      <c r="P43" s="65">
        <f>P40*Parameters!$I$18/(Energy!P7*1000)</f>
        <v>1.1034873116416684</v>
      </c>
      <c r="Q43" s="65">
        <f>Q40*Parameters!$I$18/(Energy!Q7*1000)</f>
        <v>1.0225813896746923</v>
      </c>
      <c r="S43" s="7">
        <f>ROW()</f>
        <v>43</v>
      </c>
    </row>
    <row r="44" spans="2:29" ht="13.95" customHeight="1">
      <c r="B44" s="262" t="str">
        <f>CONCATENATE("Emissions from Row ",S40, ", divided by Generation from 'Energy' tab, Row ",Energy!R7, ", with metric tons converted to pounds and TWh's converted to kWh's.")</f>
        <v>Emissions from Row 40, divided by Generation from 'Energy' tab, Row 7, with metric tons converted to pounds and TWh's converted to kWh's.</v>
      </c>
      <c r="C44" s="27"/>
      <c r="D44" s="27"/>
      <c r="E44" s="27"/>
      <c r="F44" s="27"/>
      <c r="G44" s="27"/>
      <c r="H44" s="27"/>
      <c r="I44" s="27"/>
      <c r="J44" s="27"/>
      <c r="K44" s="27"/>
      <c r="L44" s="27"/>
      <c r="M44" s="27"/>
      <c r="S44" s="7">
        <f>ROW()</f>
        <v>44</v>
      </c>
    </row>
    <row r="45" spans="2:29" ht="13.95" customHeight="1">
      <c r="B45" s="13" t="s">
        <v>389</v>
      </c>
      <c r="C45" s="27"/>
      <c r="D45" s="27"/>
      <c r="E45" s="27"/>
      <c r="F45" s="27"/>
      <c r="G45" s="27"/>
      <c r="H45" s="27"/>
      <c r="I45" s="27"/>
      <c r="J45" s="27"/>
      <c r="K45" s="27"/>
      <c r="L45" s="65">
        <f t="shared" ref="L45:Q45" si="11">(L43/$G43)^(1/(L9-$G9))</f>
        <v>0.98441134364683791</v>
      </c>
      <c r="M45" s="65">
        <f t="shared" si="11"/>
        <v>0.98050513659364003</v>
      </c>
      <c r="N45" s="65">
        <f t="shared" si="11"/>
        <v>0.97601921308535144</v>
      </c>
      <c r="O45" s="65">
        <f t="shared" si="11"/>
        <v>0.9794318108019624</v>
      </c>
      <c r="P45" s="65">
        <f t="shared" si="11"/>
        <v>0.98095394462581376</v>
      </c>
      <c r="Q45" s="65">
        <f t="shared" si="11"/>
        <v>0.9753866568271935</v>
      </c>
      <c r="S45" s="7">
        <f>ROW()</f>
        <v>45</v>
      </c>
    </row>
    <row r="46" spans="2:29" ht="13.95" customHeight="1">
      <c r="S46" s="7">
        <f>ROW()</f>
        <v>46</v>
      </c>
    </row>
    <row r="47" spans="2:29" ht="13.95" customHeight="1">
      <c r="B47" s="8" t="str">
        <f>CONCATENATE("from Transportation; the three different categories (ground+water; freight; aviation) are collected in Rows ",S78, ", ",S82, " and ",S85, ".")</f>
        <v>from Transportation; the three different categories (ground+water; freight; aviation) are collected in Rows 78, 82 and 85.</v>
      </c>
      <c r="C47" s="8"/>
      <c r="D47" s="8"/>
      <c r="E47" s="8"/>
      <c r="F47" s="8"/>
      <c r="G47" s="8"/>
      <c r="H47" s="8"/>
      <c r="I47" s="8"/>
      <c r="J47" s="8"/>
      <c r="K47" s="8"/>
      <c r="L47" s="8"/>
      <c r="M47" s="8"/>
      <c r="N47" s="8"/>
      <c r="O47" s="8"/>
      <c r="P47" s="8"/>
      <c r="S47" s="7">
        <f>ROW()</f>
        <v>47</v>
      </c>
    </row>
    <row r="48" spans="2:29" ht="13.95" customHeight="1">
      <c r="B48" s="1143" t="s">
        <v>1036</v>
      </c>
      <c r="C48" s="1155"/>
      <c r="D48" s="1155"/>
      <c r="E48" s="1155"/>
      <c r="F48" s="1155"/>
      <c r="G48" s="1155"/>
      <c r="H48" s="1155"/>
      <c r="I48" s="1155"/>
      <c r="J48" s="1155"/>
      <c r="K48" s="1155"/>
      <c r="L48" s="1155"/>
      <c r="M48" s="1155"/>
      <c r="N48" s="1155"/>
      <c r="O48" s="1155"/>
      <c r="P48" s="696"/>
      <c r="S48" s="7">
        <f>ROW()</f>
        <v>48</v>
      </c>
    </row>
    <row r="49" spans="2:20" ht="13.95" customHeight="1">
      <c r="B49" s="1155"/>
      <c r="C49" s="1155"/>
      <c r="D49" s="1155"/>
      <c r="E49" s="1155"/>
      <c r="F49" s="1155"/>
      <c r="G49" s="1155"/>
      <c r="H49" s="1155"/>
      <c r="I49" s="1155"/>
      <c r="J49" s="1155"/>
      <c r="K49" s="1155"/>
      <c r="L49" s="1155"/>
      <c r="M49" s="1155"/>
      <c r="N49" s="1155"/>
      <c r="O49" s="1155"/>
      <c r="P49" s="696"/>
      <c r="S49" s="7">
        <f>ROW()</f>
        <v>49</v>
      </c>
    </row>
    <row r="50" spans="2:20" ht="13.95" customHeight="1">
      <c r="B50" s="124"/>
      <c r="G50" s="74">
        <v>2005</v>
      </c>
      <c r="H50" s="517">
        <v>2006</v>
      </c>
      <c r="I50" s="74">
        <v>2007</v>
      </c>
      <c r="J50" s="74">
        <v>2008</v>
      </c>
      <c r="K50" s="74">
        <v>2009</v>
      </c>
      <c r="L50" s="74">
        <v>2010</v>
      </c>
      <c r="M50" s="74">
        <v>2011</v>
      </c>
      <c r="N50" s="74">
        <v>2012</v>
      </c>
      <c r="O50" s="496">
        <v>2013</v>
      </c>
      <c r="P50" s="517">
        <v>2014</v>
      </c>
      <c r="Q50" s="517">
        <v>2015</v>
      </c>
      <c r="S50" s="7">
        <f>ROW()</f>
        <v>50</v>
      </c>
      <c r="T50" s="137"/>
    </row>
    <row r="51" spans="2:20" s="8" customFormat="1" ht="13.95" customHeight="1">
      <c r="B51" s="8" t="s">
        <v>93</v>
      </c>
      <c r="F51" s="1356" t="s">
        <v>647</v>
      </c>
      <c r="G51" s="9">
        <v>1183.9000000000001</v>
      </c>
      <c r="H51" s="8">
        <v>1178.2</v>
      </c>
      <c r="I51" s="9">
        <v>1181.2</v>
      </c>
      <c r="J51" s="9">
        <v>1130.3</v>
      </c>
      <c r="K51" s="9">
        <v>1101.7</v>
      </c>
      <c r="L51" s="9">
        <v>1092.7</v>
      </c>
      <c r="M51" s="9">
        <v>1069</v>
      </c>
      <c r="N51" s="9">
        <f>M51*Energy!N$22/Energy!M$22</f>
        <v>1060.3842465510838</v>
      </c>
      <c r="O51" s="9">
        <v>1065.8</v>
      </c>
      <c r="P51" s="9">
        <v>1083.8</v>
      </c>
      <c r="Q51" s="9">
        <f>P51*Energy!$Q$22/Energy!$P$22</f>
        <v>1112.7720360415285</v>
      </c>
      <c r="R51" s="1370" t="str">
        <f>CONCATENATE("2015 ratio'd fr 2014 'w/ ",Energy!C22, " figs from 'Energy' tab, Row ",Energy!R22, ".")</f>
        <v>2015 ratio'd fr 2014 'w/  figs from 'Energy' tab, Row 22.</v>
      </c>
      <c r="S51" s="7">
        <f>ROW()</f>
        <v>51</v>
      </c>
      <c r="T51"/>
    </row>
    <row r="52" spans="2:20" s="134" customFormat="1" ht="13.95" customHeight="1">
      <c r="B52" s="133" t="s">
        <v>117</v>
      </c>
      <c r="F52" s="1357"/>
      <c r="G52" s="135">
        <v>655.9</v>
      </c>
      <c r="H52" s="135">
        <v>635</v>
      </c>
      <c r="I52" s="135">
        <v>800.2</v>
      </c>
      <c r="J52" s="135">
        <v>765.6</v>
      </c>
      <c r="K52" s="135">
        <v>744.3</v>
      </c>
      <c r="L52" s="135">
        <v>738.2</v>
      </c>
      <c r="M52" s="135">
        <v>732.8</v>
      </c>
      <c r="N52" s="135">
        <v>731.5</v>
      </c>
      <c r="O52" s="135">
        <v>731.5</v>
      </c>
      <c r="P52" s="135">
        <v>733.5</v>
      </c>
      <c r="Q52" s="135">
        <f>P52*Energy!$Q$22/Energy!$P$22</f>
        <v>753.10785055956944</v>
      </c>
      <c r="R52" s="1371"/>
      <c r="S52" s="7">
        <f>ROW()</f>
        <v>52</v>
      </c>
      <c r="T52"/>
    </row>
    <row r="53" spans="2:20" s="134" customFormat="1" ht="13.95" customHeight="1">
      <c r="B53" s="133" t="s">
        <v>118</v>
      </c>
      <c r="F53" s="1357"/>
      <c r="G53" s="135">
        <v>477.2</v>
      </c>
      <c r="H53" s="134">
        <v>491.5</v>
      </c>
      <c r="I53" s="135">
        <v>315.5</v>
      </c>
      <c r="J53" s="135">
        <v>298.89999999999998</v>
      </c>
      <c r="K53" s="135">
        <v>296.89999999999998</v>
      </c>
      <c r="L53" s="135">
        <v>295</v>
      </c>
      <c r="M53" s="135">
        <v>280.39999999999998</v>
      </c>
      <c r="N53" s="135">
        <v>277.39999999999998</v>
      </c>
      <c r="O53" s="135">
        <v>277.7</v>
      </c>
      <c r="P53" s="135">
        <v>293.5</v>
      </c>
      <c r="Q53" s="135">
        <f>P53*Energy!$Q$22/Energy!$P$22</f>
        <v>301.34581341408807</v>
      </c>
      <c r="R53" s="1371"/>
      <c r="S53" s="7">
        <f>ROW()</f>
        <v>53</v>
      </c>
      <c r="T53" s="149"/>
    </row>
    <row r="54" spans="2:20" s="146" customFormat="1" ht="13.95" customHeight="1">
      <c r="B54" s="145" t="s">
        <v>119</v>
      </c>
      <c r="F54" s="1357"/>
      <c r="G54" s="147">
        <v>34.799999999999997</v>
      </c>
      <c r="H54" s="146">
        <v>35.5</v>
      </c>
      <c r="I54" s="147">
        <v>46.6</v>
      </c>
      <c r="J54" s="147">
        <v>47.2</v>
      </c>
      <c r="K54" s="147">
        <v>42.6</v>
      </c>
      <c r="L54" s="146">
        <v>42.3</v>
      </c>
      <c r="M54" s="146">
        <v>38.9</v>
      </c>
      <c r="N54" s="147">
        <v>38.700000000000003</v>
      </c>
      <c r="O54" s="147">
        <v>39.5</v>
      </c>
      <c r="P54" s="147">
        <v>40</v>
      </c>
      <c r="Q54" s="147">
        <f>P54*Energy!$Q$22/Energy!$P$22</f>
        <v>41.069276104134666</v>
      </c>
      <c r="R54" s="1371"/>
      <c r="S54" s="7">
        <f>ROW()</f>
        <v>54</v>
      </c>
      <c r="T54"/>
    </row>
    <row r="55" spans="2:20" ht="13.95" customHeight="1">
      <c r="B55" s="124" t="s">
        <v>120</v>
      </c>
      <c r="F55" s="1358"/>
      <c r="G55" s="7">
        <v>0.4</v>
      </c>
      <c r="H55" s="7">
        <v>0.4</v>
      </c>
      <c r="I55" s="7">
        <v>0.7</v>
      </c>
      <c r="J55" s="7">
        <v>0.8</v>
      </c>
      <c r="K55" s="7">
        <v>0.7</v>
      </c>
      <c r="L55" s="7">
        <v>0.7</v>
      </c>
      <c r="M55" s="7">
        <v>0.7</v>
      </c>
      <c r="N55" s="7">
        <v>0.8</v>
      </c>
      <c r="O55" s="7">
        <v>0.8</v>
      </c>
      <c r="P55" s="7">
        <v>0.9</v>
      </c>
      <c r="Q55" s="7">
        <f>P55*Energy!$Q$22/Energy!$P$22</f>
        <v>0.92405871234302994</v>
      </c>
      <c r="R55" s="1371"/>
      <c r="S55" s="7">
        <f>ROW()</f>
        <v>55</v>
      </c>
    </row>
    <row r="56" spans="2:20" s="134" customFormat="1" ht="13.95" customHeight="1">
      <c r="B56" s="133" t="s">
        <v>121</v>
      </c>
      <c r="G56" s="135">
        <v>1.6</v>
      </c>
      <c r="H56" s="135">
        <v>1.9</v>
      </c>
      <c r="I56" s="135">
        <v>4.3</v>
      </c>
      <c r="J56" s="135">
        <v>4.4000000000000004</v>
      </c>
      <c r="K56" s="135">
        <v>4.0999999999999996</v>
      </c>
      <c r="L56" s="134">
        <v>3.6</v>
      </c>
      <c r="M56" s="134">
        <v>3.6</v>
      </c>
      <c r="N56" s="135">
        <v>4.0999999999999996</v>
      </c>
      <c r="O56" s="135">
        <v>3.9</v>
      </c>
      <c r="P56" s="135">
        <v>3.8</v>
      </c>
      <c r="Q56" s="135">
        <f>P56*Energy!$Q$22/Energy!$P$22</f>
        <v>3.9015812298927925</v>
      </c>
      <c r="R56" s="1371"/>
      <c r="S56" s="7">
        <f>ROW()</f>
        <v>56</v>
      </c>
      <c r="T56"/>
    </row>
    <row r="57" spans="2:20" s="134" customFormat="1" ht="13.95" customHeight="1">
      <c r="B57" s="133" t="s">
        <v>124</v>
      </c>
      <c r="G57" s="135">
        <v>14.1</v>
      </c>
      <c r="H57" s="135">
        <v>14</v>
      </c>
      <c r="I57" s="135">
        <v>13.9</v>
      </c>
      <c r="J57" s="135">
        <v>13.5</v>
      </c>
      <c r="K57" s="135">
        <v>13</v>
      </c>
      <c r="L57" s="134">
        <v>12.7</v>
      </c>
      <c r="M57" s="135">
        <v>12.6</v>
      </c>
      <c r="N57" s="135">
        <v>12.5</v>
      </c>
      <c r="O57" s="135">
        <v>12.4</v>
      </c>
      <c r="P57" s="135">
        <v>12.2</v>
      </c>
      <c r="Q57" s="135">
        <f>P57*Energy!$Q$22/Energy!$P$22</f>
        <v>12.526129211761072</v>
      </c>
      <c r="R57" s="1372"/>
      <c r="S57" s="7">
        <f>ROW()</f>
        <v>57</v>
      </c>
    </row>
    <row r="58" spans="2:20" s="8" customFormat="1" ht="13.95" customHeight="1">
      <c r="B58" s="8" t="s">
        <v>125</v>
      </c>
      <c r="G58" s="9">
        <v>458.1</v>
      </c>
      <c r="H58" s="9">
        <v>470.3</v>
      </c>
      <c r="I58" s="9">
        <v>476.3</v>
      </c>
      <c r="J58" s="9">
        <v>443.5</v>
      </c>
      <c r="K58" s="9">
        <v>409</v>
      </c>
      <c r="L58" s="9">
        <v>425.5</v>
      </c>
      <c r="M58" s="9">
        <v>433.7</v>
      </c>
      <c r="N58" s="9">
        <v>431.3</v>
      </c>
      <c r="O58" s="9">
        <v>437.6</v>
      </c>
      <c r="P58" s="9">
        <v>447.6</v>
      </c>
      <c r="Q58" s="9">
        <f>P58*Energy!$Q$24/Energy!$P$24</f>
        <v>443.77965542108831</v>
      </c>
      <c r="R58" s="1370" t="str">
        <f>CONCATENATE("2015 ratio'd fr 2014 w/ ",Energy!C24, " figures from 'Energy' tab, Row ",Energy!R24, ".")</f>
        <v>2015 ratio'd fr 2014 w/  figures from 'Energy' tab, Row 24.</v>
      </c>
      <c r="S58" s="7">
        <f>ROW()</f>
        <v>58</v>
      </c>
    </row>
    <row r="59" spans="2:20" s="134" customFormat="1" ht="13.95" customHeight="1">
      <c r="B59" s="133" t="s">
        <v>117</v>
      </c>
      <c r="G59" s="135">
        <v>4.2</v>
      </c>
      <c r="H59" s="135">
        <v>4.1100000000000003</v>
      </c>
      <c r="I59" s="135">
        <v>4.0999999999999996</v>
      </c>
      <c r="J59" s="135">
        <v>3.7</v>
      </c>
      <c r="K59" s="135">
        <v>3.6</v>
      </c>
      <c r="L59" s="134">
        <v>3.8</v>
      </c>
      <c r="M59" s="134">
        <v>4.0999999999999996</v>
      </c>
      <c r="N59" s="134">
        <v>4.0999999999999996</v>
      </c>
      <c r="O59" s="134">
        <v>4.0999999999999996</v>
      </c>
      <c r="P59" s="135">
        <v>4.0999999999999996</v>
      </c>
      <c r="Q59" s="135">
        <f>P59*Energy!$Q$24/Energy!$P$24</f>
        <v>4.0650057802199768</v>
      </c>
      <c r="R59" s="1371"/>
      <c r="S59" s="7">
        <f>ROW()</f>
        <v>59</v>
      </c>
    </row>
    <row r="60" spans="2:20" s="134" customFormat="1" ht="13.95" customHeight="1">
      <c r="B60" s="133" t="s">
        <v>118</v>
      </c>
      <c r="G60" s="135">
        <v>25.8</v>
      </c>
      <c r="H60" s="135">
        <v>26.8</v>
      </c>
      <c r="I60" s="135">
        <v>13.6</v>
      </c>
      <c r="J60" s="135">
        <v>12.1</v>
      </c>
      <c r="K60" s="135">
        <v>12.1</v>
      </c>
      <c r="L60" s="134">
        <v>12.6</v>
      </c>
      <c r="M60" s="134">
        <v>13.1</v>
      </c>
      <c r="N60" s="134">
        <v>13</v>
      </c>
      <c r="O60" s="135">
        <v>13.3</v>
      </c>
      <c r="P60" s="135">
        <v>13.9</v>
      </c>
      <c r="Q60" s="135">
        <f>P60*Energy!$Q$24/Energy!$P$24</f>
        <v>13.781361059770168</v>
      </c>
      <c r="R60" s="1371"/>
      <c r="S60" s="7">
        <f>ROW()</f>
        <v>60</v>
      </c>
    </row>
    <row r="61" spans="2:20" s="146" customFormat="1" ht="13.95" customHeight="1">
      <c r="B61" s="145" t="s">
        <v>119</v>
      </c>
      <c r="G61" s="147">
        <v>360.6</v>
      </c>
      <c r="H61" s="147">
        <v>370.1</v>
      </c>
      <c r="I61" s="147">
        <v>384.6</v>
      </c>
      <c r="J61" s="147">
        <v>366.1</v>
      </c>
      <c r="K61" s="147">
        <v>332</v>
      </c>
      <c r="L61" s="146">
        <v>345.9</v>
      </c>
      <c r="M61" s="146">
        <v>348.9</v>
      </c>
      <c r="N61" s="147">
        <v>347.5</v>
      </c>
      <c r="O61" s="147">
        <v>353</v>
      </c>
      <c r="P61" s="147">
        <v>361.3</v>
      </c>
      <c r="Q61" s="147">
        <f>P61*Energy!$Q$24/Energy!$P$24</f>
        <v>358.21624107157999</v>
      </c>
      <c r="R61" s="1371"/>
      <c r="S61" s="7">
        <f>ROW()</f>
        <v>61</v>
      </c>
    </row>
    <row r="62" spans="2:20" ht="13.95" customHeight="1">
      <c r="B62" s="124" t="s">
        <v>120</v>
      </c>
      <c r="E62" s="1360" t="str">
        <f>CONCATENATE("Shares of Rows ",S65," and ",S66," allocated to travel (remainder assumed freight):""")</f>
        <v>Shares of Rows 65 and 66 allocated to travel (remainder assumed freight):"</v>
      </c>
      <c r="F62" s="1361"/>
      <c r="G62" s="7">
        <v>10.6</v>
      </c>
      <c r="H62" s="7">
        <v>10.8</v>
      </c>
      <c r="I62" s="7">
        <v>15.9</v>
      </c>
      <c r="J62" s="7">
        <v>15.2</v>
      </c>
      <c r="K62" s="7">
        <v>13.7</v>
      </c>
      <c r="L62" s="7">
        <v>13.6</v>
      </c>
      <c r="M62" s="7">
        <v>14.6</v>
      </c>
      <c r="N62" s="7">
        <v>15.5</v>
      </c>
      <c r="O62" s="7">
        <v>15.8</v>
      </c>
      <c r="P62" s="7">
        <v>16.600000000000001</v>
      </c>
      <c r="Q62" s="7">
        <f>P62*Energy!$Q$24/Energy!$P$24</f>
        <v>16.45831608576869</v>
      </c>
      <c r="R62" s="1371"/>
      <c r="S62" s="7">
        <f>ROW()</f>
        <v>62</v>
      </c>
    </row>
    <row r="63" spans="2:20" s="146" customFormat="1" ht="13.95" customHeight="1">
      <c r="B63" s="145" t="s">
        <v>123</v>
      </c>
      <c r="E63" s="1361"/>
      <c r="F63" s="1361"/>
      <c r="G63" s="147">
        <v>45.6</v>
      </c>
      <c r="H63" s="147">
        <v>47.8</v>
      </c>
      <c r="I63" s="147">
        <v>46.6</v>
      </c>
      <c r="J63" s="147">
        <v>43.2</v>
      </c>
      <c r="K63" s="147">
        <v>36.200000000000003</v>
      </c>
      <c r="L63" s="147">
        <v>39</v>
      </c>
      <c r="M63" s="147">
        <v>40.799999999999997</v>
      </c>
      <c r="N63" s="147">
        <v>39.799999999999997</v>
      </c>
      <c r="O63" s="147">
        <v>40.799999999999997</v>
      </c>
      <c r="P63" s="147">
        <v>41.7</v>
      </c>
      <c r="Q63" s="147">
        <f>P63*Energy!$Q$24/Energy!$P$24</f>
        <v>41.344083179310502</v>
      </c>
      <c r="R63" s="1371"/>
      <c r="S63" s="7">
        <f>ROW()</f>
        <v>63</v>
      </c>
    </row>
    <row r="64" spans="2:20" s="134" customFormat="1" ht="13.95" customHeight="1">
      <c r="B64" s="133" t="s">
        <v>124</v>
      </c>
      <c r="E64" s="1361"/>
      <c r="F64" s="1361"/>
      <c r="G64" s="135">
        <v>3.1</v>
      </c>
      <c r="H64" s="135">
        <v>3.2</v>
      </c>
      <c r="I64" s="135">
        <v>3.3</v>
      </c>
      <c r="J64" s="135">
        <v>3.4</v>
      </c>
      <c r="K64" s="135">
        <v>3.5</v>
      </c>
      <c r="L64" s="134">
        <v>3.5</v>
      </c>
      <c r="M64" s="134">
        <v>3.6</v>
      </c>
      <c r="N64" s="135">
        <v>3.7</v>
      </c>
      <c r="O64" s="135">
        <v>3.7</v>
      </c>
      <c r="P64" s="135">
        <v>3.8</v>
      </c>
      <c r="Q64" s="135">
        <f>P64*Energy!$Q$24/Energy!$P$24</f>
        <v>3.7675663328868083</v>
      </c>
      <c r="R64" s="1371"/>
      <c r="S64" s="7">
        <f>ROW()</f>
        <v>64</v>
      </c>
    </row>
    <row r="65" spans="2:24" s="146" customFormat="1" ht="13.95" customHeight="1">
      <c r="B65" s="145" t="s">
        <v>132</v>
      </c>
      <c r="E65" s="1361"/>
      <c r="F65" s="1361"/>
      <c r="G65" s="147">
        <v>8.1</v>
      </c>
      <c r="H65" s="147">
        <v>7.5</v>
      </c>
      <c r="I65" s="147">
        <v>8.1999999999999993</v>
      </c>
      <c r="J65" s="147">
        <v>7.9</v>
      </c>
      <c r="K65" s="147">
        <v>7.9</v>
      </c>
      <c r="L65" s="146">
        <v>7.5</v>
      </c>
      <c r="M65" s="147">
        <v>10.3</v>
      </c>
      <c r="N65" s="147">
        <v>7.6</v>
      </c>
      <c r="O65" s="147">
        <v>7.7</v>
      </c>
      <c r="P65" s="147">
        <v>6.2</v>
      </c>
      <c r="Q65" s="147">
        <f>P65*Energy!$Q$24/Energy!$P$24</f>
        <v>6.1470819115521609</v>
      </c>
      <c r="R65" s="1371"/>
      <c r="S65" s="7">
        <f>ROW()</f>
        <v>65</v>
      </c>
    </row>
    <row r="66" spans="2:24" s="146" customFormat="1" ht="13.95" customHeight="1">
      <c r="B66" s="145" t="s">
        <v>126</v>
      </c>
      <c r="E66" s="1359">
        <v>0.1</v>
      </c>
      <c r="F66" s="1359"/>
      <c r="G66" s="147">
        <v>9.4</v>
      </c>
      <c r="H66" s="147">
        <v>8.8000000000000007</v>
      </c>
      <c r="I66" s="147">
        <v>8.1999999999999993</v>
      </c>
      <c r="J66" s="147">
        <v>9</v>
      </c>
      <c r="K66" s="147">
        <v>8.1999999999999993</v>
      </c>
      <c r="L66" s="146">
        <v>9.5</v>
      </c>
      <c r="M66" s="146">
        <v>7.9</v>
      </c>
      <c r="N66" s="147">
        <v>6.8</v>
      </c>
      <c r="O66" s="147">
        <v>5.6</v>
      </c>
      <c r="P66" s="147">
        <v>6.1</v>
      </c>
      <c r="Q66" s="9">
        <f>P66*Energy!$Q$24/Energy!$P$24</f>
        <v>6.0479354291077714</v>
      </c>
      <c r="R66" s="1372"/>
      <c r="S66" s="7">
        <f>ROW()</f>
        <v>66</v>
      </c>
    </row>
    <row r="67" spans="2:24" s="8" customFormat="1" ht="13.95" customHeight="1">
      <c r="B67" s="8" t="s">
        <v>127</v>
      </c>
      <c r="G67" s="9">
        <v>189.3</v>
      </c>
      <c r="H67" s="9">
        <v>169.5</v>
      </c>
      <c r="I67" s="9">
        <v>174.4</v>
      </c>
      <c r="J67" s="9">
        <v>173</v>
      </c>
      <c r="K67" s="9">
        <v>154.1</v>
      </c>
      <c r="L67" s="9">
        <v>151.5</v>
      </c>
      <c r="M67" s="9">
        <v>146.6</v>
      </c>
      <c r="N67" s="9">
        <v>143.4</v>
      </c>
      <c r="O67" s="9">
        <f>N67*Energy!O$23/Energy!N$23</f>
        <v>146.93551638207413</v>
      </c>
      <c r="P67" s="9">
        <v>148.6</v>
      </c>
      <c r="Q67" s="9">
        <f>P67*Energy!$Q$23/Energy!$P$23</f>
        <v>155.41363453876232</v>
      </c>
      <c r="R67" s="1370" t="str">
        <f>CONCATENATE("2015 ratio'd fr 2014 w/ ",Energy!C23, " figs from 'Energy', Row ",Energy!R23, ".")</f>
        <v>2015 ratio'd fr 2014 w/  figs from 'Energy', Row 23.</v>
      </c>
      <c r="S67" s="7">
        <f>ROW()</f>
        <v>67</v>
      </c>
    </row>
    <row r="68" spans="2:24" s="137" customFormat="1" ht="13.95" customHeight="1">
      <c r="B68" s="136" t="s">
        <v>122</v>
      </c>
      <c r="G68" s="138">
        <v>132.69999999999999</v>
      </c>
      <c r="H68" s="138">
        <v>137.1</v>
      </c>
      <c r="I68" s="138">
        <v>143.80000000000001</v>
      </c>
      <c r="J68" s="138">
        <v>127.3</v>
      </c>
      <c r="K68" s="138">
        <v>119.5</v>
      </c>
      <c r="L68" s="137">
        <v>113.3</v>
      </c>
      <c r="M68" s="137">
        <v>114.6</v>
      </c>
      <c r="N68" s="137">
        <v>113.3</v>
      </c>
      <c r="O68" s="137">
        <v>114.8</v>
      </c>
      <c r="P68" s="138">
        <v>115.2</v>
      </c>
      <c r="Q68" s="138">
        <f>P68*Energy!$Q$23/Energy!$P$23</f>
        <v>120.48217159397993</v>
      </c>
      <c r="R68" s="1371"/>
      <c r="S68" s="7">
        <f>ROW()</f>
        <v>68</v>
      </c>
    </row>
    <row r="69" spans="2:24" ht="13.95" customHeight="1">
      <c r="B69" s="124" t="s">
        <v>128</v>
      </c>
      <c r="G69" s="7">
        <v>19.399999999999999</v>
      </c>
      <c r="H69" s="7">
        <v>16.399999999999999</v>
      </c>
      <c r="I69" s="7">
        <v>16.100000000000001</v>
      </c>
      <c r="J69" s="7">
        <v>17.600000000000001</v>
      </c>
      <c r="K69" s="7">
        <v>15.4</v>
      </c>
      <c r="L69" s="7">
        <v>13.6</v>
      </c>
      <c r="M69" s="7">
        <v>11.6</v>
      </c>
      <c r="N69" s="7">
        <v>12.1</v>
      </c>
      <c r="O69" s="7">
        <v>11</v>
      </c>
      <c r="P69" s="7">
        <v>15.4</v>
      </c>
      <c r="Q69" s="7">
        <f>P69*Energy!$Q$23/Energy!$P$23</f>
        <v>16.106123633223014</v>
      </c>
      <c r="R69" s="1371"/>
      <c r="S69" s="7">
        <f>ROW()</f>
        <v>69</v>
      </c>
    </row>
    <row r="70" spans="2:24" s="137" customFormat="1" ht="13.95" customHeight="1">
      <c r="B70" s="136" t="s">
        <v>129</v>
      </c>
      <c r="G70" s="138">
        <v>37.299999999999997</v>
      </c>
      <c r="H70" s="138">
        <v>16</v>
      </c>
      <c r="I70" s="138">
        <v>14.5</v>
      </c>
      <c r="J70" s="138">
        <v>28.2</v>
      </c>
      <c r="K70" s="138">
        <v>19.2</v>
      </c>
      <c r="L70" s="138">
        <v>24.6</v>
      </c>
      <c r="M70" s="138">
        <v>20.399999999999999</v>
      </c>
      <c r="N70" s="138">
        <v>18</v>
      </c>
      <c r="O70" s="138">
        <v>21.8</v>
      </c>
      <c r="P70" s="138">
        <v>18</v>
      </c>
      <c r="Q70" s="138">
        <f>P70*Energy!$Q$23/Energy!$P$23</f>
        <v>18.825339311559365</v>
      </c>
      <c r="R70" s="1371"/>
      <c r="S70" s="7">
        <f>ROW()</f>
        <v>70</v>
      </c>
    </row>
    <row r="71" spans="2:24" s="137" customFormat="1" ht="13.95" customHeight="1">
      <c r="B71" s="136" t="s">
        <v>648</v>
      </c>
      <c r="G71" s="138">
        <v>60.1</v>
      </c>
      <c r="H71" s="138">
        <v>74.599999999999994</v>
      </c>
      <c r="I71" s="138">
        <v>68.099999999999994</v>
      </c>
      <c r="J71" s="138">
        <v>56.1</v>
      </c>
      <c r="K71" s="138">
        <v>52.8</v>
      </c>
      <c r="L71" s="138">
        <v>61</v>
      </c>
      <c r="M71" s="137">
        <v>64.8</v>
      </c>
      <c r="N71" s="138">
        <v>64.5</v>
      </c>
      <c r="O71" s="138">
        <v>65.7</v>
      </c>
      <c r="P71" s="138">
        <v>69.400000000000006</v>
      </c>
      <c r="Q71" s="138">
        <f>P71*Energy!$Q$23/Energy!$P$23</f>
        <v>72.582141567901118</v>
      </c>
      <c r="R71" s="1371"/>
      <c r="S71" s="7">
        <f>ROW()</f>
        <v>71</v>
      </c>
    </row>
    <row r="72" spans="2:24" s="8" customFormat="1" ht="13.95" customHeight="1">
      <c r="B72" s="8" t="s">
        <v>130</v>
      </c>
      <c r="E72" s="1360" t="str">
        <f>CONCATENATE("Shares of Rows ",S75," and ",S76," allocated to travel (remainder assumed freight):""")</f>
        <v>Shares of Rows 75 and 76 allocated to travel (remainder assumed freight):"</v>
      </c>
      <c r="F72" s="1360"/>
      <c r="G72" s="9">
        <f t="shared" ref="G72:P72" si="12">G73</f>
        <v>2.4</v>
      </c>
      <c r="H72" s="9">
        <f t="shared" si="12"/>
        <v>2.2999999999999998</v>
      </c>
      <c r="I72" s="9">
        <f t="shared" si="12"/>
        <v>2.2000000000000002</v>
      </c>
      <c r="J72" s="9">
        <f t="shared" si="12"/>
        <v>2</v>
      </c>
      <c r="K72" s="9">
        <f t="shared" si="12"/>
        <v>1.8</v>
      </c>
      <c r="L72" s="9">
        <f t="shared" si="12"/>
        <v>1.9</v>
      </c>
      <c r="M72" s="9">
        <f t="shared" si="12"/>
        <v>1.9</v>
      </c>
      <c r="N72" s="9">
        <f t="shared" si="12"/>
        <v>1.7</v>
      </c>
      <c r="O72" s="9">
        <f t="shared" si="12"/>
        <v>1.5</v>
      </c>
      <c r="P72" s="9">
        <f t="shared" si="12"/>
        <v>1.5</v>
      </c>
      <c r="Q72" s="9">
        <f>P72*Energy!$Q$23/Energy!$P$23</f>
        <v>1.5687782759632805</v>
      </c>
      <c r="R72" s="1371"/>
      <c r="S72" s="7">
        <f>ROW()</f>
        <v>72</v>
      </c>
    </row>
    <row r="73" spans="2:24" s="137" customFormat="1" ht="13.95" customHeight="1">
      <c r="B73" s="136" t="s">
        <v>129</v>
      </c>
      <c r="E73" s="1360"/>
      <c r="F73" s="1360"/>
      <c r="G73" s="138">
        <v>2.4</v>
      </c>
      <c r="H73" s="138">
        <v>2.2999999999999998</v>
      </c>
      <c r="I73" s="138">
        <v>2.2000000000000002</v>
      </c>
      <c r="J73" s="138">
        <v>2</v>
      </c>
      <c r="K73" s="138">
        <v>1.8</v>
      </c>
      <c r="L73" s="137">
        <v>1.9</v>
      </c>
      <c r="M73" s="137">
        <v>1.9</v>
      </c>
      <c r="N73" s="138">
        <v>1.7</v>
      </c>
      <c r="O73" s="138">
        <v>1.5</v>
      </c>
      <c r="P73" s="138">
        <v>1.5</v>
      </c>
      <c r="Q73" s="138">
        <f>P73*Energy!$Q$23/Energy!$P$23</f>
        <v>1.5687782759632805</v>
      </c>
      <c r="R73" s="1372"/>
      <c r="S73" s="7">
        <f>ROW()</f>
        <v>73</v>
      </c>
    </row>
    <row r="74" spans="2:24" s="8" customFormat="1" ht="13.95" customHeight="1">
      <c r="B74" s="8" t="s">
        <v>131</v>
      </c>
      <c r="E74" s="1360"/>
      <c r="F74" s="1360"/>
      <c r="G74" s="9">
        <f t="shared" ref="G74:P74" si="13">G75</f>
        <v>19.3</v>
      </c>
      <c r="H74" s="9">
        <f t="shared" si="13"/>
        <v>23</v>
      </c>
      <c r="I74" s="9">
        <f t="shared" si="13"/>
        <v>29</v>
      </c>
      <c r="J74" s="9">
        <f t="shared" si="13"/>
        <v>20.399999999999999</v>
      </c>
      <c r="K74" s="9">
        <f t="shared" si="13"/>
        <v>13.9</v>
      </c>
      <c r="L74" s="9">
        <f t="shared" si="13"/>
        <v>20.399999999999999</v>
      </c>
      <c r="M74" s="9">
        <f t="shared" si="13"/>
        <v>19.399999999999999</v>
      </c>
      <c r="N74" s="9">
        <f t="shared" si="13"/>
        <v>15.8</v>
      </c>
      <c r="O74" s="9">
        <f t="shared" si="13"/>
        <v>15.1</v>
      </c>
      <c r="P74" s="9">
        <f t="shared" si="13"/>
        <v>5.8</v>
      </c>
      <c r="Q74" s="9">
        <f>Q75</f>
        <v>5.8</v>
      </c>
      <c r="R74" s="312"/>
      <c r="S74" s="7">
        <f>ROW()</f>
        <v>74</v>
      </c>
      <c r="U74"/>
      <c r="V74"/>
      <c r="W74"/>
      <c r="X74"/>
    </row>
    <row r="75" spans="2:24" s="146" customFormat="1" ht="13.95" customHeight="1">
      <c r="B75" s="145" t="s">
        <v>132</v>
      </c>
      <c r="E75" s="1359">
        <v>0.15</v>
      </c>
      <c r="F75" s="1359"/>
      <c r="G75" s="147">
        <v>19.3</v>
      </c>
      <c r="H75" s="147">
        <v>23</v>
      </c>
      <c r="I75" s="147">
        <v>29</v>
      </c>
      <c r="J75" s="147">
        <v>20.399999999999999</v>
      </c>
      <c r="K75" s="147">
        <v>13.9</v>
      </c>
      <c r="L75" s="147">
        <v>20.399999999999999</v>
      </c>
      <c r="M75" s="146">
        <v>19.399999999999999</v>
      </c>
      <c r="N75" s="147">
        <v>15.8</v>
      </c>
      <c r="O75" s="147">
        <v>15.1</v>
      </c>
      <c r="P75" s="963">
        <v>5.8</v>
      </c>
      <c r="Q75" s="7">
        <f>P75</f>
        <v>5.8</v>
      </c>
      <c r="R75" s="1373" t="s">
        <v>1037</v>
      </c>
      <c r="S75" s="7">
        <f>ROW()</f>
        <v>75</v>
      </c>
      <c r="T75" s="964" t="str">
        <f>CONCATENATE("Entry in Cell P",S75, " is correct.")</f>
        <v>Entry in Cell P75 is correct.</v>
      </c>
      <c r="U75" s="232"/>
      <c r="V75" s="232"/>
      <c r="W75"/>
      <c r="X75"/>
    </row>
    <row r="76" spans="2:24" s="146" customFormat="1" ht="13.95" customHeight="1">
      <c r="B76" s="145" t="s">
        <v>380</v>
      </c>
      <c r="G76" s="147">
        <v>43.6</v>
      </c>
      <c r="H76" s="147">
        <v>45</v>
      </c>
      <c r="I76" s="147">
        <v>45.6</v>
      </c>
      <c r="J76" s="147">
        <v>49.2</v>
      </c>
      <c r="K76" s="147">
        <v>45.4</v>
      </c>
      <c r="L76" s="147">
        <v>46.5</v>
      </c>
      <c r="M76" s="147">
        <v>38.9</v>
      </c>
      <c r="N76" s="147">
        <v>34.5</v>
      </c>
      <c r="O76" s="147">
        <v>28.5</v>
      </c>
      <c r="P76" s="147">
        <v>27.7</v>
      </c>
      <c r="Q76" s="7">
        <f>P76</f>
        <v>27.7</v>
      </c>
      <c r="R76" s="1374"/>
      <c r="S76" s="7">
        <f>ROW()</f>
        <v>76</v>
      </c>
      <c r="U76"/>
      <c r="V76"/>
      <c r="W76"/>
      <c r="X76"/>
    </row>
    <row r="77" spans="2:24" ht="13.95" customHeight="1">
      <c r="B77" s="124"/>
      <c r="M77" s="84"/>
      <c r="N77" s="84"/>
      <c r="O77" s="84"/>
      <c r="P77" s="84"/>
      <c r="Q77" s="191"/>
      <c r="R77" s="84"/>
      <c r="S77" s="7">
        <f>ROW()</f>
        <v>77</v>
      </c>
    </row>
    <row r="78" spans="2:24" s="134" customFormat="1" ht="13.95" customHeight="1">
      <c r="B78" s="123" t="s">
        <v>658</v>
      </c>
      <c r="G78" s="139">
        <f>G52+G53+G56+G57+G59+G60+G64+$E66*(G65+G66)+$E75*(G75+G76)</f>
        <v>1193.0849999999996</v>
      </c>
      <c r="H78" s="139">
        <f>H52+H53+H56+H57+H59+H60+H64+$E66*(H65+H66)+$E75*(H75+H76)</f>
        <v>1188.3400000000001</v>
      </c>
      <c r="I78" s="139">
        <f t="shared" ref="I78:O78" si="14">I52+I53+I56+I57+I59+I60+I64+$E66*(I65+I66)+$E75*(I75+I76)</f>
        <v>1167.73</v>
      </c>
      <c r="J78" s="139">
        <f t="shared" si="14"/>
        <v>1113.7300000000002</v>
      </c>
      <c r="K78" s="139">
        <f t="shared" si="14"/>
        <v>1088.0049999999994</v>
      </c>
      <c r="L78" s="139">
        <f t="shared" si="14"/>
        <v>1081.135</v>
      </c>
      <c r="M78" s="139">
        <f t="shared" si="14"/>
        <v>1060.7649999999994</v>
      </c>
      <c r="N78" s="139">
        <f t="shared" si="14"/>
        <v>1055.2850000000001</v>
      </c>
      <c r="O78" s="139">
        <f t="shared" si="14"/>
        <v>1054.4699999999998</v>
      </c>
      <c r="P78" s="139">
        <f t="shared" ref="P78:Q78" si="15">P52+P53+P56+P57+P59+P60+P64+$E66*(P65+P66)+$E75*(P75+P76)</f>
        <v>1071.0550000000001</v>
      </c>
      <c r="Q78" s="139">
        <f t="shared" si="15"/>
        <v>1098.7398093222546</v>
      </c>
      <c r="S78" s="7">
        <f>ROW()</f>
        <v>78</v>
      </c>
      <c r="U78"/>
      <c r="V78"/>
      <c r="W78"/>
      <c r="X78"/>
    </row>
    <row r="79" spans="2:24" ht="13.95" customHeight="1">
      <c r="B79" s="84" t="str">
        <f>CONCATENATE("Sum of Rows: ",S52,", ",S53,", ",S56,", ",S57,", ",S59,", ",S60,", ",S64," plus ",100*E66, "% of Rows ",S65, " and ",S66, " and ",100*E75, "% of Rows ",S75, " and ",S76, ".")</f>
        <v>Sum of Rows: 52, 53, 56, 57, 59, 60, 64 plus 10% of Rows 65 and 66 and 15% of Rows 75 and 76.</v>
      </c>
      <c r="Q79" s="954"/>
      <c r="S79" s="7">
        <f>ROW()</f>
        <v>79</v>
      </c>
    </row>
    <row r="80" spans="2:24" ht="13.95" customHeight="1">
      <c r="B80" s="124"/>
      <c r="G80" s="74">
        <v>2005</v>
      </c>
      <c r="H80" s="517">
        <v>2006</v>
      </c>
      <c r="I80" s="74">
        <v>2007</v>
      </c>
      <c r="J80" s="74">
        <v>2008</v>
      </c>
      <c r="K80" s="74">
        <v>2009</v>
      </c>
      <c r="L80" s="74">
        <v>2010</v>
      </c>
      <c r="M80" s="74">
        <v>2011</v>
      </c>
      <c r="N80" s="74">
        <v>2012</v>
      </c>
      <c r="O80" s="500">
        <v>2013</v>
      </c>
      <c r="P80" s="517">
        <v>2014</v>
      </c>
      <c r="Q80" s="517">
        <v>2015</v>
      </c>
      <c r="S80" s="7">
        <f>ROW()</f>
        <v>80</v>
      </c>
    </row>
    <row r="81" spans="2:19" ht="13.95" customHeight="1">
      <c r="B81" s="124"/>
      <c r="G81" s="74"/>
      <c r="H81" s="74"/>
      <c r="I81" s="74"/>
      <c r="J81" s="74"/>
      <c r="K81" s="74"/>
      <c r="Q81" s="954"/>
      <c r="S81" s="7">
        <f>ROW()</f>
        <v>81</v>
      </c>
    </row>
    <row r="82" spans="2:19" s="149" customFormat="1" ht="13.95" customHeight="1">
      <c r="B82" s="148" t="s">
        <v>139</v>
      </c>
      <c r="G82" s="150">
        <f>G54+G61+G63+(1-$E66)*(G65+G66)+(1-$E75)*(G75+G76)</f>
        <v>510.21500000000003</v>
      </c>
      <c r="H82" s="150">
        <f>H54+H61+H63+(1-$E66)*(H65+H66)+(1-$E75)*(H75+H76)</f>
        <v>525.87</v>
      </c>
      <c r="I82" s="150">
        <f t="shared" ref="I82:O82" si="16">I54+I61+I63+(1-$E66)*(I65+I66)+(1-$E75)*(I75+I76)</f>
        <v>555.97</v>
      </c>
      <c r="J82" s="150">
        <f t="shared" si="16"/>
        <v>530.87</v>
      </c>
      <c r="K82" s="150">
        <f t="shared" si="16"/>
        <v>475.69499999999999</v>
      </c>
      <c r="L82" s="150">
        <f t="shared" si="16"/>
        <v>499.36500000000001</v>
      </c>
      <c r="M82" s="150">
        <f t="shared" si="16"/>
        <v>494.53499999999997</v>
      </c>
      <c r="N82" s="150">
        <f t="shared" si="16"/>
        <v>481.71499999999997</v>
      </c>
      <c r="O82" s="150">
        <f t="shared" si="16"/>
        <v>482.33000000000004</v>
      </c>
      <c r="P82" s="150">
        <f t="shared" ref="P82:Q82" si="17">P54+P61+P63+(1-$E66)*(P65+P66)+(1-$E75)*(P75+P76)</f>
        <v>482.54500000000002</v>
      </c>
      <c r="Q82" s="150">
        <f t="shared" si="17"/>
        <v>480.08011596161907</v>
      </c>
      <c r="S82" s="7">
        <f>ROW()</f>
        <v>82</v>
      </c>
    </row>
    <row r="83" spans="2:19" ht="13.95" customHeight="1">
      <c r="B83" s="501" t="str">
        <f>CONCATENATE("Sum of Rows: ",S54,", ",S61,", ",S63,", plus ",(1-E66)*100, "% of Rows ",S65," and ",S66, " plus ",(1-E75)*100, "% of Rows ",S75, " and ",S76,".")</f>
        <v>Sum of Rows: 54, 61, 63, plus 90% of Rows 65 and 66 plus 85% of Rows 75 and 76.</v>
      </c>
      <c r="S83" s="7">
        <f>ROW()</f>
        <v>83</v>
      </c>
    </row>
    <row r="84" spans="2:19" ht="13.95" customHeight="1">
      <c r="B84" s="84"/>
      <c r="S84" s="7">
        <f>ROW()</f>
        <v>84</v>
      </c>
    </row>
    <row r="85" spans="2:19" s="137" customFormat="1" ht="13.95" customHeight="1">
      <c r="B85" s="140" t="s">
        <v>388</v>
      </c>
      <c r="G85" s="141">
        <f>G68+G70+G71+G73</f>
        <v>232.5</v>
      </c>
      <c r="H85" s="141">
        <f>H68+H70+H71+H73</f>
        <v>230</v>
      </c>
      <c r="I85" s="141">
        <f t="shared" ref="I85:O85" si="18">I68+I70+I71+I73</f>
        <v>228.6</v>
      </c>
      <c r="J85" s="141">
        <f t="shared" si="18"/>
        <v>213.6</v>
      </c>
      <c r="K85" s="141">
        <f t="shared" si="18"/>
        <v>193.3</v>
      </c>
      <c r="L85" s="141">
        <f t="shared" si="18"/>
        <v>200.8</v>
      </c>
      <c r="M85" s="141">
        <f t="shared" si="18"/>
        <v>201.70000000000002</v>
      </c>
      <c r="N85" s="141">
        <f t="shared" si="18"/>
        <v>197.5</v>
      </c>
      <c r="O85" s="141">
        <f t="shared" si="18"/>
        <v>203.8</v>
      </c>
      <c r="P85" s="141">
        <f t="shared" ref="P85:Q85" si="19">P68+P70+P71+P73</f>
        <v>204.1</v>
      </c>
      <c r="Q85" s="141">
        <f t="shared" si="19"/>
        <v>213.45843074940368</v>
      </c>
      <c r="S85" s="7">
        <f>ROW()</f>
        <v>85</v>
      </c>
    </row>
    <row r="86" spans="2:19" ht="13.95" customHeight="1">
      <c r="B86" s="84" t="str">
        <f>CONCATENATE("Sum of Rows: ",S68,", ",S70,", ",S71,", ",S73,".")</f>
        <v>Sum of Rows: 68, 70, 71, 73.</v>
      </c>
      <c r="S86" s="7">
        <f>ROW()</f>
        <v>86</v>
      </c>
    </row>
    <row r="87" spans="2:19" ht="13.95" customHeight="1">
      <c r="B87" s="84"/>
      <c r="S87" s="7">
        <f>ROW()</f>
        <v>87</v>
      </c>
    </row>
    <row r="88" spans="2:19" ht="13.95" customHeight="1">
      <c r="B88" s="551" t="s">
        <v>695</v>
      </c>
      <c r="G88" s="7">
        <v>141</v>
      </c>
      <c r="H88" s="7">
        <v>143.80000000000001</v>
      </c>
      <c r="I88" s="7">
        <v>134.9</v>
      </c>
      <c r="J88" s="7">
        <v>128</v>
      </c>
      <c r="K88" s="7">
        <v>108.1</v>
      </c>
      <c r="L88" s="7">
        <v>114.1</v>
      </c>
      <c r="M88" s="7">
        <v>108.5</v>
      </c>
      <c r="N88" s="7">
        <v>105.6</v>
      </c>
      <c r="O88" s="7">
        <v>121.7</v>
      </c>
      <c r="P88" s="7">
        <v>114.3</v>
      </c>
      <c r="Q88" s="7">
        <f>P88</f>
        <v>114.3</v>
      </c>
      <c r="S88" s="7">
        <f>ROW()</f>
        <v>88</v>
      </c>
    </row>
    <row r="89" spans="2:19" ht="13.95" customHeight="1">
      <c r="B89" s="84" t="s">
        <v>1024</v>
      </c>
      <c r="G89" s="7"/>
      <c r="H89" s="7"/>
      <c r="I89" s="7"/>
      <c r="J89" s="7"/>
      <c r="K89" s="7"/>
      <c r="L89" s="7"/>
      <c r="M89" s="7"/>
      <c r="N89" s="7"/>
      <c r="O89" s="7"/>
      <c r="P89" s="7"/>
      <c r="S89" s="7">
        <f>ROW()</f>
        <v>89</v>
      </c>
    </row>
    <row r="90" spans="2:19" ht="13.95" customHeight="1">
      <c r="B90" s="551" t="s">
        <v>53</v>
      </c>
      <c r="G90" s="7">
        <v>49.9</v>
      </c>
      <c r="H90" s="7">
        <v>50.3</v>
      </c>
      <c r="I90" s="7">
        <v>46.1</v>
      </c>
      <c r="J90" s="7">
        <v>41</v>
      </c>
      <c r="K90" s="7">
        <v>43.8</v>
      </c>
      <c r="L90" s="7">
        <v>41.4</v>
      </c>
      <c r="M90" s="7">
        <v>41.5</v>
      </c>
      <c r="N90" s="7">
        <v>43.6</v>
      </c>
      <c r="O90" s="7">
        <v>43.5</v>
      </c>
      <c r="P90" s="7">
        <v>41</v>
      </c>
      <c r="Q90" s="7">
        <f>P90</f>
        <v>41</v>
      </c>
      <c r="S90" s="7">
        <f>ROW()</f>
        <v>90</v>
      </c>
    </row>
    <row r="91" spans="2:19" ht="13.95" customHeight="1">
      <c r="B91" s="1145" t="s">
        <v>1025</v>
      </c>
      <c r="C91" s="1155"/>
      <c r="D91" s="1155"/>
      <c r="E91" s="1155"/>
      <c r="F91" s="1155"/>
      <c r="G91" s="1155"/>
      <c r="H91" s="1155"/>
      <c r="I91" s="1155"/>
      <c r="J91" s="1155"/>
      <c r="K91" s="1155"/>
      <c r="L91" s="1155"/>
      <c r="M91" s="1155"/>
      <c r="N91" s="1155"/>
      <c r="O91" s="1155"/>
      <c r="P91" s="696"/>
      <c r="S91" s="7">
        <f>ROW()</f>
        <v>91</v>
      </c>
    </row>
    <row r="92" spans="2:19" ht="13.95" customHeight="1">
      <c r="B92" s="1155"/>
      <c r="C92" s="1155"/>
      <c r="D92" s="1155"/>
      <c r="E92" s="1155"/>
      <c r="F92" s="1155"/>
      <c r="G92" s="1155"/>
      <c r="H92" s="1155"/>
      <c r="I92" s="1155"/>
      <c r="J92" s="1155"/>
      <c r="K92" s="1155"/>
      <c r="L92" s="1155"/>
      <c r="M92" s="1155"/>
      <c r="N92" s="1155"/>
      <c r="O92" s="1155"/>
      <c r="P92" s="696"/>
      <c r="S92" s="7">
        <f>ROW()</f>
        <v>92</v>
      </c>
    </row>
    <row r="93" spans="2:19" ht="13.95" customHeight="1">
      <c r="B93" s="551" t="s">
        <v>699</v>
      </c>
      <c r="G93" s="7">
        <f>115.3+9.3</f>
        <v>124.6</v>
      </c>
      <c r="H93" s="7">
        <f>112.6+6.2</f>
        <v>118.8</v>
      </c>
      <c r="I93" s="7">
        <f>107+6.7</f>
        <v>113.7</v>
      </c>
      <c r="J93" s="7">
        <f>102.4+7.6</f>
        <v>110</v>
      </c>
      <c r="K93" s="7">
        <f>83+6.9</f>
        <v>89.9</v>
      </c>
      <c r="L93" s="7">
        <f>90.1+6.6</f>
        <v>96.699999999999989</v>
      </c>
      <c r="M93" s="7">
        <f>82+5.8</f>
        <v>87.8</v>
      </c>
      <c r="N93" s="7">
        <f>74.1+4.1</f>
        <v>78.199999999999989</v>
      </c>
      <c r="O93" s="7">
        <f>75.7+3.9</f>
        <v>79.600000000000009</v>
      </c>
      <c r="P93" s="7">
        <f>75.3+4.5</f>
        <v>79.8</v>
      </c>
      <c r="Q93" s="7">
        <f>P93</f>
        <v>79.8</v>
      </c>
      <c r="S93" s="7">
        <f>ROW()</f>
        <v>93</v>
      </c>
    </row>
    <row r="94" spans="2:19" ht="13.95" customHeight="1">
      <c r="B94" s="84" t="s">
        <v>1026</v>
      </c>
      <c r="G94" s="7"/>
      <c r="H94" s="7"/>
      <c r="I94" s="7"/>
      <c r="J94" s="7"/>
      <c r="K94" s="7"/>
      <c r="L94" s="7"/>
      <c r="M94" s="7"/>
      <c r="N94" s="7"/>
      <c r="O94" s="7"/>
      <c r="P94" s="7"/>
      <c r="S94" s="7">
        <f>ROW()</f>
        <v>94</v>
      </c>
    </row>
    <row r="95" spans="2:19" ht="13.95" customHeight="1">
      <c r="B95" s="556" t="s">
        <v>698</v>
      </c>
      <c r="C95" s="416"/>
      <c r="D95" s="416"/>
      <c r="E95" s="416"/>
      <c r="F95" s="416"/>
      <c r="G95" s="1366" t="s">
        <v>707</v>
      </c>
      <c r="H95" s="1367"/>
      <c r="I95" s="1367"/>
      <c r="J95" s="1367"/>
      <c r="K95" s="1367"/>
      <c r="L95" s="557">
        <v>81.5</v>
      </c>
      <c r="M95" s="557"/>
      <c r="N95" s="557">
        <v>83.9</v>
      </c>
      <c r="O95" s="557"/>
      <c r="P95" s="558">
        <v>92</v>
      </c>
      <c r="S95" s="7">
        <f>ROW()</f>
        <v>95</v>
      </c>
    </row>
    <row r="96" spans="2:19" ht="13.95" customHeight="1">
      <c r="B96" s="1362" t="s">
        <v>1027</v>
      </c>
      <c r="C96" s="1363"/>
      <c r="D96" s="1363"/>
      <c r="E96" s="1363"/>
      <c r="F96" s="1363"/>
      <c r="G96" s="1368"/>
      <c r="H96" s="1368"/>
      <c r="I96" s="1368"/>
      <c r="J96" s="1368"/>
      <c r="K96" s="1368"/>
      <c r="L96" s="130"/>
      <c r="M96" s="130"/>
      <c r="N96" s="130"/>
      <c r="O96" s="130"/>
      <c r="P96" s="453"/>
      <c r="S96" s="7">
        <f>ROW()</f>
        <v>96</v>
      </c>
    </row>
    <row r="97" spans="2:19" ht="13.95" customHeight="1">
      <c r="B97" s="1364"/>
      <c r="C97" s="1365"/>
      <c r="D97" s="1365"/>
      <c r="E97" s="1365"/>
      <c r="F97" s="1365"/>
      <c r="G97" s="1369"/>
      <c r="H97" s="1369"/>
      <c r="I97" s="1369"/>
      <c r="J97" s="1369"/>
      <c r="K97" s="1369"/>
      <c r="L97" s="455"/>
      <c r="M97" s="455"/>
      <c r="N97" s="455"/>
      <c r="O97" s="953"/>
      <c r="P97" s="456"/>
      <c r="S97" s="7">
        <f>ROW()</f>
        <v>97</v>
      </c>
    </row>
    <row r="98" spans="2:19" ht="13.95" customHeight="1">
      <c r="B98" s="551" t="s">
        <v>715</v>
      </c>
      <c r="C98" s="560"/>
      <c r="D98" s="560"/>
      <c r="E98" s="560"/>
      <c r="F98" s="560"/>
      <c r="G98" s="562">
        <f t="shared" ref="G98:Q98" si="20">G88+G90+G93</f>
        <v>315.5</v>
      </c>
      <c r="H98" s="562">
        <f t="shared" si="20"/>
        <v>312.90000000000003</v>
      </c>
      <c r="I98" s="562">
        <f t="shared" si="20"/>
        <v>294.7</v>
      </c>
      <c r="J98" s="562">
        <f t="shared" si="20"/>
        <v>279</v>
      </c>
      <c r="K98" s="562">
        <f t="shared" si="20"/>
        <v>241.79999999999998</v>
      </c>
      <c r="L98" s="562">
        <f t="shared" si="20"/>
        <v>252.2</v>
      </c>
      <c r="M98" s="562">
        <f t="shared" si="20"/>
        <v>237.8</v>
      </c>
      <c r="N98" s="562">
        <f t="shared" si="20"/>
        <v>227.39999999999998</v>
      </c>
      <c r="O98" s="562">
        <f t="shared" si="20"/>
        <v>244.8</v>
      </c>
      <c r="P98" s="562">
        <f t="shared" si="20"/>
        <v>235.10000000000002</v>
      </c>
      <c r="Q98" s="562">
        <f t="shared" si="20"/>
        <v>235.10000000000002</v>
      </c>
      <c r="S98" s="7">
        <f>ROW()</f>
        <v>98</v>
      </c>
    </row>
    <row r="99" spans="2:19" ht="13.95" customHeight="1">
      <c r="B99" s="84" t="str">
        <f>CONCATENATE("Sum of Rows ",S88,", ",S90,", and ",S93,".")</f>
        <v>Sum of Rows 88, 90, and 93.</v>
      </c>
      <c r="C99" s="560"/>
      <c r="D99" s="560"/>
      <c r="E99" s="560"/>
      <c r="F99" s="560"/>
      <c r="G99" s="561"/>
      <c r="H99" s="561"/>
      <c r="I99" s="561"/>
      <c r="J99" s="561"/>
      <c r="K99" s="561"/>
      <c r="L99" s="67"/>
      <c r="M99" s="67"/>
      <c r="N99" s="67"/>
      <c r="O99" s="130"/>
      <c r="P99" s="130"/>
      <c r="S99" s="7">
        <f>ROW()</f>
        <v>99</v>
      </c>
    </row>
    <row r="100" spans="2:19" ht="13.95" customHeight="1">
      <c r="O100" s="7"/>
      <c r="P100" s="7"/>
      <c r="Q100" s="954"/>
      <c r="S100" s="7">
        <f>ROW()</f>
        <v>100</v>
      </c>
    </row>
    <row r="101" spans="2:19" ht="13.95" customHeight="1">
      <c r="B101" s="8" t="s">
        <v>138</v>
      </c>
      <c r="G101" s="9">
        <f t="shared" ref="G101:P101" si="21">G21-G40-G78-G82-G85-G98</f>
        <v>1196.5000000000005</v>
      </c>
      <c r="H101" s="9">
        <f t="shared" si="21"/>
        <v>1165.6899999999996</v>
      </c>
      <c r="I101" s="9">
        <f t="shared" si="21"/>
        <v>1212.4000000000005</v>
      </c>
      <c r="J101" s="9">
        <f t="shared" si="21"/>
        <v>1198.0999999999999</v>
      </c>
      <c r="K101" s="9">
        <f t="shared" si="21"/>
        <v>1147.700000000001</v>
      </c>
      <c r="L101" s="9">
        <f t="shared" si="21"/>
        <v>1181.6000000000001</v>
      </c>
      <c r="M101" s="9">
        <f t="shared" si="21"/>
        <v>1180.4000000000005</v>
      </c>
      <c r="N101" s="9">
        <f t="shared" si="21"/>
        <v>1137.7999999999997</v>
      </c>
      <c r="O101" s="9">
        <f t="shared" si="21"/>
        <v>1223.4000000000001</v>
      </c>
      <c r="P101" s="9">
        <f t="shared" si="21"/>
        <v>1270.2999999999993</v>
      </c>
      <c r="Q101" s="9">
        <f>P101</f>
        <v>1270.2999999999993</v>
      </c>
      <c r="R101" s="1373" t="s">
        <v>1037</v>
      </c>
      <c r="S101" s="7">
        <f>ROW()</f>
        <v>101</v>
      </c>
    </row>
    <row r="102" spans="2:19" ht="13.95" customHeight="1">
      <c r="B102" s="84" t="str">
        <f>CONCATENATE("Row ",S21, " less sum of Rows: ",S40,", ",S78,", ",S82,", ",S85, " and ",S98, ".")</f>
        <v>Row 21 less sum of Rows: 40, 78, 82, 85 and 98.</v>
      </c>
      <c r="Q102" s="502"/>
      <c r="R102" s="1374"/>
      <c r="S102" s="7">
        <f>ROW()</f>
        <v>102</v>
      </c>
    </row>
    <row r="103" spans="2:19" ht="13.95" customHeight="1">
      <c r="B103" s="84"/>
      <c r="Q103" s="502"/>
      <c r="R103" s="502"/>
      <c r="S103" s="7">
        <f>ROW()</f>
        <v>103</v>
      </c>
    </row>
    <row r="104" spans="2:19" ht="13.95" customHeight="1">
      <c r="B104" s="8" t="s">
        <v>1031</v>
      </c>
      <c r="C104" s="131"/>
      <c r="D104" s="131"/>
      <c r="E104" s="131"/>
      <c r="F104" s="131"/>
      <c r="G104" s="131"/>
      <c r="H104" s="131"/>
      <c r="I104" s="131"/>
      <c r="J104" s="131"/>
      <c r="Q104" s="954"/>
      <c r="S104" s="7">
        <f>ROW()</f>
        <v>104</v>
      </c>
    </row>
    <row r="105" spans="2:19" ht="13.95" customHeight="1">
      <c r="B105" s="131"/>
      <c r="C105" s="131"/>
      <c r="D105" s="131"/>
      <c r="E105" s="131"/>
      <c r="F105" s="131"/>
      <c r="G105" s="131"/>
      <c r="H105" s="131"/>
      <c r="I105" s="131"/>
      <c r="J105" s="131"/>
      <c r="S105" s="7">
        <f>ROW()</f>
        <v>105</v>
      </c>
    </row>
    <row r="106" spans="2:19" ht="13.95" customHeight="1">
      <c r="B106" s="915" t="s">
        <v>1028</v>
      </c>
      <c r="C106" s="131"/>
      <c r="D106" s="131"/>
      <c r="E106" s="131"/>
      <c r="F106" s="131"/>
      <c r="G106" s="131"/>
      <c r="H106" s="131"/>
      <c r="I106" s="131"/>
      <c r="J106" s="131"/>
      <c r="S106" s="7">
        <f>ROW()</f>
        <v>106</v>
      </c>
    </row>
    <row r="107" spans="2:19" ht="13.95" customHeight="1">
      <c r="B107" s="915" t="s">
        <v>315</v>
      </c>
      <c r="C107" s="131"/>
      <c r="D107" s="131"/>
      <c r="E107" s="131"/>
      <c r="F107" s="131"/>
      <c r="G107" s="239">
        <v>40150</v>
      </c>
      <c r="H107" s="131"/>
      <c r="I107" s="131"/>
      <c r="J107" s="131"/>
      <c r="S107" s="7">
        <f>ROW()</f>
        <v>107</v>
      </c>
    </row>
    <row r="108" spans="2:19" ht="13.95" customHeight="1">
      <c r="B108" t="s">
        <v>1029</v>
      </c>
      <c r="L108" s="915" t="s">
        <v>1030</v>
      </c>
      <c r="S108" s="7">
        <f>ROW()</f>
        <v>108</v>
      </c>
    </row>
    <row r="109" spans="2:19" ht="13.95" customHeight="1">
      <c r="B109" t="s">
        <v>316</v>
      </c>
      <c r="I109" s="31" t="s">
        <v>317</v>
      </c>
      <c r="S109" s="7">
        <f>ROW()</f>
        <v>109</v>
      </c>
    </row>
    <row r="110" spans="2:19" ht="13.95" customHeight="1">
      <c r="B110" t="s">
        <v>318</v>
      </c>
      <c r="I110" s="31" t="s">
        <v>319</v>
      </c>
      <c r="S110" s="7">
        <f>ROW()</f>
        <v>110</v>
      </c>
    </row>
    <row r="111" spans="2:19" ht="13.95" customHeight="1">
      <c r="S111" s="7">
        <f>ROW()</f>
        <v>111</v>
      </c>
    </row>
    <row r="112" spans="2:19" ht="13.95" customHeight="1">
      <c r="S112" s="7">
        <f>ROW()</f>
        <v>112</v>
      </c>
    </row>
    <row r="113" spans="2:19" ht="13.95" customHeight="1">
      <c r="B113" s="31" t="s">
        <v>175</v>
      </c>
      <c r="F113" s="31"/>
      <c r="J113">
        <v>2421</v>
      </c>
      <c r="S113" s="7">
        <f>ROW()</f>
        <v>113</v>
      </c>
    </row>
    <row r="114" spans="2:19" ht="13.95" customHeight="1">
      <c r="B114" s="31" t="s">
        <v>176</v>
      </c>
      <c r="F114" s="31"/>
      <c r="J114">
        <v>2778</v>
      </c>
      <c r="S114" s="7">
        <f>ROW()</f>
        <v>114</v>
      </c>
    </row>
    <row r="115" spans="2:19" ht="13.95" customHeight="1">
      <c r="B115" s="1145" t="s">
        <v>155</v>
      </c>
      <c r="C115" s="1155"/>
      <c r="D115" s="1155"/>
      <c r="E115" s="1155"/>
      <c r="F115" s="1155"/>
      <c r="G115" s="1155"/>
      <c r="H115" s="1155"/>
      <c r="I115" s="1155"/>
      <c r="J115" s="1155"/>
      <c r="K115" s="1155"/>
      <c r="S115" s="7">
        <f>ROW()</f>
        <v>115</v>
      </c>
    </row>
    <row r="116" spans="2:19" ht="13.95" customHeight="1">
      <c r="B116" s="1155"/>
      <c r="C116" s="1155"/>
      <c r="D116" s="1155"/>
      <c r="E116" s="1155"/>
      <c r="F116" s="1155"/>
      <c r="G116" s="1155"/>
      <c r="H116" s="1155"/>
      <c r="I116" s="1155"/>
      <c r="J116" s="1155"/>
      <c r="K116" s="1155"/>
      <c r="S116" s="7">
        <f>ROW()</f>
        <v>116</v>
      </c>
    </row>
    <row r="117" spans="2:19" ht="13.95" customHeight="1">
      <c r="B117" s="31" t="s">
        <v>167</v>
      </c>
      <c r="J117">
        <v>9.57</v>
      </c>
      <c r="S117" s="7">
        <f>ROW()</f>
        <v>117</v>
      </c>
    </row>
    <row r="118" spans="2:19" ht="13.95" customHeight="1">
      <c r="B118" s="1145" t="s">
        <v>168</v>
      </c>
      <c r="C118" s="1145"/>
      <c r="D118" s="1145"/>
      <c r="E118" s="1145"/>
      <c r="F118" s="1145"/>
      <c r="G118" s="1145"/>
      <c r="H118" s="1145"/>
      <c r="I118" s="1145"/>
      <c r="J118" s="1145"/>
      <c r="K118" s="1145"/>
      <c r="S118" s="7">
        <f>ROW()</f>
        <v>118</v>
      </c>
    </row>
    <row r="119" spans="2:19" ht="13.95" customHeight="1">
      <c r="B119" s="1145"/>
      <c r="C119" s="1145"/>
      <c r="D119" s="1145"/>
      <c r="E119" s="1145"/>
      <c r="F119" s="1145"/>
      <c r="G119" s="1145"/>
      <c r="H119" s="1145"/>
      <c r="I119" s="1145"/>
      <c r="J119" s="1145"/>
      <c r="K119" s="1145"/>
      <c r="S119" s="7">
        <f>ROW()</f>
        <v>119</v>
      </c>
    </row>
    <row r="120" spans="2:19" ht="13.95" customHeight="1">
      <c r="B120" s="31" t="s">
        <v>177</v>
      </c>
      <c r="J120">
        <f>J117*1000/Parameters!I17</f>
        <v>2610</v>
      </c>
      <c r="S120" s="7">
        <f>ROW()</f>
        <v>120</v>
      </c>
    </row>
    <row r="121" spans="2:19" ht="13.95" customHeight="1">
      <c r="B121" s="31" t="s">
        <v>169</v>
      </c>
      <c r="J121">
        <v>53.06</v>
      </c>
      <c r="S121" s="7">
        <f>ROW()</f>
        <v>121</v>
      </c>
    </row>
    <row r="122" spans="2:19" ht="13.95" customHeight="1">
      <c r="B122" s="1145" t="s">
        <v>168</v>
      </c>
      <c r="C122" s="1145"/>
      <c r="D122" s="1145"/>
      <c r="E122" s="1145"/>
      <c r="F122" s="1145"/>
      <c r="G122" s="1145"/>
      <c r="H122" s="1145"/>
      <c r="I122" s="1145"/>
      <c r="J122" s="1145"/>
      <c r="K122" s="1145"/>
      <c r="S122" s="7">
        <f>ROW()</f>
        <v>122</v>
      </c>
    </row>
    <row r="123" spans="2:19" ht="13.95" customHeight="1">
      <c r="B123" s="1145"/>
      <c r="C123" s="1145"/>
      <c r="D123" s="1145"/>
      <c r="E123" s="1145"/>
      <c r="F123" s="1145"/>
      <c r="G123" s="1145"/>
      <c r="H123" s="1145"/>
      <c r="I123" s="1145"/>
      <c r="J123" s="1145"/>
      <c r="K123" s="1145"/>
      <c r="S123" s="7">
        <f>ROW()</f>
        <v>123</v>
      </c>
    </row>
    <row r="124" spans="2:19" ht="13.95" customHeight="1">
      <c r="B124" s="31"/>
      <c r="S124" s="7">
        <f>ROW()</f>
        <v>124</v>
      </c>
    </row>
    <row r="125" spans="2:19" ht="13.95" customHeight="1">
      <c r="B125" s="1" t="s">
        <v>376</v>
      </c>
      <c r="S125" s="7">
        <f>ROW()</f>
        <v>125</v>
      </c>
    </row>
    <row r="126" spans="2:19" ht="13.95" customHeight="1">
      <c r="S126" s="7">
        <f>ROW()</f>
        <v>126</v>
      </c>
    </row>
    <row r="127" spans="2:19" ht="13.95" customHeight="1">
      <c r="B127" s="915" t="s">
        <v>1002</v>
      </c>
      <c r="S127" s="7">
        <f>ROW()</f>
        <v>127</v>
      </c>
    </row>
    <row r="128" spans="2:19" ht="13.95" customHeight="1">
      <c r="B128" s="31" t="s">
        <v>377</v>
      </c>
      <c r="I128" s="1355" t="s">
        <v>462</v>
      </c>
      <c r="J128" s="1355" t="s">
        <v>396</v>
      </c>
      <c r="S128" s="7">
        <f>ROW()</f>
        <v>128</v>
      </c>
    </row>
    <row r="129" spans="2:19" ht="13.95" customHeight="1">
      <c r="B129" s="297" t="s">
        <v>369</v>
      </c>
      <c r="C129" s="302" t="s">
        <v>51</v>
      </c>
      <c r="D129" s="302" t="s">
        <v>52</v>
      </c>
      <c r="E129" s="302" t="s">
        <v>50</v>
      </c>
      <c r="F129" s="302" t="s">
        <v>378</v>
      </c>
      <c r="G129" s="302" t="s">
        <v>379</v>
      </c>
      <c r="H129" s="329" t="s">
        <v>370</v>
      </c>
      <c r="I129" s="1181"/>
      <c r="J129" s="1181"/>
      <c r="S129" s="7">
        <f>ROW()</f>
        <v>129</v>
      </c>
    </row>
    <row r="130" spans="2:19" ht="13.95" customHeight="1">
      <c r="B130" s="301" t="s">
        <v>44</v>
      </c>
      <c r="C130" s="303">
        <v>0</v>
      </c>
      <c r="D130" s="303">
        <v>6</v>
      </c>
      <c r="E130" s="303">
        <v>129</v>
      </c>
      <c r="F130" s="303">
        <v>0</v>
      </c>
      <c r="G130" s="304">
        <v>1364</v>
      </c>
      <c r="H130" s="299">
        <v>1499</v>
      </c>
      <c r="I130" s="330">
        <f>H130-G130-F130</f>
        <v>135</v>
      </c>
      <c r="J130" s="333">
        <f>I130/$I$135</f>
        <v>9.1401489505754913E-2</v>
      </c>
      <c r="S130" s="7">
        <f>ROW()</f>
        <v>130</v>
      </c>
    </row>
    <row r="131" spans="2:19" ht="13.95" customHeight="1">
      <c r="B131" s="301" t="s">
        <v>115</v>
      </c>
      <c r="C131" s="303">
        <v>252</v>
      </c>
      <c r="D131" s="303">
        <v>175</v>
      </c>
      <c r="E131" s="303">
        <v>474</v>
      </c>
      <c r="F131" s="303">
        <v>49</v>
      </c>
      <c r="G131" s="303">
        <v>530</v>
      </c>
      <c r="H131" s="299">
        <v>1480</v>
      </c>
      <c r="I131" s="330">
        <f>H131-G131-F131</f>
        <v>901</v>
      </c>
      <c r="J131" s="333">
        <f>I131/$I$135</f>
        <v>0.61002031144211244</v>
      </c>
      <c r="S131" s="7">
        <f>ROW()</f>
        <v>131</v>
      </c>
    </row>
    <row r="132" spans="2:19" ht="13.95" customHeight="1">
      <c r="B132" s="301" t="s">
        <v>45</v>
      </c>
      <c r="C132" s="303">
        <v>67</v>
      </c>
      <c r="D132" s="303">
        <v>40</v>
      </c>
      <c r="E132" s="303">
        <v>338</v>
      </c>
      <c r="F132" s="304">
        <v>1816</v>
      </c>
      <c r="G132" s="303">
        <v>24</v>
      </c>
      <c r="H132" s="299">
        <v>2285</v>
      </c>
      <c r="I132" s="330">
        <f>H132-G132-F132</f>
        <v>445</v>
      </c>
      <c r="J132" s="333">
        <f>I132/$I$135</f>
        <v>0.30128639133378471</v>
      </c>
      <c r="S132" s="7">
        <f>ROW()</f>
        <v>132</v>
      </c>
    </row>
    <row r="133" spans="2:19" ht="13.95" customHeight="1">
      <c r="B133" s="301" t="s">
        <v>371</v>
      </c>
      <c r="C133" s="303"/>
      <c r="D133" s="303"/>
      <c r="E133" s="303"/>
      <c r="F133" s="303"/>
      <c r="G133" s="303">
        <v>7</v>
      </c>
      <c r="H133" s="298">
        <v>7</v>
      </c>
      <c r="I133" s="330">
        <f>H133-G133-F133</f>
        <v>0</v>
      </c>
      <c r="J133" s="333">
        <f>I133/$I$135</f>
        <v>0</v>
      </c>
      <c r="S133" s="7">
        <f>ROW()</f>
        <v>133</v>
      </c>
    </row>
    <row r="134" spans="2:19" ht="13.95" customHeight="1">
      <c r="B134" s="301" t="s">
        <v>372</v>
      </c>
      <c r="C134" s="303">
        <v>723</v>
      </c>
      <c r="D134" s="303">
        <v>702</v>
      </c>
      <c r="E134" s="303">
        <v>495</v>
      </c>
      <c r="F134" s="303">
        <v>4</v>
      </c>
      <c r="G134" s="303"/>
      <c r="H134" s="299">
        <f>SUM(C134:G134)</f>
        <v>1924</v>
      </c>
      <c r="I134" s="331"/>
      <c r="J134" s="253"/>
      <c r="S134" s="7">
        <f>ROW()</f>
        <v>134</v>
      </c>
    </row>
    <row r="135" spans="2:19" ht="13.95" customHeight="1">
      <c r="B135" s="297" t="s">
        <v>373</v>
      </c>
      <c r="C135" s="305">
        <v>1043</v>
      </c>
      <c r="D135" s="306">
        <v>922</v>
      </c>
      <c r="E135" s="305">
        <v>1437</v>
      </c>
      <c r="F135" s="305">
        <v>1869</v>
      </c>
      <c r="G135" s="305">
        <v>1925</v>
      </c>
      <c r="H135" s="300">
        <v>5271</v>
      </c>
      <c r="I135" s="332">
        <f>H135-G135-F135</f>
        <v>1477</v>
      </c>
      <c r="J135" s="333">
        <f>I135/$I$135</f>
        <v>1</v>
      </c>
      <c r="S135" s="7">
        <f>ROW()</f>
        <v>135</v>
      </c>
    </row>
    <row r="136" spans="2:19" ht="13.95" customHeight="1">
      <c r="B136" s="84" t="s">
        <v>374</v>
      </c>
      <c r="S136" s="7">
        <f>ROW()</f>
        <v>136</v>
      </c>
    </row>
    <row r="137" spans="2:19" ht="13.95" customHeight="1">
      <c r="S137" s="7">
        <f>ROW()</f>
        <v>137</v>
      </c>
    </row>
    <row r="138" spans="2:19" ht="13.95" customHeight="1">
      <c r="B138" s="8" t="s">
        <v>375</v>
      </c>
      <c r="S138" s="7">
        <f>ROW()</f>
        <v>138</v>
      </c>
    </row>
    <row r="139" spans="2:19" ht="13.95" customHeight="1">
      <c r="B139" s="397" t="s">
        <v>1003</v>
      </c>
      <c r="S139" s="7">
        <f>ROW()</f>
        <v>139</v>
      </c>
    </row>
    <row r="140" spans="2:19" ht="13.95" customHeight="1">
      <c r="B140" s="397" t="s">
        <v>384</v>
      </c>
      <c r="S140" s="7">
        <f>ROW()</f>
        <v>140</v>
      </c>
    </row>
    <row r="141" spans="2:19" ht="13.95" customHeight="1">
      <c r="B141" s="397" t="s">
        <v>385</v>
      </c>
      <c r="S141" s="7">
        <f>ROW()</f>
        <v>141</v>
      </c>
    </row>
    <row r="142" spans="2:19" ht="13.95" customHeight="1">
      <c r="S142" s="7">
        <f>ROW()</f>
        <v>142</v>
      </c>
    </row>
    <row r="143" spans="2:19" ht="13.95" customHeight="1">
      <c r="B143" s="3"/>
      <c r="S143" s="7">
        <f>ROW()</f>
        <v>143</v>
      </c>
    </row>
    <row r="144" spans="2:19" ht="13.95" customHeight="1">
      <c r="S144" s="7">
        <f>ROW()</f>
        <v>144</v>
      </c>
    </row>
    <row r="145" spans="2:7" ht="13.95" customHeight="1">
      <c r="B145" s="319"/>
      <c r="C145" s="319"/>
      <c r="D145" s="319"/>
      <c r="E145" s="319"/>
      <c r="F145" s="319"/>
      <c r="G145" s="319"/>
    </row>
  </sheetData>
  <mergeCells count="24">
    <mergeCell ref="B48:O49"/>
    <mergeCell ref="R67:R73"/>
    <mergeCell ref="R75:R76"/>
    <mergeCell ref="R101:R102"/>
    <mergeCell ref="G7:O7"/>
    <mergeCell ref="G24:O24"/>
    <mergeCell ref="B12:M14"/>
    <mergeCell ref="R51:R57"/>
    <mergeCell ref="R58:R66"/>
    <mergeCell ref="Q18:Q25"/>
    <mergeCell ref="G41:P41"/>
    <mergeCell ref="I128:I129"/>
    <mergeCell ref="J128:J129"/>
    <mergeCell ref="B122:K123"/>
    <mergeCell ref="B118:K119"/>
    <mergeCell ref="F51:F55"/>
    <mergeCell ref="E75:F75"/>
    <mergeCell ref="E62:F65"/>
    <mergeCell ref="E66:F66"/>
    <mergeCell ref="E72:F74"/>
    <mergeCell ref="B115:K116"/>
    <mergeCell ref="B91:O92"/>
    <mergeCell ref="B96:F97"/>
    <mergeCell ref="G95:K97"/>
  </mergeCells>
  <phoneticPr fontId="3" type="noConversion"/>
  <printOptions gridLines="1"/>
  <pageMargins left="1.25" right="1" top="1.25" bottom="1" header="0.5" footer="0.5"/>
  <pageSetup orientation="portrait" r:id="rId1"/>
  <headerFooter alignWithMargins="0"/>
</worksheet>
</file>

<file path=xl/worksheets/sheet18.xml><?xml version="1.0" encoding="utf-8"?>
<worksheet xmlns="http://schemas.openxmlformats.org/spreadsheetml/2006/main" xmlns:r="http://schemas.openxmlformats.org/officeDocument/2006/relationships">
  <dimension ref="B1:AC142"/>
  <sheetViews>
    <sheetView zoomScaleNormal="100" workbookViewId="0"/>
  </sheetViews>
  <sheetFormatPr defaultColWidth="10.625" defaultRowHeight="13.95" customHeight="1"/>
  <cols>
    <col min="1" max="1" width="2.625" customWidth="1"/>
    <col min="2" max="17" width="10.625" customWidth="1"/>
    <col min="18" max="18" width="2.375" customWidth="1"/>
  </cols>
  <sheetData>
    <row r="1" spans="2:29" ht="13.95" customHeight="1">
      <c r="B1" s="57" t="s">
        <v>383</v>
      </c>
      <c r="K1" s="214">
        <f>Summary!I1</f>
        <v>42552</v>
      </c>
      <c r="R1" s="6">
        <f>ROW()</f>
        <v>1</v>
      </c>
    </row>
    <row r="2" spans="2:29" ht="13.95" customHeight="1">
      <c r="B2" s="57"/>
      <c r="K2" s="214"/>
      <c r="R2" s="6">
        <f>ROW()</f>
        <v>2</v>
      </c>
    </row>
    <row r="3" spans="2:29" ht="13.95" customHeight="1">
      <c r="B3" s="57"/>
      <c r="K3" s="214"/>
      <c r="R3" s="6">
        <f>ROW()</f>
        <v>3</v>
      </c>
    </row>
    <row r="4" spans="2:29" ht="13.95" customHeight="1">
      <c r="R4" s="6">
        <f>ROW()</f>
        <v>4</v>
      </c>
    </row>
    <row r="5" spans="2:29" ht="13.95" customHeight="1">
      <c r="G5" s="13">
        <v>2005</v>
      </c>
      <c r="H5" s="13">
        <v>2006</v>
      </c>
      <c r="I5" s="13">
        <v>2007</v>
      </c>
      <c r="J5" s="13">
        <v>2008</v>
      </c>
      <c r="K5" s="13">
        <v>2009</v>
      </c>
      <c r="L5" s="13">
        <v>2010</v>
      </c>
      <c r="M5" s="13">
        <v>2011</v>
      </c>
      <c r="N5" s="13">
        <v>2012</v>
      </c>
      <c r="O5" s="13">
        <v>2013</v>
      </c>
      <c r="P5" s="13">
        <v>2014</v>
      </c>
      <c r="Q5" s="13">
        <v>2015</v>
      </c>
      <c r="R5" s="6">
        <f>ROW()</f>
        <v>5</v>
      </c>
    </row>
    <row r="6" spans="2:29" ht="13.95" customHeight="1">
      <c r="R6" s="6">
        <f>ROW()</f>
        <v>6</v>
      </c>
    </row>
    <row r="7" spans="2:29" ht="13.95" customHeight="1">
      <c r="B7" s="8" t="s">
        <v>327</v>
      </c>
      <c r="C7" s="27"/>
      <c r="D7" s="27"/>
      <c r="E7" s="27"/>
      <c r="F7" s="27"/>
      <c r="G7" s="21">
        <v>4055.4227500000002</v>
      </c>
      <c r="H7" s="21">
        <v>4064.7022280000001</v>
      </c>
      <c r="I7" s="21">
        <v>4156.7447240000001</v>
      </c>
      <c r="J7" s="21">
        <v>4119.3877599999996</v>
      </c>
      <c r="K7" s="21">
        <v>3950.330927</v>
      </c>
      <c r="L7" s="21">
        <v>4125.0599000000002</v>
      </c>
      <c r="M7" s="21">
        <v>4100.1409270000004</v>
      </c>
      <c r="N7" s="21">
        <v>4047.7652600000001</v>
      </c>
      <c r="O7" s="21">
        <v>4065.9640680000002</v>
      </c>
      <c r="P7" s="21">
        <v>4092.9346919999998</v>
      </c>
      <c r="Q7" s="21">
        <v>4087</v>
      </c>
      <c r="R7" s="6">
        <f>ROW()</f>
        <v>7</v>
      </c>
    </row>
    <row r="8" spans="2:29" ht="13.95" customHeight="1">
      <c r="B8" s="83" t="s">
        <v>1012</v>
      </c>
      <c r="C8" s="27"/>
      <c r="D8" s="27"/>
      <c r="E8" s="27"/>
      <c r="F8" s="27"/>
      <c r="G8" s="113"/>
      <c r="H8" s="27"/>
      <c r="I8" s="113"/>
      <c r="J8" s="113"/>
      <c r="K8" s="113"/>
      <c r="L8" s="113"/>
      <c r="M8" s="113"/>
      <c r="N8" s="113"/>
      <c r="R8" s="6">
        <f>ROW()</f>
        <v>8</v>
      </c>
    </row>
    <row r="9" spans="2:29" ht="13.95" customHeight="1">
      <c r="R9" s="6">
        <f>ROW()</f>
        <v>9</v>
      </c>
    </row>
    <row r="10" spans="2:29" ht="13.95" customHeight="1">
      <c r="B10" s="8" t="s">
        <v>448</v>
      </c>
      <c r="R10" s="6">
        <f>ROW()</f>
        <v>10</v>
      </c>
      <c r="T10" s="312"/>
    </row>
    <row r="11" spans="2:29" ht="13.95" customHeight="1">
      <c r="B11" s="312" t="s">
        <v>44</v>
      </c>
      <c r="G11" s="160">
        <v>2012873.0460000001</v>
      </c>
      <c r="H11" s="160">
        <v>1990511.135</v>
      </c>
      <c r="I11" s="160">
        <v>2016455.584</v>
      </c>
      <c r="J11" s="160">
        <v>1985801.247</v>
      </c>
      <c r="K11" s="160">
        <v>1755904.253</v>
      </c>
      <c r="L11" s="160">
        <v>1847290.2790000001</v>
      </c>
      <c r="M11" s="160">
        <v>1733430.0049999999</v>
      </c>
      <c r="N11" s="160">
        <v>1514042.9450000001</v>
      </c>
      <c r="O11" s="160">
        <v>1581114.716</v>
      </c>
      <c r="P11" s="160">
        <v>1581710</v>
      </c>
      <c r="Q11" s="160">
        <v>1356057</v>
      </c>
      <c r="R11" s="6">
        <f>ROW()</f>
        <v>11</v>
      </c>
    </row>
    <row r="12" spans="2:29" ht="13.95" customHeight="1">
      <c r="B12" s="312" t="s">
        <v>322</v>
      </c>
      <c r="G12" s="160">
        <v>122225.01700000001</v>
      </c>
      <c r="H12" s="160">
        <v>64166.413999999997</v>
      </c>
      <c r="I12" s="160">
        <v>65738.978000000003</v>
      </c>
      <c r="J12" s="160">
        <v>46242.612000000001</v>
      </c>
      <c r="K12" s="160">
        <v>38936.514999999999</v>
      </c>
      <c r="L12" s="160">
        <v>37061.012999999999</v>
      </c>
      <c r="M12" s="160">
        <v>30182.244999999999</v>
      </c>
      <c r="N12" s="160">
        <v>23189.542000000001</v>
      </c>
      <c r="O12" s="160">
        <v>27164.444</v>
      </c>
      <c r="P12" s="160">
        <v>30232</v>
      </c>
      <c r="Q12" s="160">
        <v>28443</v>
      </c>
      <c r="R12" s="6">
        <f>ROW()</f>
        <v>12</v>
      </c>
      <c r="T12" s="160"/>
      <c r="U12" s="160"/>
      <c r="V12" s="160"/>
      <c r="W12" s="160"/>
      <c r="X12" s="160"/>
      <c r="Y12" s="160"/>
      <c r="Z12" s="160"/>
      <c r="AA12" s="160"/>
      <c r="AB12" s="160"/>
      <c r="AC12" s="160"/>
    </row>
    <row r="13" spans="2:29" ht="13.95" customHeight="1">
      <c r="B13" s="312" t="s">
        <v>115</v>
      </c>
      <c r="G13" s="160">
        <v>760960.25399999996</v>
      </c>
      <c r="H13" s="160">
        <v>816440.77</v>
      </c>
      <c r="I13" s="160">
        <v>896589.79099999997</v>
      </c>
      <c r="J13" s="160">
        <v>882980.59900000005</v>
      </c>
      <c r="K13" s="160">
        <v>920978.68099999998</v>
      </c>
      <c r="L13" s="160">
        <v>987697.23400000005</v>
      </c>
      <c r="M13" s="160">
        <v>1013688.929</v>
      </c>
      <c r="N13" s="160">
        <v>1225894.175</v>
      </c>
      <c r="O13" s="160">
        <v>1124835.56</v>
      </c>
      <c r="P13" s="160">
        <v>1126609</v>
      </c>
      <c r="Q13" s="160">
        <v>1335068</v>
      </c>
      <c r="R13" s="6">
        <f>ROW()</f>
        <v>13</v>
      </c>
    </row>
    <row r="14" spans="2:29" ht="13.95" customHeight="1">
      <c r="B14" s="312" t="s">
        <v>323</v>
      </c>
      <c r="G14" s="160">
        <f t="shared" ref="G14:N14" si="0">SUM(G11:G13)</f>
        <v>2896058.3169999998</v>
      </c>
      <c r="H14" s="160">
        <f t="shared" si="0"/>
        <v>2871118.3190000001</v>
      </c>
      <c r="I14" s="160">
        <f t="shared" si="0"/>
        <v>2978784.3530000001</v>
      </c>
      <c r="J14" s="160">
        <f t="shared" si="0"/>
        <v>2915024.4580000001</v>
      </c>
      <c r="K14" s="160">
        <f t="shared" si="0"/>
        <v>2715819.449</v>
      </c>
      <c r="L14" s="160">
        <f t="shared" si="0"/>
        <v>2872048.5260000001</v>
      </c>
      <c r="M14" s="160">
        <f t="shared" si="0"/>
        <v>2777301.179</v>
      </c>
      <c r="N14" s="160">
        <f t="shared" si="0"/>
        <v>2763126.662</v>
      </c>
      <c r="O14" s="160">
        <f t="shared" ref="O14:P14" si="1">SUM(O11:O13)</f>
        <v>2733114.7199999997</v>
      </c>
      <c r="P14" s="160">
        <f t="shared" si="1"/>
        <v>2738551</v>
      </c>
      <c r="Q14" s="160">
        <f t="shared" ref="Q14" si="2">SUM(Q11:Q13)</f>
        <v>2719568</v>
      </c>
      <c r="R14" s="6">
        <f>ROW()</f>
        <v>14</v>
      </c>
    </row>
    <row r="15" spans="2:29" ht="13.95" customHeight="1">
      <c r="B15" s="83" t="s">
        <v>1012</v>
      </c>
      <c r="F15" s="84"/>
      <c r="G15" s="84"/>
      <c r="H15" s="84"/>
      <c r="I15" s="84"/>
      <c r="J15" s="84"/>
      <c r="K15" s="84"/>
      <c r="L15" s="84"/>
      <c r="M15" s="84"/>
      <c r="N15" s="84"/>
      <c r="Q15" s="1383"/>
      <c r="R15" s="6">
        <f>ROW()</f>
        <v>15</v>
      </c>
    </row>
    <row r="16" spans="2:29" ht="13.95" customHeight="1">
      <c r="B16" s="83"/>
      <c r="F16" s="84"/>
      <c r="G16" s="84"/>
      <c r="H16" s="84"/>
      <c r="I16" s="84"/>
      <c r="J16" s="84"/>
      <c r="K16" s="84"/>
      <c r="L16" s="84"/>
      <c r="M16" s="84"/>
      <c r="N16" s="84"/>
      <c r="Q16" s="1383"/>
      <c r="R16" s="6">
        <f>ROW()</f>
        <v>16</v>
      </c>
    </row>
    <row r="17" spans="2:20" ht="13.95" customHeight="1">
      <c r="B17" s="8" t="s">
        <v>447</v>
      </c>
      <c r="F17" s="84"/>
      <c r="G17" s="384">
        <f t="shared" ref="G17:Q17" si="3">G14/(G7*1000)</f>
        <v>0.71411995629802094</v>
      </c>
      <c r="H17" s="384">
        <f t="shared" si="3"/>
        <v>0.70635391178770501</v>
      </c>
      <c r="I17" s="384">
        <f t="shared" si="3"/>
        <v>0.71661469510053077</v>
      </c>
      <c r="J17" s="384">
        <f t="shared" si="3"/>
        <v>0.70763536424160278</v>
      </c>
      <c r="K17" s="384">
        <f t="shared" si="3"/>
        <v>0.68749163024234905</v>
      </c>
      <c r="L17" s="384">
        <f t="shared" si="3"/>
        <v>0.69624407781327002</v>
      </c>
      <c r="M17" s="384">
        <f t="shared" si="3"/>
        <v>0.67736724869896159</v>
      </c>
      <c r="N17" s="384">
        <f t="shared" si="3"/>
        <v>0.68263016368691298</v>
      </c>
      <c r="O17" s="384">
        <f t="shared" si="3"/>
        <v>0.67219352514947006</v>
      </c>
      <c r="P17" s="384">
        <f t="shared" si="3"/>
        <v>0.66909227878781896</v>
      </c>
      <c r="Q17" s="384">
        <f t="shared" si="3"/>
        <v>0.66541913383900175</v>
      </c>
      <c r="R17" s="6">
        <f>ROW()</f>
        <v>17</v>
      </c>
    </row>
    <row r="18" spans="2:20" ht="13.95" customHeight="1">
      <c r="B18" s="83" t="s">
        <v>1012</v>
      </c>
      <c r="F18" s="84"/>
      <c r="G18" s="84"/>
      <c r="H18" s="84"/>
      <c r="I18" s="84"/>
      <c r="J18" s="84"/>
      <c r="K18" s="84"/>
      <c r="L18" s="84"/>
      <c r="M18" s="84"/>
      <c r="N18" s="84"/>
      <c r="R18" s="6">
        <f>ROW()</f>
        <v>18</v>
      </c>
    </row>
    <row r="19" spans="2:20" ht="13.95" customHeight="1">
      <c r="E19" s="84"/>
      <c r="F19" s="84"/>
      <c r="G19" s="84"/>
      <c r="H19" s="84"/>
      <c r="I19" s="84"/>
      <c r="J19" s="84"/>
      <c r="K19" s="84"/>
      <c r="L19" s="84"/>
      <c r="M19" s="84"/>
      <c r="N19" s="84"/>
      <c r="R19" s="6">
        <f>ROW()</f>
        <v>19</v>
      </c>
    </row>
    <row r="20" spans="2:20" ht="13.95" customHeight="1">
      <c r="B20" s="8" t="s">
        <v>1211</v>
      </c>
      <c r="R20" s="6">
        <f>ROW()</f>
        <v>20</v>
      </c>
    </row>
    <row r="21" spans="2:20" ht="13.95" customHeight="1">
      <c r="B21" s="312" t="s">
        <v>152</v>
      </c>
      <c r="G21" s="21">
        <v>20802.162</v>
      </c>
      <c r="H21" s="21">
        <v>20687.418000000001</v>
      </c>
      <c r="I21" s="21">
        <v>20680.378000000001</v>
      </c>
      <c r="J21" s="21">
        <v>19497.964</v>
      </c>
      <c r="K21" s="21">
        <v>18771.400000000001</v>
      </c>
      <c r="L21" s="21">
        <v>19180.126</v>
      </c>
      <c r="M21" s="21">
        <v>18882.072</v>
      </c>
      <c r="N21" s="21">
        <v>18490.214</v>
      </c>
      <c r="O21" s="21">
        <v>18961.128000000001</v>
      </c>
      <c r="P21" s="21">
        <v>19105.614000000001</v>
      </c>
      <c r="Q21" s="21">
        <v>19395.427</v>
      </c>
      <c r="R21" s="6">
        <f>ROW()</f>
        <v>21</v>
      </c>
      <c r="T21" s="1036"/>
    </row>
    <row r="22" spans="2:20" ht="13.95" customHeight="1">
      <c r="B22" s="312" t="s">
        <v>151</v>
      </c>
      <c r="G22" s="21">
        <v>9159.2639999999992</v>
      </c>
      <c r="H22" s="21">
        <v>9252.5329999999994</v>
      </c>
      <c r="I22" s="21">
        <v>9285.6689999999999</v>
      </c>
      <c r="J22" s="21">
        <v>8989.2279999999992</v>
      </c>
      <c r="K22" s="21">
        <v>8996.5210000000006</v>
      </c>
      <c r="L22" s="21">
        <v>8992.6540000000005</v>
      </c>
      <c r="M22" s="21">
        <v>8752.75</v>
      </c>
      <c r="N22" s="21">
        <v>8682.2060000000001</v>
      </c>
      <c r="O22" s="21">
        <v>8842.9840000000004</v>
      </c>
      <c r="P22" s="21">
        <v>8922.4850000000006</v>
      </c>
      <c r="Q22" s="21">
        <v>9161</v>
      </c>
      <c r="R22" s="6">
        <f>ROW()</f>
        <v>22</v>
      </c>
      <c r="T22" s="1036"/>
    </row>
    <row r="23" spans="2:20" ht="13.95" customHeight="1">
      <c r="B23" s="312" t="s">
        <v>387</v>
      </c>
      <c r="G23" s="21">
        <v>1698.1849999999999</v>
      </c>
      <c r="H23" s="21">
        <v>1651.059</v>
      </c>
      <c r="I23" s="21">
        <v>1639.5309999999999</v>
      </c>
      <c r="J23" s="21">
        <v>1553.8630000000001</v>
      </c>
      <c r="K23" s="21">
        <v>1407.604</v>
      </c>
      <c r="L23" s="21">
        <v>1446.328</v>
      </c>
      <c r="M23" s="21">
        <v>1440.028</v>
      </c>
      <c r="N23" s="21">
        <v>1411.7260000000001</v>
      </c>
      <c r="O23" s="21">
        <v>1446.5319999999999</v>
      </c>
      <c r="P23" s="21">
        <v>1482.0450000000001</v>
      </c>
      <c r="Q23" s="21">
        <v>1550</v>
      </c>
      <c r="R23" s="6">
        <f>ROW()</f>
        <v>23</v>
      </c>
      <c r="T23" s="1036"/>
    </row>
    <row r="24" spans="2:20" ht="13.95" customHeight="1">
      <c r="B24" s="312" t="s">
        <v>160</v>
      </c>
      <c r="G24" s="21">
        <v>4118.0110000000004</v>
      </c>
      <c r="H24" s="21">
        <v>4169.125</v>
      </c>
      <c r="I24" s="21">
        <v>4195.9110000000001</v>
      </c>
      <c r="J24" s="21">
        <v>3945.42</v>
      </c>
      <c r="K24" s="21">
        <v>3631.0810000000001</v>
      </c>
      <c r="L24" s="21">
        <v>3800.3139999999999</v>
      </c>
      <c r="M24" s="21">
        <v>3898.8539999999998</v>
      </c>
      <c r="N24" s="21">
        <v>3741.4160000000002</v>
      </c>
      <c r="O24" s="21">
        <v>3827.4650000000001</v>
      </c>
      <c r="P24" s="21">
        <v>4010.2280000000001</v>
      </c>
      <c r="Q24" s="21">
        <v>3976</v>
      </c>
      <c r="R24" s="6">
        <f>ROW()</f>
        <v>24</v>
      </c>
      <c r="T24" s="1036"/>
    </row>
    <row r="25" spans="2:20" ht="13.95" customHeight="1">
      <c r="B25" s="312" t="s">
        <v>457</v>
      </c>
      <c r="G25" s="21">
        <v>1500</v>
      </c>
      <c r="H25" s="21">
        <f t="shared" ref="H25:Q25" si="4">G25</f>
        <v>1500</v>
      </c>
      <c r="I25" s="21">
        <f t="shared" si="4"/>
        <v>1500</v>
      </c>
      <c r="J25" s="21">
        <f t="shared" si="4"/>
        <v>1500</v>
      </c>
      <c r="K25" s="21">
        <f t="shared" si="4"/>
        <v>1500</v>
      </c>
      <c r="L25" s="21">
        <f t="shared" si="4"/>
        <v>1500</v>
      </c>
      <c r="M25" s="21">
        <f t="shared" si="4"/>
        <v>1500</v>
      </c>
      <c r="N25" s="21">
        <f t="shared" si="4"/>
        <v>1500</v>
      </c>
      <c r="O25" s="21">
        <f t="shared" si="4"/>
        <v>1500</v>
      </c>
      <c r="P25" s="21">
        <f t="shared" si="4"/>
        <v>1500</v>
      </c>
      <c r="Q25" s="21">
        <f t="shared" si="4"/>
        <v>1500</v>
      </c>
      <c r="R25" s="6">
        <f>ROW()</f>
        <v>25</v>
      </c>
      <c r="T25" s="1036"/>
    </row>
    <row r="26" spans="2:20" ht="13.95" customHeight="1">
      <c r="B26" s="312" t="s">
        <v>1170</v>
      </c>
      <c r="G26" s="21">
        <f t="shared" ref="G26:Q26" si="5">G21-SUM(G22:G25)</f>
        <v>4326.7020000000011</v>
      </c>
      <c r="H26" s="21">
        <f t="shared" si="5"/>
        <v>4114.7010000000046</v>
      </c>
      <c r="I26" s="21">
        <f t="shared" si="5"/>
        <v>4059.2669999999998</v>
      </c>
      <c r="J26" s="21">
        <f t="shared" si="5"/>
        <v>3509.4530000000013</v>
      </c>
      <c r="K26" s="21">
        <f t="shared" si="5"/>
        <v>3236.1940000000013</v>
      </c>
      <c r="L26" s="21">
        <f t="shared" si="5"/>
        <v>3440.83</v>
      </c>
      <c r="M26" s="21">
        <f t="shared" si="5"/>
        <v>3290.4400000000005</v>
      </c>
      <c r="N26" s="21">
        <f t="shared" si="5"/>
        <v>3154.8659999999982</v>
      </c>
      <c r="O26" s="21">
        <f t="shared" si="5"/>
        <v>3344.1470000000008</v>
      </c>
      <c r="P26" s="21">
        <f t="shared" si="5"/>
        <v>3190.8559999999998</v>
      </c>
      <c r="Q26" s="21">
        <f t="shared" si="5"/>
        <v>3208.4269999999997</v>
      </c>
      <c r="R26" s="6">
        <f>ROW()</f>
        <v>26</v>
      </c>
      <c r="T26" s="1036"/>
    </row>
    <row r="27" spans="2:20" ht="13.95" customHeight="1">
      <c r="B27" s="312" t="s">
        <v>153</v>
      </c>
      <c r="G27" s="21">
        <v>919.976</v>
      </c>
      <c r="H27" s="21">
        <v>688.84500000000003</v>
      </c>
      <c r="I27" s="21">
        <v>722.90599999999995</v>
      </c>
      <c r="J27" s="21">
        <v>622.19899999999996</v>
      </c>
      <c r="K27" s="21">
        <v>511.11799999999999</v>
      </c>
      <c r="L27" s="21">
        <v>535.09900000000005</v>
      </c>
      <c r="M27" s="21">
        <v>461.07600000000002</v>
      </c>
      <c r="N27" s="21">
        <v>368.75599999999997</v>
      </c>
      <c r="O27" s="21">
        <v>318.55500000000001</v>
      </c>
      <c r="P27" s="21">
        <v>257.30500000000001</v>
      </c>
      <c r="Q27" s="21">
        <v>259</v>
      </c>
      <c r="R27" s="6">
        <f>ROW()</f>
        <v>27</v>
      </c>
      <c r="T27" s="1036"/>
    </row>
    <row r="28" spans="2:20" ht="13.95" customHeight="1">
      <c r="B28" s="83" t="s">
        <v>1011</v>
      </c>
      <c r="C28" s="83"/>
      <c r="D28" s="83"/>
      <c r="E28" s="83"/>
      <c r="F28" s="83"/>
      <c r="G28" s="83"/>
      <c r="H28" s="83"/>
      <c r="I28" s="83"/>
      <c r="J28" s="83"/>
      <c r="K28" s="83"/>
      <c r="L28" s="83"/>
      <c r="M28" s="83"/>
      <c r="N28" s="83"/>
      <c r="R28" s="6">
        <f>ROW()</f>
        <v>28</v>
      </c>
      <c r="T28" s="1036"/>
    </row>
    <row r="29" spans="2:20" ht="13.95" customHeight="1">
      <c r="B29" s="83"/>
      <c r="C29" s="83"/>
      <c r="D29" s="83"/>
      <c r="E29" s="83"/>
      <c r="F29" s="83"/>
      <c r="G29" s="83"/>
      <c r="H29" s="83"/>
      <c r="I29" s="83"/>
      <c r="J29" s="83"/>
      <c r="K29" s="83"/>
      <c r="L29" s="83"/>
      <c r="M29" s="83"/>
      <c r="N29" s="83"/>
      <c r="R29" s="6">
        <f>ROW()</f>
        <v>29</v>
      </c>
    </row>
    <row r="30" spans="2:20" ht="13.95" customHeight="1">
      <c r="B30" s="8" t="s">
        <v>1206</v>
      </c>
      <c r="C30" s="83"/>
      <c r="D30" s="83"/>
      <c r="E30" s="83"/>
      <c r="F30" s="83"/>
      <c r="R30" s="6">
        <f>ROW()</f>
        <v>30</v>
      </c>
    </row>
    <row r="31" spans="2:20" ht="13.95" customHeight="1">
      <c r="B31" s="312" t="s">
        <v>1207</v>
      </c>
      <c r="C31" s="83"/>
      <c r="D31" s="83"/>
      <c r="E31" s="83"/>
      <c r="F31" s="83"/>
      <c r="G31" s="21">
        <v>3821.0369999999998</v>
      </c>
      <c r="H31" s="21">
        <v>3816.5839999999998</v>
      </c>
      <c r="I31" s="21">
        <v>3618.9319999999998</v>
      </c>
      <c r="J31" s="21">
        <v>3317.06</v>
      </c>
      <c r="K31" s="21">
        <v>2824.942</v>
      </c>
      <c r="L31" s="21">
        <v>2701.1010000000001</v>
      </c>
      <c r="M31" s="21">
        <v>2610.3409999999999</v>
      </c>
      <c r="N31" s="21">
        <v>2187.3130000000001</v>
      </c>
      <c r="O31" s="21">
        <v>2255.5010000000002</v>
      </c>
      <c r="P31" s="21">
        <v>2004.2760000000001</v>
      </c>
      <c r="Q31" s="21">
        <v>2162.114</v>
      </c>
      <c r="R31" s="6">
        <f>ROW()</f>
        <v>31</v>
      </c>
    </row>
    <row r="32" spans="2:20" ht="13.95" customHeight="1">
      <c r="B32" s="312" t="s">
        <v>1208</v>
      </c>
      <c r="C32" s="83"/>
      <c r="D32" s="83"/>
      <c r="E32" s="83"/>
      <c r="F32" s="83"/>
      <c r="G32" s="21">
        <v>1133.0709999999999</v>
      </c>
      <c r="H32" s="21">
        <v>1291.952</v>
      </c>
      <c r="I32" s="21">
        <v>1405.1320000000001</v>
      </c>
      <c r="J32" s="21">
        <v>1773.027</v>
      </c>
      <c r="K32" s="21">
        <v>1980.325</v>
      </c>
      <c r="L32" s="21">
        <v>2310.9209999999998</v>
      </c>
      <c r="M32" s="21">
        <v>2938.8760000000002</v>
      </c>
      <c r="N32" s="21">
        <v>3137.3539999999998</v>
      </c>
      <c r="O32" s="21">
        <v>3487.1750000000002</v>
      </c>
      <c r="P32" s="21">
        <v>3824.4859999999999</v>
      </c>
      <c r="Q32" s="21">
        <v>4291.817</v>
      </c>
      <c r="R32" s="6">
        <f>ROW()</f>
        <v>32</v>
      </c>
    </row>
    <row r="33" spans="2:18" ht="13.95" customHeight="1">
      <c r="B33" s="83" t="s">
        <v>1209</v>
      </c>
      <c r="C33" s="83"/>
      <c r="D33" s="83"/>
      <c r="E33" s="83"/>
      <c r="F33" s="83"/>
      <c r="J33" s="83"/>
      <c r="K33" s="83"/>
      <c r="M33" s="83"/>
      <c r="N33" s="83"/>
      <c r="R33" s="6">
        <f>ROW()</f>
        <v>33</v>
      </c>
    </row>
    <row r="34" spans="2:18" ht="13.95" customHeight="1">
      <c r="B34" s="312" t="s">
        <v>1210</v>
      </c>
      <c r="C34" s="83"/>
      <c r="D34" s="83"/>
      <c r="E34" s="83"/>
      <c r="F34" s="83"/>
      <c r="G34" s="36">
        <f>G31-G32</f>
        <v>2687.9659999999999</v>
      </c>
      <c r="H34" s="36">
        <f t="shared" ref="H34:Q34" si="6">H31-H32</f>
        <v>2524.6319999999996</v>
      </c>
      <c r="I34" s="36">
        <f t="shared" si="6"/>
        <v>2213.7999999999997</v>
      </c>
      <c r="J34" s="36">
        <f t="shared" si="6"/>
        <v>1544.0329999999999</v>
      </c>
      <c r="K34" s="36">
        <f t="shared" si="6"/>
        <v>844.61699999999996</v>
      </c>
      <c r="L34" s="36">
        <f t="shared" si="6"/>
        <v>390.18000000000029</v>
      </c>
      <c r="M34" s="36">
        <f t="shared" si="6"/>
        <v>-328.53500000000031</v>
      </c>
      <c r="N34" s="36">
        <f t="shared" si="6"/>
        <v>-950.04099999999971</v>
      </c>
      <c r="O34" s="36">
        <f t="shared" si="6"/>
        <v>-1231.674</v>
      </c>
      <c r="P34" s="36">
        <f t="shared" si="6"/>
        <v>-1820.2099999999998</v>
      </c>
      <c r="Q34" s="36">
        <f t="shared" si="6"/>
        <v>-2129.703</v>
      </c>
      <c r="R34" s="6">
        <f>ROW()</f>
        <v>34</v>
      </c>
    </row>
    <row r="35" spans="2:18" ht="13.95" customHeight="1">
      <c r="B35" s="83" t="str">
        <f>CONCATENATE("Row ",R31, " minus Row ",R32, ".")</f>
        <v>Row 31 minus Row 32.</v>
      </c>
      <c r="C35" s="83"/>
      <c r="D35" s="83"/>
      <c r="E35" s="83"/>
      <c r="F35" s="83"/>
      <c r="J35" s="83"/>
      <c r="K35" s="83"/>
      <c r="L35" s="83"/>
      <c r="M35" s="83"/>
      <c r="N35" s="83"/>
      <c r="R35" s="6">
        <f>ROW()</f>
        <v>35</v>
      </c>
    </row>
    <row r="36" spans="2:18" ht="13.95" customHeight="1">
      <c r="B36" s="312" t="s">
        <v>1212</v>
      </c>
      <c r="C36" s="83"/>
      <c r="D36" s="83"/>
      <c r="E36" s="83"/>
      <c r="F36" s="83"/>
      <c r="G36" s="36">
        <f>G21-G34</f>
        <v>18114.196</v>
      </c>
      <c r="H36" s="36">
        <f t="shared" ref="H36:Q36" si="7">H21-H34</f>
        <v>18162.786</v>
      </c>
      <c r="I36" s="36">
        <f t="shared" si="7"/>
        <v>18466.578000000001</v>
      </c>
      <c r="J36" s="36">
        <f t="shared" si="7"/>
        <v>17953.931</v>
      </c>
      <c r="K36" s="36">
        <f t="shared" si="7"/>
        <v>17926.783000000003</v>
      </c>
      <c r="L36" s="36">
        <f t="shared" si="7"/>
        <v>18789.946</v>
      </c>
      <c r="M36" s="36">
        <f t="shared" si="7"/>
        <v>19210.607</v>
      </c>
      <c r="N36" s="36">
        <f t="shared" si="7"/>
        <v>19440.255000000001</v>
      </c>
      <c r="O36" s="36">
        <f t="shared" si="7"/>
        <v>20192.802</v>
      </c>
      <c r="P36" s="36">
        <f t="shared" si="7"/>
        <v>20925.824000000001</v>
      </c>
      <c r="Q36" s="36">
        <f t="shared" si="7"/>
        <v>21525.13</v>
      </c>
      <c r="R36" s="6">
        <f>ROW()</f>
        <v>36</v>
      </c>
    </row>
    <row r="37" spans="2:18" ht="13.95" customHeight="1">
      <c r="B37" s="83" t="str">
        <f>CONCATENATE("Row ",R21, " minus Row ",R34, ".")</f>
        <v>Row 21 minus Row 34.</v>
      </c>
      <c r="C37" s="83"/>
      <c r="D37" s="83"/>
      <c r="E37" s="83"/>
      <c r="F37" s="83"/>
      <c r="H37" s="83"/>
      <c r="I37" s="83"/>
      <c r="J37" s="83"/>
      <c r="K37" s="83"/>
      <c r="L37" s="83"/>
      <c r="M37" s="83"/>
      <c r="N37" s="83"/>
      <c r="R37" s="6">
        <f>ROW()</f>
        <v>37</v>
      </c>
    </row>
    <row r="38" spans="2:18" ht="13.95" customHeight="1">
      <c r="B38" s="312" t="s">
        <v>1213</v>
      </c>
      <c r="C38" s="83"/>
      <c r="D38" s="83"/>
      <c r="E38" s="83"/>
      <c r="F38" s="83"/>
      <c r="G38" s="22">
        <f t="shared" ref="G38:Q38" si="8">G36/G21</f>
        <v>0.87078429636304144</v>
      </c>
      <c r="H38" s="22">
        <f t="shared" si="8"/>
        <v>0.8779629241309862</v>
      </c>
      <c r="I38" s="22">
        <f t="shared" si="8"/>
        <v>0.89295166655077585</v>
      </c>
      <c r="J38" s="22">
        <f t="shared" si="8"/>
        <v>0.92081055232228348</v>
      </c>
      <c r="K38" s="22">
        <f t="shared" si="8"/>
        <v>0.95500511416303535</v>
      </c>
      <c r="L38" s="22">
        <f t="shared" si="8"/>
        <v>0.97965706794626894</v>
      </c>
      <c r="M38" s="22">
        <f t="shared" si="8"/>
        <v>1.0173993087199329</v>
      </c>
      <c r="N38" s="22">
        <f t="shared" si="8"/>
        <v>1.0513807465938469</v>
      </c>
      <c r="O38" s="22">
        <f t="shared" si="8"/>
        <v>1.0649578442801504</v>
      </c>
      <c r="P38" s="22">
        <f t="shared" si="8"/>
        <v>1.0952709502034323</v>
      </c>
      <c r="Q38" s="22">
        <f t="shared" si="8"/>
        <v>1.1098043884261997</v>
      </c>
      <c r="R38" s="6">
        <f>ROW()</f>
        <v>38</v>
      </c>
    </row>
    <row r="39" spans="2:18" ht="13.95" customHeight="1">
      <c r="B39" s="83" t="str">
        <f>CONCATENATE("Row ",R36, " divided by Row ",R21, ".")</f>
        <v>Row 36 divided by Row 21.</v>
      </c>
      <c r="C39" s="83"/>
      <c r="D39" s="83"/>
      <c r="E39" s="83"/>
      <c r="F39" s="83"/>
      <c r="H39" s="83"/>
      <c r="I39" s="83"/>
      <c r="J39" s="83"/>
      <c r="K39" s="83"/>
      <c r="L39" s="83"/>
      <c r="M39" s="83"/>
      <c r="N39" s="83"/>
      <c r="R39" s="6">
        <f>ROW()</f>
        <v>39</v>
      </c>
    </row>
    <row r="40" spans="2:18" ht="13.95" customHeight="1">
      <c r="B40" s="83"/>
      <c r="C40" s="83"/>
      <c r="D40" s="83"/>
      <c r="E40" s="83"/>
      <c r="F40" s="83"/>
      <c r="H40" s="83"/>
      <c r="I40" s="83"/>
      <c r="J40" s="83"/>
      <c r="K40" s="83"/>
      <c r="L40" s="83"/>
      <c r="M40" s="83"/>
      <c r="N40" s="83"/>
      <c r="R40" s="6">
        <f>ROW()</f>
        <v>40</v>
      </c>
    </row>
    <row r="41" spans="2:18" ht="13.95" customHeight="1">
      <c r="B41" s="8" t="s">
        <v>441</v>
      </c>
      <c r="R41" s="6">
        <f>ROW()</f>
        <v>41</v>
      </c>
    </row>
    <row r="42" spans="2:18" ht="13.95" customHeight="1">
      <c r="F42" s="1373" t="s">
        <v>442</v>
      </c>
      <c r="G42" s="13">
        <v>2005</v>
      </c>
      <c r="H42" s="13">
        <v>2006</v>
      </c>
      <c r="I42" s="13">
        <v>2007</v>
      </c>
      <c r="J42" s="13">
        <v>2008</v>
      </c>
      <c r="K42" s="13">
        <v>2009</v>
      </c>
      <c r="L42" s="13">
        <v>2010</v>
      </c>
      <c r="M42" s="13">
        <v>2011</v>
      </c>
      <c r="N42" s="13">
        <v>2012</v>
      </c>
      <c r="O42" s="13">
        <v>2013</v>
      </c>
      <c r="P42" s="13">
        <v>2014</v>
      </c>
      <c r="Q42" s="13">
        <v>2015</v>
      </c>
      <c r="R42" s="6">
        <f>ROW()</f>
        <v>42</v>
      </c>
    </row>
    <row r="43" spans="2:18" ht="13.95" customHeight="1">
      <c r="B43" s="31" t="s">
        <v>170</v>
      </c>
      <c r="F43" s="1389"/>
      <c r="G43" s="7">
        <v>85.708932000000004</v>
      </c>
      <c r="H43" s="7">
        <v>84.570321000000007</v>
      </c>
      <c r="I43" s="7">
        <v>85.928197999999995</v>
      </c>
      <c r="J43" s="7">
        <v>83.177982999999998</v>
      </c>
      <c r="K43" s="7">
        <v>78.042384999999996</v>
      </c>
      <c r="L43" s="7">
        <v>80.891316000000003</v>
      </c>
      <c r="M43" s="7">
        <v>79.446934999999996</v>
      </c>
      <c r="N43" s="7">
        <v>77.486731000000006</v>
      </c>
      <c r="O43" s="7">
        <v>79.452973999999998</v>
      </c>
      <c r="P43" s="7">
        <v>80.344278000000003</v>
      </c>
      <c r="Q43" s="7">
        <v>79.412000000000006</v>
      </c>
      <c r="R43" s="6">
        <f>ROW()</f>
        <v>43</v>
      </c>
    </row>
    <row r="44" spans="2:18" ht="13.95" customHeight="1">
      <c r="B44" s="31" t="s">
        <v>171</v>
      </c>
      <c r="E44" s="83"/>
      <c r="F44" s="1389"/>
      <c r="G44" s="7">
        <v>22.565363999999999</v>
      </c>
      <c r="H44" s="7">
        <v>22.238738000000001</v>
      </c>
      <c r="I44" s="7">
        <v>23.662759000000001</v>
      </c>
      <c r="J44" s="7">
        <v>23.842953000000001</v>
      </c>
      <c r="K44" s="7">
        <v>23.415939999999999</v>
      </c>
      <c r="L44" s="7">
        <v>24.574753999999999</v>
      </c>
      <c r="M44" s="7">
        <v>24.954539</v>
      </c>
      <c r="N44" s="7">
        <v>26.088581999999999</v>
      </c>
      <c r="O44" s="7">
        <v>26.818518000000001</v>
      </c>
      <c r="P44" s="7">
        <v>27.591888999999998</v>
      </c>
      <c r="Q44" s="7">
        <v>28.318000000000001</v>
      </c>
      <c r="R44" s="6">
        <f>ROW()</f>
        <v>44</v>
      </c>
    </row>
    <row r="45" spans="2:18" ht="13.95" customHeight="1">
      <c r="B45" s="31" t="s">
        <v>172</v>
      </c>
      <c r="E45" s="83"/>
      <c r="F45" s="1389"/>
      <c r="G45" s="7">
        <v>22.796543</v>
      </c>
      <c r="H45" s="7">
        <v>22.44716</v>
      </c>
      <c r="I45" s="7">
        <v>22.749466000000002</v>
      </c>
      <c r="J45" s="7">
        <v>22.387436999999998</v>
      </c>
      <c r="K45" s="7">
        <v>19.691205</v>
      </c>
      <c r="L45" s="7">
        <v>20.833967999999999</v>
      </c>
      <c r="M45" s="7">
        <v>19.657783999999999</v>
      </c>
      <c r="N45" s="7">
        <v>17.378233999999999</v>
      </c>
      <c r="O45" s="7">
        <v>18.038633000000001</v>
      </c>
      <c r="P45" s="7">
        <v>17.990511000000001</v>
      </c>
      <c r="Q45" s="7">
        <v>15.728</v>
      </c>
      <c r="R45" s="6">
        <f>ROW()</f>
        <v>45</v>
      </c>
    </row>
    <row r="46" spans="2:18" ht="13.95" customHeight="1">
      <c r="B46" s="31" t="s">
        <v>173</v>
      </c>
      <c r="E46" s="83"/>
      <c r="F46" s="1390"/>
      <c r="G46" s="7">
        <v>40.302833999999997</v>
      </c>
      <c r="H46" s="7">
        <v>39.823636</v>
      </c>
      <c r="I46" s="7">
        <v>39.490782000000003</v>
      </c>
      <c r="J46" s="7">
        <v>36.906820000000003</v>
      </c>
      <c r="K46" s="7">
        <v>34.959049999999998</v>
      </c>
      <c r="L46" s="7">
        <v>35.488765999999998</v>
      </c>
      <c r="M46" s="7">
        <v>34.823507999999997</v>
      </c>
      <c r="N46" s="7">
        <v>34.015931999999999</v>
      </c>
      <c r="O46" s="7">
        <v>34.613245999999997</v>
      </c>
      <c r="P46" s="7">
        <v>34.783462</v>
      </c>
      <c r="Q46" s="7">
        <v>35.383000000000003</v>
      </c>
      <c r="R46" s="6">
        <f>ROW()</f>
        <v>46</v>
      </c>
    </row>
    <row r="47" spans="2:18" ht="13.95" customHeight="1">
      <c r="B47" s="31"/>
      <c r="E47" s="83"/>
      <c r="I47" s="63"/>
      <c r="J47" s="63"/>
      <c r="K47" s="63"/>
      <c r="L47" s="63"/>
      <c r="M47" s="63"/>
      <c r="N47" s="63"/>
      <c r="R47" s="6">
        <f>ROW()</f>
        <v>47</v>
      </c>
    </row>
    <row r="48" spans="2:18" ht="13.95" customHeight="1">
      <c r="B48" s="8" t="s">
        <v>390</v>
      </c>
      <c r="E48" s="324" t="s">
        <v>181</v>
      </c>
      <c r="R48" s="6">
        <f>ROW()</f>
        <v>48</v>
      </c>
    </row>
    <row r="49" spans="2:18" ht="13.95" customHeight="1">
      <c r="B49" s="31" t="s">
        <v>391</v>
      </c>
      <c r="D49" s="320">
        <v>11000</v>
      </c>
      <c r="E49" s="324" t="s">
        <v>182</v>
      </c>
      <c r="F49" s="1387" t="s">
        <v>646</v>
      </c>
      <c r="G49" s="21">
        <v>1065280.798</v>
      </c>
      <c r="H49" s="21">
        <v>1053783.423</v>
      </c>
      <c r="I49" s="21">
        <v>1069605.5</v>
      </c>
      <c r="J49" s="21">
        <v>1064502.8030000001</v>
      </c>
      <c r="K49" s="21">
        <v>955190.27</v>
      </c>
      <c r="L49" s="21">
        <v>1001410.889</v>
      </c>
      <c r="M49" s="21">
        <v>956470.26199999999</v>
      </c>
      <c r="N49" s="21">
        <v>845066.36600000004</v>
      </c>
      <c r="O49" s="21">
        <v>879078.43799999997</v>
      </c>
      <c r="P49" s="21">
        <v>872634.27899999998</v>
      </c>
      <c r="Q49" s="21">
        <v>758578</v>
      </c>
      <c r="R49" s="6">
        <f>ROW()</f>
        <v>49</v>
      </c>
    </row>
    <row r="50" spans="2:18" ht="13.95" customHeight="1">
      <c r="B50" s="31" t="s">
        <v>392</v>
      </c>
      <c r="D50" s="320">
        <v>6000000</v>
      </c>
      <c r="E50" s="324" t="s">
        <v>183</v>
      </c>
      <c r="F50" s="1388"/>
      <c r="G50" s="21">
        <v>231193.4</v>
      </c>
      <c r="H50" s="21">
        <v>131005.36500000001</v>
      </c>
      <c r="I50" s="21">
        <v>132389.25899999999</v>
      </c>
      <c r="J50" s="21">
        <v>92948.375</v>
      </c>
      <c r="K50" s="21">
        <v>80829.58</v>
      </c>
      <c r="L50" s="21">
        <v>75231.125</v>
      </c>
      <c r="M50" s="21">
        <v>61609.783000000003</v>
      </c>
      <c r="N50" s="21">
        <v>50804.873</v>
      </c>
      <c r="O50" s="21">
        <v>58377.951000000001</v>
      </c>
      <c r="P50" s="21">
        <v>65473.648000000001</v>
      </c>
      <c r="Q50" s="21">
        <v>59876</v>
      </c>
      <c r="R50" s="6">
        <f>ROW()</f>
        <v>50</v>
      </c>
    </row>
    <row r="51" spans="2:18" ht="13.95" customHeight="1">
      <c r="B51" s="31" t="s">
        <v>393</v>
      </c>
      <c r="D51" s="320">
        <v>1029</v>
      </c>
      <c r="E51" s="324" t="s">
        <v>184</v>
      </c>
      <c r="F51" s="1388"/>
      <c r="G51" s="21">
        <v>7020.7089999999998</v>
      </c>
      <c r="H51" s="21">
        <v>7404.4319999999998</v>
      </c>
      <c r="I51" s="21">
        <v>7961.9219999999996</v>
      </c>
      <c r="J51" s="21">
        <v>7689.38</v>
      </c>
      <c r="K51" s="21">
        <v>7937.8559999999998</v>
      </c>
      <c r="L51" s="21">
        <v>8501.9599999999991</v>
      </c>
      <c r="M51" s="21">
        <v>8723.5460000000003</v>
      </c>
      <c r="N51" s="21">
        <v>10370.812</v>
      </c>
      <c r="O51" s="21">
        <v>9478.6849999999995</v>
      </c>
      <c r="P51" s="21">
        <v>9380.07</v>
      </c>
      <c r="Q51" s="21">
        <v>10968</v>
      </c>
      <c r="R51" s="6">
        <f>ROW()</f>
        <v>51</v>
      </c>
    </row>
    <row r="52" spans="2:18" ht="13.95" customHeight="1">
      <c r="R52" s="6">
        <f>ROW()</f>
        <v>52</v>
      </c>
    </row>
    <row r="53" spans="2:18" ht="13.95" customHeight="1">
      <c r="B53" s="31" t="s">
        <v>459</v>
      </c>
      <c r="G53" s="20">
        <f t="shared" ref="G53:O53" si="9">G49*1000*$D49*2000/1000000000000000</f>
        <v>23.436177556000001</v>
      </c>
      <c r="H53" s="20">
        <f t="shared" si="9"/>
        <v>23.183235306</v>
      </c>
      <c r="I53" s="20">
        <f t="shared" si="9"/>
        <v>23.531320999999998</v>
      </c>
      <c r="J53" s="20">
        <f t="shared" si="9"/>
        <v>23.419061666000005</v>
      </c>
      <c r="K53" s="20">
        <f t="shared" si="9"/>
        <v>21.014185940000001</v>
      </c>
      <c r="L53" s="20">
        <f t="shared" si="9"/>
        <v>22.031039558</v>
      </c>
      <c r="M53" s="20">
        <f t="shared" si="9"/>
        <v>21.042345764</v>
      </c>
      <c r="N53" s="20">
        <f t="shared" si="9"/>
        <v>18.591460051999999</v>
      </c>
      <c r="O53" s="20">
        <f t="shared" si="9"/>
        <v>19.339725636000001</v>
      </c>
      <c r="P53" s="20">
        <f t="shared" ref="P53:Q53" si="10">P49*1000*$D49*2000/1000000000000000</f>
        <v>19.197954138</v>
      </c>
      <c r="Q53" s="20">
        <f t="shared" si="10"/>
        <v>16.688715999999999</v>
      </c>
      <c r="R53" s="6">
        <f>ROW()</f>
        <v>53</v>
      </c>
    </row>
    <row r="54" spans="2:18" ht="13.95" customHeight="1">
      <c r="B54" s="31" t="s">
        <v>460</v>
      </c>
      <c r="G54" s="20">
        <f t="shared" ref="G54:O54" si="11">G50*1000*$D50/1000000000000000</f>
        <v>1.3871604</v>
      </c>
      <c r="H54" s="20">
        <f t="shared" si="11"/>
        <v>0.78603219000000002</v>
      </c>
      <c r="I54" s="20">
        <f t="shared" si="11"/>
        <v>0.79433555399999989</v>
      </c>
      <c r="J54" s="20">
        <f t="shared" si="11"/>
        <v>0.55769025000000005</v>
      </c>
      <c r="K54" s="20">
        <f t="shared" si="11"/>
        <v>0.48497748000000002</v>
      </c>
      <c r="L54" s="20">
        <f t="shared" si="11"/>
        <v>0.45138675</v>
      </c>
      <c r="M54" s="20">
        <f t="shared" si="11"/>
        <v>0.36965869800000001</v>
      </c>
      <c r="N54" s="20">
        <f t="shared" si="11"/>
        <v>0.304829238</v>
      </c>
      <c r="O54" s="20">
        <f t="shared" si="11"/>
        <v>0.35026770600000001</v>
      </c>
      <c r="P54" s="20">
        <f t="shared" ref="P54:Q54" si="12">P50*1000*$D50/1000000000000000</f>
        <v>0.39284188799999997</v>
      </c>
      <c r="Q54" s="20">
        <f t="shared" si="12"/>
        <v>0.35925600000000002</v>
      </c>
      <c r="R54" s="6">
        <f>ROW()</f>
        <v>54</v>
      </c>
    </row>
    <row r="55" spans="2:18" ht="13.95" customHeight="1">
      <c r="B55" s="31" t="s">
        <v>461</v>
      </c>
      <c r="G55" s="20">
        <f t="shared" ref="G55:O55" si="13">G51*1000000000*$D51/1000000000000000</f>
        <v>7.2243095610000001</v>
      </c>
      <c r="H55" s="20">
        <f t="shared" si="13"/>
        <v>7.6191605280000001</v>
      </c>
      <c r="I55" s="20">
        <f t="shared" si="13"/>
        <v>8.1928177380000005</v>
      </c>
      <c r="J55" s="20">
        <f t="shared" si="13"/>
        <v>7.9123720200000003</v>
      </c>
      <c r="K55" s="20">
        <f t="shared" si="13"/>
        <v>8.1680538239999994</v>
      </c>
      <c r="L55" s="20">
        <f t="shared" si="13"/>
        <v>8.7485168399999989</v>
      </c>
      <c r="M55" s="20">
        <f t="shared" si="13"/>
        <v>8.9765288339999998</v>
      </c>
      <c r="N55" s="20">
        <f t="shared" si="13"/>
        <v>10.671565548</v>
      </c>
      <c r="O55" s="20">
        <f t="shared" si="13"/>
        <v>9.7535668649999998</v>
      </c>
      <c r="P55" s="20">
        <f t="shared" ref="P55:Q55" si="14">P51*1000000000*$D51/1000000000000000</f>
        <v>9.6520920300000004</v>
      </c>
      <c r="Q55" s="20">
        <f t="shared" si="14"/>
        <v>11.286072000000001</v>
      </c>
      <c r="R55" s="6">
        <f>ROW()</f>
        <v>55</v>
      </c>
    </row>
    <row r="56" spans="2:18" ht="13.95" customHeight="1">
      <c r="R56" s="6">
        <f>ROW()</f>
        <v>56</v>
      </c>
    </row>
    <row r="57" spans="2:18" ht="13.95" customHeight="1">
      <c r="B57" s="172"/>
      <c r="C57" s="172"/>
      <c r="D57" s="172"/>
      <c r="E57" s="172"/>
      <c r="F57" s="172"/>
      <c r="G57" s="13">
        <f t="shared" ref="G57:N57" si="15">G42</f>
        <v>2005</v>
      </c>
      <c r="H57" s="13">
        <f t="shared" si="15"/>
        <v>2006</v>
      </c>
      <c r="I57" s="13">
        <f t="shared" si="15"/>
        <v>2007</v>
      </c>
      <c r="J57" s="13">
        <f t="shared" si="15"/>
        <v>2008</v>
      </c>
      <c r="K57" s="13">
        <f t="shared" si="15"/>
        <v>2009</v>
      </c>
      <c r="L57" s="13">
        <f t="shared" si="15"/>
        <v>2010</v>
      </c>
      <c r="M57" s="13">
        <f t="shared" si="15"/>
        <v>2011</v>
      </c>
      <c r="N57" s="13">
        <f t="shared" si="15"/>
        <v>2012</v>
      </c>
      <c r="O57" s="13">
        <f>O42</f>
        <v>2013</v>
      </c>
      <c r="P57" s="13">
        <v>2014</v>
      </c>
      <c r="Q57" s="13">
        <v>2015</v>
      </c>
      <c r="R57" s="6">
        <f>ROW()</f>
        <v>57</v>
      </c>
    </row>
    <row r="58" spans="2:18" ht="13.95" customHeight="1">
      <c r="B58" s="8" t="s">
        <v>174</v>
      </c>
      <c r="G58" s="28">
        <f t="shared" ref="G58:O58" si="16">SUM(G53:G55)</f>
        <v>32.047647517000001</v>
      </c>
      <c r="H58" s="28">
        <f t="shared" si="16"/>
        <v>31.588428024000002</v>
      </c>
      <c r="I58" s="28">
        <f t="shared" si="16"/>
        <v>32.518474292000001</v>
      </c>
      <c r="J58" s="28">
        <f t="shared" si="16"/>
        <v>31.889123936000004</v>
      </c>
      <c r="K58" s="28">
        <f t="shared" si="16"/>
        <v>29.667217244</v>
      </c>
      <c r="L58" s="28">
        <f t="shared" si="16"/>
        <v>31.230943148000001</v>
      </c>
      <c r="M58" s="28">
        <f t="shared" si="16"/>
        <v>30.388533295999999</v>
      </c>
      <c r="N58" s="28">
        <f t="shared" si="16"/>
        <v>29.567854837999999</v>
      </c>
      <c r="O58" s="28">
        <f t="shared" si="16"/>
        <v>29.443560207000001</v>
      </c>
      <c r="P58" s="28">
        <f t="shared" ref="P58:Q58" si="17">SUM(P53:P55)</f>
        <v>29.242888055999998</v>
      </c>
      <c r="Q58" s="28">
        <f t="shared" si="17"/>
        <v>28.334043999999999</v>
      </c>
      <c r="R58" s="6">
        <f>ROW()</f>
        <v>58</v>
      </c>
    </row>
    <row r="59" spans="2:18" ht="13.95" customHeight="1">
      <c r="B59" s="8" t="s">
        <v>178</v>
      </c>
      <c r="G59" s="28">
        <f>((Emissions!G78)/(Emissions!$J113*Parameters!$I$17)*'Personal Ground Travel'!$K$28/1000)</f>
        <v>16.809828247960208</v>
      </c>
      <c r="H59" s="28">
        <f>((Emissions!H78)/(Emissions!$J113*Parameters!$I$17)*'Personal Ground Travel'!$K$28/1000)</f>
        <v>16.742974138624696</v>
      </c>
      <c r="I59" s="28">
        <f>((Emissions!I78)/(Emissions!$J113*Parameters!$I$17)*'Personal Ground Travel'!$K$28/1000)</f>
        <v>16.452592011458183</v>
      </c>
      <c r="J59" s="28">
        <f>((Emissions!J78)/(Emissions!$J113*Parameters!$I$17)*'Personal Ground Travel'!$K$28/1000)</f>
        <v>15.69176547739745</v>
      </c>
      <c r="K59" s="28">
        <f>((Emissions!K78)/(Emissions!$J113*Parameters!$I$17)*'Personal Ground Travel'!$K$28/1000)</f>
        <v>15.329316170199061</v>
      </c>
      <c r="L59" s="28">
        <f>((Emissions!L78)/(Emissions!$J113*Parameters!$I$17)*'Personal Ground Travel'!$K$28/1000)</f>
        <v>15.232522127810231</v>
      </c>
      <c r="M59" s="28">
        <f>((Emissions!M78)/(Emissions!$J113*Parameters!$I$17)*'Personal Ground Travel'!$K$28/1000)</f>
        <v>14.945521451906203</v>
      </c>
      <c r="N59" s="28">
        <f>((Emissions!N78)/(Emissions!$J113*Parameters!$I$17)*'Personal Ground Travel'!$K$28/1000)</f>
        <v>14.868311648079306</v>
      </c>
      <c r="O59" s="28">
        <f>((Emissions!O78)/(Emissions!$J113*Parameters!$I$17)*'Personal Ground Travel'!$K$28/1000)</f>
        <v>14.856828803167089</v>
      </c>
      <c r="P59" s="28">
        <f>((Emissions!P78)/(Emissions!$J113*Parameters!$I$17)*'Personal Ground Travel'!$K$28/1000)</f>
        <v>15.09050117478556</v>
      </c>
      <c r="Q59" s="28">
        <f>((Emissions!Q78)/(Emissions!$J113*Parameters!$I$17)*'Personal Ground Travel'!$K$28/1000)</f>
        <v>15.480562980763029</v>
      </c>
      <c r="R59" s="6">
        <f>ROW()</f>
        <v>59</v>
      </c>
    </row>
    <row r="60" spans="2:18" ht="13.95" customHeight="1">
      <c r="B60" s="8" t="s">
        <v>179</v>
      </c>
      <c r="G60" s="28">
        <f>((Emissions!G82)/(Emissions!$J$114*Parameters!$I$17)*Freight!$K$28/1000)</f>
        <v>6.946982260899647</v>
      </c>
      <c r="H60" s="28">
        <f>((Emissions!H82)/(Emissions!$J$114*Parameters!$I$17)*Freight!$K$28/1000)</f>
        <v>7.16013751367423</v>
      </c>
      <c r="I60" s="28">
        <f>((Emissions!I82)/(Emissions!$J$114*Parameters!$I$17)*Freight!$K$28/1000)</f>
        <v>7.5699729086608141</v>
      </c>
      <c r="J60" s="28">
        <f>((Emissions!J82)/(Emissions!$J$114*Parameters!$I$17)*Freight!$K$28/1000)</f>
        <v>7.2282164829411046</v>
      </c>
      <c r="K60" s="28">
        <f>((Emissions!K82)/(Emissions!$J$114*Parameters!$I$17)*Freight!$K$28/1000)</f>
        <v>6.4769650570811477</v>
      </c>
      <c r="L60" s="28">
        <f>((Emissions!L82)/(Emissions!$J$114*Parameters!$I$17)*Freight!$K$28/1000)</f>
        <v>6.7992508975905306</v>
      </c>
      <c r="M60" s="28">
        <f>((Emissions!M82)/(Emissions!$J$114*Parameters!$I$17)*Freight!$K$28/1000)</f>
        <v>6.7334866132787292</v>
      </c>
      <c r="N60" s="28">
        <f>((Emissions!N82)/(Emissions!$J$114*Parameters!$I$17)*Freight!$K$28/1000)</f>
        <v>6.5589321360784636</v>
      </c>
      <c r="O60" s="28">
        <f>((Emissions!O82)/(Emissions!$J$114*Parameters!$I$17)*Freight!$K$28/1000)</f>
        <v>6.5673058492982896</v>
      </c>
      <c r="P60" s="28">
        <f>((Emissions!P82)/(Emissions!$J$114*Parameters!$I$17)*Freight!$K$28/1000)</f>
        <v>6.5702332449767651</v>
      </c>
      <c r="Q60" s="28">
        <f>((Emissions!Q82)/(Emissions!$J$114*Parameters!$I$17)*Freight!$K$28/1000)</f>
        <v>6.5366718920376972</v>
      </c>
      <c r="R60" s="6">
        <f>ROW()</f>
        <v>60</v>
      </c>
    </row>
    <row r="61" spans="2:18" ht="13.95" customHeight="1">
      <c r="B61" s="8" t="s">
        <v>180</v>
      </c>
      <c r="G61" s="28">
        <f>((Emissions!G85)/(Emissions!$J$120*Parameters!$I$17)*Aviation!$K$28/1000)</f>
        <v>3.2797805642633224</v>
      </c>
      <c r="H61" s="28">
        <f>((Emissions!H85)/(Emissions!$J$120*Parameters!$I$17)*Aviation!$K$28/1000)</f>
        <v>3.2445141065830723</v>
      </c>
      <c r="I61" s="28">
        <f>((Emissions!I85)/(Emissions!$J$120*Parameters!$I$17)*Aviation!$K$28/1000)</f>
        <v>3.2247648902821315</v>
      </c>
      <c r="J61" s="28">
        <f>((Emissions!J85)/(Emissions!$J$120*Parameters!$I$17)*Aviation!$K$28/1000)</f>
        <v>3.0131661442006266</v>
      </c>
      <c r="K61" s="28">
        <f>((Emissions!K85)/(Emissions!$J$120*Parameters!$I$17)*Aviation!$K$28/1000)</f>
        <v>2.7268025078369909</v>
      </c>
      <c r="L61" s="28">
        <f>((Emissions!L85)/(Emissions!$J$120*Parameters!$I$17)*Aviation!$K$28/1000)</f>
        <v>2.8326018808777436</v>
      </c>
      <c r="M61" s="28">
        <f>((Emissions!M85)/(Emissions!$J$120*Parameters!$I$17)*Aviation!$K$28/1000)</f>
        <v>2.845297805642633</v>
      </c>
      <c r="N61" s="28">
        <f>((Emissions!N85)/(Emissions!$J$120*Parameters!$I$17)*Aviation!$K$28/1000)</f>
        <v>2.7860501567398117</v>
      </c>
      <c r="O61" s="28">
        <f>((Emissions!O85)/(Emissions!$J$120*Parameters!$I$17)*Aviation!$K$28/1000)</f>
        <v>2.8749216300940437</v>
      </c>
      <c r="P61" s="28">
        <f>((Emissions!P85)/(Emissions!$J$120*Parameters!$I$17)*Aviation!$K$28/1000)</f>
        <v>2.8791536050156741</v>
      </c>
      <c r="Q61" s="28">
        <f>((Emissions!Q85)/(Emissions!$J$120*Parameters!$I$17)*Aviation!$K$28/1000)</f>
        <v>3.0111690858066349</v>
      </c>
      <c r="R61" s="6">
        <f>ROW()</f>
        <v>61</v>
      </c>
    </row>
    <row r="62" spans="2:18" ht="13.95" customHeight="1">
      <c r="B62" s="8" t="s">
        <v>694</v>
      </c>
      <c r="G62" s="28">
        <v>5.3841000000000001</v>
      </c>
      <c r="H62" s="28">
        <f>2/3*$G62+1/3*$J62</f>
        <v>5.2070333333333334</v>
      </c>
      <c r="I62" s="28">
        <f>1/3*$G62+2/3*$J62</f>
        <v>5.0299666666666667</v>
      </c>
      <c r="J62" s="28">
        <v>4.8529</v>
      </c>
      <c r="K62" s="28">
        <v>4.4695999999999998</v>
      </c>
      <c r="L62" s="28">
        <v>4.7702999999999998</v>
      </c>
      <c r="M62" s="28">
        <v>4.6608999999999998</v>
      </c>
      <c r="N62" s="28">
        <v>4.5587</v>
      </c>
      <c r="O62" s="28">
        <v>4.8091999999999997</v>
      </c>
      <c r="P62" s="28">
        <v>4.7611999999999997</v>
      </c>
      <c r="Q62" s="28">
        <f>P62</f>
        <v>4.7611999999999997</v>
      </c>
      <c r="R62" s="6">
        <f>ROW()</f>
        <v>62</v>
      </c>
    </row>
    <row r="63" spans="2:18" ht="13.95" customHeight="1">
      <c r="B63" s="8" t="s">
        <v>706</v>
      </c>
      <c r="G63" s="28">
        <f>(Emissions!G90*1000/(Parameters!$I$42*Parameters!$I$20))</f>
        <v>0.6794281132834048</v>
      </c>
      <c r="H63" s="28">
        <f>(Emissions!H90*1000/(Parameters!$I$42*Parameters!$I$20))</f>
        <v>0.68487443082475474</v>
      </c>
      <c r="I63" s="28">
        <f>(Emissions!I90*1000/(Parameters!$I$42*Parameters!$I$20))</f>
        <v>0.62768809664058034</v>
      </c>
      <c r="J63" s="28">
        <f>(Emissions!J90*1000/(Parameters!$I$42*Parameters!$I$20))</f>
        <v>0.55824754798836862</v>
      </c>
      <c r="K63" s="28">
        <f>(Emissions!K90*1000/(Parameters!$I$42*Parameters!$I$20))</f>
        <v>0.59637177077781822</v>
      </c>
      <c r="L63" s="28">
        <f>(Emissions!L90*1000/(Parameters!$I$42*Parameters!$I$20))</f>
        <v>0.56369386552971856</v>
      </c>
      <c r="M63" s="28">
        <f>(Emissions!M90*1000/(Parameters!$I$42*Parameters!$I$20))</f>
        <v>0.5650554449150561</v>
      </c>
      <c r="N63" s="28">
        <f>(Emissions!N90*1000/(Parameters!$I$42*Parameters!$I$20))</f>
        <v>0.59364861200714325</v>
      </c>
      <c r="O63" s="28">
        <f>(Emissions!O90*1000/(Parameters!$I$42*Parameters!$I$20))</f>
        <v>0.59228703262180582</v>
      </c>
      <c r="P63" s="28">
        <f>(Emissions!P90*1000/(Parameters!$I$42*Parameters!$I$20))</f>
        <v>0.55824754798836862</v>
      </c>
      <c r="Q63" s="28">
        <f>(Emissions!Q90*1000/(Parameters!$I$42*Parameters!$I$20))</f>
        <v>0.55824754798836862</v>
      </c>
      <c r="R63" s="6">
        <f>ROW()</f>
        <v>63</v>
      </c>
    </row>
    <row r="64" spans="2:18" ht="13.95" customHeight="1">
      <c r="B64" s="8" t="s">
        <v>722</v>
      </c>
      <c r="G64" s="28">
        <f>Miscellany!I38</f>
        <v>1.4229896120000001</v>
      </c>
      <c r="H64" s="28">
        <f>Miscellany!J38</f>
        <v>1.372979476</v>
      </c>
      <c r="I64" s="28">
        <f>Miscellany!K38</f>
        <v>1.3153488260000001</v>
      </c>
      <c r="J64" s="28">
        <f>Miscellany!L38</f>
        <v>1.2737709159999999</v>
      </c>
      <c r="K64" s="28">
        <f>Miscellany!M38</f>
        <v>1.067537306</v>
      </c>
      <c r="L64" s="28">
        <f>Miscellany!N38</f>
        <v>1.1521196279999999</v>
      </c>
      <c r="M64" s="28">
        <f>Miscellany!O38</f>
        <v>1.0786640919999999</v>
      </c>
      <c r="N64" s="28">
        <f>Miscellany!P38</f>
        <v>0.98740967599999996</v>
      </c>
      <c r="O64" s="28">
        <f>Miscellany!Q38</f>
        <v>0.99013358399999996</v>
      </c>
      <c r="P64" s="28">
        <f>Miscellany!R38</f>
        <v>0.99058874200000002</v>
      </c>
      <c r="Q64" s="28">
        <f>Miscellany!S38</f>
        <v>0.94648399999999999</v>
      </c>
      <c r="R64" s="6">
        <f>ROW()</f>
        <v>64</v>
      </c>
    </row>
    <row r="65" spans="2:18" ht="13.95" customHeight="1">
      <c r="B65" s="8" t="s">
        <v>723</v>
      </c>
      <c r="G65" s="28">
        <f t="shared" ref="G65:O65" si="18">G43-SUM(G58:G64)</f>
        <v>19.138175684593421</v>
      </c>
      <c r="H65" s="28">
        <f t="shared" si="18"/>
        <v>18.569379976959922</v>
      </c>
      <c r="I65" s="28">
        <f t="shared" si="18"/>
        <v>19.189390308291607</v>
      </c>
      <c r="J65" s="28">
        <f t="shared" si="18"/>
        <v>18.67079249547244</v>
      </c>
      <c r="K65" s="28">
        <f t="shared" si="18"/>
        <v>17.708574944104974</v>
      </c>
      <c r="L65" s="28">
        <f t="shared" si="18"/>
        <v>18.309884452191767</v>
      </c>
      <c r="M65" s="28">
        <f t="shared" si="18"/>
        <v>18.229476296257388</v>
      </c>
      <c r="N65" s="28">
        <f t="shared" si="18"/>
        <v>17.565823933095288</v>
      </c>
      <c r="O65" s="28">
        <f t="shared" si="18"/>
        <v>19.31873689381878</v>
      </c>
      <c r="P65" s="28">
        <f t="shared" ref="P65:Q65" si="19">P43-SUM(P58:P64)</f>
        <v>20.251465629233643</v>
      </c>
      <c r="Q65" s="28">
        <f t="shared" si="19"/>
        <v>19.783620493404278</v>
      </c>
      <c r="R65" s="6">
        <f>ROW()</f>
        <v>65</v>
      </c>
    </row>
    <row r="66" spans="2:18" ht="13.95" customHeight="1">
      <c r="B66" s="1145" t="str">
        <f>CONCATENATE("Electricity quads are sums of Rows ",R53,"-",R55,". Next three rows draw on Rows ",Emissions!S78, ", ",Emissions!S82, " and ",Emissions!S85, " of 'Emissions' tab. Non-energy quads are copied from "&amp;"USEPA, 'Inventory of U.S. Greenhouse Gas Emissions and sinks, 1990-2014' (referenced in 'Emissions' tab), Table 3-20: Adjusted Consumption of Fossil" &amp; " Fuels for Non-Energy Uses, except that 2008 is from 1990-2012 Inventory, while 2006 and 2007 were interpolated from " &amp; "2005 and 2008; 2015 figure is set equal to 2014. Territories figures are from 'Emissions' tab, Row ",Emissions!S90, ", converted from CO2 tonnes to Quads using CO2 content of diesel fuel (used as proxy for all petrol) in Row ",Parameters!B40, " of 'Parameters' tab. Non-electric coal is calculated in 'Miscellany,' Row ",Miscellany!AS38, ". ''Other' is Row ",R43, " less sum of seven preceding items (Rows ",R58, "-",R64, ").")</f>
        <v>Electricity quads are sums of Rows 53-55. Next three rows draw on Rows 78, 82 and 85 of 'Emissions' tab. Non-energy quads are copied from USEPA, 'Inventory of U.S. Greenhouse Gas Emissions and sinks, 1990-2014' (referenced in 'Emissions' tab), Table 3-20: Adjusted Consumption of Fossil Fuels for Non-Energy Uses, except that 2008 is from 1990-2012 Inventory, while 2006 and 2007 were interpolated from 2005 and 2008; 2015 figure is set equal to 2014. Territories figures are from 'Emissions' tab, Row 90, converted from CO2 tonnes to Quads using CO2 content of diesel fuel (used as proxy for all petrol) in Row 40 of 'Parameters' tab. Non-electric coal is calculated in 'Miscellany,' Row 38. ''Other' is Row 43 less sum of seven preceding items (Rows 58-64).</v>
      </c>
      <c r="C66" s="1155"/>
      <c r="D66" s="1155"/>
      <c r="E66" s="1155"/>
      <c r="F66" s="1155"/>
      <c r="G66" s="1155"/>
      <c r="H66" s="1155"/>
      <c r="I66" s="1155"/>
      <c r="J66" s="1155"/>
      <c r="K66" s="1155"/>
      <c r="L66" s="1155"/>
      <c r="M66" s="1155"/>
      <c r="N66" s="1155"/>
      <c r="R66" s="6">
        <f>ROW()</f>
        <v>66</v>
      </c>
    </row>
    <row r="67" spans="2:18" ht="13.95" customHeight="1">
      <c r="B67" s="1155"/>
      <c r="C67" s="1155"/>
      <c r="D67" s="1155"/>
      <c r="E67" s="1155"/>
      <c r="F67" s="1155"/>
      <c r="G67" s="1155"/>
      <c r="H67" s="1155"/>
      <c r="I67" s="1155"/>
      <c r="J67" s="1155"/>
      <c r="K67" s="1155"/>
      <c r="L67" s="1155"/>
      <c r="M67" s="1155"/>
      <c r="N67" s="1155"/>
      <c r="R67" s="6">
        <f>ROW()</f>
        <v>67</v>
      </c>
    </row>
    <row r="68" spans="2:18" ht="13.95" customHeight="1">
      <c r="B68" s="1155"/>
      <c r="C68" s="1155"/>
      <c r="D68" s="1155"/>
      <c r="E68" s="1155"/>
      <c r="F68" s="1155"/>
      <c r="G68" s="1155"/>
      <c r="H68" s="1155"/>
      <c r="I68" s="1155"/>
      <c r="J68" s="1155"/>
      <c r="K68" s="1155"/>
      <c r="L68" s="1155"/>
      <c r="M68" s="1155"/>
      <c r="N68" s="1155"/>
      <c r="R68" s="6">
        <f>ROW()</f>
        <v>68</v>
      </c>
    </row>
    <row r="69" spans="2:18" ht="13.95" customHeight="1">
      <c r="B69" s="1155"/>
      <c r="C69" s="1155"/>
      <c r="D69" s="1155"/>
      <c r="E69" s="1155"/>
      <c r="F69" s="1155"/>
      <c r="G69" s="1155"/>
      <c r="H69" s="1155"/>
      <c r="I69" s="1155"/>
      <c r="J69" s="1155"/>
      <c r="K69" s="1155"/>
      <c r="L69" s="1155"/>
      <c r="M69" s="1155"/>
      <c r="N69" s="1155"/>
      <c r="R69" s="6">
        <f>ROW()</f>
        <v>69</v>
      </c>
    </row>
    <row r="70" spans="2:18" ht="13.95" customHeight="1">
      <c r="B70" s="8" t="s">
        <v>700</v>
      </c>
      <c r="C70" s="542"/>
      <c r="D70" s="542"/>
      <c r="E70" s="542"/>
      <c r="F70" s="542"/>
      <c r="G70" s="552"/>
      <c r="H70" s="552"/>
      <c r="I70" s="552"/>
      <c r="J70" s="552"/>
      <c r="K70" s="552"/>
      <c r="L70" s="552"/>
      <c r="M70" s="552"/>
      <c r="N70" s="552"/>
      <c r="O70" s="552"/>
      <c r="R70" s="6">
        <f>ROW()</f>
        <v>70</v>
      </c>
    </row>
    <row r="71" spans="2:18" ht="13.95" customHeight="1">
      <c r="B71" s="92" t="s">
        <v>817</v>
      </c>
      <c r="C71" s="542"/>
      <c r="D71" s="542"/>
      <c r="E71" s="542"/>
      <c r="F71" s="542"/>
      <c r="G71" s="21">
        <v>60339.771999999997</v>
      </c>
      <c r="H71" s="21">
        <v>59472.002</v>
      </c>
      <c r="I71" s="21">
        <v>56615.122000000003</v>
      </c>
      <c r="J71" s="21">
        <v>54392.858999999997</v>
      </c>
      <c r="K71" s="21">
        <v>45314.495999999999</v>
      </c>
      <c r="L71" s="21">
        <v>49288.55</v>
      </c>
      <c r="M71" s="21">
        <v>46237.527999999998</v>
      </c>
      <c r="N71" s="21">
        <v>42837.582000000002</v>
      </c>
      <c r="O71" s="21">
        <v>43054.938000000002</v>
      </c>
      <c r="P71" s="21">
        <v>42814.601999999999</v>
      </c>
      <c r="Q71" s="21">
        <v>40325</v>
      </c>
      <c r="R71" s="6">
        <f>ROW()</f>
        <v>71</v>
      </c>
    </row>
    <row r="72" spans="2:18" ht="13.95" customHeight="1">
      <c r="B72" s="92" t="s">
        <v>701</v>
      </c>
      <c r="C72" s="542"/>
      <c r="D72" s="542"/>
      <c r="E72" s="542"/>
      <c r="F72" s="542"/>
      <c r="G72" s="21">
        <v>4341.5739999999996</v>
      </c>
      <c r="H72" s="21">
        <v>2936.1559999999999</v>
      </c>
      <c r="I72" s="21">
        <v>3173.4609999999998</v>
      </c>
      <c r="J72" s="21">
        <v>3505.819</v>
      </c>
      <c r="K72" s="21">
        <v>3209.9270000000001</v>
      </c>
      <c r="L72" s="21">
        <v>3080.5239999999999</v>
      </c>
      <c r="M72" s="21">
        <v>2792.6579999999999</v>
      </c>
      <c r="N72" s="21">
        <v>2044.6759999999999</v>
      </c>
      <c r="O72" s="21">
        <v>1951.134</v>
      </c>
      <c r="P72" s="21">
        <v>2212.1590000000001</v>
      </c>
      <c r="Q72" s="21">
        <v>2697</v>
      </c>
      <c r="R72" s="6">
        <f>ROW()</f>
        <v>72</v>
      </c>
    </row>
    <row r="73" spans="2:18" ht="13.95" customHeight="1">
      <c r="B73" s="92" t="s">
        <v>702</v>
      </c>
      <c r="C73" s="542"/>
      <c r="D73" s="542"/>
      <c r="E73" s="542"/>
      <c r="F73" s="542"/>
      <c r="G73" s="21">
        <v>23434.175999999999</v>
      </c>
      <c r="H73" s="21">
        <v>22957.184000000001</v>
      </c>
      <c r="I73" s="21">
        <v>22715.453000000001</v>
      </c>
      <c r="J73" s="21">
        <v>22069.677</v>
      </c>
      <c r="K73" s="21">
        <v>15326.233</v>
      </c>
      <c r="L73" s="21">
        <v>21092.152999999998</v>
      </c>
      <c r="M73" s="21">
        <v>21433.896000000001</v>
      </c>
      <c r="N73" s="21">
        <v>20751.371999999999</v>
      </c>
      <c r="O73" s="21">
        <v>21473.97</v>
      </c>
      <c r="P73" s="21">
        <v>20399.501</v>
      </c>
      <c r="Q73" s="21">
        <v>18851</v>
      </c>
      <c r="R73" s="6">
        <f>ROW()</f>
        <v>73</v>
      </c>
    </row>
    <row r="74" spans="2:18" ht="13.95" customHeight="1">
      <c r="B74" s="83" t="s">
        <v>1013</v>
      </c>
      <c r="C74" s="735"/>
      <c r="D74" s="735"/>
      <c r="E74" s="735"/>
      <c r="F74" s="735"/>
      <c r="G74" s="735"/>
      <c r="H74" s="735"/>
      <c r="I74" s="735"/>
      <c r="J74" s="735"/>
      <c r="K74" s="735"/>
      <c r="L74" s="735"/>
      <c r="M74" s="735"/>
      <c r="N74" s="735"/>
      <c r="R74" s="6">
        <f>ROW()</f>
        <v>74</v>
      </c>
    </row>
    <row r="75" spans="2:18" ht="13.95" customHeight="1">
      <c r="B75" s="735"/>
      <c r="C75" s="735"/>
      <c r="D75" s="735"/>
      <c r="E75" s="735"/>
      <c r="F75" s="735"/>
      <c r="G75" s="735"/>
      <c r="H75" s="735"/>
      <c r="I75" s="735"/>
      <c r="J75" s="735"/>
      <c r="K75" s="735"/>
      <c r="L75" s="735"/>
      <c r="M75" s="735"/>
      <c r="N75" s="735"/>
      <c r="R75" s="6">
        <f>ROW()</f>
        <v>75</v>
      </c>
    </row>
    <row r="76" spans="2:18" ht="13.95" customHeight="1">
      <c r="B76" s="8" t="s">
        <v>10</v>
      </c>
      <c r="R76" s="6">
        <f>ROW()</f>
        <v>76</v>
      </c>
    </row>
    <row r="77" spans="2:18" ht="13.95" customHeight="1">
      <c r="B77" s="3" t="s">
        <v>450</v>
      </c>
      <c r="N77" s="95" t="s">
        <v>11</v>
      </c>
      <c r="O77">
        <v>6.1890000000000001</v>
      </c>
      <c r="P77">
        <v>5.9059999999999997</v>
      </c>
      <c r="Q77">
        <v>5.915</v>
      </c>
      <c r="R77" s="6">
        <f>ROW()</f>
        <v>77</v>
      </c>
    </row>
    <row r="78" spans="2:18" ht="13.95" customHeight="1">
      <c r="B78" s="3" t="s">
        <v>449</v>
      </c>
      <c r="I78" s="28"/>
      <c r="N78" s="95" t="s">
        <v>451</v>
      </c>
      <c r="O78">
        <v>5.42</v>
      </c>
      <c r="R78" s="6">
        <f>ROW()</f>
        <v>78</v>
      </c>
    </row>
    <row r="79" spans="2:18" ht="13.95" customHeight="1">
      <c r="B79" s="3" t="s">
        <v>458</v>
      </c>
      <c r="N79" s="95" t="s">
        <v>678</v>
      </c>
      <c r="O79">
        <v>5.5</v>
      </c>
      <c r="R79" s="6">
        <f>ROW()</f>
        <v>79</v>
      </c>
    </row>
    <row r="80" spans="2:18" ht="13.95" customHeight="1">
      <c r="R80" s="6">
        <f>ROW()</f>
        <v>80</v>
      </c>
    </row>
    <row r="81" spans="2:24" ht="13.95" customHeight="1">
      <c r="B81" s="8" t="s">
        <v>743</v>
      </c>
      <c r="R81" s="6">
        <f>ROW()</f>
        <v>81</v>
      </c>
    </row>
    <row r="82" spans="2:24" ht="13.95" customHeight="1">
      <c r="R82" s="6">
        <f>ROW()</f>
        <v>82</v>
      </c>
    </row>
    <row r="83" spans="2:24" ht="13.95" customHeight="1">
      <c r="B83" s="8" t="s">
        <v>818</v>
      </c>
      <c r="I83" s="13">
        <f t="shared" ref="I83:N83" si="20">I42</f>
        <v>2007</v>
      </c>
      <c r="J83" s="13">
        <f t="shared" si="20"/>
        <v>2008</v>
      </c>
      <c r="K83" s="13">
        <f t="shared" si="20"/>
        <v>2009</v>
      </c>
      <c r="L83" s="13">
        <f t="shared" si="20"/>
        <v>2010</v>
      </c>
      <c r="M83" s="13">
        <f t="shared" si="20"/>
        <v>2011</v>
      </c>
      <c r="N83" s="13">
        <f t="shared" si="20"/>
        <v>2012</v>
      </c>
      <c r="O83" s="13">
        <v>2013</v>
      </c>
      <c r="P83" s="13">
        <v>2014</v>
      </c>
      <c r="Q83" s="13">
        <v>2015</v>
      </c>
      <c r="R83" s="6">
        <f>ROW()</f>
        <v>83</v>
      </c>
    </row>
    <row r="84" spans="2:24" ht="13.95" customHeight="1">
      <c r="B84" s="124" t="s">
        <v>51</v>
      </c>
      <c r="D84" s="1391" t="s">
        <v>819</v>
      </c>
      <c r="E84" s="1392"/>
      <c r="G84" s="736">
        <v>12.7</v>
      </c>
      <c r="H84" s="736">
        <v>13.73</v>
      </c>
      <c r="I84" s="736">
        <v>13.08</v>
      </c>
      <c r="J84" s="736">
        <v>13.89</v>
      </c>
      <c r="K84" s="736">
        <v>12.14</v>
      </c>
      <c r="L84" s="736">
        <v>11.39</v>
      </c>
      <c r="M84" s="736">
        <v>11.03</v>
      </c>
      <c r="N84" s="736">
        <v>10.65</v>
      </c>
      <c r="O84" s="736">
        <v>10.32</v>
      </c>
      <c r="P84" s="736">
        <v>10.97</v>
      </c>
      <c r="Q84" s="736">
        <v>10.38</v>
      </c>
      <c r="R84" s="6">
        <f>ROW()</f>
        <v>84</v>
      </c>
    </row>
    <row r="85" spans="2:24" ht="13.95" customHeight="1">
      <c r="B85" s="124" t="s">
        <v>52</v>
      </c>
      <c r="D85" s="1393"/>
      <c r="E85" s="1394"/>
      <c r="G85" s="736">
        <v>11.34</v>
      </c>
      <c r="H85" s="736">
        <v>12</v>
      </c>
      <c r="I85" s="736">
        <v>11.34</v>
      </c>
      <c r="J85" s="736">
        <v>12.23</v>
      </c>
      <c r="K85" s="736">
        <v>10.06</v>
      </c>
      <c r="L85" s="736">
        <v>9.4700000000000006</v>
      </c>
      <c r="M85" s="736">
        <v>8.91</v>
      </c>
      <c r="N85" s="736">
        <v>8.1</v>
      </c>
      <c r="O85" s="736">
        <v>8.08</v>
      </c>
      <c r="P85" s="736">
        <v>8.9</v>
      </c>
      <c r="Q85" s="736">
        <v>7.89</v>
      </c>
      <c r="R85" s="6">
        <f>ROW()</f>
        <v>85</v>
      </c>
    </row>
    <row r="86" spans="2:24" ht="13.95" customHeight="1">
      <c r="B86" s="124" t="s">
        <v>50</v>
      </c>
      <c r="D86" s="1393"/>
      <c r="E86" s="1394"/>
      <c r="G86" s="736">
        <v>8.56</v>
      </c>
      <c r="H86" s="736">
        <v>7.87</v>
      </c>
      <c r="I86" s="736">
        <v>7.68</v>
      </c>
      <c r="J86" s="736">
        <v>9.65</v>
      </c>
      <c r="K86" s="736">
        <v>5.33</v>
      </c>
      <c r="L86" s="736">
        <v>5.49</v>
      </c>
      <c r="M86" s="736">
        <v>5.13</v>
      </c>
      <c r="N86" s="736">
        <v>3.88</v>
      </c>
      <c r="O86" s="736">
        <v>4.6399999999999997</v>
      </c>
      <c r="P86" s="736">
        <v>5.53</v>
      </c>
      <c r="Q86" s="736">
        <v>3.84</v>
      </c>
      <c r="R86" s="6">
        <f>ROW()</f>
        <v>86</v>
      </c>
    </row>
    <row r="87" spans="2:24" ht="13.95" customHeight="1">
      <c r="B87" s="92" t="s">
        <v>49</v>
      </c>
      <c r="D87" s="1395"/>
      <c r="E87" s="1396"/>
      <c r="G87" s="736">
        <v>9.14</v>
      </c>
      <c r="H87" s="736">
        <v>8.7200000000000006</v>
      </c>
      <c r="I87" s="736">
        <v>8.5</v>
      </c>
      <c r="J87" s="736">
        <v>11.75</v>
      </c>
      <c r="K87" s="736">
        <v>8.1300000000000008</v>
      </c>
      <c r="L87" s="736">
        <v>6.25</v>
      </c>
      <c r="M87" s="736">
        <v>7.48</v>
      </c>
      <c r="N87" s="736">
        <v>8.0399999999999991</v>
      </c>
      <c r="O87" s="736">
        <v>9.76</v>
      </c>
      <c r="P87" s="738">
        <f>O87</f>
        <v>9.76</v>
      </c>
      <c r="Q87" s="738">
        <f>P87</f>
        <v>9.76</v>
      </c>
      <c r="R87" s="6">
        <f>ROW()</f>
        <v>87</v>
      </c>
    </row>
    <row r="88" spans="2:24" ht="13.95" customHeight="1">
      <c r="B88" s="8" t="s">
        <v>394</v>
      </c>
      <c r="M88" s="739"/>
      <c r="N88" s="739"/>
      <c r="O88" s="739"/>
      <c r="P88" s="740"/>
      <c r="Q88" s="740" t="s">
        <v>1018</v>
      </c>
      <c r="R88" s="6">
        <f>ROW()</f>
        <v>88</v>
      </c>
    </row>
    <row r="89" spans="2:24" ht="13.95" customHeight="1">
      <c r="B89" s="124" t="s">
        <v>51</v>
      </c>
      <c r="G89" s="737">
        <v>4826775</v>
      </c>
      <c r="H89" s="737">
        <v>4368466</v>
      </c>
      <c r="I89" s="737">
        <v>4722358</v>
      </c>
      <c r="J89" s="737">
        <v>4892277</v>
      </c>
      <c r="K89" s="737">
        <v>4778907</v>
      </c>
      <c r="L89" s="737">
        <v>4782412</v>
      </c>
      <c r="M89" s="737">
        <v>4713777</v>
      </c>
      <c r="N89" s="737">
        <v>4149519</v>
      </c>
      <c r="O89" s="737">
        <v>4914327</v>
      </c>
      <c r="P89" s="737">
        <v>5072030</v>
      </c>
      <c r="Q89" s="737">
        <v>4612000</v>
      </c>
      <c r="R89" s="6">
        <f>ROW()</f>
        <v>89</v>
      </c>
    </row>
    <row r="90" spans="2:24" ht="13.95" customHeight="1">
      <c r="B90" s="124" t="s">
        <v>52</v>
      </c>
      <c r="G90" s="737">
        <v>2998920</v>
      </c>
      <c r="H90" s="737">
        <v>2832030</v>
      </c>
      <c r="I90" s="737">
        <v>3012904</v>
      </c>
      <c r="J90" s="737">
        <v>3152529</v>
      </c>
      <c r="K90" s="737">
        <v>3118592</v>
      </c>
      <c r="L90" s="737">
        <v>3102593</v>
      </c>
      <c r="M90" s="737">
        <v>3155319</v>
      </c>
      <c r="N90" s="737">
        <v>2894926</v>
      </c>
      <c r="O90" s="737">
        <v>3278856</v>
      </c>
      <c r="P90" s="737">
        <v>3459061</v>
      </c>
      <c r="Q90" s="737">
        <v>3206000</v>
      </c>
      <c r="R90" s="6">
        <f>ROW()</f>
        <v>90</v>
      </c>
    </row>
    <row r="91" spans="2:24" ht="13.95" customHeight="1">
      <c r="B91" s="124" t="s">
        <v>50</v>
      </c>
      <c r="G91" s="737">
        <v>7712684</v>
      </c>
      <c r="H91" s="737">
        <v>7668523</v>
      </c>
      <c r="I91" s="737">
        <v>7881103</v>
      </c>
      <c r="J91" s="737">
        <v>7889884</v>
      </c>
      <c r="K91" s="737">
        <v>7442610</v>
      </c>
      <c r="L91" s="737">
        <v>8111819</v>
      </c>
      <c r="M91" s="737">
        <v>8316708</v>
      </c>
      <c r="N91" s="737">
        <v>8622489</v>
      </c>
      <c r="O91" s="737">
        <v>8888990</v>
      </c>
      <c r="P91" s="737">
        <v>9221025</v>
      </c>
      <c r="Q91" s="931">
        <v>9089000</v>
      </c>
      <c r="R91" s="6">
        <f>ROW()</f>
        <v>91</v>
      </c>
      <c r="S91" s="930"/>
      <c r="T91" s="165"/>
      <c r="U91" s="165"/>
      <c r="V91" s="165"/>
      <c r="W91" s="165"/>
      <c r="X91" s="165"/>
    </row>
    <row r="92" spans="2:24" ht="13.95" customHeight="1">
      <c r="B92" s="92" t="s">
        <v>49</v>
      </c>
      <c r="G92" s="737">
        <v>606909</v>
      </c>
      <c r="H92" s="737">
        <v>607952</v>
      </c>
      <c r="I92" s="737">
        <v>646020</v>
      </c>
      <c r="J92" s="737">
        <v>673938</v>
      </c>
      <c r="K92" s="737">
        <v>697436</v>
      </c>
      <c r="L92" s="737">
        <v>702788</v>
      </c>
      <c r="M92" s="737">
        <v>717758</v>
      </c>
      <c r="N92" s="737">
        <v>760760</v>
      </c>
      <c r="O92" s="737">
        <v>895208</v>
      </c>
      <c r="P92" s="737">
        <v>917107</v>
      </c>
      <c r="Q92" s="737">
        <v>894000</v>
      </c>
      <c r="R92" s="6">
        <f>ROW()</f>
        <v>92</v>
      </c>
    </row>
    <row r="93" spans="2:24" ht="13.95" customHeight="1">
      <c r="B93" s="8" t="s">
        <v>395</v>
      </c>
      <c r="G93" s="325">
        <f t="shared" ref="G93:P93" si="21">SUMPRODUCT(G84:G86,G89:G91)/SUM(G89:G91)</f>
        <v>10.382574034267023</v>
      </c>
      <c r="H93" s="325">
        <f t="shared" si="21"/>
        <v>10.378268679998325</v>
      </c>
      <c r="I93" s="325">
        <f t="shared" si="21"/>
        <v>10.019082228162571</v>
      </c>
      <c r="J93" s="325">
        <f t="shared" si="21"/>
        <v>11.462195863239261</v>
      </c>
      <c r="K93" s="325">
        <f t="shared" si="21"/>
        <v>8.4131134791806232</v>
      </c>
      <c r="L93" s="325">
        <f t="shared" si="21"/>
        <v>8.0257877876258448</v>
      </c>
      <c r="M93" s="325">
        <f t="shared" si="21"/>
        <v>7.585138473195399</v>
      </c>
      <c r="N93" s="325">
        <f t="shared" si="21"/>
        <v>6.4528602258744439</v>
      </c>
      <c r="O93" s="325">
        <f t="shared" si="21"/>
        <v>6.934359271504861</v>
      </c>
      <c r="P93" s="325">
        <f t="shared" si="21"/>
        <v>7.7409408686829222</v>
      </c>
      <c r="Q93" s="325">
        <f t="shared" ref="Q93" si="22">SUMPRODUCT(Q84:Q86,Q89:Q91)/SUM(Q89:Q91)</f>
        <v>6.3920068610634653</v>
      </c>
      <c r="R93" s="6">
        <f>ROW()</f>
        <v>93</v>
      </c>
    </row>
    <row r="94" spans="2:24" ht="13.95" customHeight="1">
      <c r="B94" s="84" t="s">
        <v>1014</v>
      </c>
      <c r="C94" s="84"/>
      <c r="D94" s="84"/>
      <c r="E94" s="84"/>
      <c r="F94" s="84"/>
      <c r="G94" s="84"/>
      <c r="H94" s="84"/>
      <c r="I94" s="84"/>
      <c r="J94" s="84"/>
      <c r="K94" s="84"/>
      <c r="L94" s="84"/>
      <c r="M94" s="84"/>
      <c r="N94" s="84"/>
      <c r="R94" s="6">
        <f>ROW()</f>
        <v>94</v>
      </c>
    </row>
    <row r="95" spans="2:24" ht="13.95" customHeight="1">
      <c r="B95" s="84"/>
      <c r="C95" s="84"/>
      <c r="D95" s="84"/>
      <c r="E95" s="84"/>
      <c r="F95" s="84"/>
      <c r="G95" s="84"/>
      <c r="H95" s="84"/>
      <c r="I95" s="84"/>
      <c r="J95" s="84"/>
      <c r="K95" s="84"/>
      <c r="L95" s="84"/>
      <c r="M95" s="84"/>
      <c r="N95" s="84"/>
      <c r="R95" s="6">
        <f>ROW()</f>
        <v>95</v>
      </c>
      <c r="S95" s="1385" t="s">
        <v>1019</v>
      </c>
    </row>
    <row r="96" spans="2:24" ht="13.95" customHeight="1">
      <c r="B96" s="8" t="s">
        <v>674</v>
      </c>
      <c r="G96" s="325">
        <v>8.67</v>
      </c>
      <c r="H96" s="325">
        <v>8.61</v>
      </c>
      <c r="I96" s="325">
        <v>8.16</v>
      </c>
      <c r="J96" s="325">
        <v>9.18</v>
      </c>
      <c r="K96" s="325">
        <v>6.48</v>
      </c>
      <c r="L96" s="325">
        <v>6.18</v>
      </c>
      <c r="M96" s="325">
        <v>5.63</v>
      </c>
      <c r="N96" s="325">
        <v>4.7300000000000004</v>
      </c>
      <c r="O96" s="325">
        <v>4.88</v>
      </c>
      <c r="P96" s="325">
        <v>5.72</v>
      </c>
      <c r="Q96" s="325">
        <v>4.25</v>
      </c>
      <c r="R96" s="6">
        <f>ROW()</f>
        <v>96</v>
      </c>
      <c r="S96" s="1386"/>
    </row>
    <row r="97" spans="2:19" ht="13.95" customHeight="1">
      <c r="B97" s="84" t="s">
        <v>675</v>
      </c>
      <c r="R97" s="6">
        <f>ROW()</f>
        <v>97</v>
      </c>
      <c r="S97" s="1386"/>
    </row>
    <row r="98" spans="2:19" ht="13.95" customHeight="1">
      <c r="B98" s="8" t="s">
        <v>397</v>
      </c>
      <c r="G98" s="325">
        <f t="shared" ref="G98:P98" si="23">G93-G96</f>
        <v>1.712574034267023</v>
      </c>
      <c r="H98" s="325">
        <f t="shared" si="23"/>
        <v>1.7682686799983252</v>
      </c>
      <c r="I98" s="325">
        <f t="shared" si="23"/>
        <v>1.8590822281625705</v>
      </c>
      <c r="J98" s="325">
        <f t="shared" si="23"/>
        <v>2.2821958632392612</v>
      </c>
      <c r="K98" s="325">
        <f t="shared" si="23"/>
        <v>1.9331134791806228</v>
      </c>
      <c r="L98" s="325">
        <f t="shared" si="23"/>
        <v>1.8457877876258451</v>
      </c>
      <c r="M98" s="325">
        <f t="shared" si="23"/>
        <v>1.9551384731953991</v>
      </c>
      <c r="N98" s="325">
        <f t="shared" si="23"/>
        <v>1.7228602258744434</v>
      </c>
      <c r="O98" s="325">
        <f t="shared" si="23"/>
        <v>2.0543592715048611</v>
      </c>
      <c r="P98" s="325">
        <f t="shared" si="23"/>
        <v>2.0209408686829224</v>
      </c>
      <c r="Q98" s="325">
        <f t="shared" ref="Q98" si="24">Q93-Q96</f>
        <v>2.1420068610634653</v>
      </c>
      <c r="R98" s="6">
        <f>ROW()</f>
        <v>98</v>
      </c>
      <c r="S98" s="325">
        <f>AVERAGE(H98:Q98)</f>
        <v>1.9583753738527716</v>
      </c>
    </row>
    <row r="99" spans="2:19" ht="13.95" customHeight="1">
      <c r="R99" s="6">
        <f>ROW()</f>
        <v>99</v>
      </c>
      <c r="S99" s="929"/>
    </row>
    <row r="100" spans="2:19" ht="13.95" customHeight="1">
      <c r="B100" s="8" t="s">
        <v>673</v>
      </c>
      <c r="G100" s="325">
        <v>7.33</v>
      </c>
      <c r="H100" s="325">
        <v>6.39</v>
      </c>
      <c r="I100" s="325">
        <v>6.25</v>
      </c>
      <c r="J100" s="325">
        <v>7.97</v>
      </c>
      <c r="K100" s="325">
        <v>3.67</v>
      </c>
      <c r="L100" s="325">
        <v>4.4800000000000004</v>
      </c>
      <c r="M100" s="325">
        <v>3.95</v>
      </c>
      <c r="N100" s="325">
        <v>2.66</v>
      </c>
      <c r="O100" s="325">
        <f>$N$100*O96/N96</f>
        <v>2.7443551797040167</v>
      </c>
      <c r="P100" s="325">
        <f>$N$100*P96/O96</f>
        <v>3.1178688524590163</v>
      </c>
      <c r="Q100" s="325">
        <v>2.39</v>
      </c>
      <c r="R100" s="6">
        <f>ROW()</f>
        <v>100</v>
      </c>
      <c r="S100" s="929"/>
    </row>
    <row r="101" spans="2:19" ht="13.95" customHeight="1">
      <c r="B101" s="84" t="s">
        <v>1017</v>
      </c>
      <c r="R101" s="6">
        <f>ROW()</f>
        <v>101</v>
      </c>
      <c r="S101" s="932"/>
    </row>
    <row r="102" spans="2:19" ht="13.95" customHeight="1">
      <c r="B102" s="8" t="s">
        <v>398</v>
      </c>
      <c r="G102" s="325">
        <f t="shared" ref="G102:P102" si="25">G93-G100</f>
        <v>3.0525740342670229</v>
      </c>
      <c r="H102" s="325">
        <f t="shared" si="25"/>
        <v>3.9882686799983249</v>
      </c>
      <c r="I102" s="325">
        <f t="shared" si="25"/>
        <v>3.7690822281625707</v>
      </c>
      <c r="J102" s="325">
        <f t="shared" si="25"/>
        <v>3.4921958632392611</v>
      </c>
      <c r="K102" s="325">
        <f t="shared" si="25"/>
        <v>4.7431134791806233</v>
      </c>
      <c r="L102" s="325">
        <f t="shared" si="25"/>
        <v>3.5457877876258443</v>
      </c>
      <c r="M102" s="325">
        <f t="shared" si="25"/>
        <v>3.6351384731953988</v>
      </c>
      <c r="N102" s="325">
        <f t="shared" si="25"/>
        <v>3.7928602258744437</v>
      </c>
      <c r="O102" s="325">
        <f t="shared" si="25"/>
        <v>4.1900040918008443</v>
      </c>
      <c r="P102" s="325">
        <f t="shared" si="25"/>
        <v>4.6230720162239063</v>
      </c>
      <c r="Q102" s="325">
        <f t="shared" ref="Q102" si="26">Q93-Q100</f>
        <v>4.0020068610634656</v>
      </c>
      <c r="R102" s="6">
        <f>ROW()</f>
        <v>102</v>
      </c>
      <c r="S102" s="325">
        <f>AVERAGE(H102:Q102)</f>
        <v>3.9781529706364678</v>
      </c>
    </row>
    <row r="103" spans="2:19" ht="13.95" customHeight="1">
      <c r="B103" s="84" t="str">
        <f>CONCATENATE("Row ",R93, " less Row ",R100, ".")</f>
        <v>Row 93 less Row 100.</v>
      </c>
      <c r="R103" s="6">
        <f>ROW()</f>
        <v>103</v>
      </c>
    </row>
    <row r="104" spans="2:19" ht="13.95" customHeight="1">
      <c r="R104" s="6">
        <f>ROW()</f>
        <v>104</v>
      </c>
    </row>
    <row r="105" spans="2:19" ht="13.95" customHeight="1">
      <c r="B105" s="8" t="s">
        <v>820</v>
      </c>
      <c r="R105" s="6">
        <f>ROW()</f>
        <v>105</v>
      </c>
    </row>
    <row r="106" spans="2:19" ht="13.95" customHeight="1">
      <c r="B106" s="84" t="s">
        <v>1015</v>
      </c>
      <c r="R106" s="6">
        <f>ROW()</f>
        <v>106</v>
      </c>
    </row>
    <row r="107" spans="2:19" ht="13.95" customHeight="1">
      <c r="F107" s="13">
        <v>1990</v>
      </c>
      <c r="G107" s="13">
        <v>2005</v>
      </c>
      <c r="H107" s="13">
        <v>2006</v>
      </c>
      <c r="I107" s="13">
        <v>2007</v>
      </c>
      <c r="J107" s="13">
        <v>2008</v>
      </c>
      <c r="K107" s="13">
        <v>2009</v>
      </c>
      <c r="L107" s="13">
        <v>2010</v>
      </c>
      <c r="M107" s="13">
        <v>2011</v>
      </c>
      <c r="N107" s="13">
        <v>2012</v>
      </c>
      <c r="O107" s="13">
        <v>2013</v>
      </c>
      <c r="P107" s="13">
        <v>2014</v>
      </c>
      <c r="Q107" s="13">
        <v>2015</v>
      </c>
      <c r="R107" s="6">
        <f>ROW()</f>
        <v>107</v>
      </c>
    </row>
    <row r="108" spans="2:19" ht="13.95" customHeight="1">
      <c r="B108" s="14" t="s">
        <v>151</v>
      </c>
      <c r="F108">
        <v>0.88300000000000001</v>
      </c>
      <c r="G108">
        <v>1.829</v>
      </c>
      <c r="H108">
        <v>2.1280000000000001</v>
      </c>
      <c r="I108">
        <v>2.3450000000000002</v>
      </c>
      <c r="J108">
        <v>2.7749999999999999</v>
      </c>
      <c r="K108">
        <v>1.8879999999999999</v>
      </c>
      <c r="L108">
        <v>2.3010000000000002</v>
      </c>
      <c r="M108">
        <v>3.05</v>
      </c>
      <c r="N108">
        <v>3.1539999999999999</v>
      </c>
      <c r="O108">
        <v>3.0489999999999999</v>
      </c>
      <c r="P108">
        <v>2.855</v>
      </c>
      <c r="Q108">
        <v>2.0030000000000001</v>
      </c>
      <c r="R108" s="6">
        <f>ROW()</f>
        <v>108</v>
      </c>
    </row>
    <row r="109" spans="2:19" ht="13.95" customHeight="1">
      <c r="D109" s="940"/>
      <c r="E109" s="941"/>
      <c r="G109" s="533"/>
      <c r="H109" s="533"/>
      <c r="I109" s="533"/>
      <c r="J109" s="533"/>
      <c r="K109" s="533"/>
      <c r="L109" s="533"/>
      <c r="M109" s="533"/>
      <c r="O109" s="535"/>
      <c r="P109" s="535" t="str">
        <f>CONCATENATE("Compound avg annual incrs in nominal price, w/o taxes, ",F$107, "-",Q$107, " (shown as multiple rather than percent)")</f>
        <v>Compound avg annual incrs in nominal price, w/o taxes, 1990-2015 (shown as multiple rather than percent)</v>
      </c>
      <c r="Q109" s="933">
        <f>(Q108/F108)^(1/(Q$107-F$107))</f>
        <v>1.0333056637025952</v>
      </c>
      <c r="R109" s="6">
        <f>ROW()</f>
        <v>109</v>
      </c>
    </row>
    <row r="110" spans="2:19" ht="13.95" customHeight="1">
      <c r="D110" s="941"/>
      <c r="E110" s="941"/>
      <c r="P110" s="535" t="str">
        <f>CONCATENATE("Compound avg annual incrs in CPI, ",F$107, "-",Q$107, " (shown as multiple rather than percent)")</f>
        <v>Compound avg annual incrs in CPI, 1990-2015 (shown as multiple rather than percent)</v>
      </c>
      <c r="Q110" s="934">
        <f>(237.017/130.7)^(1/(Q$107-F$107))</f>
        <v>1.0240947892043877</v>
      </c>
      <c r="R110" s="6">
        <f>ROW()</f>
        <v>110</v>
      </c>
    </row>
    <row r="111" spans="2:19" ht="13.95" customHeight="1">
      <c r="D111" s="941"/>
      <c r="E111" s="941"/>
      <c r="O111" s="535"/>
      <c r="P111" s="535" t="str">
        <f>CONCATENATE("Compound avg annual incrs in real price, w/o taxes, ",F$107, "-",Q$107, " (shown as multiple rather than percent)")</f>
        <v>Compound avg annual incrs in real price, w/o taxes, 1990-2015 (shown as multiple rather than percent)</v>
      </c>
      <c r="Q111" s="934">
        <f>Q109/Q110</f>
        <v>1.0089941620593181</v>
      </c>
      <c r="R111" s="6">
        <f>ROW()</f>
        <v>111</v>
      </c>
    </row>
    <row r="112" spans="2:19" ht="13.95" customHeight="1">
      <c r="B112" t="s">
        <v>821</v>
      </c>
      <c r="D112" s="941"/>
      <c r="E112" s="941"/>
      <c r="F112" s="534">
        <v>0.76600000000000001</v>
      </c>
      <c r="G112">
        <v>1.7350000000000001</v>
      </c>
      <c r="H112">
        <v>1.998</v>
      </c>
      <c r="I112">
        <v>2.165</v>
      </c>
      <c r="J112">
        <v>3.052</v>
      </c>
      <c r="K112">
        <v>1.704</v>
      </c>
      <c r="L112">
        <v>2.2010000000000001</v>
      </c>
      <c r="M112">
        <v>3.0539999999999998</v>
      </c>
      <c r="N112">
        <v>3.1040000000000001</v>
      </c>
      <c r="O112">
        <v>2.9790000000000001</v>
      </c>
      <c r="P112">
        <v>2.7719999999999998</v>
      </c>
      <c r="Q112">
        <v>1.629</v>
      </c>
      <c r="R112" s="6">
        <f>ROW()</f>
        <v>112</v>
      </c>
    </row>
    <row r="113" spans="2:23" ht="13.95" customHeight="1">
      <c r="D113" s="941"/>
      <c r="E113" s="941"/>
      <c r="G113" s="533"/>
      <c r="H113" s="533"/>
      <c r="I113" s="533"/>
      <c r="J113" s="533"/>
      <c r="K113" s="533"/>
      <c r="L113" s="533"/>
      <c r="M113" s="533"/>
      <c r="O113" s="535"/>
      <c r="P113" s="535" t="str">
        <f>CONCATENATE("Compound avg annual incrs in nominal price, w/o taxes, ",F$107, "-",Q$107, " (shown as multiple rather than percent)")</f>
        <v>Compound avg annual incrs in nominal price, w/o taxes, 1990-2015 (shown as multiple rather than percent)</v>
      </c>
      <c r="Q113" s="741">
        <f>(Q112/F112)^(1/(Q$107-F$107))</f>
        <v>1.030641658356054</v>
      </c>
      <c r="R113" s="6">
        <f>ROW()</f>
        <v>113</v>
      </c>
    </row>
    <row r="114" spans="2:23" ht="13.95" customHeight="1">
      <c r="D114" s="941"/>
      <c r="E114" s="941"/>
      <c r="O114" s="535"/>
      <c r="P114" s="535" t="s">
        <v>662</v>
      </c>
      <c r="Q114" s="742">
        <f>(237.017/130.7)^(1/(Q$107-F$107))</f>
        <v>1.0240947892043877</v>
      </c>
      <c r="R114" s="6">
        <f>ROW()</f>
        <v>114</v>
      </c>
    </row>
    <row r="115" spans="2:23" ht="13.95" customHeight="1">
      <c r="O115" s="535"/>
      <c r="P115" s="535" t="s">
        <v>663</v>
      </c>
      <c r="Q115" s="742">
        <f>Q113/Q114</f>
        <v>1.0063928351366309</v>
      </c>
      <c r="R115" s="6">
        <f>ROW()</f>
        <v>115</v>
      </c>
    </row>
    <row r="116" spans="2:23" ht="13.95" customHeight="1">
      <c r="B116" t="s">
        <v>822</v>
      </c>
      <c r="F116" s="534">
        <v>0.72499999999999998</v>
      </c>
      <c r="G116">
        <v>1.786</v>
      </c>
      <c r="H116">
        <v>2.0960000000000001</v>
      </c>
      <c r="I116">
        <v>2.2669999999999999</v>
      </c>
      <c r="J116">
        <v>3.15</v>
      </c>
      <c r="K116">
        <v>1.8340000000000001</v>
      </c>
      <c r="L116">
        <v>2.3140000000000001</v>
      </c>
      <c r="M116">
        <v>3.117</v>
      </c>
      <c r="N116">
        <v>3.202</v>
      </c>
      <c r="O116">
        <v>3.1219999999999999</v>
      </c>
      <c r="P116">
        <v>2.923</v>
      </c>
      <c r="Q116">
        <v>1.819</v>
      </c>
      <c r="R116" s="6">
        <f>ROW()</f>
        <v>116</v>
      </c>
    </row>
    <row r="117" spans="2:23" ht="13.95" customHeight="1">
      <c r="G117" s="533"/>
      <c r="H117" s="533"/>
      <c r="I117" s="533"/>
      <c r="J117" s="533"/>
      <c r="K117" s="533"/>
      <c r="L117" s="533"/>
      <c r="M117" s="533"/>
      <c r="O117" s="535"/>
      <c r="P117" s="535" t="str">
        <f>CONCATENATE("Compound avg annual incrs in nominal price, w/o taxes, ",F$107, "-",Q$107, " (shown as multiple rather than percent)")</f>
        <v>Compound avg annual incrs in nominal price, w/o taxes, 1990-2015 (shown as multiple rather than percent)</v>
      </c>
      <c r="Q117" s="741">
        <f>(Q116/F116)^(1/(Q$107-F$107))</f>
        <v>1.0374801298074943</v>
      </c>
      <c r="R117" s="6">
        <f>ROW()</f>
        <v>117</v>
      </c>
    </row>
    <row r="118" spans="2:23" ht="13.95" customHeight="1">
      <c r="O118" s="535"/>
      <c r="P118" s="535" t="s">
        <v>662</v>
      </c>
      <c r="Q118" s="742">
        <f>(237.017/130.7)^(1/(Q$107-F$107))</f>
        <v>1.0240947892043877</v>
      </c>
      <c r="R118" s="6">
        <f>ROW()</f>
        <v>118</v>
      </c>
    </row>
    <row r="119" spans="2:23" ht="13.95" customHeight="1">
      <c r="O119" s="535"/>
      <c r="P119" s="535" t="s">
        <v>663</v>
      </c>
      <c r="Q119" s="742">
        <f>Q117/Q118</f>
        <v>1.0130704117863012</v>
      </c>
      <c r="R119" s="6">
        <f>ROW()</f>
        <v>119</v>
      </c>
    </row>
    <row r="120" spans="2:23" ht="13.95" customHeight="1">
      <c r="B120" t="s">
        <v>823</v>
      </c>
      <c r="P120" s="742"/>
      <c r="Q120" s="742">
        <f>AVERAGE(Q111,Q115,Q119)</f>
        <v>1.0094858029940834</v>
      </c>
      <c r="R120" s="6">
        <f>ROW()</f>
        <v>120</v>
      </c>
      <c r="S120" s="929"/>
      <c r="T120" s="165"/>
      <c r="U120" s="165"/>
      <c r="V120" s="165"/>
      <c r="W120" s="165"/>
    </row>
    <row r="121" spans="2:23" ht="13.95" customHeight="1">
      <c r="P121" s="742"/>
      <c r="Q121" s="742"/>
      <c r="R121" s="6">
        <f>ROW()</f>
        <v>121</v>
      </c>
    </row>
    <row r="122" spans="2:23" ht="13.95" customHeight="1">
      <c r="B122" s="939"/>
      <c r="C122" s="165"/>
      <c r="D122" s="165"/>
      <c r="E122" s="165"/>
      <c r="F122" s="165"/>
      <c r="G122" s="165"/>
      <c r="H122" s="165"/>
      <c r="I122" s="165"/>
      <c r="J122" s="165"/>
      <c r="K122" s="165"/>
      <c r="L122" s="165"/>
      <c r="M122" s="165"/>
      <c r="N122" s="165"/>
      <c r="O122" s="165"/>
      <c r="R122" s="6">
        <f>ROW()</f>
        <v>122</v>
      </c>
    </row>
    <row r="123" spans="2:23" ht="13.95" customHeight="1">
      <c r="B123" s="8" t="s">
        <v>529</v>
      </c>
      <c r="Q123" s="928"/>
      <c r="R123" s="6">
        <f>ROW()</f>
        <v>123</v>
      </c>
    </row>
    <row r="124" spans="2:23" ht="13.95" customHeight="1">
      <c r="B124" s="1384" t="s">
        <v>439</v>
      </c>
      <c r="C124" s="1182"/>
      <c r="D124" s="1182"/>
      <c r="E124" s="1182"/>
      <c r="F124" s="1182"/>
      <c r="G124" s="1182"/>
      <c r="H124" s="1182"/>
      <c r="I124" s="1182"/>
      <c r="J124" s="1182"/>
      <c r="K124" s="1182"/>
      <c r="R124" s="6">
        <f>ROW()</f>
        <v>124</v>
      </c>
    </row>
    <row r="125" spans="2:23" ht="13.95" customHeight="1">
      <c r="B125" s="1182"/>
      <c r="C125" s="1182"/>
      <c r="D125" s="1182"/>
      <c r="E125" s="1182"/>
      <c r="F125" s="1182"/>
      <c r="G125" s="1182"/>
      <c r="H125" s="1182"/>
      <c r="I125" s="1182"/>
      <c r="J125" s="1182"/>
      <c r="K125" s="1182"/>
      <c r="R125" s="6">
        <f>ROW()</f>
        <v>125</v>
      </c>
    </row>
    <row r="126" spans="2:23" ht="13.95" customHeight="1">
      <c r="B126" t="s">
        <v>438</v>
      </c>
      <c r="R126" s="6">
        <f>ROW()</f>
        <v>126</v>
      </c>
    </row>
    <row r="127" spans="2:23" ht="13.95" customHeight="1">
      <c r="B127" s="935"/>
      <c r="C127" s="372"/>
      <c r="D127" s="372"/>
      <c r="E127" s="372"/>
      <c r="F127" s="372"/>
      <c r="G127" s="372"/>
      <c r="H127" s="372"/>
      <c r="I127" s="372"/>
      <c r="J127" s="372"/>
      <c r="K127" s="936"/>
      <c r="R127" s="6">
        <f>ROW()</f>
        <v>127</v>
      </c>
    </row>
    <row r="128" spans="2:23" ht="13.95" customHeight="1">
      <c r="B128" s="935"/>
      <c r="C128" s="372"/>
      <c r="D128" s="372"/>
      <c r="E128" s="372"/>
      <c r="F128" s="372"/>
      <c r="G128" s="372"/>
      <c r="H128" s="372"/>
      <c r="I128" s="372"/>
      <c r="J128" s="372"/>
      <c r="K128" s="936"/>
      <c r="R128" s="6">
        <f>ROW()</f>
        <v>128</v>
      </c>
    </row>
    <row r="129" spans="2:18" ht="13.95" customHeight="1">
      <c r="B129" s="935"/>
      <c r="C129" s="372"/>
      <c r="D129" s="372"/>
      <c r="E129" s="372"/>
      <c r="F129" s="372"/>
      <c r="G129" s="372"/>
      <c r="H129" s="372"/>
      <c r="I129" s="372"/>
      <c r="J129" s="372"/>
      <c r="K129" s="936"/>
      <c r="R129" s="6">
        <f>ROW()</f>
        <v>129</v>
      </c>
    </row>
    <row r="130" spans="2:18" ht="13.95" customHeight="1">
      <c r="B130" s="935"/>
      <c r="C130" s="372"/>
      <c r="D130" s="372"/>
      <c r="E130" s="372"/>
      <c r="F130" s="372"/>
      <c r="G130" s="372"/>
      <c r="H130" s="372"/>
      <c r="I130" s="372"/>
      <c r="J130" s="372"/>
      <c r="K130" s="936"/>
      <c r="R130" s="6">
        <f>ROW()</f>
        <v>130</v>
      </c>
    </row>
    <row r="131" spans="2:18" ht="13.95" customHeight="1">
      <c r="B131" s="935"/>
      <c r="C131" s="372"/>
      <c r="D131" s="372"/>
      <c r="E131" s="371"/>
      <c r="F131" s="372"/>
      <c r="G131" s="372"/>
      <c r="H131" s="372"/>
      <c r="I131" s="372"/>
      <c r="J131" s="372"/>
      <c r="K131" s="936"/>
      <c r="R131" s="6">
        <f>ROW()</f>
        <v>131</v>
      </c>
    </row>
    <row r="132" spans="2:18" ht="13.95" customHeight="1">
      <c r="B132" s="935"/>
      <c r="C132" s="372"/>
      <c r="D132" s="372"/>
      <c r="E132" s="372"/>
      <c r="F132" s="372"/>
      <c r="G132" s="372"/>
      <c r="H132" s="372"/>
      <c r="I132" s="372"/>
      <c r="J132" s="372"/>
      <c r="K132" s="936"/>
      <c r="R132" s="6">
        <f>ROW()</f>
        <v>132</v>
      </c>
    </row>
    <row r="133" spans="2:18" ht="13.95" customHeight="1">
      <c r="B133" s="935"/>
      <c r="C133" s="372"/>
      <c r="D133" s="372"/>
      <c r="E133" s="372"/>
      <c r="F133" s="372"/>
      <c r="G133" s="372"/>
      <c r="H133" s="372"/>
      <c r="I133" s="372"/>
      <c r="J133" s="372"/>
      <c r="K133" s="936"/>
      <c r="R133" s="6">
        <f>ROW()</f>
        <v>133</v>
      </c>
    </row>
    <row r="134" spans="2:18" ht="13.95" customHeight="1">
      <c r="B134" s="935"/>
      <c r="C134" s="372"/>
      <c r="D134" s="372"/>
      <c r="E134" s="372"/>
      <c r="F134" s="372"/>
      <c r="G134" s="372"/>
      <c r="H134" s="372"/>
      <c r="I134" s="372"/>
      <c r="J134" s="372"/>
      <c r="K134" s="936"/>
      <c r="R134" s="6">
        <f>ROW()</f>
        <v>134</v>
      </c>
    </row>
    <row r="135" spans="2:18" ht="13.95" customHeight="1">
      <c r="B135" s="935"/>
      <c r="C135" s="372"/>
      <c r="D135" s="372"/>
      <c r="E135" s="372"/>
      <c r="F135" s="372"/>
      <c r="G135" s="372"/>
      <c r="H135" s="372"/>
      <c r="I135" s="372"/>
      <c r="J135" s="372"/>
      <c r="K135" s="936"/>
      <c r="R135" s="6">
        <f>ROW()</f>
        <v>135</v>
      </c>
    </row>
    <row r="136" spans="2:18" ht="13.95" customHeight="1">
      <c r="B136" s="935"/>
      <c r="C136" s="372"/>
      <c r="D136" s="372"/>
      <c r="E136" s="372"/>
      <c r="F136" s="372"/>
      <c r="G136" s="372"/>
      <c r="H136" s="372"/>
      <c r="I136" s="372"/>
      <c r="J136" s="372"/>
      <c r="K136" s="936"/>
      <c r="R136" s="6">
        <f>ROW()</f>
        <v>136</v>
      </c>
    </row>
    <row r="137" spans="2:18" ht="13.95" customHeight="1">
      <c r="B137" s="935"/>
      <c r="C137" s="372"/>
      <c r="D137" s="372"/>
      <c r="E137" s="372"/>
      <c r="F137" s="372"/>
      <c r="G137" s="372"/>
      <c r="H137" s="372"/>
      <c r="I137" s="372"/>
      <c r="J137" s="372"/>
      <c r="K137" s="936"/>
      <c r="R137" s="6">
        <f>ROW()</f>
        <v>137</v>
      </c>
    </row>
    <row r="138" spans="2:18" ht="13.95" customHeight="1">
      <c r="B138" s="371"/>
      <c r="C138" s="372"/>
      <c r="D138" s="372"/>
      <c r="E138" s="372"/>
      <c r="F138" s="372"/>
      <c r="G138" s="372"/>
      <c r="H138" s="372"/>
      <c r="I138" s="937"/>
      <c r="J138" s="937"/>
      <c r="K138" s="938"/>
      <c r="R138" s="6">
        <f>ROW()</f>
        <v>138</v>
      </c>
    </row>
    <row r="139" spans="2:18" ht="13.95" customHeight="1">
      <c r="R139" s="6">
        <f>ROW()</f>
        <v>139</v>
      </c>
    </row>
    <row r="140" spans="2:18" ht="13.95" customHeight="1">
      <c r="B140" s="8"/>
      <c r="R140" s="6">
        <f>ROW()</f>
        <v>140</v>
      </c>
    </row>
    <row r="141" spans="2:18" ht="13.95" customHeight="1">
      <c r="B141" s="927"/>
      <c r="C141" s="926"/>
      <c r="D141" s="926"/>
      <c r="E141" s="926"/>
      <c r="F141" s="926"/>
      <c r="G141" s="926"/>
      <c r="H141" s="926"/>
      <c r="I141" s="926"/>
      <c r="J141" s="926"/>
      <c r="K141" s="926"/>
      <c r="R141" s="6">
        <f>ROW()</f>
        <v>141</v>
      </c>
    </row>
    <row r="142" spans="2:18" ht="13.95" customHeight="1">
      <c r="B142" s="926"/>
      <c r="C142" s="926"/>
      <c r="D142" s="926"/>
      <c r="E142" s="926"/>
      <c r="F142" s="926"/>
      <c r="G142" s="926"/>
      <c r="H142" s="926"/>
      <c r="I142" s="926"/>
      <c r="J142" s="926"/>
      <c r="K142" s="926"/>
      <c r="R142" s="6">
        <f>ROW()</f>
        <v>142</v>
      </c>
    </row>
  </sheetData>
  <mergeCells count="7">
    <mergeCell ref="Q15:Q16"/>
    <mergeCell ref="B124:K125"/>
    <mergeCell ref="S95:S97"/>
    <mergeCell ref="F49:F51"/>
    <mergeCell ref="F42:F46"/>
    <mergeCell ref="B66:N69"/>
    <mergeCell ref="D84:E87"/>
  </mergeCells>
  <hyperlinks>
    <hyperlink ref="N77" r:id="rId1"/>
    <hyperlink ref="N79" r:id="rId2" display="http://www.eia.doe.gov/emeu/mer/append_a.html, Table A3."/>
  </hyperlinks>
  <pageMargins left="0.7" right="0.7" top="0.75" bottom="0.75" header="0.3" footer="0.3"/>
  <pageSetup orientation="portrait" r:id="rId3"/>
</worksheet>
</file>

<file path=xl/worksheets/sheet19.xml><?xml version="1.0" encoding="utf-8"?>
<worksheet xmlns="http://schemas.openxmlformats.org/spreadsheetml/2006/main" xmlns:r="http://schemas.openxmlformats.org/officeDocument/2006/relationships">
  <dimension ref="B1:V33"/>
  <sheetViews>
    <sheetView zoomScaleNormal="100" zoomScalePageLayoutView="130" workbookViewId="0"/>
  </sheetViews>
  <sheetFormatPr defaultColWidth="11.625" defaultRowHeight="13.95" customHeight="1"/>
  <cols>
    <col min="1" max="1" width="2.75" customWidth="1"/>
    <col min="2" max="2" width="42.375" customWidth="1"/>
    <col min="3" max="17" width="11.625" customWidth="1"/>
    <col min="18" max="18" width="12.25" customWidth="1"/>
    <col min="19" max="21" width="11.625" customWidth="1"/>
    <col min="22" max="22" width="2.25" style="7" customWidth="1"/>
  </cols>
  <sheetData>
    <row r="1" spans="2:22" ht="13.95" customHeight="1">
      <c r="B1" s="57" t="s">
        <v>336</v>
      </c>
      <c r="M1" s="916"/>
      <c r="N1" s="214">
        <f>Summary!I1</f>
        <v>42552</v>
      </c>
      <c r="O1" s="214"/>
      <c r="V1" s="7">
        <f>ROW()</f>
        <v>1</v>
      </c>
    </row>
    <row r="2" spans="2:22" ht="13.95" customHeight="1">
      <c r="V2" s="7">
        <f>ROW()</f>
        <v>2</v>
      </c>
    </row>
    <row r="3" spans="2:22" ht="13.95" customHeight="1">
      <c r="B3" s="8" t="s">
        <v>1004</v>
      </c>
      <c r="V3" s="7">
        <f>ROW()</f>
        <v>3</v>
      </c>
    </row>
    <row r="4" spans="2:22" ht="13.95" customHeight="1">
      <c r="B4" s="89" t="s">
        <v>350</v>
      </c>
      <c r="V4" s="7">
        <f>ROW()</f>
        <v>4</v>
      </c>
    </row>
    <row r="5" spans="2:22" ht="13.95" customHeight="1">
      <c r="B5" s="915" t="s">
        <v>1005</v>
      </c>
      <c r="V5" s="7">
        <f>ROW()</f>
        <v>5</v>
      </c>
    </row>
    <row r="6" spans="2:22" ht="13.95" customHeight="1">
      <c r="B6" s="915" t="s">
        <v>1006</v>
      </c>
      <c r="V6" s="7">
        <f>ROW()</f>
        <v>6</v>
      </c>
    </row>
    <row r="7" spans="2:22" ht="13.95" customHeight="1">
      <c r="C7" s="1415" t="s">
        <v>1010</v>
      </c>
      <c r="D7" s="1416"/>
      <c r="E7" s="1417"/>
      <c r="F7" s="699"/>
      <c r="G7" s="699"/>
      <c r="H7" s="913"/>
      <c r="I7" s="913"/>
      <c r="J7" s="1419" t="s">
        <v>1008</v>
      </c>
      <c r="K7" s="1420"/>
      <c r="L7" s="1420"/>
      <c r="M7" s="1420"/>
      <c r="N7" s="1420"/>
      <c r="O7" s="1411" t="s">
        <v>654</v>
      </c>
      <c r="P7" s="1412"/>
      <c r="Q7" s="1412"/>
      <c r="R7" s="1413"/>
      <c r="V7" s="7">
        <f>ROW()</f>
        <v>7</v>
      </c>
    </row>
    <row r="8" spans="2:22" ht="13.95" customHeight="1">
      <c r="C8" s="510">
        <v>2010</v>
      </c>
      <c r="D8" s="510">
        <v>2011</v>
      </c>
      <c r="E8" s="510">
        <v>2012</v>
      </c>
      <c r="F8" s="510">
        <v>2012</v>
      </c>
      <c r="G8" s="510">
        <v>2013</v>
      </c>
      <c r="H8" s="510">
        <v>2014</v>
      </c>
      <c r="I8" s="510">
        <v>2015</v>
      </c>
      <c r="J8" s="514">
        <v>2020</v>
      </c>
      <c r="K8" s="514">
        <v>2025</v>
      </c>
      <c r="L8" s="514">
        <v>2030</v>
      </c>
      <c r="M8" s="514">
        <v>2035</v>
      </c>
      <c r="N8" s="514">
        <v>2040</v>
      </c>
      <c r="O8" s="965" t="s">
        <v>1043</v>
      </c>
      <c r="P8" s="966" t="s">
        <v>824</v>
      </c>
      <c r="Q8" s="966" t="s">
        <v>825</v>
      </c>
      <c r="R8" s="967" t="s">
        <v>655</v>
      </c>
      <c r="V8" s="7">
        <f>ROW()</f>
        <v>8</v>
      </c>
    </row>
    <row r="9" spans="2:22" ht="13.95" customHeight="1">
      <c r="B9" s="8" t="s">
        <v>652</v>
      </c>
      <c r="C9" s="1414" t="s">
        <v>650</v>
      </c>
      <c r="D9" s="1414" t="s">
        <v>651</v>
      </c>
      <c r="E9" s="1414" t="s">
        <v>651</v>
      </c>
      <c r="F9" s="1414" t="s">
        <v>801</v>
      </c>
      <c r="G9" s="1414" t="s">
        <v>801</v>
      </c>
      <c r="H9" s="1414" t="s">
        <v>1007</v>
      </c>
      <c r="I9" s="1414" t="s">
        <v>1007</v>
      </c>
      <c r="J9" s="515"/>
      <c r="K9" s="515"/>
      <c r="L9" s="515"/>
      <c r="M9" s="515"/>
      <c r="N9" s="515"/>
      <c r="O9" s="968"/>
      <c r="P9" s="969"/>
      <c r="Q9" s="969"/>
      <c r="R9" s="1418" t="s">
        <v>826</v>
      </c>
      <c r="V9" s="7">
        <f>ROW()</f>
        <v>9</v>
      </c>
    </row>
    <row r="10" spans="2:22" ht="13.95" customHeight="1">
      <c r="B10" s="8"/>
      <c r="C10" s="1414"/>
      <c r="D10" s="1414"/>
      <c r="E10" s="1414"/>
      <c r="F10" s="1414"/>
      <c r="G10" s="1414"/>
      <c r="H10" s="1421"/>
      <c r="I10" s="1421"/>
      <c r="J10" s="515"/>
      <c r="K10" s="515"/>
      <c r="L10" s="515"/>
      <c r="M10" s="515"/>
      <c r="N10" s="515"/>
      <c r="O10" s="968"/>
      <c r="P10" s="969"/>
      <c r="Q10" s="969"/>
      <c r="R10" s="1176"/>
      <c r="V10" s="7">
        <f>ROW()</f>
        <v>10</v>
      </c>
    </row>
    <row r="11" spans="2:22" ht="13.95" customHeight="1">
      <c r="B11" s="66" t="s">
        <v>340</v>
      </c>
      <c r="C11" s="511">
        <v>81.31</v>
      </c>
      <c r="D11" s="511">
        <v>113.24</v>
      </c>
      <c r="E11" s="511">
        <v>111.65</v>
      </c>
      <c r="F11" s="712">
        <v>113</v>
      </c>
      <c r="G11" s="918">
        <v>109</v>
      </c>
      <c r="H11" s="713">
        <v>99.92</v>
      </c>
      <c r="I11" s="713">
        <v>52.32</v>
      </c>
      <c r="J11" s="714">
        <v>76.569999999999993</v>
      </c>
      <c r="K11" s="714">
        <v>91.59</v>
      </c>
      <c r="L11" s="714">
        <v>104</v>
      </c>
      <c r="M11" s="714">
        <v>119.64</v>
      </c>
      <c r="N11" s="714">
        <v>136.21</v>
      </c>
      <c r="O11" s="970">
        <f>(J11/I11)^(1/(J$8-I$8))</f>
        <v>1.0791409733498512</v>
      </c>
      <c r="P11" s="971">
        <f>(L11/J11)^(1/(L$8-J$8))</f>
        <v>1.0310921233127008</v>
      </c>
      <c r="Q11" s="971">
        <f>(N11/L11)^(1/(N$8-L$8))</f>
        <v>1.0273479658509668</v>
      </c>
      <c r="R11" s="972">
        <f>Q11</f>
        <v>1.0273479658509668</v>
      </c>
      <c r="T11" s="22"/>
      <c r="V11" s="7">
        <f>ROW()</f>
        <v>11</v>
      </c>
    </row>
    <row r="12" spans="2:22" ht="13.95" customHeight="1">
      <c r="B12" s="66" t="s">
        <v>337</v>
      </c>
      <c r="C12" s="511">
        <v>81.08</v>
      </c>
      <c r="D12" s="511">
        <v>96.55</v>
      </c>
      <c r="E12" s="511">
        <v>94.12</v>
      </c>
      <c r="F12" s="715">
        <v>96</v>
      </c>
      <c r="G12" s="919">
        <v>98</v>
      </c>
      <c r="H12" s="708">
        <v>94.15</v>
      </c>
      <c r="I12" s="708">
        <v>48.67</v>
      </c>
      <c r="J12" s="709">
        <v>71.12</v>
      </c>
      <c r="K12" s="709">
        <v>85.41</v>
      </c>
      <c r="L12" s="709">
        <v>97.06</v>
      </c>
      <c r="M12" s="709">
        <v>112.45</v>
      </c>
      <c r="N12" s="709">
        <v>129.11000000000001</v>
      </c>
      <c r="O12" s="970">
        <f>(J12/I12)^(1/(J$8-I$8))</f>
        <v>1.0788127743499143</v>
      </c>
      <c r="P12" s="971">
        <f>(L12/J12)^(1/(L$8-J$8))</f>
        <v>1.0315846089028713</v>
      </c>
      <c r="Q12" s="971">
        <f>(N12/L12)^(1/(N$8-L$8))</f>
        <v>1.0289445221055273</v>
      </c>
      <c r="R12" s="972">
        <f>Q12</f>
        <v>1.0289445221055273</v>
      </c>
      <c r="V12" s="7">
        <f>ROW()</f>
        <v>12</v>
      </c>
    </row>
    <row r="13" spans="2:22" ht="13.95" customHeight="1">
      <c r="B13" s="66" t="s">
        <v>338</v>
      </c>
      <c r="C13" s="511">
        <v>4.46</v>
      </c>
      <c r="D13" s="511">
        <v>4.07</v>
      </c>
      <c r="E13" s="511">
        <v>2.75</v>
      </c>
      <c r="F13" s="715">
        <v>2.79</v>
      </c>
      <c r="G13" s="919">
        <v>3.73</v>
      </c>
      <c r="H13" s="708">
        <v>4.4400000000000004</v>
      </c>
      <c r="I13" s="708">
        <v>2.62</v>
      </c>
      <c r="J13" s="709">
        <v>4.43</v>
      </c>
      <c r="K13" s="709">
        <v>5.12</v>
      </c>
      <c r="L13" s="709">
        <v>5.0599999999999996</v>
      </c>
      <c r="M13" s="709">
        <v>4.91</v>
      </c>
      <c r="N13" s="709">
        <v>4.8600000000000003</v>
      </c>
      <c r="O13" s="970">
        <f>(J13/I13)^(1/(J$8-I$8))</f>
        <v>1.1107606526133476</v>
      </c>
      <c r="P13" s="971">
        <f>(L13/J13)^(1/(L$8-J$8))</f>
        <v>1.0133854840251104</v>
      </c>
      <c r="Q13" s="971">
        <f>(N13/L13)^(1/(N$8-L$8))</f>
        <v>0.99597531629727742</v>
      </c>
      <c r="R13" s="972">
        <f>Q13</f>
        <v>0.99597531629727742</v>
      </c>
      <c r="T13" s="22"/>
      <c r="V13" s="7">
        <f>ROW()</f>
        <v>13</v>
      </c>
    </row>
    <row r="14" spans="2:22" ht="13.95" customHeight="1">
      <c r="B14" s="66" t="s">
        <v>339</v>
      </c>
      <c r="C14" s="511">
        <v>36.369999999999997</v>
      </c>
      <c r="D14" s="511">
        <v>41.74</v>
      </c>
      <c r="E14" s="511">
        <v>39.94</v>
      </c>
      <c r="F14" s="715">
        <v>40.5</v>
      </c>
      <c r="G14" s="919">
        <v>37.200000000000003</v>
      </c>
      <c r="H14" s="708">
        <v>35.22</v>
      </c>
      <c r="I14" s="708">
        <v>33.799999999999997</v>
      </c>
      <c r="J14" s="709">
        <v>33.6</v>
      </c>
      <c r="K14" s="709">
        <v>33.99</v>
      </c>
      <c r="L14" s="709">
        <v>33.840000000000003</v>
      </c>
      <c r="M14" s="709">
        <v>37.58</v>
      </c>
      <c r="N14" s="709">
        <v>38.68</v>
      </c>
      <c r="O14" s="970">
        <f>(J14/I14)^(1/(J$8-I$8))</f>
        <v>0.99881375703912978</v>
      </c>
      <c r="P14" s="971">
        <f>(L14/J14)^(1/(L$8-J$8))</f>
        <v>1.0007120001287275</v>
      </c>
      <c r="Q14" s="971">
        <f>(N14/L14)^(1/(N$8-L$8))</f>
        <v>1.013457663619171</v>
      </c>
      <c r="R14" s="972">
        <f>Q14</f>
        <v>1.013457663619171</v>
      </c>
      <c r="V14" s="7">
        <f>ROW()</f>
        <v>14</v>
      </c>
    </row>
    <row r="15" spans="2:22" ht="13.95" customHeight="1">
      <c r="B15" s="66" t="s">
        <v>343</v>
      </c>
      <c r="C15" s="512">
        <v>10</v>
      </c>
      <c r="D15" s="512">
        <v>10.01</v>
      </c>
      <c r="E15" s="512">
        <v>9.8000000000000007</v>
      </c>
      <c r="F15" s="716">
        <v>10</v>
      </c>
      <c r="G15" s="920">
        <v>10.1</v>
      </c>
      <c r="H15" s="710">
        <v>10.5</v>
      </c>
      <c r="I15" s="710">
        <v>10.3</v>
      </c>
      <c r="J15" s="711">
        <v>10.5</v>
      </c>
      <c r="K15" s="711">
        <v>10.7</v>
      </c>
      <c r="L15" s="711">
        <v>10.9</v>
      </c>
      <c r="M15" s="711">
        <v>10.6</v>
      </c>
      <c r="N15" s="711">
        <v>10.5</v>
      </c>
      <c r="O15" s="970">
        <f>(J15/I15)^(1/(J$8-I$8))</f>
        <v>1.0038536787838401</v>
      </c>
      <c r="P15" s="971">
        <f>(L15/J15)^(1/(L$8-J$8))</f>
        <v>1.0037457510633019</v>
      </c>
      <c r="Q15" s="971">
        <f>(N15/L15)^(1/(N$8-L$8))</f>
        <v>0.99626822722852482</v>
      </c>
      <c r="R15" s="972">
        <f>Q15</f>
        <v>0.99626822722852482</v>
      </c>
      <c r="V15" s="7">
        <f>ROW()</f>
        <v>15</v>
      </c>
    </row>
    <row r="16" spans="2:22" ht="13.95" customHeight="1">
      <c r="C16" s="513"/>
      <c r="D16" s="513"/>
      <c r="E16" s="513"/>
      <c r="F16" s="1398" t="s">
        <v>802</v>
      </c>
      <c r="G16" s="1399"/>
      <c r="H16" s="1398" t="s">
        <v>1020</v>
      </c>
      <c r="I16" s="1399"/>
      <c r="J16" s="1399"/>
      <c r="K16" s="1399"/>
      <c r="L16" s="1399"/>
      <c r="M16" s="1399"/>
      <c r="N16" s="1399"/>
      <c r="O16" s="968"/>
      <c r="P16" s="971"/>
      <c r="Q16" s="969"/>
      <c r="R16" s="973"/>
      <c r="V16" s="7">
        <f>ROW()</f>
        <v>16</v>
      </c>
    </row>
    <row r="17" spans="2:22" ht="13.95" customHeight="1">
      <c r="B17" s="917" t="s">
        <v>1009</v>
      </c>
      <c r="C17" s="513"/>
      <c r="D17" s="513"/>
      <c r="E17" s="513"/>
      <c r="F17" s="1397" t="s">
        <v>801</v>
      </c>
      <c r="G17" s="1376"/>
      <c r="H17" s="1397" t="s">
        <v>1007</v>
      </c>
      <c r="I17" s="1376"/>
      <c r="J17" s="700"/>
      <c r="K17" s="700"/>
      <c r="L17" s="700"/>
      <c r="M17" s="700"/>
      <c r="N17" s="700"/>
      <c r="O17" s="968"/>
      <c r="P17" s="969"/>
      <c r="Q17" s="969"/>
      <c r="R17" s="973"/>
      <c r="V17" s="7">
        <f>ROW()</f>
        <v>17</v>
      </c>
    </row>
    <row r="18" spans="2:22" ht="13.95" customHeight="1">
      <c r="B18" s="701" t="s">
        <v>803</v>
      </c>
      <c r="C18" s="513"/>
      <c r="D18" s="513"/>
      <c r="E18" s="513"/>
      <c r="F18" s="717">
        <v>30.4</v>
      </c>
      <c r="G18" s="921">
        <v>29</v>
      </c>
      <c r="H18" s="718">
        <v>28.38</v>
      </c>
      <c r="I18" s="718">
        <v>20.89</v>
      </c>
      <c r="J18" s="719">
        <v>22.72</v>
      </c>
      <c r="K18" s="719">
        <v>24.69</v>
      </c>
      <c r="L18" s="719">
        <v>26.55</v>
      </c>
      <c r="M18" s="719">
        <v>28.94</v>
      </c>
      <c r="N18" s="719">
        <v>31.83</v>
      </c>
      <c r="O18" s="970">
        <f>(J18/I18)^(1/(J$8-I$8))</f>
        <v>1.0169368326243011</v>
      </c>
      <c r="P18" s="971">
        <f>(L18/J18)^(1/(L$8-J$8))</f>
        <v>1.0157003914713536</v>
      </c>
      <c r="Q18" s="971">
        <f>(N18/L18)^(1/(N$8-L$8))</f>
        <v>1.0183034410096583</v>
      </c>
      <c r="R18" s="972">
        <f>Q18</f>
        <v>1.0183034410096583</v>
      </c>
      <c r="V18" s="7">
        <f>ROW()</f>
        <v>18</v>
      </c>
    </row>
    <row r="19" spans="2:22" ht="13.95" customHeight="1">
      <c r="B19" s="701" t="s">
        <v>804</v>
      </c>
      <c r="C19" s="513"/>
      <c r="D19" s="513"/>
      <c r="E19" s="513"/>
      <c r="F19" s="720">
        <v>23</v>
      </c>
      <c r="G19" s="922">
        <v>21.8</v>
      </c>
      <c r="H19" s="721">
        <v>20.82</v>
      </c>
      <c r="I19" s="721">
        <v>11.97</v>
      </c>
      <c r="J19" s="722">
        <v>16.18</v>
      </c>
      <c r="K19" s="722">
        <v>18.98</v>
      </c>
      <c r="L19" s="722">
        <v>21.29</v>
      </c>
      <c r="M19" s="722">
        <v>24.5</v>
      </c>
      <c r="N19" s="722">
        <v>27.7</v>
      </c>
      <c r="O19" s="970">
        <f>(J19/I19)^(1/(J$8-I$8))</f>
        <v>1.0621280377567499</v>
      </c>
      <c r="P19" s="971">
        <f>(L19/J19)^(1/(L$8-J$8))</f>
        <v>1.027826272087295</v>
      </c>
      <c r="Q19" s="971">
        <f>(N19/L19)^(1/(N$8-L$8))</f>
        <v>1.0266689100501725</v>
      </c>
      <c r="R19" s="972">
        <f>Q19</f>
        <v>1.0266689100501725</v>
      </c>
      <c r="V19" s="7">
        <f>ROW()</f>
        <v>19</v>
      </c>
    </row>
    <row r="20" spans="2:22" ht="13.95" customHeight="1">
      <c r="B20" s="701" t="s">
        <v>806</v>
      </c>
      <c r="C20" s="513"/>
      <c r="D20" s="513"/>
      <c r="E20" s="513"/>
      <c r="F20" s="720">
        <v>28.3</v>
      </c>
      <c r="G20" s="922">
        <v>27.9</v>
      </c>
      <c r="H20" s="721">
        <v>27.51</v>
      </c>
      <c r="I20" s="721">
        <v>19.13</v>
      </c>
      <c r="J20" s="722">
        <v>22.23</v>
      </c>
      <c r="K20" s="722">
        <v>25.1</v>
      </c>
      <c r="L20" s="722">
        <v>27.3</v>
      </c>
      <c r="M20" s="722">
        <v>30.27</v>
      </c>
      <c r="N20" s="722">
        <v>33.35</v>
      </c>
      <c r="O20" s="970">
        <f>(J20/I20)^(1/(J$8-I$8))</f>
        <v>1.0304926500430942</v>
      </c>
      <c r="P20" s="971">
        <f>(L20/J20)^(1/(L$8-J$8))</f>
        <v>1.0207568862108922</v>
      </c>
      <c r="Q20" s="971">
        <f>(N20/L20)^(1/(N$8-L$8))</f>
        <v>1.0202187927777782</v>
      </c>
      <c r="R20" s="972">
        <f>Q20</f>
        <v>1.0202187927777782</v>
      </c>
      <c r="V20" s="7">
        <f>ROW()</f>
        <v>20</v>
      </c>
    </row>
    <row r="21" spans="2:22" ht="13.95" customHeight="1">
      <c r="B21" s="701" t="s">
        <v>805</v>
      </c>
      <c r="C21" s="513"/>
      <c r="D21" s="513"/>
      <c r="E21" s="513"/>
      <c r="F21" s="720">
        <v>5.5</v>
      </c>
      <c r="G21" s="922">
        <v>6.1</v>
      </c>
      <c r="H21" s="721">
        <v>6.93</v>
      </c>
      <c r="I21" s="721">
        <v>5.26</v>
      </c>
      <c r="J21" s="722">
        <v>6.74</v>
      </c>
      <c r="K21" s="722">
        <v>7.35</v>
      </c>
      <c r="L21" s="722">
        <v>7.42</v>
      </c>
      <c r="M21" s="722">
        <v>7.32</v>
      </c>
      <c r="N21" s="722">
        <v>7.36</v>
      </c>
      <c r="O21" s="970">
        <f>(J21/I21)^(1/(J$8-I$8))</f>
        <v>1.050835728653998</v>
      </c>
      <c r="P21" s="971">
        <f>(L21/J21)^(1/(L$8-J$8))</f>
        <v>1.0096582560254168</v>
      </c>
      <c r="Q21" s="971">
        <f>(N21/L21)^(1/(N$8-L$8))</f>
        <v>0.99918841706787354</v>
      </c>
      <c r="R21" s="972">
        <f>Q21</f>
        <v>0.99918841706787354</v>
      </c>
      <c r="V21" s="7">
        <f>ROW()</f>
        <v>21</v>
      </c>
    </row>
    <row r="22" spans="2:22" ht="13.95" customHeight="1">
      <c r="C22" s="513"/>
      <c r="D22" s="513"/>
      <c r="E22" s="513"/>
      <c r="F22" s="1398" t="s">
        <v>807</v>
      </c>
      <c r="G22" s="1400"/>
      <c r="H22" s="1398" t="s">
        <v>1021</v>
      </c>
      <c r="I22" s="1399"/>
      <c r="J22" s="1399"/>
      <c r="K22" s="1399"/>
      <c r="L22" s="1399"/>
      <c r="M22" s="1399"/>
      <c r="N22" s="1399"/>
      <c r="O22" s="968"/>
      <c r="P22" s="969"/>
      <c r="Q22" s="969"/>
      <c r="R22" s="973"/>
      <c r="V22" s="7">
        <f>ROW()</f>
        <v>22</v>
      </c>
    </row>
    <row r="23" spans="2:22" ht="13.95" customHeight="1">
      <c r="C23" s="513"/>
      <c r="D23" s="513"/>
      <c r="E23" s="513"/>
      <c r="F23" s="1401"/>
      <c r="G23" s="1401"/>
      <c r="H23" s="914"/>
      <c r="I23" s="914"/>
      <c r="J23" s="1402"/>
      <c r="K23" s="1402"/>
      <c r="L23" s="1402"/>
      <c r="M23" s="1402"/>
      <c r="N23" s="1402"/>
      <c r="O23" s="968"/>
      <c r="P23" s="969"/>
      <c r="Q23" s="969"/>
      <c r="R23" s="973"/>
      <c r="V23" s="7">
        <f>ROW()</f>
        <v>23</v>
      </c>
    </row>
    <row r="24" spans="2:22" ht="13.95" customHeight="1">
      <c r="C24" s="513"/>
      <c r="D24" s="513"/>
      <c r="E24" s="513"/>
      <c r="F24" s="513"/>
      <c r="G24" s="513"/>
      <c r="H24" s="513"/>
      <c r="I24" s="513"/>
      <c r="J24" s="515"/>
      <c r="K24" s="515"/>
      <c r="L24" s="515"/>
      <c r="M24" s="515"/>
      <c r="N24" s="515"/>
      <c r="O24" s="968"/>
      <c r="P24" s="969"/>
      <c r="Q24" s="969"/>
      <c r="R24" s="973"/>
      <c r="V24" s="7">
        <f>ROW()</f>
        <v>24</v>
      </c>
    </row>
    <row r="25" spans="2:22" ht="13.95" customHeight="1">
      <c r="B25" s="8" t="s">
        <v>808</v>
      </c>
      <c r="C25" s="513"/>
      <c r="D25" s="513"/>
      <c r="E25" s="513"/>
      <c r="F25" s="513"/>
      <c r="G25" s="513"/>
      <c r="H25" s="1409"/>
      <c r="I25" s="1410"/>
      <c r="J25" s="515"/>
      <c r="K25" s="515"/>
      <c r="L25" s="515"/>
      <c r="M25" s="515"/>
      <c r="N25" s="515"/>
      <c r="O25" s="965"/>
      <c r="P25" s="966"/>
      <c r="Q25" s="966"/>
      <c r="R25" s="974"/>
      <c r="V25" s="7">
        <f>ROW()</f>
        <v>25</v>
      </c>
    </row>
    <row r="26" spans="2:22" ht="13.95" customHeight="1">
      <c r="B26" s="8"/>
      <c r="C26" s="1403" t="s">
        <v>811</v>
      </c>
      <c r="D26" s="1404"/>
      <c r="E26" s="1404"/>
      <c r="F26" s="1407" t="s">
        <v>813</v>
      </c>
      <c r="G26" s="1408"/>
      <c r="H26" s="1405" t="s">
        <v>1022</v>
      </c>
      <c r="I26" s="1406"/>
      <c r="J26" s="1406"/>
      <c r="K26" s="1406"/>
      <c r="L26" s="1406"/>
      <c r="M26" s="1406"/>
      <c r="N26" s="1406"/>
      <c r="O26" s="965"/>
      <c r="P26" s="966"/>
      <c r="Q26" s="966"/>
      <c r="R26" s="974"/>
      <c r="S26" s="12" t="s">
        <v>1044</v>
      </c>
      <c r="V26" s="7">
        <f>ROW()</f>
        <v>26</v>
      </c>
    </row>
    <row r="27" spans="2:22" ht="13.95" customHeight="1">
      <c r="B27" s="509" t="s">
        <v>809</v>
      </c>
      <c r="C27" s="702">
        <v>13063</v>
      </c>
      <c r="D27" s="703">
        <v>13299</v>
      </c>
      <c r="E27" s="703">
        <v>13593</v>
      </c>
      <c r="F27" s="727">
        <v>15369</v>
      </c>
      <c r="G27" s="923">
        <v>15710</v>
      </c>
      <c r="H27" s="723">
        <v>15962</v>
      </c>
      <c r="I27" s="723">
        <v>16349</v>
      </c>
      <c r="J27" s="724">
        <v>18555</v>
      </c>
      <c r="K27" s="724">
        <v>20765</v>
      </c>
      <c r="L27" s="724">
        <v>23113</v>
      </c>
      <c r="M27" s="724">
        <v>25598</v>
      </c>
      <c r="N27" s="724">
        <v>28397</v>
      </c>
      <c r="O27" s="970">
        <f>(J27/I27)^(1/(J$8-I$8))</f>
        <v>1.0256376453794853</v>
      </c>
      <c r="P27" s="971">
        <f>(L27/J27)^(1/(L$8-J$8))</f>
        <v>1.0222086132735562</v>
      </c>
      <c r="Q27" s="971">
        <f>(N27/L27)^(1/(N$8-L$8))</f>
        <v>1.0208022396280882</v>
      </c>
      <c r="R27" s="972">
        <f>Q27</f>
        <v>1.0208022396280882</v>
      </c>
      <c r="S27" s="22">
        <f>(N27/I27)^(1/(N$8-I$8))</f>
        <v>1.0223303424316674</v>
      </c>
      <c r="V27" s="7">
        <f>ROW()</f>
        <v>27</v>
      </c>
    </row>
    <row r="28" spans="2:22" ht="13.95" customHeight="1">
      <c r="B28" s="509" t="s">
        <v>810</v>
      </c>
      <c r="C28" s="704">
        <v>1.1100000000000001</v>
      </c>
      <c r="D28" s="705">
        <v>1.1339999999999999</v>
      </c>
      <c r="E28" s="705">
        <v>1.1539999999999999</v>
      </c>
      <c r="F28" s="728">
        <v>1.05</v>
      </c>
      <c r="G28" s="924">
        <v>1.07</v>
      </c>
      <c r="H28" s="725">
        <v>1.087</v>
      </c>
      <c r="I28" s="725">
        <v>1.0980000000000001</v>
      </c>
      <c r="J28" s="726">
        <v>1.21</v>
      </c>
      <c r="K28" s="726">
        <v>1.34</v>
      </c>
      <c r="L28" s="726">
        <v>1.49</v>
      </c>
      <c r="M28" s="726">
        <v>1.66</v>
      </c>
      <c r="N28" s="726">
        <v>1.85</v>
      </c>
      <c r="O28" s="970">
        <f>(J28/I28)^(1/(J$8-I$8))</f>
        <v>1.019615915860435</v>
      </c>
      <c r="P28" s="971">
        <f>(L28/J28)^(1/(L$8-J$8))</f>
        <v>1.0210337311834254</v>
      </c>
      <c r="Q28" s="971">
        <f>(N28/L28)^(1/(N$8-L$8))</f>
        <v>1.0218768156791329</v>
      </c>
      <c r="R28" s="972">
        <f>Q28</f>
        <v>1.0218768156791329</v>
      </c>
      <c r="S28" s="22">
        <f>(N28/I28)^(1/(N$8-I$8))</f>
        <v>1.0210870670955652</v>
      </c>
      <c r="V28" s="7">
        <f>ROW()</f>
        <v>28</v>
      </c>
    </row>
    <row r="29" spans="2:22" ht="13.95" customHeight="1">
      <c r="B29" s="66" t="s">
        <v>341</v>
      </c>
      <c r="C29" s="702">
        <v>10017</v>
      </c>
      <c r="D29" s="703">
        <v>10150</v>
      </c>
      <c r="E29" s="703">
        <v>10304</v>
      </c>
      <c r="F29" s="727">
        <v>11676</v>
      </c>
      <c r="G29" s="923">
        <v>11651</v>
      </c>
      <c r="H29" s="723">
        <v>11836</v>
      </c>
      <c r="I29" s="723">
        <v>12225</v>
      </c>
      <c r="J29" s="724">
        <v>14197</v>
      </c>
      <c r="K29" s="724">
        <v>15888</v>
      </c>
      <c r="L29" s="724">
        <v>17826</v>
      </c>
      <c r="M29" s="724">
        <v>19689</v>
      </c>
      <c r="N29" s="724">
        <v>21789</v>
      </c>
      <c r="O29" s="970">
        <f>(J29/I29)^(1/(J$8-I$8))</f>
        <v>1.0303613107479974</v>
      </c>
      <c r="P29" s="971">
        <f>(L29/J29)^(1/(L$8-J$8))</f>
        <v>1.0230237872088341</v>
      </c>
      <c r="Q29" s="971">
        <f>(N29/L29)^(1/(N$8-L$8))</f>
        <v>1.0202775712561252</v>
      </c>
      <c r="R29" s="972">
        <f>Q29</f>
        <v>1.0202775712561252</v>
      </c>
      <c r="V29" s="7">
        <f>ROW()</f>
        <v>29</v>
      </c>
    </row>
    <row r="30" spans="2:22" ht="13.95" customHeight="1">
      <c r="B30" s="509" t="s">
        <v>812</v>
      </c>
      <c r="C30" s="702">
        <v>5842</v>
      </c>
      <c r="D30" s="703">
        <v>5926</v>
      </c>
      <c r="E30" s="703">
        <v>6147</v>
      </c>
      <c r="F30" s="727">
        <v>6822</v>
      </c>
      <c r="G30" s="923">
        <v>7004</v>
      </c>
      <c r="H30" s="723">
        <v>7165</v>
      </c>
      <c r="I30" s="723">
        <v>7229</v>
      </c>
      <c r="J30" s="724">
        <v>8351</v>
      </c>
      <c r="K30" s="724">
        <v>9146</v>
      </c>
      <c r="L30" s="724">
        <v>9776</v>
      </c>
      <c r="M30" s="724">
        <v>10562</v>
      </c>
      <c r="N30" s="724">
        <v>11483</v>
      </c>
      <c r="O30" s="970">
        <f>(J30/I30)^(1/(J$8-I$8))</f>
        <v>1.0292764870219253</v>
      </c>
      <c r="P30" s="971">
        <f>(L30/J30)^(1/(L$8-J$8))</f>
        <v>1.0158796739851716</v>
      </c>
      <c r="Q30" s="971">
        <f>(N30/L30)^(1/(N$8-L$8))</f>
        <v>1.0162239294128022</v>
      </c>
      <c r="R30" s="972">
        <f>Q30</f>
        <v>1.0162239294128022</v>
      </c>
      <c r="V30" s="7">
        <f>ROW()</f>
        <v>30</v>
      </c>
    </row>
    <row r="31" spans="2:22" ht="13.95" customHeight="1">
      <c r="B31" s="509" t="s">
        <v>653</v>
      </c>
      <c r="C31" s="706"/>
      <c r="D31" s="707">
        <v>312.3</v>
      </c>
      <c r="E31" s="707">
        <v>314.60000000000002</v>
      </c>
      <c r="F31" s="729">
        <v>315</v>
      </c>
      <c r="G31" s="925">
        <v>317</v>
      </c>
      <c r="H31" s="730">
        <v>319.5</v>
      </c>
      <c r="I31" s="730">
        <v>321.89999999999998</v>
      </c>
      <c r="J31" s="731">
        <v>335</v>
      </c>
      <c r="K31" s="731">
        <v>348</v>
      </c>
      <c r="L31" s="731">
        <v>360</v>
      </c>
      <c r="M31" s="731">
        <v>371</v>
      </c>
      <c r="N31" s="731">
        <v>381</v>
      </c>
      <c r="O31" s="975">
        <f>(J31/I31)^(1/(J$8-I$8))</f>
        <v>1.0080098270952254</v>
      </c>
      <c r="P31" s="976">
        <f>(L31/J31)^(1/(L$8-J$8))</f>
        <v>1.0072233131370574</v>
      </c>
      <c r="Q31" s="976">
        <f>(N31/L31)^(1/(N$8-L$8))</f>
        <v>1.0056856365939533</v>
      </c>
      <c r="R31" s="977">
        <f>Q31</f>
        <v>1.0056856365939533</v>
      </c>
      <c r="V31" s="7">
        <f>ROW()</f>
        <v>31</v>
      </c>
    </row>
    <row r="32" spans="2:22" ht="13.95" customHeight="1">
      <c r="V32" s="7">
        <f>ROW()</f>
        <v>32</v>
      </c>
    </row>
    <row r="33" spans="22:22" ht="13.95" customHeight="1">
      <c r="V33" s="7">
        <f>ROW()</f>
        <v>33</v>
      </c>
    </row>
  </sheetData>
  <mergeCells count="23">
    <mergeCell ref="O7:R7"/>
    <mergeCell ref="C9:C10"/>
    <mergeCell ref="D9:D10"/>
    <mergeCell ref="E9:E10"/>
    <mergeCell ref="C7:E7"/>
    <mergeCell ref="R9:R10"/>
    <mergeCell ref="G9:G10"/>
    <mergeCell ref="F9:F10"/>
    <mergeCell ref="J7:N7"/>
    <mergeCell ref="H9:H10"/>
    <mergeCell ref="I9:I10"/>
    <mergeCell ref="F23:G23"/>
    <mergeCell ref="J23:N23"/>
    <mergeCell ref="C26:E26"/>
    <mergeCell ref="H26:N26"/>
    <mergeCell ref="F26:G26"/>
    <mergeCell ref="H25:I25"/>
    <mergeCell ref="H17:I17"/>
    <mergeCell ref="F17:G17"/>
    <mergeCell ref="F16:G16"/>
    <mergeCell ref="H16:N16"/>
    <mergeCell ref="F22:G22"/>
    <mergeCell ref="H22:N22"/>
  </mergeCells>
  <hyperlinks>
    <hyperlink ref="B4" r:id="rId1"/>
  </hyperlinks>
  <pageMargins left="0.7" right="0.7" top="0.75" bottom="0.75" header="0.3" footer="0.3"/>
</worksheet>
</file>

<file path=xl/worksheets/sheet2.xml><?xml version="1.0" encoding="utf-8"?>
<worksheet xmlns="http://schemas.openxmlformats.org/spreadsheetml/2006/main" xmlns:r="http://schemas.openxmlformats.org/officeDocument/2006/relationships">
  <dimension ref="B1:C33"/>
  <sheetViews>
    <sheetView workbookViewId="0"/>
  </sheetViews>
  <sheetFormatPr defaultColWidth="10.625" defaultRowHeight="16.95" customHeight="1"/>
  <cols>
    <col min="1" max="1" width="2.625" customWidth="1"/>
    <col min="2" max="2" width="23.25" customWidth="1"/>
    <col min="3" max="3" width="124.625" customWidth="1"/>
  </cols>
  <sheetData>
    <row r="1" spans="2:3" ht="16.95" customHeight="1">
      <c r="B1" s="410" t="s">
        <v>512</v>
      </c>
      <c r="C1" s="214">
        <f>Summary!I1</f>
        <v>42552</v>
      </c>
    </row>
    <row r="2" spans="2:3" ht="16.95" customHeight="1">
      <c r="B2" s="411"/>
    </row>
    <row r="3" spans="2:3" ht="16.95" customHeight="1">
      <c r="B3" s="411" t="s">
        <v>1254</v>
      </c>
    </row>
    <row r="4" spans="2:3" ht="16.95" customHeight="1">
      <c r="B4" s="411"/>
    </row>
    <row r="5" spans="2:3" ht="16.95" customHeight="1">
      <c r="B5" s="8" t="s">
        <v>513</v>
      </c>
      <c r="C5" s="8" t="s">
        <v>514</v>
      </c>
    </row>
    <row r="7" spans="2:3" ht="16.95" customHeight="1">
      <c r="B7" s="89" t="s">
        <v>89</v>
      </c>
      <c r="C7" s="142" t="s">
        <v>518</v>
      </c>
    </row>
    <row r="8" spans="2:3" ht="16.95" customHeight="1">
      <c r="B8" s="89" t="s">
        <v>512</v>
      </c>
      <c r="C8" s="142" t="s">
        <v>517</v>
      </c>
    </row>
    <row r="9" spans="2:3" ht="16.95" customHeight="1">
      <c r="B9" s="89" t="s">
        <v>16</v>
      </c>
      <c r="C9" s="31" t="s">
        <v>519</v>
      </c>
    </row>
    <row r="10" spans="2:3" ht="16.95" customHeight="1">
      <c r="B10" s="89" t="s">
        <v>15</v>
      </c>
      <c r="C10" s="31" t="s">
        <v>523</v>
      </c>
    </row>
    <row r="11" spans="2:3" ht="16.95" customHeight="1">
      <c r="B11" s="89" t="s">
        <v>509</v>
      </c>
      <c r="C11" s="31" t="s">
        <v>520</v>
      </c>
    </row>
    <row r="12" spans="2:3" ht="16.95" customHeight="1">
      <c r="B12" s="89" t="s">
        <v>564</v>
      </c>
      <c r="C12" s="14" t="s">
        <v>829</v>
      </c>
    </row>
    <row r="13" spans="2:3" ht="16.95" customHeight="1">
      <c r="B13" s="89" t="s">
        <v>924</v>
      </c>
      <c r="C13" s="14" t="s">
        <v>927</v>
      </c>
    </row>
    <row r="14" spans="2:3" ht="16.95" customHeight="1">
      <c r="B14" s="89" t="s">
        <v>437</v>
      </c>
      <c r="C14" s="31" t="s">
        <v>521</v>
      </c>
    </row>
    <row r="15" spans="2:3" ht="16.95" customHeight="1">
      <c r="B15" s="89" t="s">
        <v>92</v>
      </c>
      <c r="C15" s="31" t="str">
        <f>CONCATENATE("First of eight sector-specific tabs, covering fossil-fuel electricity generation, which accounted for ",ROUND(Summary!G116*100,1), "% of emissions in 2015.")</f>
        <v>First of eight sector-specific tabs, covering fossil-fuel electricity generation, which accounted for 37.1% of emissions in 2015.</v>
      </c>
    </row>
    <row r="16" spans="2:3" ht="16.95" customHeight="1">
      <c r="B16" s="89" t="s">
        <v>134</v>
      </c>
      <c r="C16" s="31" t="str">
        <f>CONCATENATE("Second of eight sector-specific tabs, covering passenger and recreational vehicles accounting for ",ROUND(Summary!G117*100,1), "% of emissions in 2015.")</f>
        <v>Second of eight sector-specific tabs, covering passenger and recreational vehicles accounting for 21.5% of emissions in 2015.</v>
      </c>
    </row>
    <row r="17" spans="2:3" ht="16.95" customHeight="1">
      <c r="B17" s="89" t="s">
        <v>139</v>
      </c>
      <c r="C17" s="31" t="str">
        <f>CONCATENATE("Third of eight sector-specific tabs, covering goods movement by trucks, ships and planes accounting for ",ROUND(Summary!G118*100,1), "% of emissions in 2015.")</f>
        <v>Third of eight sector-specific tabs, covering goods movement by trucks, ships and planes accounting for 9.4% of emissions in 2015.</v>
      </c>
    </row>
    <row r="18" spans="2:3" ht="16.95" customHeight="1">
      <c r="B18" s="89" t="s">
        <v>9</v>
      </c>
      <c r="C18" s="31" t="str">
        <f>CONCATENATE("Fourth of eight sector-specific tabs, covering air-passenger travel, which accounted for ",ROUND(Summary!G119*100,1), "% of emissions in 2015.")</f>
        <v>Fourth of eight sector-specific tabs, covering air-passenger travel, which accounted for 4.2% of emissions in 2015.</v>
      </c>
    </row>
    <row r="19" spans="2:3" ht="16.95" customHeight="1">
      <c r="B19" s="89" t="s">
        <v>1130</v>
      </c>
      <c r="C19" s="31" t="str">
        <f>CONCATENATE("Fifth of eight sector-specific tabs, covering oil refining, which accounted for ",ROUND(Summary!G120*100,1), "% of emissions in 2015.")</f>
        <v>Fifth of eight sector-specific tabs, covering oil refining, which accounted for 6.4% of emissions in 2015.</v>
      </c>
    </row>
    <row r="20" spans="2:3" ht="16.95" customHeight="1">
      <c r="B20" s="89" t="s">
        <v>515</v>
      </c>
      <c r="C20" s="31" t="str">
        <f>CONCATENATE("Sixth of eight sector-specific tabs, covering use of oil in industry, heating, construction, etc., which accounted for ",ROUND(Summary!G121*100,1), "% of emissions in 2015.")</f>
        <v>Sixth of eight sector-specific tabs, covering use of oil in industry, heating, construction, etc., which accounted for 5.5% of emissions in 2015.</v>
      </c>
    </row>
    <row r="21" spans="2:3" ht="16.95" customHeight="1">
      <c r="B21" s="89" t="s">
        <v>516</v>
      </c>
      <c r="C21" s="31" t="str">
        <f>CONCATENATE("Seventh of eight sector-specific tabs, covering use of natural gas in industry, heating, etc., accounting for ",ROUND(Summary!G122*100,1), "% of emissions in 2015.")</f>
        <v>Seventh of eight sector-specific tabs, covering use of natural gas in industry, heating, etc., accounting for 11.3% of emissions in 2015.</v>
      </c>
    </row>
    <row r="22" spans="2:3" ht="16.95" customHeight="1">
      <c r="B22" s="89" t="s">
        <v>697</v>
      </c>
      <c r="C22" s="31" t="str">
        <f>CONCATENATE("Last of eight sector-specific tabs, covering non-electric uses of coal, 'non-energy' FF use, and U.S. territories, accounting for ",ROUND(Summary!G123*100,1), "% of emissions in 2015.")</f>
        <v>Last of eight sector-specific tabs, covering non-electric uses of coal, 'non-energy' FF use, and U.S. territories, accounting for 4.5% of emissions in 2015.</v>
      </c>
    </row>
    <row r="23" spans="2:3" ht="16.95" customHeight="1">
      <c r="B23" s="89" t="s">
        <v>285</v>
      </c>
      <c r="C23" s="31" t="s">
        <v>1049</v>
      </c>
    </row>
    <row r="24" spans="2:3" ht="16.95" customHeight="1">
      <c r="B24" s="89" t="s">
        <v>406</v>
      </c>
      <c r="C24" s="31" t="s">
        <v>1050</v>
      </c>
    </row>
    <row r="25" spans="2:3" ht="16.95" customHeight="1">
      <c r="B25" s="89" t="s">
        <v>407</v>
      </c>
      <c r="C25" s="14" t="s">
        <v>911</v>
      </c>
    </row>
    <row r="26" spans="2:3" ht="16.95" customHeight="1">
      <c r="B26" s="89" t="s">
        <v>143</v>
      </c>
      <c r="C26" s="31" t="s">
        <v>1194</v>
      </c>
    </row>
    <row r="27" spans="2:3" ht="16.95" customHeight="1">
      <c r="B27" s="89" t="s">
        <v>286</v>
      </c>
      <c r="C27" s="31" t="s">
        <v>522</v>
      </c>
    </row>
    <row r="28" spans="2:3" ht="16.95" customHeight="1">
      <c r="B28" s="89" t="s">
        <v>591</v>
      </c>
      <c r="C28" s="14" t="s">
        <v>770</v>
      </c>
    </row>
    <row r="29" spans="2:3" ht="16.95" customHeight="1">
      <c r="B29" s="607" t="s">
        <v>763</v>
      </c>
      <c r="C29" s="14" t="s">
        <v>762</v>
      </c>
    </row>
    <row r="30" spans="2:3" ht="16.95" customHeight="1">
      <c r="B30" s="89" t="s">
        <v>845</v>
      </c>
      <c r="C30" s="31" t="s">
        <v>530</v>
      </c>
    </row>
    <row r="31" spans="2:3" ht="16.95" customHeight="1">
      <c r="C31" s="349"/>
    </row>
    <row r="32" spans="2:3" ht="16.95" customHeight="1">
      <c r="C32" s="349"/>
    </row>
    <row r="33" spans="3:3" ht="16.95" customHeight="1">
      <c r="C33" s="349"/>
    </row>
  </sheetData>
  <hyperlinks>
    <hyperlink ref="B7" location="Summary!A5" display="Summary"/>
    <hyperlink ref="B8" location="Index!A1" display="Index"/>
    <hyperlink ref="B9" location="Graph_CO2!A36" display="Graph_CO2"/>
    <hyperlink ref="B10" location="Graph_Oil!A30" display="Graph_Oil"/>
    <hyperlink ref="B11" location="Graph_Revenue!A37" display="Graph_Revenue"/>
    <hyperlink ref="B14" location="How!A4" display="How"/>
    <hyperlink ref="B15" location="Electricity!A1" display="Electricity"/>
    <hyperlink ref="B16" location="'Personal Ground Travel'!A1" display="Personal Ground Travel"/>
    <hyperlink ref="B17" location="Freight!A1" display="Freight"/>
    <hyperlink ref="B18" location="Aviation!A1" display="Aviation"/>
    <hyperlink ref="B20" location="Other_Petrol!A1" display="Other_Petrol"/>
    <hyperlink ref="B21" location="'Other_Natural Gas'!A1" display="Other_Natural Gas"/>
    <hyperlink ref="B25" location="AEO!A1" display="AEO"/>
    <hyperlink ref="B26" location="Parameters!A1" display="Parameters"/>
    <hyperlink ref="B23" location="Emissions!A1" display="Emissions"/>
    <hyperlink ref="B24" location="Energy!A1" display="Energy"/>
    <hyperlink ref="B27" location="'GHG''s'!A1" display="GHG's"/>
    <hyperlink ref="B28" location="'Larson Revenue'!A1" display="Larson Revenue"/>
    <hyperlink ref="B30" location="Settings!A1" display="Settings"/>
    <hyperlink ref="B12" location="'Other Graphs'!A1" display="Other Graphs"/>
    <hyperlink ref="B22" location="Miscellany!A1" display="Miscellany"/>
    <hyperlink ref="B29" location="'Admin Cost'!A1" display="'Admin Cost'!A1"/>
    <hyperlink ref="B13" location="Scenarios!A1" display="Scenarios"/>
    <hyperlink ref="B19" location="'Oil Refining'!A1" display="Oil Refining"/>
  </hyperlink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dimension ref="B1:AQ72"/>
  <sheetViews>
    <sheetView zoomScaleNormal="100" zoomScalePageLayoutView="110" workbookViewId="0"/>
  </sheetViews>
  <sheetFormatPr defaultColWidth="10.125" defaultRowHeight="13.95" customHeight="1"/>
  <cols>
    <col min="1" max="2" width="1.625" customWidth="1"/>
  </cols>
  <sheetData>
    <row r="1" spans="2:26" ht="13.95" customHeight="1">
      <c r="B1" s="7">
        <f>ROW()</f>
        <v>1</v>
      </c>
      <c r="C1" s="57" t="s">
        <v>143</v>
      </c>
      <c r="L1" s="214">
        <f>Summary!I1</f>
        <v>42552</v>
      </c>
    </row>
    <row r="2" spans="2:26" ht="13.95" customHeight="1">
      <c r="B2" s="7">
        <f>ROW()</f>
        <v>2</v>
      </c>
      <c r="C2" s="57"/>
      <c r="L2" s="214"/>
    </row>
    <row r="3" spans="2:26" ht="13.95" customHeight="1">
      <c r="B3" s="7">
        <f>ROW()</f>
        <v>3</v>
      </c>
      <c r="C3" s="57"/>
      <c r="K3" s="1264" t="s">
        <v>1082</v>
      </c>
      <c r="L3" s="1099"/>
      <c r="M3" s="1099"/>
      <c r="N3" s="1099"/>
      <c r="O3" s="1099"/>
      <c r="P3" s="1100"/>
    </row>
    <row r="4" spans="2:26" ht="13.95" customHeight="1">
      <c r="B4" s="7">
        <f>ROW()</f>
        <v>4</v>
      </c>
      <c r="C4" s="57"/>
      <c r="I4" s="415"/>
      <c r="J4" s="1324" t="s">
        <v>842</v>
      </c>
      <c r="K4" s="1101"/>
      <c r="L4" s="1102"/>
      <c r="M4" s="1102"/>
      <c r="N4" s="1102"/>
      <c r="O4" s="1102"/>
      <c r="P4" s="1103"/>
    </row>
    <row r="5" spans="2:26" ht="13.95" customHeight="1">
      <c r="B5" s="7">
        <f>ROW()</f>
        <v>5</v>
      </c>
      <c r="I5" s="1325" t="s">
        <v>841</v>
      </c>
      <c r="J5" s="1432"/>
      <c r="K5" s="1101"/>
      <c r="L5" s="1102"/>
      <c r="M5" s="1102"/>
      <c r="N5" s="1102"/>
      <c r="O5" s="1102"/>
      <c r="P5" s="1103"/>
    </row>
    <row r="6" spans="2:26" ht="13.95" customHeight="1">
      <c r="B6" s="7">
        <f>ROW()</f>
        <v>6</v>
      </c>
      <c r="I6" s="1129"/>
      <c r="J6" s="1432"/>
      <c r="K6" s="1101"/>
      <c r="L6" s="1102"/>
      <c r="M6" s="1102"/>
      <c r="N6" s="1102"/>
      <c r="O6" s="1102"/>
      <c r="P6" s="1103"/>
    </row>
    <row r="7" spans="2:26" ht="13.95" customHeight="1">
      <c r="B7" s="7">
        <f>ROW()</f>
        <v>7</v>
      </c>
      <c r="I7" s="1129"/>
      <c r="J7" s="1432"/>
      <c r="K7" s="1101"/>
      <c r="L7" s="1102"/>
      <c r="M7" s="1102"/>
      <c r="N7" s="1102"/>
      <c r="O7" s="1102"/>
      <c r="P7" s="1103"/>
    </row>
    <row r="8" spans="2:26" ht="13.95" customHeight="1">
      <c r="B8" s="7">
        <f>ROW()</f>
        <v>8</v>
      </c>
      <c r="C8" s="8" t="s">
        <v>310</v>
      </c>
      <c r="H8" s="12" t="s">
        <v>840</v>
      </c>
      <c r="I8" s="1129"/>
      <c r="J8" s="1433"/>
      <c r="K8" s="1101"/>
      <c r="L8" s="1102"/>
      <c r="M8" s="1102"/>
      <c r="N8" s="1102"/>
      <c r="O8" s="1102"/>
      <c r="P8" s="1103"/>
    </row>
    <row r="9" spans="2:26" ht="13.95" customHeight="1">
      <c r="B9" s="7">
        <f>ROW()</f>
        <v>9</v>
      </c>
      <c r="C9" s="31" t="s">
        <v>92</v>
      </c>
      <c r="H9" s="6">
        <v>-0.7</v>
      </c>
      <c r="I9" s="525">
        <v>0.5</v>
      </c>
      <c r="J9" s="152">
        <f>1/2</f>
        <v>0.5</v>
      </c>
      <c r="K9" s="1101"/>
      <c r="L9" s="1102"/>
      <c r="M9" s="1102"/>
      <c r="N9" s="1102"/>
      <c r="O9" s="1102"/>
      <c r="P9" s="1103"/>
    </row>
    <row r="10" spans="2:26" ht="13.95" customHeight="1">
      <c r="B10" s="7">
        <f>ROW()</f>
        <v>10</v>
      </c>
      <c r="C10" s="31" t="s">
        <v>264</v>
      </c>
      <c r="H10" s="6">
        <v>-0.35</v>
      </c>
      <c r="I10" s="525">
        <v>0.5</v>
      </c>
      <c r="J10" s="152">
        <f>2/3</f>
        <v>0.66666666666666663</v>
      </c>
      <c r="K10" s="1101"/>
      <c r="L10" s="1102"/>
      <c r="M10" s="1102"/>
      <c r="N10" s="1102"/>
      <c r="O10" s="1102"/>
      <c r="P10" s="1103"/>
    </row>
    <row r="11" spans="2:26" ht="13.95" customHeight="1">
      <c r="B11" s="7">
        <f>ROW()</f>
        <v>11</v>
      </c>
      <c r="C11" s="31" t="s">
        <v>265</v>
      </c>
      <c r="H11" s="6">
        <v>-0.5</v>
      </c>
      <c r="I11" s="525">
        <v>0.6</v>
      </c>
      <c r="J11" s="152">
        <f>2/3</f>
        <v>0.66666666666666663</v>
      </c>
      <c r="K11" s="1101"/>
      <c r="L11" s="1102"/>
      <c r="M11" s="1102"/>
      <c r="N11" s="1102"/>
      <c r="O11" s="1102"/>
      <c r="P11" s="1103"/>
    </row>
    <row r="12" spans="2:26" ht="13.95" customHeight="1">
      <c r="B12" s="7">
        <f>ROW()</f>
        <v>12</v>
      </c>
      <c r="C12" s="31" t="s">
        <v>267</v>
      </c>
      <c r="H12" s="6">
        <v>-0.6</v>
      </c>
      <c r="I12" s="525">
        <v>1</v>
      </c>
      <c r="J12" s="152">
        <v>1</v>
      </c>
      <c r="K12" s="1101"/>
      <c r="L12" s="1102"/>
      <c r="M12" s="1102"/>
      <c r="N12" s="1102"/>
      <c r="O12" s="1102"/>
      <c r="P12" s="1103"/>
    </row>
    <row r="13" spans="2:26" ht="13.95" customHeight="1">
      <c r="B13" s="7">
        <f>ROW()</f>
        <v>13</v>
      </c>
      <c r="C13" s="14" t="s">
        <v>836</v>
      </c>
      <c r="H13" s="6">
        <v>-0.5</v>
      </c>
      <c r="I13" s="525">
        <v>0.5</v>
      </c>
      <c r="J13" s="67">
        <f>3/4</f>
        <v>0.75</v>
      </c>
      <c r="K13" s="1101"/>
      <c r="L13" s="1102"/>
      <c r="M13" s="1102"/>
      <c r="N13" s="1102"/>
      <c r="O13" s="1102"/>
      <c r="P13" s="1103"/>
    </row>
    <row r="14" spans="2:26" ht="13.95" customHeight="1">
      <c r="B14" s="7">
        <f>ROW()</f>
        <v>14</v>
      </c>
      <c r="C14" s="14" t="s">
        <v>736</v>
      </c>
      <c r="H14" s="6">
        <v>-0.4</v>
      </c>
      <c r="I14" s="789">
        <v>0.5</v>
      </c>
      <c r="J14" s="455">
        <f>3/4</f>
        <v>0.75</v>
      </c>
      <c r="K14" s="1104"/>
      <c r="L14" s="1105"/>
      <c r="M14" s="1105"/>
      <c r="N14" s="1105"/>
      <c r="O14" s="1105"/>
      <c r="P14" s="1106"/>
    </row>
    <row r="15" spans="2:26" ht="13.95" customHeight="1">
      <c r="B15" s="7">
        <f>ROW()</f>
        <v>15</v>
      </c>
    </row>
    <row r="16" spans="2:26" ht="13.95" customHeight="1">
      <c r="B16" s="7">
        <f>ROW()</f>
        <v>16</v>
      </c>
      <c r="C16" s="8" t="s">
        <v>326</v>
      </c>
      <c r="K16" s="1434" t="s">
        <v>920</v>
      </c>
      <c r="L16" s="1435"/>
      <c r="M16" s="1435"/>
      <c r="N16" s="1435"/>
      <c r="O16" s="1435"/>
      <c r="P16" s="1436"/>
      <c r="R16" s="1010" t="s">
        <v>1128</v>
      </c>
      <c r="S16" s="744"/>
      <c r="T16" s="744"/>
      <c r="U16" s="744"/>
      <c r="V16" s="744"/>
      <c r="W16" s="744"/>
      <c r="X16" s="744"/>
      <c r="Y16" s="744"/>
      <c r="Z16" s="1011"/>
    </row>
    <row r="17" spans="2:26" ht="13.95" customHeight="1">
      <c r="B17" s="7">
        <f>ROW()</f>
        <v>17</v>
      </c>
      <c r="C17" t="s">
        <v>98</v>
      </c>
      <c r="I17" s="19">
        <f>44/12</f>
        <v>3.6666666666666665</v>
      </c>
      <c r="K17" s="1437"/>
      <c r="L17" s="1182"/>
      <c r="M17" s="1182"/>
      <c r="N17" s="1182"/>
      <c r="O17" s="1182"/>
      <c r="P17" s="1438"/>
      <c r="R17" s="855" t="s">
        <v>1119</v>
      </c>
      <c r="S17" s="746"/>
      <c r="T17" s="746"/>
      <c r="U17" s="746"/>
      <c r="V17" s="746"/>
      <c r="W17" s="746"/>
      <c r="X17" s="746"/>
      <c r="Y17" s="746"/>
      <c r="Z17" s="749"/>
    </row>
    <row r="18" spans="2:26" ht="13.95" customHeight="1">
      <c r="B18" s="7">
        <f>ROW()</f>
        <v>18</v>
      </c>
      <c r="C18" t="s">
        <v>94</v>
      </c>
      <c r="I18" s="17">
        <v>2205</v>
      </c>
      <c r="J18" s="248"/>
      <c r="K18" s="1422" t="s">
        <v>1083</v>
      </c>
      <c r="L18" s="1423"/>
      <c r="M18" s="1423"/>
      <c r="N18" s="1423"/>
      <c r="O18" s="1423"/>
      <c r="P18" s="1424"/>
      <c r="R18" s="1012" t="s">
        <v>1120</v>
      </c>
      <c r="S18" s="746"/>
      <c r="T18" s="746"/>
      <c r="U18" s="746"/>
      <c r="V18" s="746"/>
      <c r="W18" s="746"/>
      <c r="X18" s="746"/>
      <c r="Y18" s="746"/>
      <c r="Z18" s="749"/>
    </row>
    <row r="19" spans="2:26" ht="13.95" customHeight="1">
      <c r="B19" s="7">
        <f>ROW()</f>
        <v>19</v>
      </c>
      <c r="C19" s="31" t="s">
        <v>148</v>
      </c>
      <c r="I19" s="17">
        <v>2000</v>
      </c>
      <c r="K19" s="1422"/>
      <c r="L19" s="1423"/>
      <c r="M19" s="1423"/>
      <c r="N19" s="1423"/>
      <c r="O19" s="1423"/>
      <c r="P19" s="1424"/>
      <c r="R19" s="1425" t="s">
        <v>1129</v>
      </c>
      <c r="S19" s="1300"/>
      <c r="T19" s="1300"/>
      <c r="U19" s="1300"/>
      <c r="V19" s="1300"/>
      <c r="W19" s="1300"/>
      <c r="X19" s="1300"/>
      <c r="Y19" s="1300"/>
      <c r="Z19" s="1252"/>
    </row>
    <row r="20" spans="2:26" ht="13.95" customHeight="1">
      <c r="B20" s="7">
        <f>ROW()</f>
        <v>20</v>
      </c>
      <c r="C20" s="31" t="s">
        <v>156</v>
      </c>
      <c r="I20" s="113">
        <v>453.59237000000002</v>
      </c>
      <c r="K20" s="1422"/>
      <c r="L20" s="1423"/>
      <c r="M20" s="1423"/>
      <c r="N20" s="1423"/>
      <c r="O20" s="1423"/>
      <c r="P20" s="1424"/>
      <c r="R20" s="1251"/>
      <c r="S20" s="1300"/>
      <c r="T20" s="1300"/>
      <c r="U20" s="1300"/>
      <c r="V20" s="1300"/>
      <c r="W20" s="1300"/>
      <c r="X20" s="1300"/>
      <c r="Y20" s="1300"/>
      <c r="Z20" s="1252"/>
    </row>
    <row r="21" spans="2:26" ht="13.95" customHeight="1">
      <c r="B21" s="7">
        <f>ROW()</f>
        <v>21</v>
      </c>
      <c r="C21" s="31" t="s">
        <v>150</v>
      </c>
      <c r="I21">
        <v>42</v>
      </c>
      <c r="K21" s="1422"/>
      <c r="L21" s="1423"/>
      <c r="M21" s="1423"/>
      <c r="N21" s="1423"/>
      <c r="O21" s="1423"/>
      <c r="P21" s="1424"/>
      <c r="R21" s="1012" t="s">
        <v>1121</v>
      </c>
      <c r="S21" s="746"/>
      <c r="T21" s="746"/>
      <c r="U21" s="746"/>
      <c r="V21" s="746"/>
      <c r="W21" s="746"/>
      <c r="X21" s="746"/>
      <c r="Y21" s="746"/>
      <c r="Z21" s="749"/>
    </row>
    <row r="22" spans="2:26" ht="13.95" customHeight="1">
      <c r="B22" s="7">
        <f>ROW()</f>
        <v>22</v>
      </c>
      <c r="C22" s="31" t="s">
        <v>154</v>
      </c>
      <c r="I22">
        <v>365</v>
      </c>
      <c r="K22" s="1422"/>
      <c r="L22" s="1423"/>
      <c r="M22" s="1423"/>
      <c r="N22" s="1423"/>
      <c r="O22" s="1423"/>
      <c r="P22" s="1424"/>
      <c r="R22" s="1013" t="s">
        <v>1122</v>
      </c>
      <c r="S22" s="746"/>
      <c r="T22" s="746"/>
      <c r="U22" s="746"/>
      <c r="V22" s="746"/>
      <c r="W22" s="746"/>
      <c r="X22" s="746"/>
      <c r="Y22" s="746"/>
      <c r="Z22" s="749"/>
    </row>
    <row r="23" spans="2:26" ht="13.95" customHeight="1">
      <c r="B23" s="7">
        <f>ROW()</f>
        <v>23</v>
      </c>
      <c r="C23" s="14" t="s">
        <v>1159</v>
      </c>
      <c r="I23" s="14">
        <v>9.4800000000000006E-3</v>
      </c>
      <c r="K23" s="1422"/>
      <c r="L23" s="1423"/>
      <c r="M23" s="1423"/>
      <c r="N23" s="1423"/>
      <c r="O23" s="1423"/>
      <c r="P23" s="1424"/>
      <c r="R23" s="1013" t="s">
        <v>1123</v>
      </c>
      <c r="S23" s="746"/>
      <c r="T23" s="746"/>
      <c r="U23" s="746"/>
      <c r="V23" s="746"/>
      <c r="W23" s="746"/>
      <c r="X23" s="746"/>
      <c r="Y23" s="746"/>
      <c r="Z23" s="749"/>
    </row>
    <row r="24" spans="2:26" ht="13.95" customHeight="1">
      <c r="B24" s="7">
        <f>ROW()</f>
        <v>24</v>
      </c>
      <c r="C24" s="14" t="s">
        <v>1160</v>
      </c>
      <c r="I24" s="14">
        <v>6.1829999999999998</v>
      </c>
      <c r="K24" s="1422"/>
      <c r="L24" s="1423"/>
      <c r="M24" s="1423"/>
      <c r="N24" s="1423"/>
      <c r="O24" s="1423"/>
      <c r="P24" s="1424"/>
      <c r="R24" s="1013" t="s">
        <v>1124</v>
      </c>
      <c r="S24" s="746"/>
      <c r="T24" s="746"/>
      <c r="U24" s="746"/>
      <c r="V24" s="746"/>
      <c r="W24" s="746"/>
      <c r="X24" s="746"/>
      <c r="Y24" s="746"/>
      <c r="Z24" s="749"/>
    </row>
    <row r="25" spans="2:26" ht="13.95" customHeight="1">
      <c r="B25" s="7">
        <f>ROW()</f>
        <v>25</v>
      </c>
      <c r="C25" s="84" t="s">
        <v>1161</v>
      </c>
      <c r="K25" s="1422"/>
      <c r="L25" s="1423"/>
      <c r="M25" s="1423"/>
      <c r="N25" s="1423"/>
      <c r="O25" s="1423"/>
      <c r="P25" s="1424"/>
      <c r="R25" s="1013" t="s">
        <v>1125</v>
      </c>
      <c r="S25" s="746"/>
      <c r="T25" s="746"/>
      <c r="U25" s="746"/>
      <c r="V25" s="746"/>
      <c r="W25" s="746"/>
      <c r="X25" s="746"/>
      <c r="Y25" s="746"/>
      <c r="Z25" s="749"/>
    </row>
    <row r="26" spans="2:26" ht="13.95" customHeight="1">
      <c r="B26" s="7">
        <f>ROW()</f>
        <v>26</v>
      </c>
      <c r="C26" s="8" t="s">
        <v>464</v>
      </c>
      <c r="K26" s="745" t="s">
        <v>917</v>
      </c>
      <c r="L26" s="746"/>
      <c r="M26" s="746"/>
      <c r="N26" s="746"/>
      <c r="O26" s="746"/>
      <c r="P26" s="749"/>
      <c r="R26" s="745"/>
      <c r="S26" s="746"/>
      <c r="T26" s="746"/>
      <c r="U26" s="746"/>
      <c r="V26" s="746"/>
      <c r="W26" s="746"/>
      <c r="X26" s="746"/>
      <c r="Y26" s="746"/>
      <c r="Z26" s="749"/>
    </row>
    <row r="27" spans="2:26" ht="13.95" customHeight="1">
      <c r="B27" s="7">
        <f>ROW()</f>
        <v>27</v>
      </c>
      <c r="C27" t="s">
        <v>465</v>
      </c>
      <c r="I27">
        <v>42.28</v>
      </c>
      <c r="K27" s="745" t="s">
        <v>916</v>
      </c>
      <c r="L27" s="746"/>
      <c r="M27" s="746"/>
      <c r="N27" s="746"/>
      <c r="O27" s="746"/>
      <c r="P27" s="749"/>
      <c r="R27" s="1012" t="s">
        <v>1126</v>
      </c>
      <c r="S27" s="746"/>
      <c r="T27" s="746"/>
      <c r="U27" s="746"/>
      <c r="V27" s="746"/>
      <c r="W27" s="746"/>
      <c r="X27" s="746"/>
      <c r="Y27" s="746"/>
      <c r="Z27" s="749"/>
    </row>
    <row r="28" spans="2:26" ht="13.95" customHeight="1">
      <c r="B28" s="7">
        <f>ROW()</f>
        <v>28</v>
      </c>
      <c r="C28" s="84" t="s">
        <v>466</v>
      </c>
      <c r="K28" s="745" t="s">
        <v>1063</v>
      </c>
      <c r="L28" s="746"/>
      <c r="M28" s="746"/>
      <c r="N28" s="746"/>
      <c r="O28" s="746"/>
      <c r="P28" s="749"/>
      <c r="R28" s="1425" t="s">
        <v>1127</v>
      </c>
      <c r="S28" s="1300"/>
      <c r="T28" s="1300"/>
      <c r="U28" s="1300"/>
      <c r="V28" s="1300"/>
      <c r="W28" s="1300"/>
      <c r="X28" s="1300"/>
      <c r="Y28" s="1300"/>
      <c r="Z28" s="1252"/>
    </row>
    <row r="29" spans="2:26" ht="13.95" customHeight="1">
      <c r="B29" s="7">
        <f>ROW()</f>
        <v>29</v>
      </c>
      <c r="C29" t="s">
        <v>467</v>
      </c>
      <c r="I29">
        <f>12/(12+4)</f>
        <v>0.75</v>
      </c>
      <c r="K29" s="745" t="s">
        <v>1064</v>
      </c>
      <c r="L29" s="746"/>
      <c r="M29" s="746"/>
      <c r="N29" s="746"/>
      <c r="O29" s="746"/>
      <c r="P29" s="749"/>
      <c r="R29" s="1251"/>
      <c r="S29" s="1300"/>
      <c r="T29" s="1300"/>
      <c r="U29" s="1300"/>
      <c r="V29" s="1300"/>
      <c r="W29" s="1300"/>
      <c r="X29" s="1300"/>
      <c r="Y29" s="1300"/>
      <c r="Z29" s="1252"/>
    </row>
    <row r="30" spans="2:26" ht="13.95" customHeight="1">
      <c r="B30" s="7">
        <f>ROW()</f>
        <v>30</v>
      </c>
      <c r="C30" s="84" t="s">
        <v>469</v>
      </c>
      <c r="K30" s="1422" t="s">
        <v>1065</v>
      </c>
      <c r="L30" s="1429"/>
      <c r="M30" s="1429"/>
      <c r="N30" s="1429"/>
      <c r="O30" s="1429"/>
      <c r="P30" s="1430"/>
      <c r="R30" s="1251"/>
      <c r="S30" s="1300"/>
      <c r="T30" s="1300"/>
      <c r="U30" s="1300"/>
      <c r="V30" s="1300"/>
      <c r="W30" s="1300"/>
      <c r="X30" s="1300"/>
      <c r="Y30" s="1300"/>
      <c r="Z30" s="1252"/>
    </row>
    <row r="31" spans="2:26" ht="13.95" customHeight="1">
      <c r="B31" s="7">
        <f>ROW()</f>
        <v>31</v>
      </c>
      <c r="C31" s="31" t="s">
        <v>468</v>
      </c>
      <c r="I31" s="20">
        <f>I29*I17</f>
        <v>2.75</v>
      </c>
      <c r="K31" s="1431"/>
      <c r="L31" s="1429"/>
      <c r="M31" s="1429"/>
      <c r="N31" s="1429"/>
      <c r="O31" s="1429"/>
      <c r="P31" s="1430"/>
      <c r="R31" s="1251"/>
      <c r="S31" s="1300"/>
      <c r="T31" s="1300"/>
      <c r="U31" s="1300"/>
      <c r="V31" s="1300"/>
      <c r="W31" s="1300"/>
      <c r="X31" s="1300"/>
      <c r="Y31" s="1300"/>
      <c r="Z31" s="1252"/>
    </row>
    <row r="32" spans="2:26" ht="13.95" customHeight="1">
      <c r="B32" s="7">
        <f>ROW()</f>
        <v>32</v>
      </c>
      <c r="C32" s="84" t="str">
        <f>CONCATENATE("Product of Rows ",B17, " and ",B27, ".")</f>
        <v>Product of Rows 17 and 27.</v>
      </c>
      <c r="K32" s="855"/>
      <c r="L32" s="746"/>
      <c r="M32" s="746"/>
      <c r="N32" s="746"/>
      <c r="O32" s="746"/>
      <c r="P32" s="749"/>
      <c r="R32" s="1251"/>
      <c r="S32" s="1300"/>
      <c r="T32" s="1300"/>
      <c r="U32" s="1300"/>
      <c r="V32" s="1300"/>
      <c r="W32" s="1300"/>
      <c r="X32" s="1300"/>
      <c r="Y32" s="1300"/>
      <c r="Z32" s="1252"/>
    </row>
    <row r="33" spans="2:26" ht="13.95" customHeight="1">
      <c r="B33" s="7">
        <f>ROW()</f>
        <v>33</v>
      </c>
      <c r="C33" s="31" t="s">
        <v>470</v>
      </c>
      <c r="I33" s="396">
        <f>I27*I31</f>
        <v>116.27000000000001</v>
      </c>
      <c r="K33" s="1422" t="s">
        <v>1084</v>
      </c>
      <c r="L33" s="1429"/>
      <c r="M33" s="1429"/>
      <c r="N33" s="1429"/>
      <c r="O33" s="1429"/>
      <c r="P33" s="1430"/>
      <c r="R33" s="1251"/>
      <c r="S33" s="1300"/>
      <c r="T33" s="1300"/>
      <c r="U33" s="1300"/>
      <c r="V33" s="1300"/>
      <c r="W33" s="1300"/>
      <c r="X33" s="1300"/>
      <c r="Y33" s="1300"/>
      <c r="Z33" s="1252"/>
    </row>
    <row r="34" spans="2:26" ht="13.95" customHeight="1">
      <c r="B34" s="7">
        <f>ROW()</f>
        <v>34</v>
      </c>
      <c r="C34" s="84" t="str">
        <f>CONCATENATE("Product of Rows ",B25, " and ",B29, ".")</f>
        <v>Product of Rows 25 and 29.</v>
      </c>
      <c r="K34" s="1431"/>
      <c r="L34" s="1429"/>
      <c r="M34" s="1429"/>
      <c r="N34" s="1429"/>
      <c r="O34" s="1429"/>
      <c r="P34" s="1430"/>
      <c r="R34" s="1426"/>
      <c r="S34" s="1427"/>
      <c r="T34" s="1427"/>
      <c r="U34" s="1427"/>
      <c r="V34" s="1427"/>
      <c r="W34" s="1427"/>
      <c r="X34" s="1427"/>
      <c r="Y34" s="1427"/>
      <c r="Z34" s="1428"/>
    </row>
    <row r="35" spans="2:26" ht="13.95" customHeight="1">
      <c r="B35" s="7">
        <f>ROW()</f>
        <v>35</v>
      </c>
      <c r="C35" s="31" t="s">
        <v>471</v>
      </c>
      <c r="I35" s="396">
        <f>1000*I33/Energy!D51</f>
        <v>112.99319727891158</v>
      </c>
      <c r="K35" s="1431"/>
      <c r="L35" s="1429"/>
      <c r="M35" s="1429"/>
      <c r="N35" s="1429"/>
      <c r="O35" s="1429"/>
      <c r="P35" s="1430"/>
      <c r="R35" s="14"/>
    </row>
    <row r="36" spans="2:26" ht="13.95" customHeight="1">
      <c r="B36" s="7">
        <f>ROW()</f>
        <v>36</v>
      </c>
      <c r="C36" s="84" t="str">
        <f>CONCATENATE("Row ",B31, " divided by btu per mcf in 'Energy' tab, Cell D",Energy!R52, ".")</f>
        <v>Row 31 divided by btu per mcf in 'Energy' tab, Cell D52.</v>
      </c>
      <c r="K36" s="1431"/>
      <c r="L36" s="1429"/>
      <c r="M36" s="1429"/>
      <c r="N36" s="1429"/>
      <c r="O36" s="1429"/>
      <c r="P36" s="1430"/>
    </row>
    <row r="37" spans="2:26" ht="13.95" customHeight="1">
      <c r="B37" s="7">
        <f>ROW()</f>
        <v>37</v>
      </c>
      <c r="C37" s="31" t="s">
        <v>472</v>
      </c>
      <c r="I37" s="396">
        <f>I35*1000/I18</f>
        <v>51.244080398599358</v>
      </c>
      <c r="K37" s="855"/>
      <c r="L37" s="746"/>
      <c r="M37" s="746"/>
      <c r="N37" s="746"/>
      <c r="O37" s="746"/>
      <c r="P37" s="749"/>
    </row>
    <row r="38" spans="2:26" ht="13.95" customHeight="1">
      <c r="B38" s="7">
        <f>ROW()</f>
        <v>38</v>
      </c>
      <c r="C38" s="84" t="str">
        <f>CONCATENATE("Row ",B33, " divided by Row ",7, ".")</f>
        <v>Row 33 divided by Row 7.</v>
      </c>
      <c r="K38" s="745" t="s">
        <v>918</v>
      </c>
      <c r="L38" s="746"/>
      <c r="M38" s="746"/>
      <c r="N38" s="746"/>
      <c r="O38" s="746"/>
      <c r="P38" s="749"/>
    </row>
    <row r="39" spans="2:26" ht="13.95" customHeight="1">
      <c r="B39" s="7">
        <f>ROW()</f>
        <v>39</v>
      </c>
      <c r="C39" s="84"/>
      <c r="G39" s="1138" t="s">
        <v>1086</v>
      </c>
      <c r="H39" s="1138" t="s">
        <v>478</v>
      </c>
      <c r="I39" s="1138" t="s">
        <v>1087</v>
      </c>
      <c r="K39" s="745" t="s">
        <v>1066</v>
      </c>
      <c r="L39" s="746"/>
      <c r="M39" s="746"/>
      <c r="N39" s="746"/>
      <c r="O39" s="746"/>
      <c r="P39" s="749"/>
    </row>
    <row r="40" spans="2:26" ht="13.95" customHeight="1">
      <c r="B40" s="7">
        <f>ROW()</f>
        <v>40</v>
      </c>
      <c r="C40" s="8" t="s">
        <v>477</v>
      </c>
      <c r="G40" s="1233"/>
      <c r="H40" s="1233"/>
      <c r="I40" s="1233"/>
      <c r="K40" s="745" t="s">
        <v>1067</v>
      </c>
      <c r="L40" s="746"/>
      <c r="M40" s="746"/>
      <c r="N40" s="746"/>
      <c r="O40" s="746"/>
      <c r="P40" s="749"/>
    </row>
    <row r="41" spans="2:26" ht="13.95" customHeight="1">
      <c r="B41" s="7">
        <f>ROW()</f>
        <v>41</v>
      </c>
      <c r="C41" s="31" t="s">
        <v>93</v>
      </c>
      <c r="G41" s="20">
        <f>'Personal Ground Travel'!K31</f>
        <v>19.570435014151581</v>
      </c>
      <c r="H41">
        <v>5.2530000000000001</v>
      </c>
      <c r="I41" s="396">
        <f>G41*$I$21/H41</f>
        <v>156.47406636100635</v>
      </c>
      <c r="K41" s="1422" t="s">
        <v>1068</v>
      </c>
      <c r="L41" s="1429"/>
      <c r="M41" s="1429"/>
      <c r="N41" s="1429"/>
      <c r="O41" s="1429"/>
      <c r="P41" s="1430"/>
    </row>
    <row r="42" spans="2:26" ht="13.95" customHeight="1">
      <c r="B42" s="7">
        <f>ROW()</f>
        <v>42</v>
      </c>
      <c r="C42" s="31" t="s">
        <v>476</v>
      </c>
      <c r="G42" s="20">
        <f>Freight!K31</f>
        <v>22.456286026151631</v>
      </c>
      <c r="H42">
        <v>5.8250000000000002</v>
      </c>
      <c r="I42" s="396">
        <f>G42*$I$21/H42</f>
        <v>161.91656877225211</v>
      </c>
      <c r="K42" s="1431"/>
      <c r="L42" s="1429"/>
      <c r="M42" s="1429"/>
      <c r="N42" s="1429"/>
      <c r="O42" s="1429"/>
      <c r="P42" s="1430"/>
    </row>
    <row r="43" spans="2:26" ht="13.95" customHeight="1">
      <c r="B43" s="7">
        <f>ROW()</f>
        <v>43</v>
      </c>
      <c r="C43" s="14" t="s">
        <v>127</v>
      </c>
      <c r="G43" s="20">
        <f>Aviation!K31</f>
        <v>21.098238491092783</v>
      </c>
      <c r="H43">
        <v>5.048</v>
      </c>
      <c r="I43" s="396">
        <f>G43*$I$21/H43</f>
        <v>175.54001914142174</v>
      </c>
      <c r="K43" s="855"/>
      <c r="L43" s="746"/>
      <c r="M43" s="746"/>
      <c r="N43" s="746"/>
      <c r="O43" s="746"/>
      <c r="P43" s="749"/>
    </row>
    <row r="44" spans="2:26" ht="13.95" customHeight="1">
      <c r="B44" s="7">
        <f>ROW()</f>
        <v>44</v>
      </c>
      <c r="C44" s="14" t="s">
        <v>681</v>
      </c>
      <c r="G44" s="20">
        <f>AVERAGE(G41:G43)</f>
        <v>21.041653177132002</v>
      </c>
      <c r="H44" s="22">
        <f>AVERAGE(H41:H43)</f>
        <v>5.3753333333333329</v>
      </c>
      <c r="I44" s="396">
        <f>AVERAGE(I41:I43)</f>
        <v>164.64355142489339</v>
      </c>
      <c r="J44" s="398"/>
      <c r="K44" s="1422" t="s">
        <v>1085</v>
      </c>
      <c r="L44" s="1429"/>
      <c r="M44" s="1429"/>
      <c r="N44" s="1429"/>
      <c r="O44" s="1429"/>
      <c r="P44" s="1430"/>
    </row>
    <row r="45" spans="2:26" ht="13.95" customHeight="1">
      <c r="B45" s="7">
        <f>ROW()</f>
        <v>45</v>
      </c>
      <c r="C45" s="14" t="s">
        <v>919</v>
      </c>
      <c r="G45" s="1439">
        <v>1</v>
      </c>
      <c r="H45" s="1439"/>
      <c r="I45" s="1439"/>
      <c r="K45" s="1431"/>
      <c r="L45" s="1429"/>
      <c r="M45" s="1429"/>
      <c r="N45" s="1429"/>
      <c r="O45" s="1429"/>
      <c r="P45" s="1430"/>
    </row>
    <row r="46" spans="2:26" ht="13.95" customHeight="1">
      <c r="B46" s="7">
        <f>ROW()</f>
        <v>46</v>
      </c>
      <c r="C46" s="84" t="s">
        <v>693</v>
      </c>
      <c r="I46" s="396">
        <f>I44*G45</f>
        <v>164.64355142489339</v>
      </c>
      <c r="K46" s="855"/>
      <c r="L46" s="746"/>
      <c r="M46" s="746"/>
      <c r="N46" s="746"/>
      <c r="O46" s="746"/>
      <c r="P46" s="749"/>
    </row>
    <row r="47" spans="2:26" ht="13.95" customHeight="1">
      <c r="B47" s="7">
        <f>ROW()</f>
        <v>47</v>
      </c>
      <c r="C47" s="1145" t="str">
        <f>CONCATENATE("Pounds CO2 per gallon are from respective tabs, Row ",Freight!AS31, ". Heat contents per gallon of fuel are from mer_dataTA3.xls.")</f>
        <v>Pounds CO2 per gallon are from respective tabs, Row 31. Heat contents per gallon of fuel are from mer_dataTA3.xls.</v>
      </c>
      <c r="D47" s="1155"/>
      <c r="E47" s="1155"/>
      <c r="F47" s="1155"/>
      <c r="G47" s="1155"/>
      <c r="H47" s="1155"/>
      <c r="I47" s="1155"/>
      <c r="K47" s="1422" t="s">
        <v>1078</v>
      </c>
      <c r="L47" s="1429"/>
      <c r="M47" s="1429"/>
      <c r="N47" s="1429"/>
      <c r="O47" s="1429"/>
      <c r="P47" s="1430"/>
    </row>
    <row r="48" spans="2:26" ht="13.95" customHeight="1">
      <c r="B48" s="7">
        <f>ROW()</f>
        <v>48</v>
      </c>
      <c r="C48" s="1155"/>
      <c r="D48" s="1155"/>
      <c r="E48" s="1155"/>
      <c r="F48" s="1155"/>
      <c r="G48" s="1155"/>
      <c r="H48" s="1155"/>
      <c r="I48" s="1155"/>
      <c r="K48" s="1431"/>
      <c r="L48" s="1429"/>
      <c r="M48" s="1429"/>
      <c r="N48" s="1429"/>
      <c r="O48" s="1429"/>
      <c r="P48" s="1430"/>
    </row>
    <row r="49" spans="2:43" ht="13.95" customHeight="1">
      <c r="B49" s="7">
        <f>ROW()</f>
        <v>49</v>
      </c>
      <c r="C49" s="8" t="s">
        <v>703</v>
      </c>
      <c r="I49" s="320">
        <v>22000000</v>
      </c>
      <c r="K49" s="1431"/>
      <c r="L49" s="1429"/>
      <c r="M49" s="1429"/>
      <c r="N49" s="1429"/>
      <c r="O49" s="1429"/>
      <c r="P49" s="1430"/>
    </row>
    <row r="50" spans="2:43" ht="13.95" customHeight="1">
      <c r="B50" s="7">
        <f>ROW()</f>
        <v>50</v>
      </c>
      <c r="C50" s="1145" t="s">
        <v>704</v>
      </c>
      <c r="D50" s="1155"/>
      <c r="E50" s="1155"/>
      <c r="F50" s="1155"/>
      <c r="G50" s="1155"/>
      <c r="H50" s="1155"/>
      <c r="I50" s="1155"/>
      <c r="K50" s="1431"/>
      <c r="L50" s="1429"/>
      <c r="M50" s="1429"/>
      <c r="N50" s="1429"/>
      <c r="O50" s="1429"/>
      <c r="P50" s="1430"/>
    </row>
    <row r="51" spans="2:43" ht="13.95" customHeight="1">
      <c r="B51" s="7">
        <f>ROW()</f>
        <v>51</v>
      </c>
      <c r="C51" s="1155"/>
      <c r="D51" s="1155"/>
      <c r="E51" s="1155"/>
      <c r="F51" s="1155"/>
      <c r="G51" s="1155"/>
      <c r="H51" s="1155"/>
      <c r="I51" s="1155"/>
      <c r="K51" s="855"/>
      <c r="L51" s="746"/>
      <c r="M51" s="746"/>
      <c r="N51" s="746"/>
      <c r="O51" s="746"/>
      <c r="P51" s="749"/>
    </row>
    <row r="52" spans="2:43" ht="13.95" customHeight="1">
      <c r="B52" s="7">
        <f>ROW()</f>
        <v>52</v>
      </c>
      <c r="K52" s="745" t="s">
        <v>1069</v>
      </c>
      <c r="L52" s="746"/>
      <c r="M52" s="746"/>
      <c r="N52" s="746"/>
      <c r="O52" s="750" t="s">
        <v>1070</v>
      </c>
      <c r="P52" s="751" t="s">
        <v>1071</v>
      </c>
    </row>
    <row r="53" spans="2:43" ht="13.95" customHeight="1">
      <c r="B53" s="7">
        <f>ROW()</f>
        <v>53</v>
      </c>
      <c r="K53" s="989" t="s">
        <v>1072</v>
      </c>
      <c r="L53" s="746"/>
      <c r="M53" s="746"/>
      <c r="N53" s="746"/>
      <c r="O53" s="988">
        <v>0.46144699237564102</v>
      </c>
      <c r="P53" s="990">
        <v>0.45647681918002297</v>
      </c>
    </row>
    <row r="54" spans="2:43" ht="13.95" customHeight="1">
      <c r="B54" s="7">
        <f>ROW()</f>
        <v>54</v>
      </c>
      <c r="K54" s="989" t="s">
        <v>1073</v>
      </c>
      <c r="L54" s="746"/>
      <c r="M54" s="746"/>
      <c r="N54" s="746"/>
      <c r="O54" s="988">
        <v>-0.120706290325708</v>
      </c>
      <c r="P54" s="990">
        <v>-0.13050217497583599</v>
      </c>
    </row>
    <row r="55" spans="2:43" ht="13.95" customHeight="1">
      <c r="B55" s="7">
        <f>ROW()</f>
        <v>55</v>
      </c>
      <c r="D55" s="172"/>
      <c r="E55" s="172"/>
      <c r="F55" s="172"/>
      <c r="K55" s="989" t="s">
        <v>1074</v>
      </c>
      <c r="L55" s="746"/>
      <c r="M55" s="746"/>
      <c r="N55" s="746"/>
      <c r="O55" s="988">
        <v>-0.21454585565506801</v>
      </c>
      <c r="P55" s="990">
        <v>-0.243577472007245</v>
      </c>
      <c r="R55" s="73"/>
    </row>
    <row r="56" spans="2:43" ht="13.95" customHeight="1">
      <c r="B56" s="7">
        <f>ROW()</f>
        <v>56</v>
      </c>
      <c r="C56" s="172"/>
      <c r="D56" s="172"/>
      <c r="E56" s="172"/>
      <c r="F56" s="172"/>
      <c r="G56" s="172"/>
      <c r="H56" s="172"/>
      <c r="K56" s="989" t="s">
        <v>1077</v>
      </c>
      <c r="L56" s="746"/>
      <c r="M56" s="746"/>
      <c r="N56" s="746"/>
      <c r="O56" s="868" t="s">
        <v>1075</v>
      </c>
      <c r="P56" s="990">
        <v>1.45975189544974E-2</v>
      </c>
      <c r="R56" s="73"/>
    </row>
    <row r="57" spans="2:43" ht="13.95" customHeight="1">
      <c r="B57" s="7">
        <f>ROW()</f>
        <v>57</v>
      </c>
      <c r="C57" s="172"/>
      <c r="D57" s="172"/>
      <c r="E57" s="172"/>
      <c r="F57" s="172"/>
      <c r="G57" s="172"/>
      <c r="H57" s="172"/>
      <c r="K57" s="991" t="s">
        <v>1076</v>
      </c>
      <c r="L57" s="748"/>
      <c r="M57" s="748"/>
      <c r="N57" s="748"/>
      <c r="O57" s="992">
        <v>5.8067749408723399E-3</v>
      </c>
      <c r="P57" s="993">
        <v>4.8668028049494404E-3</v>
      </c>
      <c r="R57" s="73"/>
    </row>
    <row r="58" spans="2:43" ht="13.95" customHeight="1">
      <c r="B58" s="7">
        <f>ROW()</f>
        <v>58</v>
      </c>
    </row>
    <row r="59" spans="2:43" ht="13.95" customHeight="1">
      <c r="B59" s="7">
        <f>ROW()</f>
        <v>59</v>
      </c>
      <c r="G59" s="13">
        <v>2004</v>
      </c>
      <c r="H59" s="13">
        <v>2005</v>
      </c>
      <c r="I59" s="13">
        <v>2006</v>
      </c>
      <c r="J59" s="13">
        <v>2007</v>
      </c>
      <c r="K59" s="13">
        <v>2008</v>
      </c>
      <c r="L59" s="13">
        <v>2009</v>
      </c>
      <c r="M59" s="13">
        <v>2010</v>
      </c>
      <c r="N59" s="13">
        <v>2011</v>
      </c>
      <c r="O59" s="13">
        <v>2012</v>
      </c>
      <c r="P59" s="13">
        <v>2013</v>
      </c>
      <c r="Q59" s="13">
        <v>2014</v>
      </c>
      <c r="R59" s="13">
        <v>2015</v>
      </c>
      <c r="S59" s="13">
        <v>2016</v>
      </c>
      <c r="T59" s="13">
        <v>2017</v>
      </c>
      <c r="U59" s="13">
        <v>2018</v>
      </c>
      <c r="V59" s="13">
        <v>2019</v>
      </c>
      <c r="W59" s="13">
        <v>2020</v>
      </c>
      <c r="X59" s="13">
        <v>2021</v>
      </c>
      <c r="Y59" s="13">
        <v>2022</v>
      </c>
      <c r="Z59" s="13">
        <v>2023</v>
      </c>
      <c r="AA59" s="13">
        <v>2024</v>
      </c>
      <c r="AB59" s="13">
        <v>2025</v>
      </c>
      <c r="AC59" s="13">
        <v>2026</v>
      </c>
      <c r="AD59" s="13">
        <v>2027</v>
      </c>
      <c r="AE59" s="13">
        <v>2028</v>
      </c>
      <c r="AF59" s="13">
        <v>2029</v>
      </c>
      <c r="AG59" s="13">
        <v>2030</v>
      </c>
      <c r="AH59" s="13">
        <v>2031</v>
      </c>
      <c r="AI59" s="13">
        <v>2032</v>
      </c>
      <c r="AJ59" s="13">
        <v>2033</v>
      </c>
      <c r="AK59" s="13">
        <v>2034</v>
      </c>
      <c r="AL59" s="13">
        <v>2035</v>
      </c>
      <c r="AM59" s="13">
        <v>2036</v>
      </c>
      <c r="AN59" s="13">
        <v>2037</v>
      </c>
      <c r="AO59" s="13">
        <v>2038</v>
      </c>
      <c r="AP59" s="13">
        <v>2039</v>
      </c>
      <c r="AQ59" s="13">
        <v>2040</v>
      </c>
    </row>
    <row r="60" spans="2:43" ht="13.95" customHeight="1">
      <c r="B60" s="7">
        <f>ROW()</f>
        <v>60</v>
      </c>
      <c r="C60" s="8" t="s">
        <v>1079</v>
      </c>
      <c r="G60">
        <v>188.9</v>
      </c>
      <c r="H60" s="396">
        <v>195.3</v>
      </c>
      <c r="I60" s="396">
        <v>201.6</v>
      </c>
      <c r="J60" s="396">
        <v>207.34200000000001</v>
      </c>
      <c r="K60" s="396">
        <v>215.303</v>
      </c>
      <c r="L60" s="396">
        <v>214.53700000000001</v>
      </c>
      <c r="M60" s="396">
        <v>218.05600000000001</v>
      </c>
      <c r="N60" s="396">
        <v>224.93899999999999</v>
      </c>
      <c r="O60" s="396">
        <v>229.59399999999999</v>
      </c>
      <c r="P60" s="396">
        <v>232.95699999999999</v>
      </c>
      <c r="Q60" s="396">
        <v>236.73599999999999</v>
      </c>
      <c r="R60" s="396">
        <f>AVERAGE(236.265,237.769)</f>
        <v>237.017</v>
      </c>
    </row>
    <row r="61" spans="2:43" ht="13.95" customHeight="1">
      <c r="B61" s="7">
        <f>ROW()</f>
        <v>61</v>
      </c>
      <c r="C61" s="1145" t="s">
        <v>1080</v>
      </c>
      <c r="D61" s="1155"/>
      <c r="E61" s="1155"/>
      <c r="F61" s="1155"/>
      <c r="G61" s="1155"/>
      <c r="H61" s="1155"/>
      <c r="I61" s="1155"/>
      <c r="J61" s="1155"/>
      <c r="K61" s="1245"/>
      <c r="L61" s="1245"/>
    </row>
    <row r="62" spans="2:43" ht="13.95" customHeight="1">
      <c r="B62" s="7">
        <f>ROW()</f>
        <v>62</v>
      </c>
      <c r="C62" s="1155"/>
      <c r="D62" s="1155"/>
      <c r="E62" s="1155"/>
      <c r="F62" s="1155"/>
      <c r="G62" s="1155"/>
      <c r="H62" s="1155"/>
      <c r="I62" s="1155"/>
      <c r="J62" s="1155"/>
      <c r="K62" s="1245"/>
      <c r="L62" s="1245"/>
    </row>
    <row r="63" spans="2:43" ht="13.95" customHeight="1">
      <c r="B63" s="7">
        <f>ROW()</f>
        <v>63</v>
      </c>
      <c r="C63" s="8" t="s">
        <v>1093</v>
      </c>
      <c r="F63" s="890"/>
      <c r="H63" s="22">
        <f t="shared" ref="H63:R63" si="0">H60/G60</f>
        <v>1.0338803599788249</v>
      </c>
      <c r="I63" s="22">
        <f t="shared" si="0"/>
        <v>1.032258064516129</v>
      </c>
      <c r="J63" s="22">
        <f t="shared" si="0"/>
        <v>1.0284821428571429</v>
      </c>
      <c r="K63" s="22">
        <f t="shared" si="0"/>
        <v>1.0383955011526849</v>
      </c>
      <c r="L63" s="22">
        <f t="shared" si="0"/>
        <v>0.9964422232853235</v>
      </c>
      <c r="M63" s="22">
        <f t="shared" si="0"/>
        <v>1.0164027650242149</v>
      </c>
      <c r="N63" s="22">
        <f t="shared" si="0"/>
        <v>1.0315652859815827</v>
      </c>
      <c r="O63" s="22">
        <f t="shared" si="0"/>
        <v>1.0206944993976144</v>
      </c>
      <c r="P63" s="22">
        <f t="shared" si="0"/>
        <v>1.0146475953204352</v>
      </c>
      <c r="Q63" s="22">
        <f t="shared" si="0"/>
        <v>1.0162218778572869</v>
      </c>
      <c r="R63" s="22">
        <f t="shared" si="0"/>
        <v>1.0011869762097865</v>
      </c>
      <c r="S63" s="22">
        <f>AEO!$O$28</f>
        <v>1.019615915860435</v>
      </c>
      <c r="T63" s="22">
        <f>AEO!$O$28</f>
        <v>1.019615915860435</v>
      </c>
      <c r="U63" s="22">
        <f>AEO!$O$28</f>
        <v>1.019615915860435</v>
      </c>
      <c r="V63" s="22">
        <f>AEO!$O$28</f>
        <v>1.019615915860435</v>
      </c>
      <c r="W63" s="22">
        <f>AEO!$O$28</f>
        <v>1.019615915860435</v>
      </c>
      <c r="X63" s="22">
        <f>AEO!$P$28</f>
        <v>1.0210337311834254</v>
      </c>
      <c r="Y63" s="22">
        <f>AEO!$P$28</f>
        <v>1.0210337311834254</v>
      </c>
      <c r="Z63" s="22">
        <f>AEO!$P$28</f>
        <v>1.0210337311834254</v>
      </c>
      <c r="AA63" s="22">
        <f>AEO!$P$28</f>
        <v>1.0210337311834254</v>
      </c>
      <c r="AB63" s="22">
        <f>AEO!$P$28</f>
        <v>1.0210337311834254</v>
      </c>
      <c r="AC63" s="22">
        <f>AEO!$P$28</f>
        <v>1.0210337311834254</v>
      </c>
      <c r="AD63" s="22">
        <f>AEO!$P$28</f>
        <v>1.0210337311834254</v>
      </c>
      <c r="AE63" s="22">
        <f>AEO!$P$28</f>
        <v>1.0210337311834254</v>
      </c>
      <c r="AF63" s="22">
        <f>AEO!$P$28</f>
        <v>1.0210337311834254</v>
      </c>
      <c r="AG63" s="22">
        <f>AEO!$P$28</f>
        <v>1.0210337311834254</v>
      </c>
      <c r="AH63" s="22">
        <f>AEO!$Q$28</f>
        <v>1.0218768156791329</v>
      </c>
      <c r="AI63" s="22">
        <f>AEO!$Q$28</f>
        <v>1.0218768156791329</v>
      </c>
      <c r="AJ63" s="22">
        <f>AEO!$Q$28</f>
        <v>1.0218768156791329</v>
      </c>
      <c r="AK63" s="22">
        <f>AEO!$Q$28</f>
        <v>1.0218768156791329</v>
      </c>
      <c r="AL63" s="22">
        <f>AEO!$Q$28</f>
        <v>1.0218768156791329</v>
      </c>
      <c r="AM63" s="22">
        <f>AEO!$Q$28</f>
        <v>1.0218768156791329</v>
      </c>
      <c r="AN63" s="22">
        <f>AEO!$Q$28</f>
        <v>1.0218768156791329</v>
      </c>
      <c r="AO63" s="22">
        <f>AEO!$Q$28</f>
        <v>1.0218768156791329</v>
      </c>
      <c r="AP63" s="22">
        <f>AEO!$Q$28</f>
        <v>1.0218768156791329</v>
      </c>
      <c r="AQ63" s="22">
        <f>AEO!$Q$28</f>
        <v>1.0218768156791329</v>
      </c>
    </row>
    <row r="64" spans="2:43" ht="13.95" customHeight="1">
      <c r="B64" s="7">
        <f>ROW()</f>
        <v>64</v>
      </c>
      <c r="C64" s="1145" t="str">
        <f>CONCATENATE("Figures through 2015 are actual CPI data, calculated as ratios of respective years in Row ",B60, ". Figures after 2015 are projected GDP deflators from EIA Annual Energy Outlook compiled in 'AEO' tab, Row ",AEO!V28, ".")</f>
        <v>Figures through 2015 are actual CPI data, calculated as ratios of respective years in Row 60. Figures after 2015 are projected GDP deflators from EIA Annual Energy Outlook compiled in 'AEO' tab, Row 28.</v>
      </c>
      <c r="D64" s="1155"/>
      <c r="E64" s="1155"/>
      <c r="F64" s="1155"/>
      <c r="G64" s="1155"/>
      <c r="H64" s="1155"/>
      <c r="I64" s="1155"/>
      <c r="J64" s="1155"/>
      <c r="K64" s="1245"/>
      <c r="L64" s="1245"/>
    </row>
    <row r="65" spans="2:43" ht="13.95" customHeight="1">
      <c r="B65" s="7">
        <f>ROW()</f>
        <v>65</v>
      </c>
      <c r="C65" s="1155"/>
      <c r="D65" s="1155"/>
      <c r="E65" s="1155"/>
      <c r="F65" s="1155"/>
      <c r="G65" s="1155"/>
      <c r="H65" s="1155"/>
      <c r="I65" s="1155"/>
      <c r="J65" s="1155"/>
      <c r="K65" s="1245"/>
      <c r="L65" s="1245"/>
    </row>
    <row r="66" spans="2:43" ht="13.95" customHeight="1">
      <c r="B66" s="7">
        <f>ROW()</f>
        <v>66</v>
      </c>
      <c r="C66" s="8" t="s">
        <v>1094</v>
      </c>
      <c r="D66" s="984"/>
      <c r="E66" s="984"/>
      <c r="F66" s="984"/>
      <c r="G66" s="984"/>
      <c r="H66" s="984"/>
      <c r="I66" s="984"/>
      <c r="J66" s="984"/>
      <c r="K66" s="985"/>
      <c r="L66" s="985"/>
      <c r="R66">
        <v>1</v>
      </c>
      <c r="S66" s="22">
        <f t="shared" ref="S66:AQ66" si="1">R66*S63</f>
        <v>1.019615915860435</v>
      </c>
      <c r="T66" s="22">
        <f t="shared" si="1"/>
        <v>1.0396166158759137</v>
      </c>
      <c r="U66" s="22">
        <f t="shared" si="1"/>
        <v>1.0600096479400458</v>
      </c>
      <c r="V66" s="22">
        <f t="shared" si="1"/>
        <v>1.0808027080052871</v>
      </c>
      <c r="W66" s="22">
        <f t="shared" si="1"/>
        <v>1.1020036429872491</v>
      </c>
      <c r="X66" s="22">
        <f t="shared" si="1"/>
        <v>1.1251828913769983</v>
      </c>
      <c r="Y66" s="22">
        <f t="shared" si="1"/>
        <v>1.1488496858464115</v>
      </c>
      <c r="Z66" s="22">
        <f t="shared" si="1"/>
        <v>1.1730142813086677</v>
      </c>
      <c r="AA66" s="22">
        <f t="shared" si="1"/>
        <v>1.1976871483760332</v>
      </c>
      <c r="AB66" s="22">
        <f t="shared" si="1"/>
        <v>1.2228789778968181</v>
      </c>
      <c r="AC66" s="22">
        <f t="shared" si="1"/>
        <v>1.2486006855877618</v>
      </c>
      <c r="AD66" s="22">
        <f t="shared" si="1"/>
        <v>1.2748634167638555</v>
      </c>
      <c r="AE66" s="22">
        <f t="shared" si="1"/>
        <v>1.3016785511676496</v>
      </c>
      <c r="AF66" s="22">
        <f t="shared" si="1"/>
        <v>1.3290577079001407</v>
      </c>
      <c r="AG66" s="22">
        <f t="shared" si="1"/>
        <v>1.3570127504553717</v>
      </c>
      <c r="AH66" s="22">
        <f t="shared" si="1"/>
        <v>1.386699868271317</v>
      </c>
      <c r="AI66" s="22">
        <f t="shared" si="1"/>
        <v>1.4170364456917666</v>
      </c>
      <c r="AJ66" s="22">
        <f t="shared" si="1"/>
        <v>1.448036690824779</v>
      </c>
      <c r="AK66" s="22">
        <f t="shared" si="1"/>
        <v>1.4797151226065743</v>
      </c>
      <c r="AL66" s="22">
        <f t="shared" si="1"/>
        <v>1.512086577601464</v>
      </c>
      <c r="AM66" s="22">
        <f t="shared" si="1"/>
        <v>1.5451662169505422</v>
      </c>
      <c r="AN66" s="22">
        <f t="shared" si="1"/>
        <v>1.5789695334723923</v>
      </c>
      <c r="AO66" s="22">
        <f t="shared" si="1"/>
        <v>1.6135123589191342</v>
      </c>
      <c r="AP66" s="22">
        <f t="shared" si="1"/>
        <v>1.6488108713912111</v>
      </c>
      <c r="AQ66" s="22">
        <f t="shared" si="1"/>
        <v>1.6848816029143872</v>
      </c>
    </row>
    <row r="67" spans="2:43" ht="13.95" customHeight="1">
      <c r="B67" s="7">
        <f>ROW()</f>
        <v>67</v>
      </c>
      <c r="C67" s="84" t="str">
        <f>CONCATENATE("Each figure is the product of the instant year figure in Row ",B63, " and the cumulative prior figure in this row (Row ",B66,").")</f>
        <v>Each figure is the product of the instant year figure in Row 63 and the cumulative prior figure in this row (Row 66).</v>
      </c>
      <c r="D67" s="984"/>
      <c r="E67" s="984"/>
      <c r="F67" s="984"/>
      <c r="G67" s="984"/>
      <c r="H67" s="984"/>
      <c r="I67" s="984"/>
      <c r="J67" s="984"/>
      <c r="K67" s="985"/>
      <c r="L67" s="985"/>
    </row>
    <row r="68" spans="2:43" ht="13.95" customHeight="1">
      <c r="B68" s="7">
        <f>ROW()</f>
        <v>68</v>
      </c>
      <c r="C68" s="8" t="s">
        <v>1091</v>
      </c>
    </row>
    <row r="69" spans="2:43" ht="13.95" customHeight="1">
      <c r="B69" s="7">
        <f>ROW()</f>
        <v>69</v>
      </c>
      <c r="C69" s="92" t="s">
        <v>803</v>
      </c>
      <c r="F69" s="1263" t="str">
        <f>CONCATENATE("Figures are projected GDP deflators from EIA Annual Energy Outlook compiled in 'AEO' tab, Row ",AEO!V18, "-",AEO!V21, ".")</f>
        <v>Figures are projected GDP deflators from EIA Annual Energy Outlook compiled in 'AEO' tab, Row 18-21.</v>
      </c>
      <c r="G69" s="1263"/>
      <c r="H69" s="1263"/>
      <c r="I69" s="1263"/>
      <c r="J69" s="1263"/>
      <c r="K69" s="1263"/>
      <c r="L69" s="1263"/>
      <c r="M69" s="1263"/>
      <c r="N69" s="1263"/>
      <c r="O69" s="1263"/>
      <c r="P69" s="1263"/>
      <c r="Q69" s="1263"/>
      <c r="S69" s="994">
        <f>AEO!$O18</f>
        <v>1.0169368326243011</v>
      </c>
      <c r="T69" s="994">
        <f>AEO!$O18</f>
        <v>1.0169368326243011</v>
      </c>
      <c r="U69" s="994">
        <f>AEO!$O18</f>
        <v>1.0169368326243011</v>
      </c>
      <c r="V69" s="994">
        <f>AEO!$O18</f>
        <v>1.0169368326243011</v>
      </c>
      <c r="W69" s="994">
        <f>AEO!$O18</f>
        <v>1.0169368326243011</v>
      </c>
      <c r="X69" s="994">
        <f>AEO!$P18</f>
        <v>1.0157003914713536</v>
      </c>
      <c r="Y69" s="994">
        <f>AEO!$P18</f>
        <v>1.0157003914713536</v>
      </c>
      <c r="Z69" s="994">
        <f>AEO!$P18</f>
        <v>1.0157003914713536</v>
      </c>
      <c r="AA69" s="994">
        <f>AEO!$P18</f>
        <v>1.0157003914713536</v>
      </c>
      <c r="AB69" s="994">
        <f>AEO!$P18</f>
        <v>1.0157003914713536</v>
      </c>
      <c r="AC69" s="994">
        <f>AEO!$P18</f>
        <v>1.0157003914713536</v>
      </c>
      <c r="AD69" s="994">
        <f>AEO!$P18</f>
        <v>1.0157003914713536</v>
      </c>
      <c r="AE69" s="994">
        <f>AEO!$P18</f>
        <v>1.0157003914713536</v>
      </c>
      <c r="AF69" s="994">
        <f>AEO!$P18</f>
        <v>1.0157003914713536</v>
      </c>
      <c r="AG69" s="994">
        <f>AEO!$P18</f>
        <v>1.0157003914713536</v>
      </c>
      <c r="AH69" s="994">
        <f>AEO!$Q18</f>
        <v>1.0183034410096583</v>
      </c>
      <c r="AI69" s="994">
        <f>AEO!$Q18</f>
        <v>1.0183034410096583</v>
      </c>
      <c r="AJ69" s="994">
        <f>AEO!$Q18</f>
        <v>1.0183034410096583</v>
      </c>
      <c r="AK69" s="994">
        <f>AEO!$Q18</f>
        <v>1.0183034410096583</v>
      </c>
      <c r="AL69" s="994">
        <f>AEO!$Q18</f>
        <v>1.0183034410096583</v>
      </c>
      <c r="AM69" s="994">
        <f>AEO!$Q18</f>
        <v>1.0183034410096583</v>
      </c>
      <c r="AN69" s="994">
        <f>AEO!$Q18</f>
        <v>1.0183034410096583</v>
      </c>
      <c r="AO69" s="994">
        <f>AEO!$Q18</f>
        <v>1.0183034410096583</v>
      </c>
      <c r="AP69" s="994">
        <f>AEO!$Q18</f>
        <v>1.0183034410096583</v>
      </c>
      <c r="AQ69" s="994">
        <f>AEO!$Q18</f>
        <v>1.0183034410096583</v>
      </c>
    </row>
    <row r="70" spans="2:43" ht="13.95" customHeight="1">
      <c r="B70" s="7">
        <f>ROW()</f>
        <v>70</v>
      </c>
      <c r="C70" s="92" t="s">
        <v>804</v>
      </c>
      <c r="F70" s="1263"/>
      <c r="G70" s="1263"/>
      <c r="H70" s="1263"/>
      <c r="I70" s="1263"/>
      <c r="J70" s="1263"/>
      <c r="K70" s="1263"/>
      <c r="L70" s="1263"/>
      <c r="M70" s="1263"/>
      <c r="N70" s="1263"/>
      <c r="O70" s="1263"/>
      <c r="P70" s="1263"/>
      <c r="Q70" s="1263"/>
      <c r="S70" s="994">
        <f>AEO!$O19</f>
        <v>1.0621280377567499</v>
      </c>
      <c r="T70" s="994">
        <f>AEO!$O19</f>
        <v>1.0621280377567499</v>
      </c>
      <c r="U70" s="994">
        <f>AEO!$O19</f>
        <v>1.0621280377567499</v>
      </c>
      <c r="V70" s="994">
        <f>AEO!$O19</f>
        <v>1.0621280377567499</v>
      </c>
      <c r="W70" s="994">
        <f>AEO!$O19</f>
        <v>1.0621280377567499</v>
      </c>
      <c r="X70" s="994">
        <f>AEO!$P19</f>
        <v>1.027826272087295</v>
      </c>
      <c r="Y70" s="994">
        <f>AEO!$P19</f>
        <v>1.027826272087295</v>
      </c>
      <c r="Z70" s="994">
        <f>AEO!$P19</f>
        <v>1.027826272087295</v>
      </c>
      <c r="AA70" s="994">
        <f>AEO!$P19</f>
        <v>1.027826272087295</v>
      </c>
      <c r="AB70" s="994">
        <f>AEO!$P19</f>
        <v>1.027826272087295</v>
      </c>
      <c r="AC70" s="994">
        <f>AEO!$P19</f>
        <v>1.027826272087295</v>
      </c>
      <c r="AD70" s="994">
        <f>AEO!$P19</f>
        <v>1.027826272087295</v>
      </c>
      <c r="AE70" s="994">
        <f>AEO!$P19</f>
        <v>1.027826272087295</v>
      </c>
      <c r="AF70" s="994">
        <f>AEO!$P19</f>
        <v>1.027826272087295</v>
      </c>
      <c r="AG70" s="994">
        <f>AEO!$P19</f>
        <v>1.027826272087295</v>
      </c>
      <c r="AH70" s="994">
        <f>AEO!$Q19</f>
        <v>1.0266689100501725</v>
      </c>
      <c r="AI70" s="994">
        <f>AEO!$Q19</f>
        <v>1.0266689100501725</v>
      </c>
      <c r="AJ70" s="994">
        <f>AEO!$Q19</f>
        <v>1.0266689100501725</v>
      </c>
      <c r="AK70" s="994">
        <f>AEO!$Q19</f>
        <v>1.0266689100501725</v>
      </c>
      <c r="AL70" s="994">
        <f>AEO!$Q19</f>
        <v>1.0266689100501725</v>
      </c>
      <c r="AM70" s="994">
        <f>AEO!$Q19</f>
        <v>1.0266689100501725</v>
      </c>
      <c r="AN70" s="994">
        <f>AEO!$Q19</f>
        <v>1.0266689100501725</v>
      </c>
      <c r="AO70" s="994">
        <f>AEO!$Q19</f>
        <v>1.0266689100501725</v>
      </c>
      <c r="AP70" s="994">
        <f>AEO!$Q19</f>
        <v>1.0266689100501725</v>
      </c>
      <c r="AQ70" s="994">
        <f>AEO!$Q19</f>
        <v>1.0266689100501725</v>
      </c>
    </row>
    <row r="71" spans="2:43" ht="13.95" customHeight="1">
      <c r="B71" s="7">
        <f>ROW()</f>
        <v>71</v>
      </c>
      <c r="C71" s="92" t="s">
        <v>806</v>
      </c>
      <c r="F71" s="1263"/>
      <c r="G71" s="1263"/>
      <c r="H71" s="1263"/>
      <c r="I71" s="1263"/>
      <c r="J71" s="1263"/>
      <c r="K71" s="1263"/>
      <c r="L71" s="1263"/>
      <c r="M71" s="1263"/>
      <c r="N71" s="1263"/>
      <c r="O71" s="1263"/>
      <c r="P71" s="1263"/>
      <c r="Q71" s="1263"/>
      <c r="S71" s="994">
        <f>AEO!$O20</f>
        <v>1.0304926500430942</v>
      </c>
      <c r="T71" s="994">
        <f>AEO!$O20</f>
        <v>1.0304926500430942</v>
      </c>
      <c r="U71" s="994">
        <f>AEO!$O20</f>
        <v>1.0304926500430942</v>
      </c>
      <c r="V71" s="994">
        <f>AEO!$O20</f>
        <v>1.0304926500430942</v>
      </c>
      <c r="W71" s="994">
        <f>AEO!$O20</f>
        <v>1.0304926500430942</v>
      </c>
      <c r="X71" s="994">
        <f>AEO!$P20</f>
        <v>1.0207568862108922</v>
      </c>
      <c r="Y71" s="994">
        <f>AEO!$P20</f>
        <v>1.0207568862108922</v>
      </c>
      <c r="Z71" s="994">
        <f>AEO!$P20</f>
        <v>1.0207568862108922</v>
      </c>
      <c r="AA71" s="994">
        <f>AEO!$P20</f>
        <v>1.0207568862108922</v>
      </c>
      <c r="AB71" s="994">
        <f>AEO!$P20</f>
        <v>1.0207568862108922</v>
      </c>
      <c r="AC71" s="994">
        <f>AEO!$P20</f>
        <v>1.0207568862108922</v>
      </c>
      <c r="AD71" s="994">
        <f>AEO!$P20</f>
        <v>1.0207568862108922</v>
      </c>
      <c r="AE71" s="994">
        <f>AEO!$P20</f>
        <v>1.0207568862108922</v>
      </c>
      <c r="AF71" s="994">
        <f>AEO!$P20</f>
        <v>1.0207568862108922</v>
      </c>
      <c r="AG71" s="994">
        <f>AEO!$P20</f>
        <v>1.0207568862108922</v>
      </c>
      <c r="AH71" s="994">
        <f>AEO!$Q20</f>
        <v>1.0202187927777782</v>
      </c>
      <c r="AI71" s="994">
        <f>AEO!$Q20</f>
        <v>1.0202187927777782</v>
      </c>
      <c r="AJ71" s="994">
        <f>AEO!$Q20</f>
        <v>1.0202187927777782</v>
      </c>
      <c r="AK71" s="994">
        <f>AEO!$Q20</f>
        <v>1.0202187927777782</v>
      </c>
      <c r="AL71" s="994">
        <f>AEO!$Q20</f>
        <v>1.0202187927777782</v>
      </c>
      <c r="AM71" s="994">
        <f>AEO!$Q20</f>
        <v>1.0202187927777782</v>
      </c>
      <c r="AN71" s="994">
        <f>AEO!$Q20</f>
        <v>1.0202187927777782</v>
      </c>
      <c r="AO71" s="994">
        <f>AEO!$Q20</f>
        <v>1.0202187927777782</v>
      </c>
      <c r="AP71" s="994">
        <f>AEO!$Q20</f>
        <v>1.0202187927777782</v>
      </c>
      <c r="AQ71" s="994">
        <f>AEO!$Q20</f>
        <v>1.0202187927777782</v>
      </c>
    </row>
    <row r="72" spans="2:43" ht="13.95" customHeight="1">
      <c r="B72" s="7">
        <f>ROW()</f>
        <v>72</v>
      </c>
      <c r="C72" s="92" t="s">
        <v>805</v>
      </c>
      <c r="F72" s="1263"/>
      <c r="G72" s="1263"/>
      <c r="H72" s="1263"/>
      <c r="I72" s="1263"/>
      <c r="J72" s="1263"/>
      <c r="K72" s="1263"/>
      <c r="L72" s="1263"/>
      <c r="M72" s="1263"/>
      <c r="N72" s="1263"/>
      <c r="O72" s="1263"/>
      <c r="P72" s="1263"/>
      <c r="Q72" s="1263"/>
      <c r="S72" s="994">
        <f>AEO!$O21</f>
        <v>1.050835728653998</v>
      </c>
      <c r="T72" s="994">
        <f>AEO!$O21</f>
        <v>1.050835728653998</v>
      </c>
      <c r="U72" s="994">
        <f>AEO!$O21</f>
        <v>1.050835728653998</v>
      </c>
      <c r="V72" s="994">
        <f>AEO!$O21</f>
        <v>1.050835728653998</v>
      </c>
      <c r="W72" s="994">
        <f>AEO!$O21</f>
        <v>1.050835728653998</v>
      </c>
      <c r="X72" s="994">
        <f>AEO!$P21</f>
        <v>1.0096582560254168</v>
      </c>
      <c r="Y72" s="994">
        <f>AEO!$P21</f>
        <v>1.0096582560254168</v>
      </c>
      <c r="Z72" s="994">
        <f>AEO!$P21</f>
        <v>1.0096582560254168</v>
      </c>
      <c r="AA72" s="994">
        <f>AEO!$P21</f>
        <v>1.0096582560254168</v>
      </c>
      <c r="AB72" s="994">
        <f>AEO!$P21</f>
        <v>1.0096582560254168</v>
      </c>
      <c r="AC72" s="994">
        <f>AEO!$P21</f>
        <v>1.0096582560254168</v>
      </c>
      <c r="AD72" s="994">
        <f>AEO!$P21</f>
        <v>1.0096582560254168</v>
      </c>
      <c r="AE72" s="994">
        <f>AEO!$P21</f>
        <v>1.0096582560254168</v>
      </c>
      <c r="AF72" s="994">
        <f>AEO!$P21</f>
        <v>1.0096582560254168</v>
      </c>
      <c r="AG72" s="994">
        <f>AEO!$P21</f>
        <v>1.0096582560254168</v>
      </c>
      <c r="AH72" s="994">
        <f>AEO!$Q21</f>
        <v>0.99918841706787354</v>
      </c>
      <c r="AI72" s="994">
        <f>AEO!$Q21</f>
        <v>0.99918841706787354</v>
      </c>
      <c r="AJ72" s="994">
        <f>AEO!$Q21</f>
        <v>0.99918841706787354</v>
      </c>
      <c r="AK72" s="994">
        <f>AEO!$Q21</f>
        <v>0.99918841706787354</v>
      </c>
      <c r="AL72" s="994">
        <f>AEO!$Q21</f>
        <v>0.99918841706787354</v>
      </c>
      <c r="AM72" s="994">
        <f>AEO!$Q21</f>
        <v>0.99918841706787354</v>
      </c>
      <c r="AN72" s="994">
        <f>AEO!$Q21</f>
        <v>0.99918841706787354</v>
      </c>
      <c r="AO72" s="994">
        <f>AEO!$Q21</f>
        <v>0.99918841706787354</v>
      </c>
      <c r="AP72" s="994">
        <f>AEO!$Q21</f>
        <v>0.99918841706787354</v>
      </c>
      <c r="AQ72" s="994">
        <f>AEO!$Q21</f>
        <v>0.99918841706787354</v>
      </c>
    </row>
  </sheetData>
  <mergeCells count="21">
    <mergeCell ref="C64:L65"/>
    <mergeCell ref="F69:Q72"/>
    <mergeCell ref="K47:P50"/>
    <mergeCell ref="J4:J8"/>
    <mergeCell ref="K3:P14"/>
    <mergeCell ref="C47:I48"/>
    <mergeCell ref="C50:I51"/>
    <mergeCell ref="C61:L62"/>
    <mergeCell ref="K44:P45"/>
    <mergeCell ref="K16:P17"/>
    <mergeCell ref="K41:P42"/>
    <mergeCell ref="K33:P36"/>
    <mergeCell ref="K30:P31"/>
    <mergeCell ref="G45:I45"/>
    <mergeCell ref="I5:I8"/>
    <mergeCell ref="G39:G40"/>
    <mergeCell ref="H39:H40"/>
    <mergeCell ref="I39:I40"/>
    <mergeCell ref="K18:P25"/>
    <mergeCell ref="R28:Z34"/>
    <mergeCell ref="R19:Z20"/>
  </mergeCells>
  <pageMargins left="0.7" right="0.7" top="0.75" bottom="0.75" header="0.3" footer="0.3"/>
  <pageSetup orientation="portrait" verticalDpi="0" r:id="rId1"/>
</worksheet>
</file>

<file path=xl/worksheets/sheet21.xml><?xml version="1.0" encoding="utf-8"?>
<worksheet xmlns="http://schemas.openxmlformats.org/spreadsheetml/2006/main" xmlns:r="http://schemas.openxmlformats.org/officeDocument/2006/relationships">
  <dimension ref="A1:X52"/>
  <sheetViews>
    <sheetView zoomScaleNormal="100" workbookViewId="0"/>
  </sheetViews>
  <sheetFormatPr defaultColWidth="9" defaultRowHeight="13.95" customHeight="1"/>
  <cols>
    <col min="1" max="1" width="2.75" customWidth="1"/>
    <col min="6" max="6" width="9.75" bestFit="1" customWidth="1"/>
    <col min="14" max="14" width="1.625" customWidth="1"/>
    <col min="15" max="16" width="9.625" customWidth="1"/>
  </cols>
  <sheetData>
    <row r="1" spans="1:24" ht="13.95" customHeight="1">
      <c r="B1" s="57" t="s">
        <v>46</v>
      </c>
      <c r="F1" s="1440" t="s">
        <v>1275</v>
      </c>
      <c r="G1" s="1441"/>
      <c r="H1" s="1441"/>
      <c r="I1" s="1441"/>
      <c r="J1" s="1441"/>
      <c r="K1" s="1442"/>
      <c r="L1" s="216">
        <f>Summary!I1</f>
        <v>42552</v>
      </c>
    </row>
    <row r="2" spans="1:24" ht="13.95" customHeight="1">
      <c r="F2" s="1443"/>
      <c r="G2" s="1444"/>
      <c r="H2" s="1444"/>
      <c r="I2" s="1444"/>
      <c r="J2" s="1444"/>
      <c r="K2" s="1445"/>
    </row>
    <row r="3" spans="1:24" ht="13.95" customHeight="1">
      <c r="F3" s="1104"/>
      <c r="G3" s="1105"/>
      <c r="H3" s="1105"/>
      <c r="I3" s="1105"/>
      <c r="J3" s="1105"/>
      <c r="K3" s="1106"/>
    </row>
    <row r="4" spans="1:24" ht="13.95" customHeight="1">
      <c r="O4" s="31" t="s">
        <v>314</v>
      </c>
    </row>
    <row r="5" spans="1:24" ht="13.95" customHeight="1">
      <c r="B5" s="915" t="s">
        <v>60</v>
      </c>
      <c r="O5" t="s">
        <v>74</v>
      </c>
    </row>
    <row r="6" spans="1:24" ht="13.95" customHeight="1">
      <c r="B6" t="s">
        <v>141</v>
      </c>
      <c r="O6" s="1447" t="s">
        <v>75</v>
      </c>
      <c r="P6" s="1182"/>
      <c r="Q6" s="1182"/>
      <c r="R6" s="1182"/>
      <c r="S6" s="1182"/>
      <c r="T6" s="1182"/>
      <c r="U6" s="1182"/>
      <c r="V6" s="1182"/>
      <c r="W6" s="1182"/>
      <c r="X6" s="1182"/>
    </row>
    <row r="7" spans="1:24" ht="13.95" customHeight="1">
      <c r="B7" s="8" t="s">
        <v>1033</v>
      </c>
      <c r="O7" s="1182"/>
      <c r="P7" s="1182"/>
      <c r="Q7" s="1182"/>
      <c r="R7" s="1182"/>
      <c r="S7" s="1182"/>
      <c r="T7" s="1182"/>
      <c r="U7" s="1182"/>
      <c r="V7" s="1182"/>
      <c r="W7" s="1182"/>
      <c r="X7" s="1182"/>
    </row>
    <row r="8" spans="1:24" ht="13.95" customHeight="1">
      <c r="B8" s="89" t="s">
        <v>1034</v>
      </c>
      <c r="O8" s="1182"/>
      <c r="P8" s="1182"/>
      <c r="Q8" s="1182"/>
      <c r="R8" s="1182"/>
      <c r="S8" s="1182"/>
      <c r="T8" s="1182"/>
      <c r="U8" s="1182"/>
      <c r="V8" s="1182"/>
      <c r="W8" s="1182"/>
      <c r="X8" s="1182"/>
    </row>
    <row r="9" spans="1:24" ht="13.95" customHeight="1">
      <c r="B9" s="89"/>
    </row>
    <row r="10" spans="1:24" ht="13.95" customHeight="1">
      <c r="B10" t="s">
        <v>1035</v>
      </c>
    </row>
    <row r="11" spans="1:24" ht="13.95" customHeight="1">
      <c r="O11" s="1449" t="s">
        <v>76</v>
      </c>
      <c r="P11" s="1449"/>
    </row>
    <row r="12" spans="1:24" ht="13.95" customHeight="1">
      <c r="L12" s="1138" t="s">
        <v>1032</v>
      </c>
      <c r="M12" s="86"/>
      <c r="O12" s="1449"/>
      <c r="P12" s="1449"/>
      <c r="Q12" s="1448" t="s">
        <v>88</v>
      </c>
      <c r="R12" s="1448"/>
    </row>
    <row r="13" spans="1:24" ht="13.95" customHeight="1">
      <c r="B13" s="8" t="s">
        <v>69</v>
      </c>
      <c r="F13" s="13">
        <v>2014</v>
      </c>
      <c r="J13" s="1138" t="s">
        <v>73</v>
      </c>
      <c r="K13" s="1138" t="s">
        <v>85</v>
      </c>
      <c r="L13" s="1233"/>
      <c r="M13" s="87"/>
      <c r="O13" s="97" t="s">
        <v>77</v>
      </c>
      <c r="P13" s="12" t="s">
        <v>78</v>
      </c>
      <c r="Q13" s="1448"/>
      <c r="R13" s="1448"/>
      <c r="S13" s="95" t="s">
        <v>83</v>
      </c>
      <c r="T13" s="95" t="s">
        <v>84</v>
      </c>
    </row>
    <row r="14" spans="1:24" ht="13.95" customHeight="1">
      <c r="G14" s="12" t="s">
        <v>70</v>
      </c>
      <c r="H14" s="12" t="s">
        <v>71</v>
      </c>
      <c r="I14" s="12" t="s">
        <v>72</v>
      </c>
      <c r="J14" s="1233"/>
      <c r="K14" s="1233"/>
      <c r="L14" s="1233"/>
      <c r="M14" s="13">
        <v>2009</v>
      </c>
      <c r="O14" s="96">
        <v>0.17</v>
      </c>
      <c r="P14" s="13">
        <v>2020</v>
      </c>
      <c r="S14" s="13">
        <v>2050</v>
      </c>
    </row>
    <row r="15" spans="1:24" ht="13.95" customHeight="1">
      <c r="A15">
        <v>1</v>
      </c>
      <c r="B15" t="s">
        <v>62</v>
      </c>
      <c r="F15" s="111">
        <v>5556</v>
      </c>
      <c r="G15" s="15">
        <f>F15/$F$30</f>
        <v>0.77925356596866724</v>
      </c>
      <c r="H15" s="15">
        <f>F15/$F$15</f>
        <v>1</v>
      </c>
      <c r="I15" s="15"/>
      <c r="J15" s="15"/>
      <c r="K15" s="15"/>
      <c r="M15" s="7">
        <f>Emissions!K21</f>
        <v>5303.5</v>
      </c>
      <c r="O15" s="90">
        <f t="shared" ref="O15:O30" si="0">$O$14*F15</f>
        <v>944.5200000000001</v>
      </c>
      <c r="P15" s="90">
        <f t="shared" ref="P15:P30" si="1">F15-O15</f>
        <v>4611.4799999999996</v>
      </c>
      <c r="Q15" s="7">
        <f>O30-Q29</f>
        <v>765.35700000000008</v>
      </c>
      <c r="R15" s="7">
        <f>F15-Q15</f>
        <v>4790.643</v>
      </c>
      <c r="S15" s="7">
        <f>$M15*(1+S32)^($S14-$M14)</f>
        <v>3630.2249768302431</v>
      </c>
      <c r="T15" s="7">
        <f>$M15*(1+T32)^($S14-$M14)</f>
        <v>3512.4128043585551</v>
      </c>
    </row>
    <row r="16" spans="1:24" ht="13.95" customHeight="1">
      <c r="A16">
        <v>2</v>
      </c>
      <c r="B16" s="10" t="s">
        <v>47</v>
      </c>
      <c r="F16" s="99">
        <v>5208.2</v>
      </c>
      <c r="G16" s="15"/>
      <c r="H16" s="15">
        <f>F16/$F$15</f>
        <v>0.93740100791936642</v>
      </c>
      <c r="I16" s="15">
        <f t="shared" ref="I16:I22" si="2">F16/$F$16</f>
        <v>1</v>
      </c>
      <c r="J16" s="15"/>
      <c r="K16" s="15"/>
      <c r="L16" s="98">
        <f>SUM(L17:L21)</f>
        <v>5208.2000000000007</v>
      </c>
      <c r="O16" s="90">
        <f t="shared" si="0"/>
        <v>885.39400000000001</v>
      </c>
      <c r="P16" s="90">
        <f t="shared" si="1"/>
        <v>4322.8059999999996</v>
      </c>
      <c r="S16" s="5">
        <f>S15/$M15</f>
        <v>0.6844960831206266</v>
      </c>
      <c r="T16" s="5">
        <f>T15/$M15</f>
        <v>0.66228204098398324</v>
      </c>
    </row>
    <row r="17" spans="1:20" ht="13.95" customHeight="1">
      <c r="A17">
        <v>3</v>
      </c>
      <c r="B17" s="88" t="s">
        <v>48</v>
      </c>
      <c r="F17" s="942">
        <v>2039.3</v>
      </c>
      <c r="G17" s="15"/>
      <c r="H17" s="15"/>
      <c r="I17" s="15">
        <f t="shared" si="2"/>
        <v>0.39155562382396991</v>
      </c>
      <c r="J17" s="15">
        <f>F17/$F$40</f>
        <v>0.39466248645301133</v>
      </c>
      <c r="K17" s="7">
        <f>$F$22*J17</f>
        <v>16.181161944573464</v>
      </c>
      <c r="L17" s="9">
        <f>F17+K17</f>
        <v>2055.4811619445736</v>
      </c>
      <c r="O17" s="7">
        <f t="shared" si="0"/>
        <v>346.68100000000004</v>
      </c>
      <c r="P17" s="7">
        <f t="shared" si="1"/>
        <v>1692.6189999999999</v>
      </c>
      <c r="S17" s="5">
        <f>S15/$F30</f>
        <v>0.5091551041150989</v>
      </c>
      <c r="T17" s="5">
        <f>T15/$F30</f>
        <v>0.49263142601699256</v>
      </c>
    </row>
    <row r="18" spans="1:20" ht="13.95" customHeight="1">
      <c r="A18">
        <v>4</v>
      </c>
      <c r="B18" s="88" t="s">
        <v>49</v>
      </c>
      <c r="F18" s="942">
        <v>1737.6</v>
      </c>
      <c r="G18" s="15"/>
      <c r="H18" s="15"/>
      <c r="I18" s="15">
        <f t="shared" si="2"/>
        <v>0.33362774087016628</v>
      </c>
      <c r="J18" s="15">
        <f>F18/$F$40</f>
        <v>0.3362749651648862</v>
      </c>
      <c r="K18" s="7">
        <f>$F$22*J18</f>
        <v>13.787273571760334</v>
      </c>
      <c r="L18" s="9">
        <f>F18+K18</f>
        <v>1751.3872735717603</v>
      </c>
      <c r="O18" s="7">
        <f t="shared" si="0"/>
        <v>295.392</v>
      </c>
      <c r="P18" s="7">
        <f t="shared" si="1"/>
        <v>1442.2079999999999</v>
      </c>
    </row>
    <row r="19" spans="1:20" ht="13.95" customHeight="1">
      <c r="A19">
        <v>5</v>
      </c>
      <c r="B19" s="88" t="s">
        <v>50</v>
      </c>
      <c r="F19">
        <v>813.3</v>
      </c>
      <c r="G19" s="15"/>
      <c r="H19" s="15"/>
      <c r="I19" s="15">
        <f t="shared" si="2"/>
        <v>0.15615759763449943</v>
      </c>
      <c r="J19" s="15">
        <f>F19/$F$40</f>
        <v>0.15739665582907569</v>
      </c>
      <c r="K19" s="7">
        <f>$F$22*J19</f>
        <v>6.4532628889921035</v>
      </c>
      <c r="L19" s="9">
        <f>F19+K19</f>
        <v>819.75326288899203</v>
      </c>
      <c r="O19" s="7">
        <f t="shared" si="0"/>
        <v>138.261</v>
      </c>
      <c r="P19" s="7">
        <f t="shared" si="1"/>
        <v>675.03899999999999</v>
      </c>
    </row>
    <row r="20" spans="1:20" ht="13.95" customHeight="1">
      <c r="A20">
        <v>6</v>
      </c>
      <c r="B20" s="88" t="s">
        <v>51</v>
      </c>
      <c r="F20">
        <v>345.1</v>
      </c>
      <c r="G20" s="15"/>
      <c r="H20" s="15"/>
      <c r="I20" s="15">
        <f t="shared" si="2"/>
        <v>6.6260896278944742E-2</v>
      </c>
      <c r="J20" s="15">
        <f>F20/$F$40</f>
        <v>6.6786654280848429E-2</v>
      </c>
      <c r="K20" s="7">
        <f>$F$22*J20</f>
        <v>2.7382528255147855</v>
      </c>
      <c r="L20" s="9">
        <f>F20+K20</f>
        <v>347.83825282551481</v>
      </c>
      <c r="O20" s="7">
        <f t="shared" si="0"/>
        <v>58.667000000000009</v>
      </c>
      <c r="P20" s="7">
        <f t="shared" si="1"/>
        <v>286.43299999999999</v>
      </c>
    </row>
    <row r="21" spans="1:20" ht="13.95" customHeight="1">
      <c r="A21">
        <v>7</v>
      </c>
      <c r="B21" s="88" t="s">
        <v>52</v>
      </c>
      <c r="F21">
        <v>231.9</v>
      </c>
      <c r="G21" s="15"/>
      <c r="H21" s="15"/>
      <c r="I21" s="15">
        <f t="shared" si="2"/>
        <v>4.4525939864060525E-2</v>
      </c>
      <c r="J21" s="15">
        <f>F21/$F$40</f>
        <v>4.4879238272178358E-2</v>
      </c>
      <c r="K21" s="7">
        <f>$F$22*J21</f>
        <v>1.8400487691593126</v>
      </c>
      <c r="L21" s="9">
        <f>F21+K21</f>
        <v>233.74004876915933</v>
      </c>
      <c r="O21" s="7">
        <f t="shared" si="0"/>
        <v>39.423000000000002</v>
      </c>
      <c r="P21" s="7">
        <f t="shared" si="1"/>
        <v>192.477</v>
      </c>
    </row>
    <row r="22" spans="1:20" ht="13.95" customHeight="1">
      <c r="A22">
        <v>8</v>
      </c>
      <c r="B22" s="88" t="s">
        <v>53</v>
      </c>
      <c r="F22">
        <v>41</v>
      </c>
      <c r="G22" s="15"/>
      <c r="H22" s="15"/>
      <c r="I22" s="15">
        <f t="shared" si="2"/>
        <v>7.8722015283591261E-3</v>
      </c>
      <c r="J22" s="15"/>
      <c r="K22" s="15"/>
      <c r="O22" s="7">
        <f t="shared" si="0"/>
        <v>6.9700000000000006</v>
      </c>
      <c r="P22" s="7">
        <f t="shared" si="1"/>
        <v>34.03</v>
      </c>
    </row>
    <row r="23" spans="1:20" ht="13.95" customHeight="1">
      <c r="A23">
        <v>9</v>
      </c>
      <c r="B23" s="10" t="s">
        <v>54</v>
      </c>
      <c r="F23" s="90">
        <f>F15-F33</f>
        <v>347.80000000000018</v>
      </c>
      <c r="G23" s="91"/>
      <c r="H23" s="15">
        <f>F23/$F$15</f>
        <v>6.2598992080633575E-2</v>
      </c>
      <c r="I23" s="15"/>
      <c r="J23" s="15"/>
      <c r="K23" s="7"/>
      <c r="L23" s="7">
        <f>F23</f>
        <v>347.80000000000018</v>
      </c>
      <c r="O23" s="90">
        <f t="shared" si="0"/>
        <v>59.126000000000033</v>
      </c>
      <c r="P23" s="90">
        <f t="shared" si="1"/>
        <v>288.67400000000015</v>
      </c>
    </row>
    <row r="24" spans="1:20" ht="13.95" customHeight="1">
      <c r="A24">
        <v>10</v>
      </c>
      <c r="B24" t="s">
        <v>55</v>
      </c>
      <c r="F24">
        <v>730.8</v>
      </c>
      <c r="G24" s="15"/>
      <c r="H24" s="15"/>
      <c r="I24" s="15"/>
      <c r="J24" s="15"/>
      <c r="K24" s="15"/>
      <c r="O24" s="7">
        <f t="shared" si="0"/>
        <v>124.236</v>
      </c>
      <c r="P24" s="7">
        <f t="shared" si="1"/>
        <v>606.56399999999996</v>
      </c>
    </row>
    <row r="25" spans="1:20" ht="13.95" customHeight="1">
      <c r="A25">
        <v>11</v>
      </c>
      <c r="B25" t="s">
        <v>56</v>
      </c>
      <c r="F25">
        <v>403.5</v>
      </c>
      <c r="G25" s="15"/>
      <c r="H25" s="15"/>
      <c r="I25" s="15"/>
      <c r="J25" s="15"/>
      <c r="K25" s="15"/>
      <c r="O25" s="7">
        <f t="shared" si="0"/>
        <v>68.594999999999999</v>
      </c>
      <c r="P25" s="7">
        <f t="shared" si="1"/>
        <v>334.90499999999997</v>
      </c>
    </row>
    <row r="26" spans="1:20" ht="13.95" customHeight="1">
      <c r="A26">
        <v>12</v>
      </c>
      <c r="B26" t="s">
        <v>57</v>
      </c>
      <c r="F26">
        <v>166.7</v>
      </c>
      <c r="G26" s="15"/>
      <c r="H26" s="15"/>
      <c r="I26" s="15"/>
      <c r="J26" s="15"/>
      <c r="K26" s="15"/>
      <c r="O26" s="7">
        <f t="shared" si="0"/>
        <v>28.338999999999999</v>
      </c>
      <c r="P26" s="7">
        <f t="shared" si="1"/>
        <v>138.36099999999999</v>
      </c>
    </row>
    <row r="27" spans="1:20" ht="13.95" customHeight="1">
      <c r="A27">
        <v>13</v>
      </c>
      <c r="B27" t="s">
        <v>58</v>
      </c>
      <c r="F27">
        <v>5.6</v>
      </c>
      <c r="G27" s="15"/>
      <c r="H27" s="15"/>
      <c r="I27" s="15"/>
      <c r="J27" s="15"/>
      <c r="K27" s="15"/>
      <c r="O27" s="7">
        <f t="shared" si="0"/>
        <v>0.95199999999999996</v>
      </c>
      <c r="P27" s="7">
        <f t="shared" si="1"/>
        <v>4.6479999999999997</v>
      </c>
    </row>
    <row r="28" spans="1:20" ht="13.95" customHeight="1">
      <c r="A28">
        <v>14</v>
      </c>
      <c r="B28" t="s">
        <v>59</v>
      </c>
      <c r="F28">
        <v>7.3</v>
      </c>
      <c r="G28" s="15"/>
      <c r="H28" s="15"/>
      <c r="I28" s="15"/>
      <c r="J28" s="15"/>
      <c r="K28" s="15"/>
      <c r="O28" s="7">
        <f t="shared" si="0"/>
        <v>1.2410000000000001</v>
      </c>
      <c r="P28" s="7">
        <f t="shared" si="1"/>
        <v>6.0589999999999993</v>
      </c>
    </row>
    <row r="29" spans="1:20" ht="13.95" customHeight="1">
      <c r="A29">
        <v>15</v>
      </c>
      <c r="B29" t="s">
        <v>63</v>
      </c>
      <c r="F29" s="94">
        <f>SUM(F24:F28)</f>
        <v>1313.8999999999999</v>
      </c>
      <c r="G29" s="15">
        <f>F29/$F$30</f>
        <v>0.18428028443596683</v>
      </c>
      <c r="H29" s="15"/>
      <c r="I29" s="15"/>
      <c r="J29" s="15"/>
      <c r="K29" s="15"/>
      <c r="O29" s="94">
        <f t="shared" si="0"/>
        <v>223.363</v>
      </c>
      <c r="P29" s="94">
        <f t="shared" si="1"/>
        <v>1090.5369999999998</v>
      </c>
      <c r="Q29" s="7">
        <f>2*O29</f>
        <v>446.726</v>
      </c>
    </row>
    <row r="30" spans="1:20" ht="13.95" customHeight="1">
      <c r="A30">
        <v>16</v>
      </c>
      <c r="B30" t="s">
        <v>91</v>
      </c>
      <c r="F30" s="94">
        <v>7129.9</v>
      </c>
      <c r="G30" s="15">
        <f>F30/$F$30</f>
        <v>1</v>
      </c>
      <c r="H30" s="15"/>
      <c r="I30" s="15"/>
      <c r="J30" s="15"/>
      <c r="K30" s="15"/>
      <c r="O30" s="94">
        <f t="shared" si="0"/>
        <v>1212.0830000000001</v>
      </c>
      <c r="P30" s="94">
        <f t="shared" si="1"/>
        <v>5917.8169999999991</v>
      </c>
    </row>
    <row r="31" spans="1:20" ht="13.95" customHeight="1">
      <c r="L31" s="93">
        <f>SUM(L17:L28)</f>
        <v>5556.0000000000009</v>
      </c>
      <c r="P31" s="15">
        <f>P15/$M$15-1</f>
        <v>-0.13048364287734526</v>
      </c>
      <c r="R31" s="15">
        <f>R15/$M$15-1</f>
        <v>-9.6701612142924498E-2</v>
      </c>
    </row>
    <row r="32" spans="1:20" ht="13.95" customHeight="1">
      <c r="K32" s="7"/>
      <c r="P32" s="16">
        <f>(1+P31)^(1/($P$14-$M$14))-1</f>
        <v>-1.263029911876612E-2</v>
      </c>
      <c r="S32" s="16">
        <f>(1+R31)^(1/($P$14-$M$14))-1</f>
        <v>-9.2030574705582735E-3</v>
      </c>
      <c r="T32" s="16">
        <f>ROUND(S32,2)</f>
        <v>-0.01</v>
      </c>
    </row>
    <row r="33" spans="2:13" ht="13.95" customHeight="1">
      <c r="B33" s="84" t="s">
        <v>65</v>
      </c>
      <c r="F33" s="3">
        <f>SUM(F17:F22)</f>
        <v>5208.2</v>
      </c>
    </row>
    <row r="34" spans="2:13" ht="13.95" customHeight="1">
      <c r="B34" s="84" t="s">
        <v>64</v>
      </c>
      <c r="F34" s="3"/>
    </row>
    <row r="35" spans="2:13" ht="13.95" customHeight="1">
      <c r="B35" s="84" t="s">
        <v>66</v>
      </c>
      <c r="F35" s="3">
        <f>F15+SUM(F24:F28)</f>
        <v>6869.9</v>
      </c>
    </row>
    <row r="36" spans="2:13" ht="13.95" customHeight="1">
      <c r="B36" s="1450" t="s">
        <v>67</v>
      </c>
      <c r="C36" s="1245"/>
      <c r="D36" s="1245"/>
      <c r="E36" s="1245"/>
      <c r="F36" s="1245"/>
      <c r="G36" s="1245"/>
      <c r="H36" s="1245"/>
      <c r="I36" s="1245"/>
    </row>
    <row r="37" spans="2:13" ht="13.95" customHeight="1">
      <c r="B37" s="1245"/>
      <c r="C37" s="1245"/>
      <c r="D37" s="1245"/>
      <c r="E37" s="1245"/>
      <c r="F37" s="1245"/>
      <c r="G37" s="1245"/>
      <c r="H37" s="1245"/>
      <c r="I37" s="1245"/>
    </row>
    <row r="38" spans="2:13" ht="13.95" customHeight="1">
      <c r="B38" s="1245"/>
      <c r="C38" s="1245"/>
      <c r="D38" s="1245"/>
      <c r="E38" s="1245"/>
      <c r="F38" s="1245"/>
      <c r="G38" s="1245"/>
      <c r="H38" s="1245"/>
      <c r="I38" s="1245"/>
    </row>
    <row r="40" spans="2:13" ht="13.95" customHeight="1">
      <c r="B40" s="92" t="s">
        <v>68</v>
      </c>
      <c r="F40" s="7">
        <f>SUM(F17:F21)</f>
        <v>5167.2</v>
      </c>
      <c r="J40" s="15">
        <f>F40/$F$40</f>
        <v>1</v>
      </c>
    </row>
    <row r="43" spans="2:13" ht="13.95" customHeight="1">
      <c r="B43" s="1447" t="s">
        <v>86</v>
      </c>
      <c r="C43" s="1447"/>
      <c r="D43" s="1447"/>
      <c r="E43" s="1447"/>
      <c r="F43" s="1447"/>
      <c r="G43" s="1447"/>
      <c r="H43" s="1447"/>
      <c r="I43" s="1447"/>
      <c r="J43" s="1447"/>
      <c r="K43" s="1447"/>
      <c r="L43" s="1447"/>
      <c r="M43" s="1447"/>
    </row>
    <row r="44" spans="2:13" ht="13.95" customHeight="1">
      <c r="B44" s="1447"/>
      <c r="C44" s="1447"/>
      <c r="D44" s="1447"/>
      <c r="E44" s="1447"/>
      <c r="F44" s="1447"/>
      <c r="G44" s="1447"/>
      <c r="H44" s="1447"/>
      <c r="I44" s="1447"/>
      <c r="J44" s="1447"/>
      <c r="K44" s="1447"/>
      <c r="L44" s="1447"/>
      <c r="M44" s="1447"/>
    </row>
    <row r="45" spans="2:13" ht="13.95" customHeight="1">
      <c r="B45" s="1447"/>
      <c r="C45" s="1447"/>
      <c r="D45" s="1447"/>
      <c r="E45" s="1447"/>
      <c r="F45" s="1447"/>
      <c r="G45" s="1447"/>
      <c r="H45" s="1447"/>
      <c r="I45" s="1447"/>
      <c r="J45" s="1447"/>
      <c r="K45" s="1447"/>
      <c r="L45" s="1447"/>
      <c r="M45" s="1447"/>
    </row>
    <row r="46" spans="2:13" ht="13.95" customHeight="1">
      <c r="B46" s="1447"/>
      <c r="C46" s="1447"/>
      <c r="D46" s="1447"/>
      <c r="E46" s="1447"/>
      <c r="F46" s="1447"/>
      <c r="G46" s="1447"/>
      <c r="H46" s="1447"/>
      <c r="I46" s="1447"/>
      <c r="J46" s="1447"/>
      <c r="K46" s="1447"/>
      <c r="L46" s="1447"/>
      <c r="M46" s="1447"/>
    </row>
    <row r="47" spans="2:13" ht="13.95" customHeight="1">
      <c r="B47" s="31" t="s">
        <v>87</v>
      </c>
    </row>
    <row r="48" spans="2:13" ht="13.95" customHeight="1">
      <c r="B48" s="3"/>
    </row>
    <row r="49" spans="2:13" ht="13.95" customHeight="1">
      <c r="B49" s="1446" t="s">
        <v>281</v>
      </c>
      <c r="C49" s="1182"/>
      <c r="D49" s="1182"/>
      <c r="E49" s="1182"/>
      <c r="F49" s="1182"/>
      <c r="G49" s="1182"/>
      <c r="H49" s="1182"/>
      <c r="I49" s="1182"/>
      <c r="J49" s="1182"/>
      <c r="K49" s="1182"/>
      <c r="L49" s="1182"/>
      <c r="M49" s="1182"/>
    </row>
    <row r="50" spans="2:13" ht="13.95" customHeight="1">
      <c r="B50" s="1182"/>
      <c r="C50" s="1182"/>
      <c r="D50" s="1182"/>
      <c r="E50" s="1182"/>
      <c r="F50" s="1182"/>
      <c r="G50" s="1182"/>
      <c r="H50" s="1182"/>
      <c r="I50" s="1182"/>
      <c r="J50" s="1182"/>
      <c r="K50" s="1182"/>
      <c r="L50" s="1182"/>
      <c r="M50" s="1182"/>
    </row>
    <row r="51" spans="2:13" ht="13.95" customHeight="1">
      <c r="B51" s="1182"/>
      <c r="C51" s="1182"/>
      <c r="D51" s="1182"/>
      <c r="E51" s="1182"/>
      <c r="F51" s="1182"/>
      <c r="G51" s="1182"/>
      <c r="H51" s="1182"/>
      <c r="I51" s="1182"/>
      <c r="J51" s="1182"/>
      <c r="K51" s="1182"/>
      <c r="L51" s="1182"/>
      <c r="M51" s="1182"/>
    </row>
    <row r="52" spans="2:13" ht="13.95" customHeight="1">
      <c r="B52" s="1182"/>
      <c r="C52" s="1182"/>
      <c r="D52" s="1182"/>
      <c r="E52" s="1182"/>
      <c r="F52" s="1182"/>
      <c r="G52" s="1182"/>
      <c r="H52" s="1182"/>
      <c r="I52" s="1182"/>
      <c r="J52" s="1182"/>
      <c r="K52" s="1182"/>
      <c r="L52" s="1182"/>
      <c r="M52" s="1182"/>
    </row>
  </sheetData>
  <mergeCells count="10">
    <mergeCell ref="F1:K3"/>
    <mergeCell ref="B49:M52"/>
    <mergeCell ref="O6:X8"/>
    <mergeCell ref="Q12:R13"/>
    <mergeCell ref="L12:L14"/>
    <mergeCell ref="B43:M46"/>
    <mergeCell ref="O11:P12"/>
    <mergeCell ref="B36:I38"/>
    <mergeCell ref="K13:K14"/>
    <mergeCell ref="J13:J14"/>
  </mergeCells>
  <phoneticPr fontId="3" type="noConversion"/>
  <hyperlinks>
    <hyperlink ref="B8" r:id="rId1" display="http://www.epa.gov/climatechange/emissions/usgginv_archive.html"/>
  </hyperlinks>
  <pageMargins left="0.75" right="0.75" top="1" bottom="1" header="0.5" footer="0.5"/>
  <pageSetup orientation="portrait" r:id="rId2"/>
  <headerFooter alignWithMargins="0"/>
  <drawing r:id="rId3"/>
</worksheet>
</file>

<file path=xl/worksheets/sheet22.xml><?xml version="1.0" encoding="utf-8"?>
<worksheet xmlns="http://schemas.openxmlformats.org/spreadsheetml/2006/main" xmlns:r="http://schemas.openxmlformats.org/officeDocument/2006/relationships">
  <dimension ref="B1:U75"/>
  <sheetViews>
    <sheetView workbookViewId="0"/>
  </sheetViews>
  <sheetFormatPr defaultColWidth="11.625" defaultRowHeight="13.95" customHeight="1"/>
  <cols>
    <col min="1" max="1" width="2.625" customWidth="1"/>
    <col min="2" max="4" width="14.625" customWidth="1"/>
  </cols>
  <sheetData>
    <row r="1" spans="2:14" ht="13.95" customHeight="1">
      <c r="B1" s="57" t="s">
        <v>218</v>
      </c>
      <c r="D1" s="31" t="s">
        <v>279</v>
      </c>
      <c r="J1" s="214">
        <f>Summary!I1</f>
        <v>42552</v>
      </c>
    </row>
    <row r="2" spans="2:14" ht="13.95" customHeight="1">
      <c r="B2" s="57"/>
    </row>
    <row r="3" spans="2:14" ht="13.95" customHeight="1">
      <c r="B3" s="1" t="s">
        <v>253</v>
      </c>
    </row>
    <row r="4" spans="2:14" ht="13.95" customHeight="1">
      <c r="B4" s="57"/>
    </row>
    <row r="5" spans="2:14" ht="13.95" customHeight="1">
      <c r="B5" s="1446" t="s">
        <v>254</v>
      </c>
      <c r="C5" s="1446"/>
      <c r="D5" s="1446"/>
      <c r="E5" s="1446"/>
      <c r="F5" s="1446"/>
      <c r="G5" s="1446"/>
      <c r="H5" s="1446"/>
      <c r="I5" s="1446"/>
      <c r="J5" s="1446"/>
      <c r="K5" s="31"/>
    </row>
    <row r="6" spans="2:14" ht="13.95" customHeight="1">
      <c r="B6" s="1446"/>
      <c r="C6" s="1446"/>
      <c r="D6" s="1446"/>
      <c r="E6" s="1446"/>
      <c r="F6" s="1446"/>
      <c r="G6" s="1446"/>
      <c r="H6" s="1446"/>
      <c r="I6" s="1446"/>
      <c r="J6" s="1446"/>
      <c r="K6" s="31"/>
    </row>
    <row r="7" spans="2:14" ht="13.95" customHeight="1">
      <c r="B7" s="1446"/>
      <c r="C7" s="1446"/>
      <c r="D7" s="1446"/>
      <c r="E7" s="1446"/>
      <c r="F7" s="1446"/>
      <c r="G7" s="1446"/>
      <c r="H7" s="1446"/>
      <c r="I7" s="1446"/>
      <c r="J7" s="1446"/>
      <c r="K7" s="31"/>
    </row>
    <row r="8" spans="2:14" ht="13.95" customHeight="1">
      <c r="B8" s="31"/>
      <c r="C8" s="31"/>
      <c r="D8" s="31"/>
      <c r="E8" s="31"/>
      <c r="F8" s="31"/>
      <c r="G8" s="31"/>
      <c r="H8" s="31"/>
      <c r="I8" s="31"/>
      <c r="J8" s="31"/>
      <c r="K8" s="31"/>
    </row>
    <row r="9" spans="2:14" ht="13.95" customHeight="1">
      <c r="B9" s="1446" t="s">
        <v>278</v>
      </c>
      <c r="C9" s="1446"/>
      <c r="D9" s="1446"/>
      <c r="E9" s="1446"/>
      <c r="F9" s="1446"/>
      <c r="G9" s="1446"/>
      <c r="H9" s="1446"/>
      <c r="I9" s="1446"/>
      <c r="J9" s="1446"/>
      <c r="K9" s="31"/>
      <c r="M9" t="s">
        <v>227</v>
      </c>
    </row>
    <row r="10" spans="2:14" ht="13.95" customHeight="1" thickBot="1">
      <c r="B10" s="1446"/>
      <c r="C10" s="1446"/>
      <c r="D10" s="1446"/>
      <c r="E10" s="1446"/>
      <c r="F10" s="1446"/>
      <c r="G10" s="1446"/>
      <c r="H10" s="1446"/>
      <c r="I10" s="1446"/>
      <c r="J10" s="1446"/>
      <c r="K10" s="31"/>
    </row>
    <row r="11" spans="2:14" ht="13.95" customHeight="1">
      <c r="B11" s="1446"/>
      <c r="C11" s="1446"/>
      <c r="D11" s="1446"/>
      <c r="E11" s="1446"/>
      <c r="F11" s="1446"/>
      <c r="G11" s="1446"/>
      <c r="H11" s="1446"/>
      <c r="I11" s="1446"/>
      <c r="J11" s="1446"/>
      <c r="K11" s="31"/>
      <c r="M11" s="203" t="s">
        <v>228</v>
      </c>
      <c r="N11" s="203"/>
    </row>
    <row r="12" spans="2:14" ht="13.95" customHeight="1">
      <c r="B12" s="31"/>
      <c r="C12" s="31"/>
      <c r="D12" s="31"/>
      <c r="E12" s="31"/>
      <c r="F12" s="31"/>
      <c r="G12" s="31"/>
      <c r="H12" s="31"/>
      <c r="I12" s="31"/>
      <c r="J12" s="31"/>
      <c r="K12" s="31"/>
      <c r="M12" s="200" t="s">
        <v>229</v>
      </c>
      <c r="N12" s="200">
        <v>0.73791166770726702</v>
      </c>
    </row>
    <row r="13" spans="2:14" ht="13.95" customHeight="1">
      <c r="B13" s="1446" t="s">
        <v>256</v>
      </c>
      <c r="C13" s="1446"/>
      <c r="D13" s="1446"/>
      <c r="E13" s="1446"/>
      <c r="F13" s="1446"/>
      <c r="G13" s="1446"/>
      <c r="H13" s="1446"/>
      <c r="I13" s="1446"/>
      <c r="J13" s="1446"/>
      <c r="K13" s="31"/>
      <c r="M13" s="200" t="s">
        <v>230</v>
      </c>
      <c r="N13" s="200">
        <v>0.5445136293385201</v>
      </c>
    </row>
    <row r="14" spans="2:14" ht="13.95" customHeight="1">
      <c r="B14" s="1446"/>
      <c r="C14" s="1446"/>
      <c r="D14" s="1446"/>
      <c r="E14" s="1446"/>
      <c r="F14" s="1446"/>
      <c r="G14" s="1446"/>
      <c r="H14" s="1446"/>
      <c r="I14" s="1446"/>
      <c r="J14" s="1446"/>
      <c r="K14" s="31"/>
      <c r="M14" s="200" t="s">
        <v>231</v>
      </c>
      <c r="N14" s="200">
        <v>0.48757783300583513</v>
      </c>
    </row>
    <row r="15" spans="2:14" ht="13.95" customHeight="1">
      <c r="B15" s="1446"/>
      <c r="C15" s="1446"/>
      <c r="D15" s="1446"/>
      <c r="E15" s="1446"/>
      <c r="F15" s="1446"/>
      <c r="G15" s="1446"/>
      <c r="H15" s="1446"/>
      <c r="I15" s="1446"/>
      <c r="J15" s="1446"/>
      <c r="K15" s="31"/>
      <c r="M15" s="200" t="s">
        <v>232</v>
      </c>
      <c r="N15" s="200">
        <v>1.3700050478224656E-2</v>
      </c>
    </row>
    <row r="16" spans="2:14" ht="13.95" customHeight="1" thickBot="1">
      <c r="B16" s="31"/>
      <c r="C16" s="31"/>
      <c r="D16" s="31"/>
      <c r="E16" s="31"/>
      <c r="F16" s="31"/>
      <c r="G16" s="31"/>
      <c r="H16" s="31"/>
      <c r="I16" s="31"/>
      <c r="J16" s="31"/>
      <c r="K16" s="31"/>
      <c r="M16" s="201" t="s">
        <v>233</v>
      </c>
      <c r="N16" s="201">
        <v>19</v>
      </c>
    </row>
    <row r="17" spans="2:21" ht="13.95" customHeight="1">
      <c r="B17" s="1446" t="s">
        <v>258</v>
      </c>
      <c r="C17" s="1446"/>
      <c r="D17" s="1446"/>
      <c r="E17" s="1446"/>
      <c r="F17" s="1446"/>
      <c r="G17" s="1446"/>
      <c r="H17" s="1446"/>
      <c r="I17" s="1446"/>
      <c r="J17" s="1446"/>
      <c r="K17" s="31"/>
    </row>
    <row r="18" spans="2:21" ht="13.95" customHeight="1" thickBot="1">
      <c r="B18" s="1446"/>
      <c r="C18" s="1446"/>
      <c r="D18" s="1446"/>
      <c r="E18" s="1446"/>
      <c r="F18" s="1446"/>
      <c r="G18" s="1446"/>
      <c r="H18" s="1446"/>
      <c r="I18" s="1446"/>
      <c r="J18" s="1446"/>
      <c r="K18" s="31"/>
      <c r="M18" t="s">
        <v>234</v>
      </c>
    </row>
    <row r="19" spans="2:21" ht="13.95" customHeight="1">
      <c r="B19" s="1446"/>
      <c r="C19" s="1446"/>
      <c r="D19" s="1446"/>
      <c r="E19" s="1446"/>
      <c r="F19" s="1446"/>
      <c r="G19" s="1446"/>
      <c r="H19" s="1446"/>
      <c r="I19" s="1446"/>
      <c r="J19" s="1446"/>
      <c r="K19" s="31"/>
      <c r="M19" s="202"/>
      <c r="N19" s="202" t="s">
        <v>238</v>
      </c>
      <c r="O19" s="202" t="s">
        <v>239</v>
      </c>
      <c r="P19" s="202" t="s">
        <v>240</v>
      </c>
      <c r="Q19" s="202" t="s">
        <v>241</v>
      </c>
      <c r="R19" s="202" t="s">
        <v>242</v>
      </c>
    </row>
    <row r="20" spans="2:21" ht="13.95" customHeight="1">
      <c r="B20" s="31"/>
      <c r="C20" s="31"/>
      <c r="D20" s="31"/>
      <c r="E20" s="31"/>
      <c r="F20" s="31"/>
      <c r="G20" s="31"/>
      <c r="H20" s="31"/>
      <c r="I20" s="31"/>
      <c r="J20" s="31"/>
      <c r="K20" s="31"/>
      <c r="M20" s="200" t="s">
        <v>235</v>
      </c>
      <c r="N20" s="200">
        <v>2</v>
      </c>
      <c r="O20" s="200">
        <v>3.5900267597343575E-3</v>
      </c>
      <c r="P20" s="200">
        <v>1.7950133798671788E-3</v>
      </c>
      <c r="Q20" s="200">
        <v>9.5636429875651459</v>
      </c>
      <c r="R20" s="200">
        <v>1.8526914200409853E-3</v>
      </c>
    </row>
    <row r="21" spans="2:21" ht="13.95" customHeight="1">
      <c r="B21" s="31"/>
      <c r="C21" s="31"/>
      <c r="D21" s="31"/>
      <c r="E21" s="31"/>
      <c r="F21" s="31"/>
      <c r="G21" s="31"/>
      <c r="H21" s="31"/>
      <c r="I21" s="31"/>
      <c r="J21" s="31"/>
      <c r="K21" s="31"/>
      <c r="M21" s="200" t="s">
        <v>236</v>
      </c>
      <c r="N21" s="200">
        <v>16</v>
      </c>
      <c r="O21" s="200">
        <v>3.0030621296944582E-3</v>
      </c>
      <c r="P21" s="200">
        <v>1.8769138310590364E-4</v>
      </c>
      <c r="Q21" s="200"/>
      <c r="R21" s="200"/>
    </row>
    <row r="22" spans="2:21" ht="13.95" customHeight="1" thickBot="1">
      <c r="B22" s="31"/>
      <c r="C22" s="1452" t="s">
        <v>219</v>
      </c>
      <c r="D22" s="1138" t="s">
        <v>220</v>
      </c>
      <c r="E22" s="1138" t="s">
        <v>221</v>
      </c>
      <c r="K22" s="31"/>
      <c r="M22" s="201" t="s">
        <v>91</v>
      </c>
      <c r="N22" s="201">
        <v>18</v>
      </c>
      <c r="O22" s="201">
        <v>6.5930888894288157E-3</v>
      </c>
      <c r="P22" s="201"/>
      <c r="Q22" s="201"/>
      <c r="R22" s="201"/>
    </row>
    <row r="23" spans="2:21" ht="13.95" customHeight="1" thickBot="1">
      <c r="B23" s="31"/>
      <c r="C23" s="1451"/>
      <c r="D23" s="1451"/>
      <c r="E23" s="1451"/>
      <c r="K23" s="31"/>
    </row>
    <row r="24" spans="2:21" ht="13.95" customHeight="1">
      <c r="B24" s="31"/>
      <c r="C24" s="1451"/>
      <c r="D24" s="1451"/>
      <c r="E24" s="1451"/>
      <c r="G24" s="1138" t="s">
        <v>225</v>
      </c>
      <c r="H24" s="1138" t="s">
        <v>224</v>
      </c>
      <c r="I24" s="1138" t="s">
        <v>255</v>
      </c>
      <c r="J24" s="1138" t="s">
        <v>226</v>
      </c>
      <c r="K24" s="31"/>
      <c r="M24" s="202"/>
      <c r="N24" s="202" t="s">
        <v>243</v>
      </c>
      <c r="O24" s="202" t="s">
        <v>232</v>
      </c>
      <c r="P24" s="202" t="s">
        <v>244</v>
      </c>
      <c r="Q24" s="202" t="s">
        <v>245</v>
      </c>
      <c r="R24" s="202" t="s">
        <v>246</v>
      </c>
      <c r="S24" s="202" t="s">
        <v>247</v>
      </c>
      <c r="T24" s="202" t="s">
        <v>248</v>
      </c>
      <c r="U24" s="202" t="s">
        <v>249</v>
      </c>
    </row>
    <row r="25" spans="2:21" ht="13.95" customHeight="1">
      <c r="B25" s="31"/>
      <c r="C25" s="1451"/>
      <c r="D25" s="1451"/>
      <c r="E25" s="1451"/>
      <c r="G25" s="1233"/>
      <c r="H25" s="1233"/>
      <c r="I25" s="1233"/>
      <c r="J25" s="1233"/>
      <c r="K25" s="31"/>
      <c r="M25" s="200" t="s">
        <v>237</v>
      </c>
      <c r="N25" s="200">
        <v>-1.4664679971747726E-3</v>
      </c>
      <c r="O25" s="200">
        <v>5.7021931976806743E-3</v>
      </c>
      <c r="P25" s="200">
        <v>-0.25717613317122401</v>
      </c>
      <c r="Q25" s="200">
        <v>0.80032085522047958</v>
      </c>
      <c r="R25" s="200">
        <v>-1.355457749395614E-2</v>
      </c>
      <c r="S25" s="200">
        <v>1.0621641499606595E-2</v>
      </c>
      <c r="T25" s="200">
        <v>-1.355457749395614E-2</v>
      </c>
      <c r="U25" s="200">
        <v>1.0621641499606595E-2</v>
      </c>
    </row>
    <row r="26" spans="2:21" ht="13.95" customHeight="1">
      <c r="B26" s="31">
        <v>1965</v>
      </c>
      <c r="C26" s="31"/>
      <c r="D26" s="31">
        <v>8.5</v>
      </c>
      <c r="E26" s="31"/>
      <c r="F26" s="31"/>
      <c r="G26" s="31"/>
      <c r="H26" s="31"/>
      <c r="I26" s="31"/>
      <c r="J26" s="31"/>
      <c r="K26" s="31"/>
      <c r="M26" s="200">
        <v>1.8767673949707797E-2</v>
      </c>
      <c r="N26" s="200">
        <v>0.59670850976333467</v>
      </c>
      <c r="O26" s="200">
        <v>0.21167643770934871</v>
      </c>
      <c r="P26" s="200">
        <v>2.8189651914998235</v>
      </c>
      <c r="Q26" s="200">
        <v>1.234838619973359E-2</v>
      </c>
      <c r="R26" s="200">
        <v>0.14797451071889889</v>
      </c>
      <c r="S26" s="200">
        <v>1.0454425088077706</v>
      </c>
      <c r="T26" s="200">
        <v>0.14797451071889889</v>
      </c>
      <c r="U26" s="200">
        <v>1.0454425088077706</v>
      </c>
    </row>
    <row r="27" spans="2:21" ht="13.95" customHeight="1" thickBot="1">
      <c r="B27">
        <v>1966</v>
      </c>
      <c r="D27">
        <v>8.3000000000000007</v>
      </c>
      <c r="M27" s="201">
        <v>-2.7472385989053549E-2</v>
      </c>
      <c r="N27" s="201">
        <v>-0.23436783527948693</v>
      </c>
      <c r="O27" s="201">
        <v>0.22992443865512385</v>
      </c>
      <c r="P27" s="201">
        <v>-1.0193254647063767</v>
      </c>
      <c r="Q27" s="201">
        <v>0.32321492618199976</v>
      </c>
      <c r="R27" s="201">
        <v>-0.7217858679725232</v>
      </c>
      <c r="S27" s="201">
        <v>0.25305019741354928</v>
      </c>
      <c r="T27" s="201">
        <v>-0.7217858679725232</v>
      </c>
      <c r="U27" s="201">
        <v>0.25305019741354928</v>
      </c>
    </row>
    <row r="28" spans="2:21" ht="13.95" customHeight="1">
      <c r="B28">
        <v>1967</v>
      </c>
      <c r="D28">
        <v>8.1</v>
      </c>
    </row>
    <row r="29" spans="2:21" ht="13.95" customHeight="1">
      <c r="B29">
        <v>1968</v>
      </c>
      <c r="D29">
        <v>7.3</v>
      </c>
    </row>
    <row r="30" spans="2:21" ht="13.95" customHeight="1">
      <c r="B30">
        <v>1969</v>
      </c>
      <c r="D30">
        <v>6.9</v>
      </c>
      <c r="I30" s="15"/>
    </row>
    <row r="31" spans="2:21" ht="13.95" customHeight="1">
      <c r="B31">
        <v>1970</v>
      </c>
      <c r="C31" s="199">
        <v>4269.8999999999996</v>
      </c>
      <c r="D31" s="18">
        <v>7</v>
      </c>
      <c r="E31" s="199">
        <v>1392.2999</v>
      </c>
      <c r="I31" s="15">
        <f t="shared" ref="I31:I70" si="0">(D31/D26)^(1/(B31-B26))-1</f>
        <v>-3.8086936409554406E-2</v>
      </c>
      <c r="M31" t="s">
        <v>250</v>
      </c>
    </row>
    <row r="32" spans="2:21" ht="13.95" customHeight="1" thickBot="1">
      <c r="B32">
        <v>1971</v>
      </c>
      <c r="C32" s="199">
        <v>4413.3</v>
      </c>
      <c r="D32" s="18">
        <v>7.1</v>
      </c>
      <c r="E32" s="199">
        <v>1469.5402770000001</v>
      </c>
      <c r="G32" s="15">
        <f t="shared" ref="G32:G70" si="1">D32/D31-1</f>
        <v>1.4285714285714235E-2</v>
      </c>
      <c r="H32" s="15">
        <f t="shared" ref="H32:H70" si="2">C32/C31-1</f>
        <v>3.3583924682077049E-2</v>
      </c>
      <c r="I32" s="15">
        <f t="shared" si="0"/>
        <v>-3.0749460825419295E-2</v>
      </c>
      <c r="J32" s="15">
        <f t="shared" ref="J32:J70" si="3">E32/E31-1</f>
        <v>5.5476824353718701E-2</v>
      </c>
    </row>
    <row r="33" spans="2:15" ht="13.95" customHeight="1">
      <c r="B33">
        <v>1972</v>
      </c>
      <c r="C33" s="199">
        <v>4647.7</v>
      </c>
      <c r="D33" s="18">
        <v>7.1</v>
      </c>
      <c r="E33" s="199">
        <v>1595.160691</v>
      </c>
      <c r="G33" s="15">
        <f t="shared" si="1"/>
        <v>0</v>
      </c>
      <c r="H33" s="15">
        <f t="shared" si="2"/>
        <v>5.3112183626764509E-2</v>
      </c>
      <c r="I33" s="15">
        <f t="shared" si="0"/>
        <v>-2.6009623254230729E-2</v>
      </c>
      <c r="J33" s="15">
        <f t="shared" si="3"/>
        <v>8.5482797556558632E-2</v>
      </c>
      <c r="M33" s="202" t="s">
        <v>251</v>
      </c>
      <c r="N33" s="202" t="s">
        <v>257</v>
      </c>
      <c r="O33" s="202" t="s">
        <v>252</v>
      </c>
    </row>
    <row r="34" spans="2:15" ht="13.95" customHeight="1">
      <c r="B34">
        <v>1973</v>
      </c>
      <c r="C34" s="199">
        <v>4917</v>
      </c>
      <c r="D34" s="18">
        <v>7.1</v>
      </c>
      <c r="E34" s="199">
        <v>1712.9087810000001</v>
      </c>
      <c r="G34" s="15">
        <f t="shared" si="1"/>
        <v>0</v>
      </c>
      <c r="H34" s="15">
        <f t="shared" si="2"/>
        <v>5.7942638294210091E-2</v>
      </c>
      <c r="I34" s="15">
        <f t="shared" si="0"/>
        <v>-5.5405072815921663E-3</v>
      </c>
      <c r="J34" s="15">
        <f t="shared" si="3"/>
        <v>7.3815817217877999E-2</v>
      </c>
      <c r="M34" s="200">
        <v>1</v>
      </c>
      <c r="N34" s="200">
        <v>2.913332673234046E-3</v>
      </c>
      <c r="O34" s="200">
        <v>1.4349681329485189E-2</v>
      </c>
    </row>
    <row r="35" spans="2:15" ht="13.95" customHeight="1">
      <c r="B35">
        <v>1974</v>
      </c>
      <c r="C35" s="199">
        <v>4889.8999999999996</v>
      </c>
      <c r="D35" s="18">
        <v>8.1999999999999993</v>
      </c>
      <c r="E35" s="199">
        <v>1705.923726</v>
      </c>
      <c r="G35" s="15">
        <f t="shared" si="1"/>
        <v>0.15492957746478875</v>
      </c>
      <c r="H35" s="15">
        <f t="shared" si="2"/>
        <v>-5.5114907463901242E-3</v>
      </c>
      <c r="I35" s="15">
        <f t="shared" si="0"/>
        <v>3.5125368671915957E-2</v>
      </c>
      <c r="J35" s="15">
        <f t="shared" si="3"/>
        <v>-4.0778908237729672E-3</v>
      </c>
      <c r="M35" s="200">
        <v>2</v>
      </c>
      <c r="N35" s="200">
        <v>2.3391178236615056E-2</v>
      </c>
      <c r="O35" s="200">
        <v>-1.9529002760643049E-2</v>
      </c>
    </row>
    <row r="36" spans="2:15" ht="13.95" customHeight="1">
      <c r="B36">
        <v>1975</v>
      </c>
      <c r="C36" s="199">
        <v>4879.5</v>
      </c>
      <c r="D36" s="18">
        <v>8.6</v>
      </c>
      <c r="E36" s="199">
        <v>1747.090627</v>
      </c>
      <c r="G36" s="15">
        <f t="shared" si="1"/>
        <v>4.8780487804878092E-2</v>
      </c>
      <c r="H36" s="15">
        <f t="shared" si="2"/>
        <v>-2.1268328595676067E-3</v>
      </c>
      <c r="I36" s="15">
        <f t="shared" si="0"/>
        <v>4.2029663567281883E-2</v>
      </c>
      <c r="J36" s="15">
        <f t="shared" si="3"/>
        <v>2.4131736004708193E-2</v>
      </c>
      <c r="M36" s="200">
        <v>3</v>
      </c>
      <c r="N36" s="200">
        <v>1.8697261642164134E-2</v>
      </c>
      <c r="O36" s="200">
        <v>1.7024569098189377E-2</v>
      </c>
    </row>
    <row r="37" spans="2:15" ht="13.95" customHeight="1">
      <c r="B37">
        <v>1976</v>
      </c>
      <c r="C37" s="199">
        <v>5141.3</v>
      </c>
      <c r="D37" s="18">
        <v>8.6999999999999993</v>
      </c>
      <c r="E37" s="199">
        <v>1855.2460940000001</v>
      </c>
      <c r="G37" s="15">
        <f t="shared" si="1"/>
        <v>1.1627906976744207E-2</v>
      </c>
      <c r="H37" s="15">
        <f t="shared" si="2"/>
        <v>5.3653038221129323E-2</v>
      </c>
      <c r="I37" s="15">
        <f t="shared" si="0"/>
        <v>4.1482988906745177E-2</v>
      </c>
      <c r="J37" s="15">
        <f t="shared" si="3"/>
        <v>6.1906042725281107E-2</v>
      </c>
      <c r="M37" s="200">
        <v>4</v>
      </c>
      <c r="N37" s="200">
        <v>2.611966252954499E-2</v>
      </c>
      <c r="O37" s="200">
        <v>6.0342714989293847E-4</v>
      </c>
    </row>
    <row r="38" spans="2:15" ht="13.95" customHeight="1">
      <c r="B38">
        <v>1977</v>
      </c>
      <c r="C38" s="199">
        <v>5377.7</v>
      </c>
      <c r="D38" s="18">
        <v>9</v>
      </c>
      <c r="E38" s="199">
        <v>1948.361212</v>
      </c>
      <c r="G38" s="15">
        <f t="shared" si="1"/>
        <v>3.4482758620689724E-2</v>
      </c>
      <c r="H38" s="15">
        <f t="shared" si="2"/>
        <v>4.5980588567093861E-2</v>
      </c>
      <c r="I38" s="15">
        <f t="shared" si="0"/>
        <v>4.8568560823382123E-2</v>
      </c>
      <c r="J38" s="15">
        <f t="shared" si="3"/>
        <v>5.0190170620027619E-2</v>
      </c>
      <c r="M38" s="200">
        <v>5</v>
      </c>
      <c r="N38" s="200">
        <v>1.6982240552307942E-2</v>
      </c>
      <c r="O38" s="200">
        <v>9.982363698482339E-3</v>
      </c>
    </row>
    <row r="39" spans="2:15" ht="13.95" customHeight="1">
      <c r="B39">
        <v>1978</v>
      </c>
      <c r="C39" s="199">
        <v>5677.6</v>
      </c>
      <c r="D39" s="18">
        <v>9.1999999999999993</v>
      </c>
      <c r="E39" s="199">
        <v>2017.922</v>
      </c>
      <c r="G39" s="15">
        <f t="shared" si="1"/>
        <v>2.2222222222222143E-2</v>
      </c>
      <c r="H39" s="15">
        <f t="shared" si="2"/>
        <v>5.5767335477992619E-2</v>
      </c>
      <c r="I39" s="15">
        <f t="shared" si="0"/>
        <v>5.3187984490501439E-2</v>
      </c>
      <c r="J39" s="15">
        <f t="shared" si="3"/>
        <v>3.5702203252442999E-2</v>
      </c>
      <c r="M39" s="200">
        <v>6</v>
      </c>
      <c r="N39" s="200">
        <v>2.4997426630439693E-2</v>
      </c>
      <c r="O39" s="200">
        <v>3.3853023517348389E-3</v>
      </c>
    </row>
    <row r="40" spans="2:15" ht="13.95" customHeight="1">
      <c r="B40">
        <v>1979</v>
      </c>
      <c r="C40" s="199">
        <v>5855</v>
      </c>
      <c r="D40" s="18">
        <v>9.1</v>
      </c>
      <c r="E40" s="199">
        <v>2071.0990000000002</v>
      </c>
      <c r="G40" s="15">
        <f t="shared" si="1"/>
        <v>-1.0869565217391242E-2</v>
      </c>
      <c r="H40" s="15">
        <f t="shared" si="2"/>
        <v>3.1245596731013014E-2</v>
      </c>
      <c r="I40" s="15">
        <f t="shared" si="0"/>
        <v>2.1046469491486031E-2</v>
      </c>
      <c r="J40" s="15">
        <f t="shared" si="3"/>
        <v>2.6352356533106969E-2</v>
      </c>
      <c r="M40" s="200">
        <v>7</v>
      </c>
      <c r="N40" s="200">
        <v>2.9549688081954694E-2</v>
      </c>
      <c r="O40" s="200">
        <v>-1.4771643431154124E-2</v>
      </c>
    </row>
    <row r="41" spans="2:15" ht="13.95" customHeight="1">
      <c r="B41">
        <v>1980</v>
      </c>
      <c r="C41" s="199">
        <v>5839</v>
      </c>
      <c r="D41" s="18">
        <v>9.8000000000000007</v>
      </c>
      <c r="E41" s="199">
        <v>2094.4490000000001</v>
      </c>
      <c r="G41" s="15">
        <f t="shared" si="1"/>
        <v>7.6923076923077094E-2</v>
      </c>
      <c r="H41" s="15">
        <f t="shared" si="2"/>
        <v>-2.7327070879590298E-3</v>
      </c>
      <c r="I41" s="15">
        <f t="shared" si="0"/>
        <v>2.6468260090952711E-2</v>
      </c>
      <c r="J41" s="15">
        <f t="shared" si="3"/>
        <v>1.1274207558402471E-2</v>
      </c>
      <c r="M41" s="200">
        <v>8</v>
      </c>
      <c r="N41" s="200">
        <v>2.9953487712997016E-2</v>
      </c>
      <c r="O41" s="200">
        <v>7.3732652611049124E-3</v>
      </c>
    </row>
    <row r="42" spans="2:15" ht="13.95" customHeight="1">
      <c r="B42">
        <v>1981</v>
      </c>
      <c r="C42" s="199">
        <v>5987.2</v>
      </c>
      <c r="D42" s="18">
        <v>10.5</v>
      </c>
      <c r="E42" s="199">
        <v>2147.1028590000001</v>
      </c>
      <c r="G42" s="15">
        <f t="shared" si="1"/>
        <v>7.1428571428571397E-2</v>
      </c>
      <c r="H42" s="15">
        <f t="shared" si="2"/>
        <v>2.538105840041105E-2</v>
      </c>
      <c r="I42" s="15">
        <f t="shared" si="0"/>
        <v>3.8326670088616899E-2</v>
      </c>
      <c r="J42" s="15">
        <f t="shared" si="3"/>
        <v>2.5139718847295933E-2</v>
      </c>
      <c r="M42" s="200">
        <v>9</v>
      </c>
      <c r="N42" s="200">
        <v>3.3020165357115994E-2</v>
      </c>
      <c r="O42" s="200">
        <v>-1.5905398905311896E-2</v>
      </c>
    </row>
    <row r="43" spans="2:15" ht="13.95" customHeight="1">
      <c r="B43">
        <v>1982</v>
      </c>
      <c r="C43" s="199">
        <v>5870.9</v>
      </c>
      <c r="D43" s="18">
        <v>11</v>
      </c>
      <c r="E43" s="199">
        <v>2086.441354</v>
      </c>
      <c r="G43" s="15">
        <f t="shared" si="1"/>
        <v>4.7619047619047672E-2</v>
      </c>
      <c r="H43" s="15">
        <f t="shared" si="2"/>
        <v>-1.9424772848743999E-2</v>
      </c>
      <c r="I43" s="15">
        <f t="shared" si="0"/>
        <v>4.0950396969256841E-2</v>
      </c>
      <c r="J43" s="15">
        <f t="shared" si="3"/>
        <v>-2.8252724244544503E-2</v>
      </c>
      <c r="M43" s="200">
        <v>10</v>
      </c>
      <c r="N43" s="200">
        <v>2.7668733215049202E-2</v>
      </c>
      <c r="O43" s="200">
        <v>3.5164726448428385E-3</v>
      </c>
    </row>
    <row r="44" spans="2:15" ht="13.95" customHeight="1">
      <c r="B44">
        <v>1983</v>
      </c>
      <c r="C44" s="199">
        <v>6136.2</v>
      </c>
      <c r="D44" s="18">
        <v>10.9</v>
      </c>
      <c r="E44" s="199">
        <v>2150.954596</v>
      </c>
      <c r="G44" s="15">
        <f t="shared" si="1"/>
        <v>-9.0909090909090384E-3</v>
      </c>
      <c r="H44" s="15">
        <f t="shared" si="2"/>
        <v>4.5188982949803336E-2</v>
      </c>
      <c r="I44" s="15">
        <f t="shared" si="0"/>
        <v>3.4493423531187339E-2</v>
      </c>
      <c r="J44" s="15">
        <f t="shared" si="3"/>
        <v>3.0920227820599555E-2</v>
      </c>
      <c r="M44" s="200">
        <v>11</v>
      </c>
      <c r="N44" s="200">
        <v>6.2377809960370012E-3</v>
      </c>
      <c r="O44" s="200">
        <v>-1.605029689804538E-2</v>
      </c>
    </row>
    <row r="45" spans="2:15" ht="13.95" customHeight="1">
      <c r="B45">
        <v>1984</v>
      </c>
      <c r="C45" s="199">
        <v>6577.1</v>
      </c>
      <c r="D45" s="18">
        <v>10.46</v>
      </c>
      <c r="E45" s="199">
        <v>2285.796394</v>
      </c>
      <c r="G45" s="15">
        <f t="shared" si="1"/>
        <v>-4.0366972477064222E-2</v>
      </c>
      <c r="H45" s="15">
        <f t="shared" si="2"/>
        <v>7.1852286431342005E-2</v>
      </c>
      <c r="I45" s="15">
        <f t="shared" si="0"/>
        <v>2.8248437980851193E-2</v>
      </c>
      <c r="J45" s="15">
        <f t="shared" si="3"/>
        <v>6.2689281424515908E-2</v>
      </c>
      <c r="M45" s="200">
        <v>12</v>
      </c>
      <c r="N45" s="200">
        <v>1.0999016653780664E-2</v>
      </c>
      <c r="O45" s="200">
        <v>9.9572250023470862E-3</v>
      </c>
    </row>
    <row r="46" spans="2:15" ht="13.95" customHeight="1">
      <c r="B46">
        <v>1985</v>
      </c>
      <c r="C46" s="199">
        <v>6849.3</v>
      </c>
      <c r="D46" s="18">
        <v>10.46</v>
      </c>
      <c r="E46" s="199">
        <v>2323.9738520000001</v>
      </c>
      <c r="G46" s="15">
        <f t="shared" si="1"/>
        <v>0</v>
      </c>
      <c r="H46" s="15">
        <f t="shared" si="2"/>
        <v>4.1386021194751432E-2</v>
      </c>
      <c r="I46" s="15">
        <f t="shared" si="0"/>
        <v>1.3120543358279502E-2</v>
      </c>
      <c r="J46" s="15">
        <f t="shared" si="3"/>
        <v>1.6702037898131517E-2</v>
      </c>
      <c r="M46" s="200">
        <v>13</v>
      </c>
      <c r="N46" s="200">
        <v>1.32149573503601E-2</v>
      </c>
      <c r="O46" s="200">
        <v>-4.84997106810575E-3</v>
      </c>
    </row>
    <row r="47" spans="2:15" ht="13.95" customHeight="1">
      <c r="B47">
        <v>1986</v>
      </c>
      <c r="C47" s="199">
        <v>7086.5</v>
      </c>
      <c r="D47" s="18">
        <v>10.23</v>
      </c>
      <c r="E47" s="199">
        <v>2368.753052</v>
      </c>
      <c r="G47" s="15">
        <f t="shared" si="1"/>
        <v>-2.1988527724665419E-2</v>
      </c>
      <c r="H47" s="15">
        <f t="shared" si="2"/>
        <v>3.463127618880768E-2</v>
      </c>
      <c r="I47" s="15">
        <f t="shared" si="0"/>
        <v>-5.1965862256307949E-3</v>
      </c>
      <c r="J47" s="15">
        <f t="shared" si="3"/>
        <v>1.9268375141769933E-2</v>
      </c>
      <c r="M47" s="200">
        <v>14</v>
      </c>
      <c r="N47" s="200">
        <v>1.8582704104310968E-2</v>
      </c>
      <c r="O47" s="200">
        <v>-3.8584971623916303E-3</v>
      </c>
    </row>
    <row r="48" spans="2:15" ht="13.95" customHeight="1">
      <c r="B48">
        <v>1987</v>
      </c>
      <c r="C48" s="199">
        <v>7313.3</v>
      </c>
      <c r="D48" s="18">
        <v>9.84</v>
      </c>
      <c r="E48" s="199">
        <v>2457.272219</v>
      </c>
      <c r="G48" s="15">
        <f t="shared" si="1"/>
        <v>-3.8123167155425297E-2</v>
      </c>
      <c r="H48" s="15">
        <f t="shared" si="2"/>
        <v>3.2004515628307306E-2</v>
      </c>
      <c r="I48" s="15">
        <f t="shared" si="0"/>
        <v>-2.2041371849641389E-2</v>
      </c>
      <c r="J48" s="15">
        <f t="shared" si="3"/>
        <v>3.7369521033550068E-2</v>
      </c>
      <c r="M48" s="200">
        <v>15</v>
      </c>
      <c r="N48" s="200">
        <v>1.4017513955285003E-2</v>
      </c>
      <c r="O48" s="200">
        <v>1.1557257548908181E-2</v>
      </c>
    </row>
    <row r="49" spans="2:15" ht="13.95" customHeight="1">
      <c r="B49">
        <v>1988</v>
      </c>
      <c r="C49" s="199">
        <v>7613.9</v>
      </c>
      <c r="D49" s="18">
        <v>9.48</v>
      </c>
      <c r="E49" s="199">
        <v>2578.0624950000001</v>
      </c>
      <c r="G49" s="15">
        <f t="shared" si="1"/>
        <v>-3.6585365853658458E-2</v>
      </c>
      <c r="H49" s="15">
        <f t="shared" si="2"/>
        <v>4.1103195547837368E-2</v>
      </c>
      <c r="I49" s="15">
        <f t="shared" si="0"/>
        <v>-2.752965214666947E-2</v>
      </c>
      <c r="J49" s="15">
        <f t="shared" si="3"/>
        <v>4.9156245313820568E-2</v>
      </c>
      <c r="M49" s="200">
        <v>16</v>
      </c>
      <c r="N49" s="200">
        <v>1.1194522840621923E-2</v>
      </c>
      <c r="O49" s="200">
        <v>-9.6564927853063139E-3</v>
      </c>
    </row>
    <row r="50" spans="2:15" ht="13.95" customHeight="1">
      <c r="B50">
        <v>1989</v>
      </c>
      <c r="C50" s="199">
        <v>7885.9</v>
      </c>
      <c r="D50" s="18">
        <v>9.2799999999999994</v>
      </c>
      <c r="E50" s="199">
        <v>2755.6351530000002</v>
      </c>
      <c r="G50" s="15">
        <f t="shared" si="1"/>
        <v>-2.1097046413502185E-2</v>
      </c>
      <c r="H50" s="15">
        <f t="shared" si="2"/>
        <v>3.5724136119465788E-2</v>
      </c>
      <c r="I50" s="15">
        <f t="shared" si="0"/>
        <v>-2.3655108320233764E-2</v>
      </c>
      <c r="J50" s="15">
        <f t="shared" si="3"/>
        <v>6.8878337256909727E-2</v>
      </c>
      <c r="M50" s="200">
        <v>17</v>
      </c>
      <c r="N50" s="200">
        <v>5.6546306557930725E-3</v>
      </c>
      <c r="O50" s="200">
        <v>2.237081164864952E-2</v>
      </c>
    </row>
    <row r="51" spans="2:15" ht="13.95" customHeight="1">
      <c r="B51">
        <v>1990</v>
      </c>
      <c r="C51" s="199">
        <v>8033.9</v>
      </c>
      <c r="D51" s="18">
        <v>9.1</v>
      </c>
      <c r="E51" s="199">
        <v>2837.0836049999998</v>
      </c>
      <c r="G51" s="15">
        <f t="shared" si="1"/>
        <v>-1.93965517241379E-2</v>
      </c>
      <c r="H51" s="15">
        <f t="shared" si="2"/>
        <v>1.8767673949707797E-2</v>
      </c>
      <c r="I51" s="15">
        <f t="shared" si="0"/>
        <v>-2.7472385989053549E-2</v>
      </c>
      <c r="J51" s="15">
        <f t="shared" si="3"/>
        <v>2.9557052177726861E-2</v>
      </c>
      <c r="M51" s="200">
        <v>18</v>
      </c>
      <c r="N51" s="200">
        <v>-7.4940189669611169E-3</v>
      </c>
      <c r="O51" s="200">
        <v>3.0669933831603026E-3</v>
      </c>
    </row>
    <row r="52" spans="2:15" ht="13.95" customHeight="1" thickBot="1">
      <c r="B52">
        <v>1991</v>
      </c>
      <c r="C52" s="199">
        <v>8015.1</v>
      </c>
      <c r="D52" s="18">
        <v>9.0299999999999994</v>
      </c>
      <c r="E52" s="199">
        <v>2886.060219</v>
      </c>
      <c r="G52" s="15">
        <f t="shared" si="1"/>
        <v>-7.692307692307776E-3</v>
      </c>
      <c r="H52" s="15">
        <f t="shared" si="2"/>
        <v>-2.3400838944970248E-3</v>
      </c>
      <c r="I52" s="15">
        <f t="shared" si="0"/>
        <v>-2.464565428497123E-2</v>
      </c>
      <c r="J52" s="15">
        <f t="shared" si="3"/>
        <v>1.7263014002719235E-2</v>
      </c>
      <c r="M52" s="201">
        <v>19</v>
      </c>
      <c r="N52" s="201">
        <v>-2.3661359910925724E-2</v>
      </c>
      <c r="O52" s="201">
        <v>-1.8566066105839378E-2</v>
      </c>
    </row>
    <row r="53" spans="2:15" ht="13.95" customHeight="1">
      <c r="B53">
        <v>1992</v>
      </c>
      <c r="C53" s="199">
        <v>8287.1</v>
      </c>
      <c r="D53" s="18">
        <v>8.91</v>
      </c>
      <c r="E53" s="199">
        <v>2897.20669</v>
      </c>
      <c r="G53" s="15">
        <f t="shared" si="1"/>
        <v>-1.3289036544850363E-2</v>
      </c>
      <c r="H53" s="15">
        <f t="shared" si="2"/>
        <v>3.3935945902109799E-2</v>
      </c>
      <c r="I53" s="15">
        <f t="shared" si="0"/>
        <v>-1.9660456058903764E-2</v>
      </c>
      <c r="J53" s="15">
        <f t="shared" si="3"/>
        <v>3.8621754759720073E-3</v>
      </c>
    </row>
    <row r="54" spans="2:15" ht="13.95" customHeight="1">
      <c r="B54">
        <v>1993</v>
      </c>
      <c r="C54" s="199">
        <v>8523.4</v>
      </c>
      <c r="D54" s="18">
        <v>8.86</v>
      </c>
      <c r="E54" s="199">
        <v>3000.7002170000001</v>
      </c>
      <c r="G54" s="15">
        <f t="shared" si="1"/>
        <v>-5.6116722783390305E-3</v>
      </c>
      <c r="H54" s="15">
        <f t="shared" si="2"/>
        <v>2.8514196763644639E-2</v>
      </c>
      <c r="I54" s="15">
        <f t="shared" si="0"/>
        <v>-1.3436424745105091E-2</v>
      </c>
      <c r="J54" s="15">
        <f t="shared" si="3"/>
        <v>3.5721830740353511E-2</v>
      </c>
    </row>
    <row r="55" spans="2:15" ht="13.95" customHeight="1">
      <c r="B55">
        <v>1994</v>
      </c>
      <c r="C55" s="199">
        <v>8870.7000000000007</v>
      </c>
      <c r="D55" s="18">
        <v>8.65</v>
      </c>
      <c r="E55" s="199">
        <v>3080.8881980000001</v>
      </c>
      <c r="G55" s="15">
        <f t="shared" si="1"/>
        <v>-2.3702031602708673E-2</v>
      </c>
      <c r="H55" s="15">
        <f t="shared" si="2"/>
        <v>4.0746650397728734E-2</v>
      </c>
      <c r="I55" s="15">
        <f t="shared" si="0"/>
        <v>-1.3962058770313979E-2</v>
      </c>
      <c r="J55" s="15">
        <f t="shared" si="3"/>
        <v>2.6723089679437928E-2</v>
      </c>
    </row>
    <row r="56" spans="2:15" ht="13.95" customHeight="1">
      <c r="B56">
        <v>1995</v>
      </c>
      <c r="C56" s="199">
        <v>9093.7000000000007</v>
      </c>
      <c r="D56" s="18">
        <v>8.4499999999999993</v>
      </c>
      <c r="E56" s="199">
        <v>3163.9631290000002</v>
      </c>
      <c r="G56" s="15">
        <f t="shared" si="1"/>
        <v>-2.3121387283237094E-2</v>
      </c>
      <c r="H56" s="15">
        <f t="shared" si="2"/>
        <v>2.5138940557114964E-2</v>
      </c>
      <c r="I56" s="15">
        <f t="shared" si="0"/>
        <v>-1.4712295262298669E-2</v>
      </c>
      <c r="J56" s="15">
        <f t="shared" si="3"/>
        <v>2.6964604250790281E-2</v>
      </c>
    </row>
    <row r="57" spans="2:15" ht="13.95" customHeight="1">
      <c r="B57">
        <v>1996</v>
      </c>
      <c r="C57" s="199">
        <v>9433.9</v>
      </c>
      <c r="D57" s="18">
        <v>8.26</v>
      </c>
      <c r="E57" s="199">
        <v>3253.7650370000001</v>
      </c>
      <c r="G57" s="15">
        <f t="shared" si="1"/>
        <v>-2.2485207100591653E-2</v>
      </c>
      <c r="H57" s="15">
        <f t="shared" si="2"/>
        <v>3.7410514971903508E-2</v>
      </c>
      <c r="I57" s="15">
        <f t="shared" si="0"/>
        <v>-1.7667620577342169E-2</v>
      </c>
      <c r="J57" s="15">
        <f t="shared" si="3"/>
        <v>2.8382728982174532E-2</v>
      </c>
    </row>
    <row r="58" spans="2:15" ht="13.95" customHeight="1">
      <c r="B58">
        <v>1997</v>
      </c>
      <c r="C58" s="199">
        <v>9854.2999999999993</v>
      </c>
      <c r="D58" s="18">
        <v>8.1</v>
      </c>
      <c r="E58" s="199">
        <v>3301.849322</v>
      </c>
      <c r="G58" s="15">
        <f t="shared" si="1"/>
        <v>-1.937046004842613E-2</v>
      </c>
      <c r="H58" s="15">
        <f t="shared" si="2"/>
        <v>4.4562694113781109E-2</v>
      </c>
      <c r="I58" s="15">
        <f t="shared" si="0"/>
        <v>-1.8881504273735694E-2</v>
      </c>
      <c r="J58" s="15">
        <f t="shared" si="3"/>
        <v>1.477804465080057E-2</v>
      </c>
    </row>
    <row r="59" spans="2:15" ht="13.95" customHeight="1">
      <c r="B59">
        <v>1998</v>
      </c>
      <c r="C59" s="199">
        <v>10283.5</v>
      </c>
      <c r="D59" s="18">
        <v>7.88</v>
      </c>
      <c r="E59" s="199">
        <v>3425.0966360000002</v>
      </c>
      <c r="G59" s="15">
        <f t="shared" si="1"/>
        <v>-2.7160493827160459E-2</v>
      </c>
      <c r="H59" s="15">
        <f t="shared" si="2"/>
        <v>4.3554590381863934E-2</v>
      </c>
      <c r="I59" s="15">
        <f t="shared" si="0"/>
        <v>-2.3171101885978818E-2</v>
      </c>
      <c r="J59" s="15">
        <f t="shared" si="3"/>
        <v>3.7326752974101929E-2</v>
      </c>
    </row>
    <row r="60" spans="2:15" ht="13.95" customHeight="1">
      <c r="B60">
        <v>1999</v>
      </c>
      <c r="C60" s="199">
        <v>10779.8</v>
      </c>
      <c r="D60" s="18">
        <v>7.65</v>
      </c>
      <c r="E60" s="199">
        <v>3483.7163650000002</v>
      </c>
      <c r="G60" s="15">
        <f t="shared" si="1"/>
        <v>-2.9187817258883197E-2</v>
      </c>
      <c r="H60" s="15">
        <f t="shared" si="2"/>
        <v>4.8261778577332493E-2</v>
      </c>
      <c r="I60" s="15">
        <f t="shared" si="0"/>
        <v>-2.4271331320269041E-2</v>
      </c>
      <c r="J60" s="15">
        <f t="shared" si="3"/>
        <v>1.7114766451804098E-2</v>
      </c>
    </row>
    <row r="61" spans="2:15" ht="13.95" customHeight="1">
      <c r="B61">
        <v>2000</v>
      </c>
      <c r="C61" s="199">
        <v>11226</v>
      </c>
      <c r="D61" s="18">
        <v>7.68</v>
      </c>
      <c r="E61" s="199">
        <v>3592.356777</v>
      </c>
      <c r="G61" s="15">
        <f t="shared" si="1"/>
        <v>3.9215686274509665E-3</v>
      </c>
      <c r="H61" s="15">
        <f t="shared" si="2"/>
        <v>4.139223362214528E-2</v>
      </c>
      <c r="I61" s="15">
        <f t="shared" si="0"/>
        <v>-1.8927952150463612E-2</v>
      </c>
      <c r="J61" s="15">
        <f t="shared" si="3"/>
        <v>3.118520585989204E-2</v>
      </c>
    </row>
    <row r="62" spans="2:15" ht="13.95" customHeight="1">
      <c r="B62">
        <v>2001</v>
      </c>
      <c r="C62" s="199">
        <v>11347.2</v>
      </c>
      <c r="D62" s="18">
        <v>8.0399999999999991</v>
      </c>
      <c r="E62" s="199">
        <v>3557.1067189999999</v>
      </c>
      <c r="G62" s="15">
        <f t="shared" si="1"/>
        <v>4.6875E-2</v>
      </c>
      <c r="H62" s="15">
        <f t="shared" si="2"/>
        <v>1.0796365579903933E-2</v>
      </c>
      <c r="I62" s="15">
        <f t="shared" si="0"/>
        <v>-5.3845519188340241E-3</v>
      </c>
      <c r="J62" s="15">
        <f t="shared" si="3"/>
        <v>-9.8125159020083785E-3</v>
      </c>
    </row>
    <row r="63" spans="2:15" ht="13.95" customHeight="1">
      <c r="B63">
        <v>2002</v>
      </c>
      <c r="C63" s="199">
        <v>11553</v>
      </c>
      <c r="D63" s="18">
        <v>7.82</v>
      </c>
      <c r="E63" s="199">
        <v>3631.6503069999999</v>
      </c>
      <c r="G63" s="15">
        <f t="shared" si="1"/>
        <v>-2.736318407960181E-2</v>
      </c>
      <c r="H63" s="15">
        <f t="shared" si="2"/>
        <v>1.813663282571909E-2</v>
      </c>
      <c r="I63" s="15">
        <f t="shared" si="0"/>
        <v>-7.0112074186130524E-3</v>
      </c>
      <c r="J63" s="15">
        <f t="shared" si="3"/>
        <v>2.095624165612775E-2</v>
      </c>
    </row>
    <row r="64" spans="2:15" ht="13.95" customHeight="1">
      <c r="B64">
        <v>2003</v>
      </c>
      <c r="C64" s="199">
        <v>11840.7</v>
      </c>
      <c r="D64" s="18">
        <v>7.91</v>
      </c>
      <c r="E64" s="199">
        <v>3662.029012</v>
      </c>
      <c r="G64" s="15">
        <f t="shared" si="1"/>
        <v>1.1508951406649537E-2</v>
      </c>
      <c r="H64" s="15">
        <f t="shared" si="2"/>
        <v>2.4902622695403887E-2</v>
      </c>
      <c r="I64" s="15">
        <f t="shared" si="0"/>
        <v>7.6026443656695974E-4</v>
      </c>
      <c r="J64" s="15">
        <f t="shared" si="3"/>
        <v>8.3649862822543497E-3</v>
      </c>
    </row>
    <row r="65" spans="2:10" ht="13.95" customHeight="1">
      <c r="B65" s="197">
        <v>2004</v>
      </c>
      <c r="C65" s="199">
        <v>12263.8</v>
      </c>
      <c r="D65" s="18">
        <v>7.86</v>
      </c>
      <c r="E65" s="199">
        <v>3715.9494850000001</v>
      </c>
      <c r="G65" s="15">
        <f t="shared" si="1"/>
        <v>-6.321112515802807E-3</v>
      </c>
      <c r="H65" s="15">
        <f t="shared" si="2"/>
        <v>3.5732684723031483E-2</v>
      </c>
      <c r="I65" s="15">
        <f t="shared" si="0"/>
        <v>5.4308858035898577E-3</v>
      </c>
      <c r="J65" s="15">
        <f t="shared" si="3"/>
        <v>1.4724206941919338E-2</v>
      </c>
    </row>
    <row r="66" spans="2:10" ht="13.95" customHeight="1">
      <c r="B66" s="197">
        <v>2005</v>
      </c>
      <c r="C66" s="199">
        <v>12638.4</v>
      </c>
      <c r="D66" s="18">
        <v>8.14</v>
      </c>
      <c r="E66" s="199">
        <v>3810.9840439999998</v>
      </c>
      <c r="G66" s="15">
        <f t="shared" si="1"/>
        <v>3.5623409669211181E-2</v>
      </c>
      <c r="H66" s="15">
        <f t="shared" si="2"/>
        <v>3.0545181754431772E-2</v>
      </c>
      <c r="I66" s="15">
        <f t="shared" si="0"/>
        <v>1.1702066238768793E-2</v>
      </c>
      <c r="J66" s="15">
        <f t="shared" si="3"/>
        <v>2.5574771504193183E-2</v>
      </c>
    </row>
    <row r="67" spans="2:10" ht="13.95" customHeight="1">
      <c r="B67" s="197">
        <v>2006</v>
      </c>
      <c r="C67" s="199">
        <v>12976.2</v>
      </c>
      <c r="D67" s="18">
        <v>8.6199999999999992</v>
      </c>
      <c r="E67" s="199">
        <v>3816.845452</v>
      </c>
      <c r="G67" s="15">
        <f t="shared" si="1"/>
        <v>5.896805896805879E-2</v>
      </c>
      <c r="H67" s="15">
        <f t="shared" si="2"/>
        <v>2.6728066843904275E-2</v>
      </c>
      <c r="I67" s="15">
        <f t="shared" si="0"/>
        <v>1.4028691665660453E-2</v>
      </c>
      <c r="J67" s="15">
        <f t="shared" si="3"/>
        <v>1.538030055315609E-3</v>
      </c>
    </row>
    <row r="68" spans="2:10" ht="13.95" customHeight="1">
      <c r="B68" s="197">
        <v>2007</v>
      </c>
      <c r="C68" s="199">
        <v>13228.9</v>
      </c>
      <c r="D68" s="18">
        <v>8.6</v>
      </c>
      <c r="E68" s="199">
        <v>3923.8142339999999</v>
      </c>
      <c r="G68" s="15">
        <f t="shared" si="1"/>
        <v>-2.3201856148491462E-3</v>
      </c>
      <c r="H68" s="15">
        <f t="shared" si="2"/>
        <v>1.9474114147439048E-2</v>
      </c>
      <c r="I68" s="15">
        <f t="shared" si="0"/>
        <v>1.9197476366781041E-2</v>
      </c>
      <c r="J68" s="15">
        <f t="shared" si="3"/>
        <v>2.8025442304442594E-2</v>
      </c>
    </row>
    <row r="69" spans="2:10" ht="13.95" customHeight="1">
      <c r="B69" s="197">
        <v>2008</v>
      </c>
      <c r="C69" s="199">
        <v>13228.8</v>
      </c>
      <c r="D69" s="18">
        <v>8.98</v>
      </c>
      <c r="E69" s="199">
        <v>3906.4434080000001</v>
      </c>
      <c r="G69" s="15">
        <f t="shared" si="1"/>
        <v>4.4186046511627941E-2</v>
      </c>
      <c r="H69" s="15">
        <f t="shared" si="2"/>
        <v>-7.5592074927355313E-6</v>
      </c>
      <c r="I69" s="15">
        <f t="shared" si="0"/>
        <v>2.569909100011869E-2</v>
      </c>
      <c r="J69" s="15">
        <f t="shared" si="3"/>
        <v>-4.4270255838008143E-3</v>
      </c>
    </row>
    <row r="70" spans="2:10" ht="13.95" customHeight="1">
      <c r="B70" s="198">
        <v>2009</v>
      </c>
      <c r="C70" s="199">
        <v>12880.6</v>
      </c>
      <c r="D70" s="18">
        <v>9.01</v>
      </c>
      <c r="E70" s="199">
        <v>3741.4843580000002</v>
      </c>
      <c r="G70" s="15">
        <f t="shared" si="1"/>
        <v>3.3407572383072903E-3</v>
      </c>
      <c r="H70" s="15">
        <f t="shared" si="2"/>
        <v>-2.6321359458151838E-2</v>
      </c>
      <c r="I70" s="15">
        <f t="shared" si="0"/>
        <v>2.7686020689631885E-2</v>
      </c>
      <c r="J70" s="15">
        <f t="shared" si="3"/>
        <v>-4.2227426016765102E-2</v>
      </c>
    </row>
    <row r="71" spans="2:10" ht="13.95" customHeight="1">
      <c r="B71" s="198">
        <v>2010</v>
      </c>
      <c r="C71" s="199">
        <v>13248.2</v>
      </c>
    </row>
    <row r="73" spans="2:10" ht="13.95" customHeight="1">
      <c r="D73" s="1451" t="s">
        <v>223</v>
      </c>
      <c r="E73" s="1451" t="s">
        <v>222</v>
      </c>
    </row>
    <row r="74" spans="2:10" ht="13.95" customHeight="1">
      <c r="D74" s="1233"/>
      <c r="E74" s="1233"/>
    </row>
    <row r="75" spans="2:10" ht="13.95" customHeight="1">
      <c r="D75" s="1233"/>
      <c r="E75" s="1233"/>
    </row>
  </sheetData>
  <mergeCells count="13">
    <mergeCell ref="B5:J7"/>
    <mergeCell ref="B9:J11"/>
    <mergeCell ref="B13:J15"/>
    <mergeCell ref="B17:J19"/>
    <mergeCell ref="C22:C25"/>
    <mergeCell ref="D22:D25"/>
    <mergeCell ref="E22:E25"/>
    <mergeCell ref="D73:D75"/>
    <mergeCell ref="E73:E75"/>
    <mergeCell ref="H24:H25"/>
    <mergeCell ref="G24:G25"/>
    <mergeCell ref="J24:J25"/>
    <mergeCell ref="I24:I25"/>
  </mergeCells>
  <pageMargins left="0.7" right="0.7" top="0.75" bottom="0.75" header="0.3" footer="0.3"/>
</worksheet>
</file>

<file path=xl/worksheets/sheet23.xml><?xml version="1.0" encoding="utf-8"?>
<worksheet xmlns="http://schemas.openxmlformats.org/spreadsheetml/2006/main" xmlns:r="http://schemas.openxmlformats.org/officeDocument/2006/relationships">
  <dimension ref="B1:AF48"/>
  <sheetViews>
    <sheetView workbookViewId="0"/>
  </sheetViews>
  <sheetFormatPr defaultColWidth="10.625" defaultRowHeight="13.95" customHeight="1"/>
  <cols>
    <col min="1" max="1" width="2.625" customWidth="1"/>
  </cols>
  <sheetData>
    <row r="1" spans="2:32" ht="13.95" customHeight="1">
      <c r="B1" s="57" t="s">
        <v>590</v>
      </c>
      <c r="F1" s="31" t="s">
        <v>282</v>
      </c>
      <c r="K1" s="214">
        <f>Summary!I1</f>
        <v>42552</v>
      </c>
    </row>
    <row r="8" spans="2:32" ht="13.95" customHeight="1">
      <c r="B8" s="8" t="s">
        <v>27</v>
      </c>
    </row>
    <row r="10" spans="2:32" ht="13.95" customHeight="1">
      <c r="B10" s="31" t="s">
        <v>259</v>
      </c>
    </row>
    <row r="12" spans="2:32" ht="13.95" customHeight="1">
      <c r="B12" t="s">
        <v>24</v>
      </c>
      <c r="I12" s="12">
        <f>Summary!T110</f>
        <v>2017</v>
      </c>
      <c r="J12" s="12">
        <f>Summary!U110</f>
        <v>2018</v>
      </c>
      <c r="K12" s="12">
        <f>Summary!V110</f>
        <v>2019</v>
      </c>
      <c r="L12" s="12">
        <f>Summary!W110</f>
        <v>2020</v>
      </c>
      <c r="M12" s="12">
        <f>Summary!X110</f>
        <v>2021</v>
      </c>
      <c r="N12" s="12">
        <f>Summary!Y110</f>
        <v>2022</v>
      </c>
      <c r="O12" s="12">
        <f>Summary!Z110</f>
        <v>2023</v>
      </c>
      <c r="P12" s="12">
        <f>Summary!AA110</f>
        <v>2024</v>
      </c>
      <c r="Q12" s="12">
        <f>Summary!AB110</f>
        <v>2025</v>
      </c>
      <c r="R12" s="12">
        <f>Summary!AC110</f>
        <v>2026</v>
      </c>
      <c r="S12" s="12">
        <f>Summary!AD110</f>
        <v>2027</v>
      </c>
      <c r="T12" s="12">
        <f>Summary!AE110</f>
        <v>2028</v>
      </c>
      <c r="U12" s="12">
        <f>Summary!AF110</f>
        <v>2029</v>
      </c>
      <c r="V12" s="12">
        <f>Summary!AG110</f>
        <v>2030</v>
      </c>
      <c r="W12" s="12">
        <f>Summary!AH110</f>
        <v>2031</v>
      </c>
      <c r="X12" s="12">
        <f>Summary!AI110</f>
        <v>2032</v>
      </c>
      <c r="Y12" s="12">
        <f>Summary!AJ110</f>
        <v>2033</v>
      </c>
      <c r="Z12" s="12">
        <f>Summary!AK110</f>
        <v>2034</v>
      </c>
      <c r="AA12" s="12">
        <f>Summary!AL110</f>
        <v>2035</v>
      </c>
      <c r="AB12" s="12">
        <f>Summary!AM110</f>
        <v>2036</v>
      </c>
      <c r="AC12" s="12">
        <f>Summary!AN110</f>
        <v>2037</v>
      </c>
      <c r="AD12" s="12">
        <f>Summary!AO110</f>
        <v>2038</v>
      </c>
      <c r="AE12" s="12">
        <f>Summary!AP110</f>
        <v>2039</v>
      </c>
    </row>
    <row r="13" spans="2:32" ht="13.95" customHeight="1">
      <c r="B13" t="s">
        <v>25</v>
      </c>
      <c r="I13" s="408">
        <f>Summary!T212</f>
        <v>59.996132853372941</v>
      </c>
      <c r="J13" s="408">
        <f>Summary!U212</f>
        <v>116.75998131258092</v>
      </c>
      <c r="K13" s="408">
        <f>Summary!V212</f>
        <v>170.82843867265058</v>
      </c>
      <c r="L13" s="408">
        <f>Summary!W212</f>
        <v>222.7906789024224</v>
      </c>
      <c r="M13" s="408">
        <f>Summary!X212</f>
        <v>273.09212622721429</v>
      </c>
      <c r="N13" s="408">
        <f>Summary!Y212</f>
        <v>322.57248738535253</v>
      </c>
      <c r="O13" s="408">
        <f>Summary!Z212</f>
        <v>371.29547672226118</v>
      </c>
      <c r="P13" s="408">
        <f>Summary!AA212</f>
        <v>419.60012416608771</v>
      </c>
      <c r="Q13" s="408">
        <f>Summary!AB212</f>
        <v>466.99795493506213</v>
      </c>
      <c r="R13" s="408">
        <f>Summary!AC212</f>
        <v>513.77963688741124</v>
      </c>
      <c r="S13" s="408">
        <f>Summary!AD212</f>
        <v>558.91978723207546</v>
      </c>
      <c r="T13" s="408">
        <f>Summary!AE212</f>
        <v>603.68051331492813</v>
      </c>
      <c r="U13" s="408">
        <f>Summary!AF212</f>
        <v>648.41406438622255</v>
      </c>
      <c r="V13" s="408">
        <f>Summary!AG212</f>
        <v>692.96484719041143</v>
      </c>
      <c r="W13" s="408">
        <f>Summary!AH212</f>
        <v>737.92214924942868</v>
      </c>
      <c r="X13" s="408">
        <f>Summary!AI212</f>
        <v>782.77669010037948</v>
      </c>
      <c r="Y13" s="408">
        <f>Summary!AJ212</f>
        <v>827.87755177920371</v>
      </c>
      <c r="Z13" s="408">
        <f>Summary!AK212</f>
        <v>872.94823231278428</v>
      </c>
      <c r="AA13" s="408">
        <f>Summary!AL212</f>
        <v>918.10957557551615</v>
      </c>
      <c r="AB13" s="408">
        <f>Summary!AM212</f>
        <v>963.78021025388421</v>
      </c>
      <c r="AC13" s="408">
        <f>Summary!AN212</f>
        <v>1009.6769106526688</v>
      </c>
      <c r="AD13" s="408">
        <f>Summary!AO212</f>
        <v>1055.8148949774481</v>
      </c>
      <c r="AE13" s="408">
        <f>Summary!AP212</f>
        <v>1102.4080731622867</v>
      </c>
    </row>
    <row r="14" spans="2:32" ht="13.95" customHeight="1">
      <c r="B14" s="3" t="s">
        <v>26</v>
      </c>
      <c r="I14" s="409"/>
      <c r="J14" s="409"/>
      <c r="K14" s="409"/>
      <c r="L14" s="409"/>
      <c r="M14" s="409"/>
      <c r="N14" s="409"/>
      <c r="O14" s="409"/>
      <c r="P14" s="409"/>
      <c r="Q14" s="409"/>
      <c r="R14" s="409"/>
      <c r="S14" s="409"/>
      <c r="T14" s="409"/>
      <c r="U14" s="409"/>
      <c r="V14" s="409"/>
      <c r="W14" s="409"/>
      <c r="X14" s="409"/>
      <c r="Y14" s="409"/>
      <c r="Z14" s="409"/>
      <c r="AA14" s="409"/>
      <c r="AB14" s="409"/>
      <c r="AC14" s="409"/>
      <c r="AD14" s="409"/>
      <c r="AE14" s="409"/>
    </row>
    <row r="15" spans="2:32" ht="13.95" customHeight="1">
      <c r="I15" s="409"/>
      <c r="J15" s="409"/>
      <c r="K15" s="409"/>
      <c r="L15" s="409"/>
      <c r="M15" s="409"/>
      <c r="N15" s="409"/>
      <c r="O15" s="409"/>
      <c r="P15" s="409"/>
      <c r="Q15" s="409"/>
      <c r="R15" s="409"/>
      <c r="S15" s="409"/>
      <c r="T15" s="409"/>
      <c r="U15" s="409"/>
      <c r="V15" s="409"/>
      <c r="W15" s="409"/>
      <c r="X15" s="409"/>
      <c r="Y15" s="409"/>
      <c r="Z15" s="409"/>
      <c r="AA15" s="409"/>
      <c r="AB15" s="409"/>
      <c r="AC15" s="409"/>
      <c r="AD15" s="409"/>
      <c r="AE15" s="409"/>
    </row>
    <row r="16" spans="2:32" ht="13.95" customHeight="1">
      <c r="B16" t="s">
        <v>37</v>
      </c>
      <c r="I16" s="409">
        <f>I13+H16</f>
        <v>59.996132853372941</v>
      </c>
      <c r="J16" s="409">
        <f t="shared" ref="J16:AE16" si="0">J13+I16</f>
        <v>176.75611416595387</v>
      </c>
      <c r="K16" s="409">
        <f t="shared" si="0"/>
        <v>347.58455283860445</v>
      </c>
      <c r="L16" s="409">
        <f t="shared" si="0"/>
        <v>570.37523174102682</v>
      </c>
      <c r="M16" s="409">
        <f t="shared" si="0"/>
        <v>843.46735796824112</v>
      </c>
      <c r="N16" s="409">
        <f t="shared" si="0"/>
        <v>1166.0398453535936</v>
      </c>
      <c r="O16" s="409">
        <f t="shared" si="0"/>
        <v>1537.3353220758547</v>
      </c>
      <c r="P16" s="409">
        <f t="shared" si="0"/>
        <v>1956.9354462419424</v>
      </c>
      <c r="Q16" s="409">
        <f t="shared" si="0"/>
        <v>2423.9334011770043</v>
      </c>
      <c r="R16" s="409">
        <f t="shared" si="0"/>
        <v>2937.7130380644157</v>
      </c>
      <c r="S16" s="409">
        <f t="shared" si="0"/>
        <v>3496.6328252964913</v>
      </c>
      <c r="T16" s="409">
        <f t="shared" si="0"/>
        <v>4100.3133386114196</v>
      </c>
      <c r="U16" s="409">
        <f t="shared" si="0"/>
        <v>4748.7274029976425</v>
      </c>
      <c r="V16" s="409">
        <f t="shared" si="0"/>
        <v>5441.6922501880535</v>
      </c>
      <c r="W16" s="409">
        <f t="shared" si="0"/>
        <v>6179.6143994374825</v>
      </c>
      <c r="X16" s="409">
        <f t="shared" si="0"/>
        <v>6962.3910895378622</v>
      </c>
      <c r="Y16" s="409">
        <f t="shared" si="0"/>
        <v>7790.2686413170659</v>
      </c>
      <c r="Z16" s="409">
        <f t="shared" si="0"/>
        <v>8663.2168736298499</v>
      </c>
      <c r="AA16" s="409">
        <f t="shared" si="0"/>
        <v>9581.3264492053659</v>
      </c>
      <c r="AB16" s="409">
        <f t="shared" si="0"/>
        <v>10545.10665945925</v>
      </c>
      <c r="AC16" s="409">
        <f t="shared" si="0"/>
        <v>11554.783570111918</v>
      </c>
      <c r="AD16" s="409">
        <f t="shared" si="0"/>
        <v>12610.598465089366</v>
      </c>
      <c r="AE16" s="409">
        <f t="shared" si="0"/>
        <v>13713.006538251653</v>
      </c>
      <c r="AF16" s="85"/>
    </row>
    <row r="17" spans="2:31" ht="13.95" customHeight="1">
      <c r="I17" s="409"/>
      <c r="J17" s="409"/>
      <c r="K17" s="409"/>
      <c r="L17" s="409"/>
      <c r="M17" s="409"/>
      <c r="N17" s="409"/>
      <c r="O17" s="409"/>
      <c r="P17" s="409"/>
      <c r="Q17" s="409"/>
      <c r="R17" s="409"/>
      <c r="S17" s="409"/>
      <c r="T17" s="409"/>
      <c r="U17" s="409"/>
      <c r="V17" s="409"/>
      <c r="W17" s="409"/>
      <c r="X17" s="409"/>
      <c r="Y17" s="409"/>
      <c r="Z17" s="409"/>
      <c r="AA17" s="409"/>
      <c r="AB17" s="409"/>
      <c r="AC17" s="409"/>
      <c r="AD17" s="409"/>
      <c r="AE17" s="409"/>
    </row>
    <row r="18" spans="2:31" ht="13.95" customHeight="1">
      <c r="B18" t="s">
        <v>39</v>
      </c>
      <c r="I18" s="408">
        <f>MIN(I13/6,10)</f>
        <v>9.9993554755621563</v>
      </c>
      <c r="J18" s="408">
        <f t="shared" ref="J18:AE18" si="1">MIN(J13/6,10)</f>
        <v>10</v>
      </c>
      <c r="K18" s="408">
        <f t="shared" si="1"/>
        <v>10</v>
      </c>
      <c r="L18" s="408">
        <f t="shared" si="1"/>
        <v>10</v>
      </c>
      <c r="M18" s="408">
        <f t="shared" si="1"/>
        <v>10</v>
      </c>
      <c r="N18" s="408">
        <f t="shared" si="1"/>
        <v>10</v>
      </c>
      <c r="O18" s="408">
        <f t="shared" si="1"/>
        <v>10</v>
      </c>
      <c r="P18" s="408">
        <f t="shared" si="1"/>
        <v>10</v>
      </c>
      <c r="Q18" s="408">
        <f t="shared" si="1"/>
        <v>10</v>
      </c>
      <c r="R18" s="408">
        <f t="shared" si="1"/>
        <v>10</v>
      </c>
      <c r="S18" s="408">
        <f t="shared" si="1"/>
        <v>10</v>
      </c>
      <c r="T18" s="408">
        <f t="shared" si="1"/>
        <v>10</v>
      </c>
      <c r="U18" s="408">
        <f t="shared" si="1"/>
        <v>10</v>
      </c>
      <c r="V18" s="408">
        <f t="shared" si="1"/>
        <v>10</v>
      </c>
      <c r="W18" s="408">
        <f t="shared" si="1"/>
        <v>10</v>
      </c>
      <c r="X18" s="408">
        <f t="shared" si="1"/>
        <v>10</v>
      </c>
      <c r="Y18" s="408">
        <f t="shared" si="1"/>
        <v>10</v>
      </c>
      <c r="Z18" s="408">
        <f t="shared" si="1"/>
        <v>10</v>
      </c>
      <c r="AA18" s="408">
        <f t="shared" si="1"/>
        <v>10</v>
      </c>
      <c r="AB18" s="408">
        <f t="shared" si="1"/>
        <v>10</v>
      </c>
      <c r="AC18" s="408">
        <f t="shared" si="1"/>
        <v>10</v>
      </c>
      <c r="AD18" s="408">
        <f t="shared" si="1"/>
        <v>10</v>
      </c>
      <c r="AE18" s="408">
        <f t="shared" si="1"/>
        <v>10</v>
      </c>
    </row>
    <row r="19" spans="2:31" ht="13.95" customHeight="1">
      <c r="B19" s="84" t="s">
        <v>28</v>
      </c>
      <c r="I19" s="409"/>
      <c r="J19" s="409"/>
      <c r="K19" s="409"/>
      <c r="L19" s="409"/>
      <c r="M19" s="409"/>
      <c r="N19" s="409"/>
      <c r="O19" s="409"/>
      <c r="P19" s="409"/>
      <c r="Q19" s="409"/>
      <c r="R19" s="409"/>
      <c r="S19" s="409"/>
      <c r="T19" s="409"/>
      <c r="U19" s="409"/>
      <c r="V19" s="409"/>
      <c r="W19" s="409"/>
      <c r="X19" s="409"/>
      <c r="Y19" s="409"/>
      <c r="Z19" s="409"/>
      <c r="AA19" s="409"/>
      <c r="AB19" s="409"/>
      <c r="AC19" s="409"/>
      <c r="AD19" s="409"/>
      <c r="AE19" s="409"/>
    </row>
    <row r="20" spans="2:31" ht="13.95" customHeight="1">
      <c r="B20" s="10" t="s">
        <v>42</v>
      </c>
      <c r="I20" s="409">
        <f>I18+H20</f>
        <v>9.9993554755621563</v>
      </c>
      <c r="J20" s="409">
        <f t="shared" ref="J20:AE20" si="2">J18+I20</f>
        <v>19.999355475562155</v>
      </c>
      <c r="K20" s="409">
        <f t="shared" si="2"/>
        <v>29.999355475562155</v>
      </c>
      <c r="L20" s="409">
        <f t="shared" si="2"/>
        <v>39.999355475562155</v>
      </c>
      <c r="M20" s="409">
        <f t="shared" si="2"/>
        <v>49.999355475562155</v>
      </c>
      <c r="N20" s="409">
        <f t="shared" si="2"/>
        <v>59.999355475562155</v>
      </c>
      <c r="O20" s="409">
        <f t="shared" si="2"/>
        <v>69.999355475562155</v>
      </c>
      <c r="P20" s="409">
        <f t="shared" si="2"/>
        <v>79.999355475562155</v>
      </c>
      <c r="Q20" s="409">
        <f t="shared" si="2"/>
        <v>89.999355475562155</v>
      </c>
      <c r="R20" s="409">
        <f t="shared" si="2"/>
        <v>99.999355475562155</v>
      </c>
      <c r="S20" s="409">
        <f t="shared" si="2"/>
        <v>109.99935547556215</v>
      </c>
      <c r="T20" s="409">
        <f t="shared" si="2"/>
        <v>119.99935547556215</v>
      </c>
      <c r="U20" s="409">
        <f t="shared" si="2"/>
        <v>129.99935547556214</v>
      </c>
      <c r="V20" s="409">
        <f t="shared" si="2"/>
        <v>139.99935547556214</v>
      </c>
      <c r="W20" s="409">
        <f t="shared" si="2"/>
        <v>149.99935547556214</v>
      </c>
      <c r="X20" s="409">
        <f t="shared" si="2"/>
        <v>159.99935547556214</v>
      </c>
      <c r="Y20" s="409">
        <f t="shared" si="2"/>
        <v>169.99935547556214</v>
      </c>
      <c r="Z20" s="409">
        <f t="shared" si="2"/>
        <v>179.99935547556214</v>
      </c>
      <c r="AA20" s="409">
        <f t="shared" si="2"/>
        <v>189.99935547556214</v>
      </c>
      <c r="AB20" s="409">
        <f t="shared" si="2"/>
        <v>199.99935547556214</v>
      </c>
      <c r="AC20" s="409">
        <f t="shared" si="2"/>
        <v>209.99935547556214</v>
      </c>
      <c r="AD20" s="409">
        <f t="shared" si="2"/>
        <v>219.99935547556214</v>
      </c>
      <c r="AE20" s="409">
        <f t="shared" si="2"/>
        <v>229.99935547556214</v>
      </c>
    </row>
    <row r="21" spans="2:31" ht="13.95" customHeight="1">
      <c r="B21" s="84"/>
      <c r="I21" s="409"/>
      <c r="J21" s="409"/>
      <c r="K21" s="409"/>
      <c r="L21" s="409"/>
      <c r="M21" s="409"/>
      <c r="N21" s="409"/>
      <c r="O21" s="409"/>
      <c r="P21" s="409"/>
      <c r="Q21" s="409"/>
      <c r="R21" s="409"/>
      <c r="S21" s="409"/>
      <c r="T21" s="409"/>
      <c r="U21" s="409"/>
      <c r="V21" s="409"/>
      <c r="W21" s="409"/>
      <c r="X21" s="409"/>
      <c r="Y21" s="409"/>
      <c r="Z21" s="409"/>
      <c r="AA21" s="409"/>
      <c r="AB21" s="409"/>
      <c r="AC21" s="409"/>
      <c r="AD21" s="409"/>
      <c r="AE21" s="409"/>
    </row>
    <row r="22" spans="2:31" ht="13.95" customHeight="1">
      <c r="B22" t="s">
        <v>29</v>
      </c>
      <c r="I22" s="409"/>
      <c r="J22" s="409"/>
      <c r="K22" s="409"/>
      <c r="L22" s="409"/>
      <c r="M22" s="409"/>
      <c r="N22" s="409"/>
      <c r="O22" s="409"/>
      <c r="P22" s="409"/>
      <c r="Q22" s="409"/>
      <c r="R22" s="409"/>
      <c r="S22" s="409"/>
      <c r="T22" s="409"/>
      <c r="U22" s="409"/>
      <c r="V22" s="409"/>
      <c r="W22" s="409"/>
      <c r="X22" s="409"/>
      <c r="Y22" s="409"/>
      <c r="Z22" s="409"/>
      <c r="AA22" s="409"/>
      <c r="AB22" s="409"/>
      <c r="AC22" s="409"/>
      <c r="AD22" s="409"/>
      <c r="AE22" s="409"/>
    </row>
    <row r="23" spans="2:31" ht="13.95" customHeight="1">
      <c r="B23" s="10" t="s">
        <v>31</v>
      </c>
      <c r="C23" s="10"/>
      <c r="D23" s="10"/>
      <c r="E23" s="10"/>
      <c r="F23" s="10"/>
      <c r="G23" s="44">
        <f>1/12</f>
        <v>8.3333333333333329E-2</v>
      </c>
      <c r="H23" s="44"/>
      <c r="I23" s="409"/>
      <c r="J23" s="409"/>
      <c r="K23" s="409"/>
      <c r="L23" s="409"/>
      <c r="M23" s="409"/>
      <c r="N23" s="409"/>
      <c r="O23" s="409"/>
      <c r="P23" s="409"/>
      <c r="Q23" s="409"/>
      <c r="R23" s="409"/>
      <c r="S23" s="409"/>
      <c r="T23" s="409"/>
      <c r="U23" s="409"/>
      <c r="V23" s="409"/>
      <c r="W23" s="409"/>
      <c r="X23" s="409"/>
      <c r="Y23" s="409"/>
      <c r="Z23" s="409"/>
      <c r="AA23" s="409"/>
      <c r="AB23" s="409"/>
      <c r="AC23" s="409"/>
      <c r="AD23" s="409"/>
      <c r="AE23" s="409"/>
    </row>
    <row r="24" spans="2:31" ht="13.95" customHeight="1">
      <c r="B24" s="1155" t="s">
        <v>30</v>
      </c>
      <c r="C24" s="1155"/>
      <c r="D24" s="1155"/>
      <c r="E24" s="1155"/>
      <c r="F24" s="1155"/>
      <c r="I24" s="409"/>
      <c r="J24" s="409"/>
      <c r="K24" s="409"/>
      <c r="L24" s="409"/>
      <c r="M24" s="409"/>
      <c r="N24" s="409"/>
      <c r="O24" s="409"/>
      <c r="P24" s="409"/>
      <c r="Q24" s="409"/>
      <c r="R24" s="409"/>
      <c r="S24" s="409"/>
      <c r="T24" s="409"/>
      <c r="U24" s="409"/>
      <c r="V24" s="409"/>
      <c r="W24" s="409"/>
      <c r="X24" s="409"/>
      <c r="Y24" s="409"/>
      <c r="Z24" s="409"/>
      <c r="AA24" s="409"/>
      <c r="AB24" s="409"/>
      <c r="AC24" s="409"/>
      <c r="AD24" s="409"/>
      <c r="AE24" s="409"/>
    </row>
    <row r="25" spans="2:31" ht="13.95" customHeight="1">
      <c r="B25" s="1155"/>
      <c r="C25" s="1155"/>
      <c r="D25" s="1155"/>
      <c r="E25" s="1155"/>
      <c r="F25" s="1155"/>
      <c r="G25" s="4">
        <f>1/10</f>
        <v>0.1</v>
      </c>
      <c r="H25" s="4"/>
      <c r="I25" s="409"/>
      <c r="J25" s="409"/>
      <c r="K25" s="409"/>
      <c r="L25" s="409"/>
      <c r="M25" s="409"/>
      <c r="N25" s="409"/>
      <c r="O25" s="409"/>
      <c r="P25" s="409"/>
      <c r="Q25" s="409"/>
      <c r="R25" s="409"/>
      <c r="S25" s="409"/>
      <c r="T25" s="409"/>
      <c r="U25" s="409"/>
      <c r="V25" s="409"/>
      <c r="W25" s="409"/>
      <c r="X25" s="409"/>
      <c r="Y25" s="409"/>
      <c r="Z25" s="409"/>
      <c r="AA25" s="409"/>
      <c r="AB25" s="409"/>
      <c r="AC25" s="409"/>
      <c r="AD25" s="409"/>
      <c r="AE25" s="409"/>
    </row>
    <row r="26" spans="2:31" ht="13.95" customHeight="1">
      <c r="B26" s="83" t="s">
        <v>32</v>
      </c>
      <c r="I26" s="409"/>
      <c r="J26" s="409"/>
      <c r="K26" s="409"/>
      <c r="L26" s="409"/>
      <c r="M26" s="409"/>
      <c r="N26" s="409"/>
      <c r="O26" s="409"/>
      <c r="P26" s="409"/>
      <c r="Q26" s="409"/>
      <c r="R26" s="409"/>
      <c r="S26" s="409"/>
      <c r="T26" s="409"/>
      <c r="U26" s="409"/>
      <c r="V26" s="409"/>
      <c r="W26" s="409"/>
      <c r="X26" s="409"/>
      <c r="Y26" s="409"/>
      <c r="Z26" s="409"/>
      <c r="AA26" s="409"/>
      <c r="AB26" s="409"/>
      <c r="AC26" s="409"/>
      <c r="AD26" s="409"/>
      <c r="AE26" s="409"/>
    </row>
    <row r="27" spans="2:31" ht="13.95" customHeight="1">
      <c r="B27" t="s">
        <v>43</v>
      </c>
      <c r="I27" s="408">
        <f>I13*G23</f>
        <v>4.9996777377810782</v>
      </c>
      <c r="J27" s="408">
        <f t="shared" ref="J27:S27" si="3">$I27*(1-(J12-$I$12)*$G25)</f>
        <v>4.4997099640029701</v>
      </c>
      <c r="K27" s="408">
        <f t="shared" si="3"/>
        <v>3.9997421902248629</v>
      </c>
      <c r="L27" s="408">
        <f t="shared" si="3"/>
        <v>3.4997744164467544</v>
      </c>
      <c r="M27" s="408">
        <f t="shared" si="3"/>
        <v>2.9998066426686467</v>
      </c>
      <c r="N27" s="408">
        <f t="shared" si="3"/>
        <v>2.4998388688905391</v>
      </c>
      <c r="O27" s="408">
        <f t="shared" si="3"/>
        <v>1.9998710951124308</v>
      </c>
      <c r="P27" s="408">
        <f t="shared" si="3"/>
        <v>1.4999033213343231</v>
      </c>
      <c r="Q27" s="408">
        <f t="shared" si="3"/>
        <v>0.99993554755621539</v>
      </c>
      <c r="R27" s="408">
        <f t="shared" si="3"/>
        <v>0.49996777377810769</v>
      </c>
      <c r="S27" s="408">
        <f t="shared" si="3"/>
        <v>0</v>
      </c>
      <c r="T27" s="409"/>
      <c r="U27" s="409"/>
      <c r="V27" s="409"/>
      <c r="W27" s="409"/>
      <c r="X27" s="409"/>
      <c r="Y27" s="409"/>
      <c r="Z27" s="409"/>
      <c r="AA27" s="409"/>
      <c r="AB27" s="409"/>
      <c r="AC27" s="409"/>
      <c r="AD27" s="409"/>
      <c r="AE27" s="409"/>
    </row>
    <row r="28" spans="2:31" ht="13.95" customHeight="1">
      <c r="B28" s="10" t="s">
        <v>42</v>
      </c>
      <c r="I28" s="409">
        <f>I27+H28</f>
        <v>4.9996777377810782</v>
      </c>
      <c r="J28" s="409">
        <f t="shared" ref="J28:AE28" si="4">J27+I28</f>
        <v>9.4993877017840482</v>
      </c>
      <c r="K28" s="409">
        <f t="shared" si="4"/>
        <v>13.499129892008911</v>
      </c>
      <c r="L28" s="409">
        <f t="shared" si="4"/>
        <v>16.998904308455664</v>
      </c>
      <c r="M28" s="409">
        <f t="shared" si="4"/>
        <v>19.998710951124309</v>
      </c>
      <c r="N28" s="409">
        <f t="shared" si="4"/>
        <v>22.498549820014848</v>
      </c>
      <c r="O28" s="409">
        <f t="shared" si="4"/>
        <v>24.49842091512728</v>
      </c>
      <c r="P28" s="409">
        <f t="shared" si="4"/>
        <v>25.998324236461603</v>
      </c>
      <c r="Q28" s="409">
        <f t="shared" si="4"/>
        <v>26.998259784017819</v>
      </c>
      <c r="R28" s="409">
        <f t="shared" si="4"/>
        <v>27.498227557795925</v>
      </c>
      <c r="S28" s="409">
        <f t="shared" si="4"/>
        <v>27.498227557795925</v>
      </c>
      <c r="T28" s="409">
        <f t="shared" si="4"/>
        <v>27.498227557795925</v>
      </c>
      <c r="U28" s="409">
        <f t="shared" si="4"/>
        <v>27.498227557795925</v>
      </c>
      <c r="V28" s="409">
        <f t="shared" si="4"/>
        <v>27.498227557795925</v>
      </c>
      <c r="W28" s="409">
        <f t="shared" si="4"/>
        <v>27.498227557795925</v>
      </c>
      <c r="X28" s="409">
        <f t="shared" si="4"/>
        <v>27.498227557795925</v>
      </c>
      <c r="Y28" s="409">
        <f t="shared" si="4"/>
        <v>27.498227557795925</v>
      </c>
      <c r="Z28" s="409">
        <f t="shared" si="4"/>
        <v>27.498227557795925</v>
      </c>
      <c r="AA28" s="409">
        <f t="shared" si="4"/>
        <v>27.498227557795925</v>
      </c>
      <c r="AB28" s="409">
        <f t="shared" si="4"/>
        <v>27.498227557795925</v>
      </c>
      <c r="AC28" s="409">
        <f t="shared" si="4"/>
        <v>27.498227557795925</v>
      </c>
      <c r="AD28" s="409">
        <f t="shared" si="4"/>
        <v>27.498227557795925</v>
      </c>
      <c r="AE28" s="409">
        <f t="shared" si="4"/>
        <v>27.498227557795925</v>
      </c>
    </row>
    <row r="29" spans="2:31" ht="13.95" customHeight="1">
      <c r="I29" s="409"/>
      <c r="J29" s="409"/>
      <c r="K29" s="409"/>
      <c r="L29" s="409"/>
      <c r="M29" s="409"/>
      <c r="N29" s="409"/>
      <c r="O29" s="409"/>
      <c r="P29" s="409"/>
      <c r="Q29" s="409"/>
      <c r="R29" s="409"/>
      <c r="S29" s="409"/>
      <c r="T29" s="409"/>
      <c r="U29" s="409"/>
      <c r="V29" s="409"/>
      <c r="W29" s="409"/>
      <c r="X29" s="409"/>
      <c r="Y29" s="409"/>
      <c r="Z29" s="409"/>
      <c r="AA29" s="409"/>
      <c r="AB29" s="409"/>
      <c r="AC29" s="409"/>
      <c r="AD29" s="409"/>
      <c r="AE29" s="409"/>
    </row>
    <row r="30" spans="2:31" ht="13.95" customHeight="1">
      <c r="B30" s="1141" t="s">
        <v>33</v>
      </c>
      <c r="C30" s="1141"/>
      <c r="D30" s="1141"/>
      <c r="E30" s="1141"/>
      <c r="F30" s="1141"/>
      <c r="I30" s="409">
        <f t="shared" ref="I30:AE30" si="5">I13-I18-I27</f>
        <v>44.99709964002971</v>
      </c>
      <c r="J30" s="409">
        <f t="shared" si="5"/>
        <v>102.26027134857794</v>
      </c>
      <c r="K30" s="409">
        <f t="shared" si="5"/>
        <v>156.82869648242573</v>
      </c>
      <c r="L30" s="409">
        <f t="shared" si="5"/>
        <v>209.29090448597566</v>
      </c>
      <c r="M30" s="409">
        <f t="shared" si="5"/>
        <v>260.09231958454563</v>
      </c>
      <c r="N30" s="409">
        <f t="shared" si="5"/>
        <v>310.07264851646198</v>
      </c>
      <c r="O30" s="409">
        <f t="shared" si="5"/>
        <v>359.29560562714875</v>
      </c>
      <c r="P30" s="409">
        <f t="shared" si="5"/>
        <v>408.10022084475338</v>
      </c>
      <c r="Q30" s="409">
        <f t="shared" si="5"/>
        <v>455.99801938750591</v>
      </c>
      <c r="R30" s="409">
        <f t="shared" si="5"/>
        <v>503.27966911363313</v>
      </c>
      <c r="S30" s="409">
        <f t="shared" si="5"/>
        <v>548.91978723207546</v>
      </c>
      <c r="T30" s="409">
        <f t="shared" si="5"/>
        <v>593.68051331492813</v>
      </c>
      <c r="U30" s="409">
        <f t="shared" si="5"/>
        <v>638.41406438622255</v>
      </c>
      <c r="V30" s="409">
        <f t="shared" si="5"/>
        <v>682.96484719041143</v>
      </c>
      <c r="W30" s="409">
        <f t="shared" si="5"/>
        <v>727.92214924942868</v>
      </c>
      <c r="X30" s="409">
        <f t="shared" si="5"/>
        <v>772.77669010037948</v>
      </c>
      <c r="Y30" s="409">
        <f t="shared" si="5"/>
        <v>817.87755177920371</v>
      </c>
      <c r="Z30" s="408">
        <f t="shared" si="5"/>
        <v>862.94823231278428</v>
      </c>
      <c r="AA30" s="408">
        <f t="shared" si="5"/>
        <v>908.10957557551615</v>
      </c>
      <c r="AB30" s="408">
        <f t="shared" si="5"/>
        <v>953.78021025388421</v>
      </c>
      <c r="AC30" s="408">
        <f t="shared" si="5"/>
        <v>999.67691065266877</v>
      </c>
      <c r="AD30" s="408">
        <f t="shared" si="5"/>
        <v>1045.8148949774481</v>
      </c>
      <c r="AE30" s="408">
        <f t="shared" si="5"/>
        <v>1092.4080731622867</v>
      </c>
    </row>
    <row r="31" spans="2:31" ht="13.95" customHeight="1">
      <c r="B31" s="1141"/>
      <c r="C31" s="1141"/>
      <c r="D31" s="1141"/>
      <c r="E31" s="1141"/>
      <c r="F31" s="1141"/>
      <c r="I31" s="409"/>
      <c r="J31" s="409"/>
      <c r="K31" s="409"/>
      <c r="L31" s="409"/>
      <c r="M31" s="409"/>
      <c r="N31" s="409"/>
      <c r="O31" s="409"/>
      <c r="P31" s="409"/>
      <c r="Q31" s="409"/>
      <c r="R31" s="409"/>
      <c r="S31" s="409"/>
      <c r="T31" s="409"/>
      <c r="U31" s="409"/>
      <c r="V31" s="409"/>
      <c r="W31" s="409"/>
      <c r="X31" s="409"/>
      <c r="Y31" s="409"/>
      <c r="Z31" s="409"/>
      <c r="AA31" s="409"/>
      <c r="AB31" s="409"/>
      <c r="AC31" s="409"/>
      <c r="AD31" s="409"/>
      <c r="AE31" s="409"/>
    </row>
    <row r="32" spans="2:31" ht="13.95" customHeight="1">
      <c r="I32" s="409"/>
      <c r="J32" s="409"/>
      <c r="K32" s="409"/>
      <c r="L32" s="409"/>
      <c r="M32" s="409"/>
      <c r="N32" s="409"/>
      <c r="O32" s="409"/>
      <c r="P32" s="409"/>
      <c r="Q32" s="409"/>
      <c r="R32" s="409"/>
      <c r="S32" s="409"/>
      <c r="T32" s="409"/>
      <c r="U32" s="409"/>
      <c r="V32" s="409"/>
      <c r="W32" s="409"/>
      <c r="X32" s="409"/>
      <c r="Y32" s="409"/>
      <c r="Z32" s="409"/>
      <c r="AA32" s="409"/>
      <c r="AB32" s="409"/>
      <c r="AC32" s="409"/>
      <c r="AD32" s="409"/>
      <c r="AE32" s="409"/>
    </row>
    <row r="33" spans="2:32" ht="13.95" customHeight="1">
      <c r="B33" t="s">
        <v>38</v>
      </c>
      <c r="I33" s="409">
        <f>I30+H33</f>
        <v>44.99709964002971</v>
      </c>
      <c r="J33" s="409">
        <f t="shared" ref="J33:AE33" si="6">J30+I33</f>
        <v>147.25737098860765</v>
      </c>
      <c r="K33" s="409">
        <f t="shared" si="6"/>
        <v>304.0860674710334</v>
      </c>
      <c r="L33" s="409">
        <f t="shared" si="6"/>
        <v>513.37697195700912</v>
      </c>
      <c r="M33" s="409">
        <f t="shared" si="6"/>
        <v>773.46929154155475</v>
      </c>
      <c r="N33" s="409">
        <f t="shared" si="6"/>
        <v>1083.5419400580167</v>
      </c>
      <c r="O33" s="409">
        <f t="shared" si="6"/>
        <v>1442.8375456851654</v>
      </c>
      <c r="P33" s="409">
        <f t="shared" si="6"/>
        <v>1850.9377665299189</v>
      </c>
      <c r="Q33" s="409">
        <f t="shared" si="6"/>
        <v>2306.9357859174247</v>
      </c>
      <c r="R33" s="409">
        <f t="shared" si="6"/>
        <v>2810.2154550310579</v>
      </c>
      <c r="S33" s="409">
        <f t="shared" si="6"/>
        <v>3359.1352422631335</v>
      </c>
      <c r="T33" s="409">
        <f t="shared" si="6"/>
        <v>3952.8157555780617</v>
      </c>
      <c r="U33" s="409">
        <f t="shared" si="6"/>
        <v>4591.2298199642846</v>
      </c>
      <c r="V33" s="409">
        <f t="shared" si="6"/>
        <v>5274.1946671546957</v>
      </c>
      <c r="W33" s="409">
        <f t="shared" si="6"/>
        <v>6002.1168164041246</v>
      </c>
      <c r="X33" s="409">
        <f t="shared" si="6"/>
        <v>6774.8935065045043</v>
      </c>
      <c r="Y33" s="409">
        <f t="shared" si="6"/>
        <v>7592.771058283708</v>
      </c>
      <c r="Z33" s="409">
        <f t="shared" si="6"/>
        <v>8455.719290596493</v>
      </c>
      <c r="AA33" s="409">
        <f t="shared" si="6"/>
        <v>9363.8288661720089</v>
      </c>
      <c r="AB33" s="409">
        <f t="shared" si="6"/>
        <v>10317.609076425893</v>
      </c>
      <c r="AC33" s="409">
        <f t="shared" si="6"/>
        <v>11317.285987078561</v>
      </c>
      <c r="AD33" s="409">
        <f t="shared" si="6"/>
        <v>12363.100882056009</v>
      </c>
      <c r="AE33" s="409">
        <f t="shared" si="6"/>
        <v>13455.508955218296</v>
      </c>
    </row>
    <row r="35" spans="2:32" ht="13.95" customHeight="1">
      <c r="B35" t="s">
        <v>34</v>
      </c>
    </row>
    <row r="36" spans="2:32" ht="13.95" customHeight="1">
      <c r="B36" s="10" t="s">
        <v>35</v>
      </c>
      <c r="I36" s="15">
        <f t="shared" ref="I36:AE36" si="7">I30/I13</f>
        <v>0.75000000000000011</v>
      </c>
      <c r="J36" s="15">
        <f t="shared" si="7"/>
        <v>0.87581609896643053</v>
      </c>
      <c r="K36" s="15">
        <f t="shared" si="7"/>
        <v>0.91804794155467395</v>
      </c>
      <c r="L36" s="15">
        <f t="shared" si="7"/>
        <v>0.93940601786864097</v>
      </c>
      <c r="M36" s="15">
        <f t="shared" si="7"/>
        <v>0.95239772445195747</v>
      </c>
      <c r="N36" s="15">
        <f t="shared" si="7"/>
        <v>0.96124951954145443</v>
      </c>
      <c r="O36" s="15">
        <f t="shared" si="7"/>
        <v>0.96768107384165991</v>
      </c>
      <c r="P36" s="15">
        <f t="shared" si="7"/>
        <v>0.97259318417936791</v>
      </c>
      <c r="Q36" s="15">
        <f t="shared" si="7"/>
        <v>0.97644543101032255</v>
      </c>
      <c r="R36" s="15">
        <f t="shared" si="7"/>
        <v>0.97956328546341542</v>
      </c>
      <c r="S36" s="15">
        <f t="shared" si="7"/>
        <v>0.98210834501043032</v>
      </c>
      <c r="T36" s="15">
        <f t="shared" si="7"/>
        <v>0.983434946499949</v>
      </c>
      <c r="U36" s="15">
        <f t="shared" si="7"/>
        <v>0.98457775586736263</v>
      </c>
      <c r="V36" s="15">
        <f t="shared" si="7"/>
        <v>0.98556925356236402</v>
      </c>
      <c r="W36" s="15">
        <f t="shared" si="7"/>
        <v>0.98644843496001389</v>
      </c>
      <c r="X36" s="15">
        <f t="shared" si="7"/>
        <v>0.98722496450588271</v>
      </c>
      <c r="Y36" s="15">
        <f t="shared" si="7"/>
        <v>0.98792091900727486</v>
      </c>
      <c r="Z36" s="15">
        <f t="shared" si="7"/>
        <v>0.9885445669859414</v>
      </c>
      <c r="AA36" s="15">
        <f t="shared" si="7"/>
        <v>0.98910805391204915</v>
      </c>
      <c r="AB36" s="15">
        <f t="shared" si="7"/>
        <v>0.98962419035625793</v>
      </c>
      <c r="AC36" s="15">
        <f t="shared" si="7"/>
        <v>0.99009584165539066</v>
      </c>
      <c r="AD36" s="15">
        <f t="shared" si="7"/>
        <v>0.99052864280702002</v>
      </c>
      <c r="AE36" s="15">
        <f t="shared" si="7"/>
        <v>0.9909289488679861</v>
      </c>
      <c r="AF36" s="5"/>
    </row>
    <row r="37" spans="2:32" ht="13.95" customHeight="1">
      <c r="B37" s="10" t="s">
        <v>36</v>
      </c>
      <c r="I37" s="15">
        <f t="shared" ref="I37:AE37" si="8">I33/I16</f>
        <v>0.75000000000000011</v>
      </c>
      <c r="J37" s="15">
        <f t="shared" si="8"/>
        <v>0.83311047928078874</v>
      </c>
      <c r="K37" s="15">
        <f t="shared" si="8"/>
        <v>0.8748549525221021</v>
      </c>
      <c r="L37" s="15">
        <f t="shared" si="8"/>
        <v>0.90006883782447067</v>
      </c>
      <c r="M37" s="15">
        <f t="shared" si="8"/>
        <v>0.91701152894013715</v>
      </c>
      <c r="N37" s="15">
        <f t="shared" si="8"/>
        <v>0.92924949724118566</v>
      </c>
      <c r="O37" s="15">
        <f t="shared" si="8"/>
        <v>0.93853144786715137</v>
      </c>
      <c r="P37" s="15">
        <f t="shared" si="8"/>
        <v>0.94583486138207618</v>
      </c>
      <c r="Q37" s="15">
        <f t="shared" si="8"/>
        <v>0.95173233092841236</v>
      </c>
      <c r="R37" s="15">
        <f t="shared" si="8"/>
        <v>0.95659971502275709</v>
      </c>
      <c r="S37" s="15">
        <f t="shared" si="8"/>
        <v>0.9606771457275618</v>
      </c>
      <c r="T37" s="15">
        <f t="shared" si="8"/>
        <v>0.96402772889466337</v>
      </c>
      <c r="U37" s="15">
        <f t="shared" si="8"/>
        <v>0.96683372835131842</v>
      </c>
      <c r="V37" s="15">
        <f t="shared" si="8"/>
        <v>0.96921957815097515</v>
      </c>
      <c r="W37" s="15">
        <f t="shared" si="8"/>
        <v>0.97127691607270594</v>
      </c>
      <c r="X37" s="15">
        <f t="shared" si="8"/>
        <v>0.97306994384226653</v>
      </c>
      <c r="Y37" s="15">
        <f t="shared" si="8"/>
        <v>0.97464816784547137</v>
      </c>
      <c r="Z37" s="15">
        <f t="shared" si="8"/>
        <v>0.97604843719600709</v>
      </c>
      <c r="AA37" s="15">
        <f t="shared" si="8"/>
        <v>0.97729984630140687</v>
      </c>
      <c r="AB37" s="15">
        <f t="shared" si="8"/>
        <v>0.97842624163224701</v>
      </c>
      <c r="AC37" s="15">
        <f t="shared" si="8"/>
        <v>0.97944595140252755</v>
      </c>
      <c r="AD37" s="15">
        <f t="shared" si="8"/>
        <v>0.98037384318289744</v>
      </c>
      <c r="AE37" s="15">
        <f t="shared" si="8"/>
        <v>0.98122238312108423</v>
      </c>
    </row>
    <row r="38" spans="2:32" ht="13.95" customHeight="1">
      <c r="I38" s="16"/>
      <c r="J38" s="16"/>
      <c r="K38" s="16"/>
      <c r="L38" s="16"/>
      <c r="M38" s="16"/>
      <c r="N38" s="16"/>
      <c r="O38" s="16"/>
      <c r="P38" s="16"/>
      <c r="Q38" s="16"/>
      <c r="R38" s="16"/>
      <c r="S38" s="16"/>
      <c r="T38" s="16"/>
      <c r="U38" s="16"/>
      <c r="V38" s="16"/>
      <c r="W38" s="16"/>
      <c r="X38" s="16"/>
      <c r="Y38" s="16"/>
      <c r="Z38" s="16"/>
      <c r="AA38" s="16"/>
      <c r="AB38" s="16"/>
      <c r="AC38" s="16"/>
      <c r="AD38" s="16"/>
      <c r="AE38" s="16"/>
    </row>
    <row r="39" spans="2:32" ht="13.95" customHeight="1">
      <c r="B39" t="s">
        <v>40</v>
      </c>
      <c r="I39" s="16"/>
      <c r="J39" s="16"/>
      <c r="K39" s="16"/>
      <c r="L39" s="16"/>
      <c r="M39" s="16"/>
      <c r="N39" s="16"/>
      <c r="O39" s="16"/>
      <c r="P39" s="16"/>
      <c r="Q39" s="16"/>
      <c r="R39" s="16"/>
      <c r="S39" s="16"/>
      <c r="T39" s="16"/>
      <c r="U39" s="16"/>
      <c r="V39" s="16"/>
      <c r="W39" s="16"/>
      <c r="X39" s="16"/>
      <c r="Y39" s="16"/>
      <c r="Z39" s="16"/>
      <c r="AA39" s="16"/>
      <c r="AB39" s="16"/>
      <c r="AC39" s="16"/>
      <c r="AD39" s="16"/>
      <c r="AE39" s="16"/>
    </row>
    <row r="40" spans="2:32" ht="13.95" customHeight="1">
      <c r="B40" s="10" t="s">
        <v>35</v>
      </c>
      <c r="I40" s="15">
        <f t="shared" ref="I40:AE40" si="9">I18/I13</f>
        <v>0.16666666666666666</v>
      </c>
      <c r="J40" s="15">
        <f t="shared" si="9"/>
        <v>8.5645782806600165E-2</v>
      </c>
      <c r="K40" s="15">
        <f t="shared" si="9"/>
        <v>5.8538262584969629E-2</v>
      </c>
      <c r="L40" s="15">
        <f t="shared" si="9"/>
        <v>4.4885181234982405E-2</v>
      </c>
      <c r="M40" s="15">
        <f t="shared" si="9"/>
        <v>3.6617679675172841E-2</v>
      </c>
      <c r="N40" s="15">
        <f t="shared" si="9"/>
        <v>3.1000783982093827E-2</v>
      </c>
      <c r="O40" s="15">
        <f t="shared" si="9"/>
        <v>2.6932727778637238E-2</v>
      </c>
      <c r="P40" s="15">
        <f t="shared" si="9"/>
        <v>2.3832214110694024E-2</v>
      </c>
      <c r="Q40" s="15">
        <f t="shared" si="9"/>
        <v>2.1413370003709201E-2</v>
      </c>
      <c r="R40" s="15">
        <f t="shared" si="9"/>
        <v>1.9463597390862303E-2</v>
      </c>
      <c r="S40" s="15">
        <f t="shared" si="9"/>
        <v>1.7891654989569704E-2</v>
      </c>
      <c r="T40" s="15">
        <f t="shared" si="9"/>
        <v>1.6565053500050941E-2</v>
      </c>
      <c r="U40" s="15">
        <f t="shared" si="9"/>
        <v>1.5422244132637415E-2</v>
      </c>
      <c r="V40" s="15">
        <f t="shared" si="9"/>
        <v>1.4430746437635993E-2</v>
      </c>
      <c r="W40" s="15">
        <f t="shared" si="9"/>
        <v>1.355156503998615E-2</v>
      </c>
      <c r="X40" s="15">
        <f t="shared" si="9"/>
        <v>1.2775035494117293E-2</v>
      </c>
      <c r="Y40" s="15">
        <f t="shared" si="9"/>
        <v>1.2079080992725137E-2</v>
      </c>
      <c r="Z40" s="15">
        <f t="shared" si="9"/>
        <v>1.1455433014058639E-2</v>
      </c>
      <c r="AA40" s="15">
        <f t="shared" si="9"/>
        <v>1.0891946087950896E-2</v>
      </c>
      <c r="AB40" s="15">
        <f t="shared" si="9"/>
        <v>1.0375809643742058E-2</v>
      </c>
      <c r="AC40" s="15">
        <f t="shared" si="9"/>
        <v>9.9041583446093321E-3</v>
      </c>
      <c r="AD40" s="15">
        <f t="shared" si="9"/>
        <v>9.4713571929799269E-3</v>
      </c>
      <c r="AE40" s="15">
        <f t="shared" si="9"/>
        <v>9.0710511320138791E-3</v>
      </c>
      <c r="AF40" s="5"/>
    </row>
    <row r="41" spans="2:32" ht="13.95" customHeight="1">
      <c r="B41" s="10" t="s">
        <v>36</v>
      </c>
      <c r="I41" s="15">
        <f t="shared" ref="I41:AE41" si="10">I20/I16</f>
        <v>0.16666666666666666</v>
      </c>
      <c r="J41" s="15">
        <f t="shared" si="10"/>
        <v>0.11314661204186145</v>
      </c>
      <c r="K41" s="15">
        <f t="shared" si="10"/>
        <v>8.6308080237075133E-2</v>
      </c>
      <c r="L41" s="15">
        <f t="shared" si="10"/>
        <v>7.0128142404548635E-2</v>
      </c>
      <c r="M41" s="15">
        <f t="shared" si="10"/>
        <v>5.9278352627660034E-2</v>
      </c>
      <c r="N41" s="15">
        <f t="shared" si="10"/>
        <v>5.1455664842540404E-2</v>
      </c>
      <c r="O41" s="15">
        <f t="shared" si="10"/>
        <v>4.5532913002377676E-2</v>
      </c>
      <c r="P41" s="15">
        <f t="shared" si="10"/>
        <v>4.0879915394854353E-2</v>
      </c>
      <c r="Q41" s="15">
        <f t="shared" si="10"/>
        <v>3.7129467101637614E-2</v>
      </c>
      <c r="R41" s="15">
        <f t="shared" si="10"/>
        <v>3.4039865085477912E-2</v>
      </c>
      <c r="S41" s="15">
        <f t="shared" si="10"/>
        <v>3.1458652072293272E-2</v>
      </c>
      <c r="T41" s="15">
        <f t="shared" si="10"/>
        <v>2.9265898863280581E-2</v>
      </c>
      <c r="U41" s="15">
        <f t="shared" si="10"/>
        <v>2.7375619706766031E-2</v>
      </c>
      <c r="V41" s="15">
        <f t="shared" si="10"/>
        <v>2.572717254834175E-2</v>
      </c>
      <c r="W41" s="15">
        <f t="shared" si="10"/>
        <v>2.4273254895842089E-2</v>
      </c>
      <c r="X41" s="15">
        <f t="shared" si="10"/>
        <v>2.2980518246955055E-2</v>
      </c>
      <c r="Y41" s="15">
        <f t="shared" si="10"/>
        <v>2.1822014528990762E-2</v>
      </c>
      <c r="Z41" s="15">
        <f t="shared" si="10"/>
        <v>2.0777426919031197E-2</v>
      </c>
      <c r="AA41" s="15">
        <f t="shared" si="10"/>
        <v>1.9830172417444336E-2</v>
      </c>
      <c r="AB41" s="15">
        <f t="shared" si="10"/>
        <v>1.8966081798343616E-2</v>
      </c>
      <c r="AC41" s="15">
        <f t="shared" si="10"/>
        <v>1.8174235302749864E-2</v>
      </c>
      <c r="AD41" s="15">
        <f t="shared" si="10"/>
        <v>1.7445591982378855E-2</v>
      </c>
      <c r="AE41" s="15">
        <f t="shared" si="10"/>
        <v>1.6772350748465843E-2</v>
      </c>
      <c r="AF41" s="5"/>
    </row>
    <row r="42" spans="2:32" ht="13.95" customHeight="1">
      <c r="I42" s="15"/>
      <c r="J42" s="15"/>
      <c r="K42" s="15"/>
      <c r="L42" s="15"/>
      <c r="M42" s="15"/>
      <c r="N42" s="15"/>
      <c r="O42" s="15"/>
      <c r="P42" s="15"/>
      <c r="Q42" s="15"/>
      <c r="R42" s="15"/>
      <c r="S42" s="15"/>
      <c r="T42" s="15"/>
      <c r="U42" s="15"/>
      <c r="V42" s="15"/>
      <c r="W42" s="15"/>
      <c r="X42" s="15"/>
      <c r="Y42" s="15"/>
      <c r="Z42" s="15"/>
      <c r="AA42" s="15"/>
      <c r="AB42" s="15"/>
      <c r="AC42" s="15"/>
      <c r="AD42" s="15"/>
      <c r="AE42" s="15"/>
      <c r="AF42" s="5"/>
    </row>
    <row r="43" spans="2:32" ht="13.95" customHeight="1">
      <c r="B43" t="s">
        <v>41</v>
      </c>
      <c r="I43" s="15"/>
      <c r="J43" s="15"/>
      <c r="K43" s="15"/>
      <c r="L43" s="15"/>
      <c r="M43" s="15"/>
      <c r="N43" s="15"/>
      <c r="O43" s="15"/>
      <c r="P43" s="15"/>
      <c r="Q43" s="15"/>
      <c r="R43" s="15"/>
      <c r="S43" s="15"/>
      <c r="T43" s="15"/>
      <c r="U43" s="15"/>
      <c r="V43" s="15"/>
      <c r="W43" s="15"/>
      <c r="X43" s="15"/>
      <c r="Y43" s="15"/>
      <c r="Z43" s="15"/>
      <c r="AA43" s="15"/>
      <c r="AB43" s="15"/>
      <c r="AC43" s="15"/>
      <c r="AD43" s="15"/>
      <c r="AE43" s="15"/>
      <c r="AF43" s="5"/>
    </row>
    <row r="44" spans="2:32" ht="13.95" customHeight="1">
      <c r="B44" s="10" t="s">
        <v>35</v>
      </c>
      <c r="I44" s="15">
        <f t="shared" ref="I44:AE44" si="11">I27/I13</f>
        <v>8.3333333333333329E-2</v>
      </c>
      <c r="J44" s="15">
        <f t="shared" si="11"/>
        <v>3.8538118226969308E-2</v>
      </c>
      <c r="K44" s="15">
        <f t="shared" si="11"/>
        <v>2.3413795860356457E-2</v>
      </c>
      <c r="L44" s="15">
        <f t="shared" si="11"/>
        <v>1.5708800896376735E-2</v>
      </c>
      <c r="M44" s="15">
        <f t="shared" si="11"/>
        <v>1.0984595872869617E-2</v>
      </c>
      <c r="N44" s="15">
        <f t="shared" si="11"/>
        <v>7.7496964764517378E-3</v>
      </c>
      <c r="O44" s="15">
        <f t="shared" si="11"/>
        <v>5.3861983797028239E-3</v>
      </c>
      <c r="P44" s="15">
        <f t="shared" si="11"/>
        <v>3.574601709938069E-3</v>
      </c>
      <c r="Q44" s="15">
        <f t="shared" si="11"/>
        <v>2.1411989859682796E-3</v>
      </c>
      <c r="R44" s="15">
        <f t="shared" si="11"/>
        <v>9.7311714572228126E-4</v>
      </c>
      <c r="S44" s="15">
        <f t="shared" si="11"/>
        <v>0</v>
      </c>
      <c r="T44" s="15">
        <f t="shared" si="11"/>
        <v>0</v>
      </c>
      <c r="U44" s="15">
        <f t="shared" si="11"/>
        <v>0</v>
      </c>
      <c r="V44" s="15">
        <f t="shared" si="11"/>
        <v>0</v>
      </c>
      <c r="W44" s="15">
        <f t="shared" si="11"/>
        <v>0</v>
      </c>
      <c r="X44" s="15">
        <f t="shared" si="11"/>
        <v>0</v>
      </c>
      <c r="Y44" s="15">
        <f t="shared" si="11"/>
        <v>0</v>
      </c>
      <c r="Z44" s="15">
        <f t="shared" si="11"/>
        <v>0</v>
      </c>
      <c r="AA44" s="15">
        <f t="shared" si="11"/>
        <v>0</v>
      </c>
      <c r="AB44" s="15">
        <f t="shared" si="11"/>
        <v>0</v>
      </c>
      <c r="AC44" s="15">
        <f t="shared" si="11"/>
        <v>0</v>
      </c>
      <c r="AD44" s="15">
        <f t="shared" si="11"/>
        <v>0</v>
      </c>
      <c r="AE44" s="15">
        <f t="shared" si="11"/>
        <v>0</v>
      </c>
      <c r="AF44" s="5"/>
    </row>
    <row r="45" spans="2:32" ht="13.95" customHeight="1">
      <c r="B45" s="10" t="s">
        <v>36</v>
      </c>
      <c r="I45" s="15">
        <f t="shared" ref="I45:AE45" si="12">I28/I16</f>
        <v>8.3333333333333329E-2</v>
      </c>
      <c r="J45" s="15">
        <f t="shared" si="12"/>
        <v>5.3742908677349654E-2</v>
      </c>
      <c r="K45" s="15">
        <f t="shared" si="12"/>
        <v>3.8836967240822765E-2</v>
      </c>
      <c r="L45" s="15">
        <f t="shared" si="12"/>
        <v>2.9803019770980953E-2</v>
      </c>
      <c r="M45" s="15">
        <f t="shared" si="12"/>
        <v>2.3710118432202939E-2</v>
      </c>
      <c r="N45" s="15">
        <f t="shared" si="12"/>
        <v>1.9294837916274052E-2</v>
      </c>
      <c r="O45" s="15">
        <f t="shared" si="12"/>
        <v>1.5935639130471035E-2</v>
      </c>
      <c r="P45" s="15">
        <f t="shared" si="12"/>
        <v>1.328522322306964E-2</v>
      </c>
      <c r="Q45" s="15">
        <f t="shared" si="12"/>
        <v>1.1138201969950209E-2</v>
      </c>
      <c r="R45" s="15">
        <f t="shared" si="12"/>
        <v>9.3604198917651288E-3</v>
      </c>
      <c r="S45" s="15">
        <f t="shared" si="12"/>
        <v>7.8642022001450089E-3</v>
      </c>
      <c r="T45" s="15">
        <f t="shared" si="12"/>
        <v>6.7063722420560822E-3</v>
      </c>
      <c r="U45" s="15">
        <f t="shared" si="12"/>
        <v>5.7906519419155585E-3</v>
      </c>
      <c r="V45" s="15">
        <f t="shared" si="12"/>
        <v>5.053249300683192E-3</v>
      </c>
      <c r="W45" s="15">
        <f t="shared" si="12"/>
        <v>4.4498290314520326E-3</v>
      </c>
      <c r="X45" s="15">
        <f t="shared" si="12"/>
        <v>3.9495379107784591E-3</v>
      </c>
      <c r="Y45" s="15">
        <f t="shared" si="12"/>
        <v>3.5298176255378687E-3</v>
      </c>
      <c r="Z45" s="15">
        <f t="shared" si="12"/>
        <v>3.1741358849618974E-3</v>
      </c>
      <c r="AA45" s="15">
        <f t="shared" si="12"/>
        <v>2.8699812811488652E-3</v>
      </c>
      <c r="AB45" s="15">
        <f t="shared" si="12"/>
        <v>2.6076765694094959E-3</v>
      </c>
      <c r="AC45" s="15">
        <f t="shared" si="12"/>
        <v>2.3798132947227138E-3</v>
      </c>
      <c r="AD45" s="15">
        <f t="shared" si="12"/>
        <v>2.1805648347238099E-3</v>
      </c>
      <c r="AE45" s="15">
        <f t="shared" si="12"/>
        <v>2.0052661304500352E-3</v>
      </c>
      <c r="AF45" s="5"/>
    </row>
    <row r="46" spans="2:32" ht="13.95" customHeight="1">
      <c r="I46" s="16"/>
      <c r="J46" s="16"/>
      <c r="K46" s="16"/>
      <c r="L46" s="16"/>
      <c r="M46" s="16"/>
      <c r="N46" s="16"/>
      <c r="O46" s="16"/>
      <c r="P46" s="16"/>
      <c r="Q46" s="16"/>
      <c r="R46" s="16"/>
      <c r="S46" s="16"/>
      <c r="T46" s="16"/>
      <c r="U46" s="16"/>
      <c r="V46" s="16"/>
      <c r="W46" s="16"/>
      <c r="X46" s="16"/>
      <c r="Y46" s="16"/>
      <c r="Z46" s="16"/>
      <c r="AA46" s="16"/>
      <c r="AB46" s="16"/>
      <c r="AC46" s="16"/>
      <c r="AD46" s="16"/>
      <c r="AE46" s="16"/>
    </row>
    <row r="47" spans="2:32" ht="13.95" customHeight="1">
      <c r="I47" s="16">
        <f t="shared" ref="I47:AE47" si="13">I36+I40+I44</f>
        <v>1</v>
      </c>
      <c r="J47" s="16">
        <f t="shared" si="13"/>
        <v>1</v>
      </c>
      <c r="K47" s="16">
        <f t="shared" si="13"/>
        <v>1</v>
      </c>
      <c r="L47" s="16">
        <f t="shared" si="13"/>
        <v>1.0000000000000002</v>
      </c>
      <c r="M47" s="16">
        <f t="shared" si="13"/>
        <v>0.99999999999999989</v>
      </c>
      <c r="N47" s="16">
        <f t="shared" si="13"/>
        <v>1</v>
      </c>
      <c r="O47" s="16">
        <f t="shared" si="13"/>
        <v>0.99999999999999989</v>
      </c>
      <c r="P47" s="16">
        <f t="shared" si="13"/>
        <v>1</v>
      </c>
      <c r="Q47" s="16">
        <f t="shared" si="13"/>
        <v>1</v>
      </c>
      <c r="R47" s="16">
        <f t="shared" si="13"/>
        <v>1</v>
      </c>
      <c r="S47" s="16">
        <f t="shared" si="13"/>
        <v>1</v>
      </c>
      <c r="T47" s="16">
        <f t="shared" si="13"/>
        <v>1</v>
      </c>
      <c r="U47" s="16">
        <f t="shared" si="13"/>
        <v>1</v>
      </c>
      <c r="V47" s="16">
        <f t="shared" si="13"/>
        <v>1</v>
      </c>
      <c r="W47" s="16">
        <f t="shared" si="13"/>
        <v>1</v>
      </c>
      <c r="X47" s="16">
        <f t="shared" si="13"/>
        <v>1</v>
      </c>
      <c r="Y47" s="16">
        <f t="shared" si="13"/>
        <v>1</v>
      </c>
      <c r="Z47" s="16">
        <f t="shared" si="13"/>
        <v>1</v>
      </c>
      <c r="AA47" s="16">
        <f t="shared" si="13"/>
        <v>1</v>
      </c>
      <c r="AB47" s="16">
        <f t="shared" si="13"/>
        <v>1</v>
      </c>
      <c r="AC47" s="16">
        <f t="shared" si="13"/>
        <v>1</v>
      </c>
      <c r="AD47" s="16">
        <f t="shared" si="13"/>
        <v>1</v>
      </c>
      <c r="AE47" s="16">
        <f t="shared" si="13"/>
        <v>1</v>
      </c>
    </row>
    <row r="48" spans="2:32" ht="13.95" customHeight="1">
      <c r="I48" s="16">
        <f t="shared" ref="I48:AE48" si="14">I37+I41+I45</f>
        <v>1</v>
      </c>
      <c r="J48" s="16">
        <f t="shared" si="14"/>
        <v>0.99999999999999989</v>
      </c>
      <c r="K48" s="16">
        <f t="shared" si="14"/>
        <v>1</v>
      </c>
      <c r="L48" s="16">
        <f t="shared" si="14"/>
        <v>1.0000000000000002</v>
      </c>
      <c r="M48" s="16">
        <f t="shared" si="14"/>
        <v>1</v>
      </c>
      <c r="N48" s="16">
        <f t="shared" si="14"/>
        <v>1</v>
      </c>
      <c r="O48" s="16">
        <f t="shared" si="14"/>
        <v>1.0000000000000002</v>
      </c>
      <c r="P48" s="16">
        <f t="shared" si="14"/>
        <v>1.0000000000000002</v>
      </c>
      <c r="Q48" s="16">
        <f t="shared" si="14"/>
        <v>1.0000000000000002</v>
      </c>
      <c r="R48" s="16">
        <f t="shared" si="14"/>
        <v>1.0000000000000002</v>
      </c>
      <c r="S48" s="16">
        <f t="shared" si="14"/>
        <v>1</v>
      </c>
      <c r="T48" s="16">
        <f t="shared" si="14"/>
        <v>1</v>
      </c>
      <c r="U48" s="16">
        <f t="shared" si="14"/>
        <v>1</v>
      </c>
      <c r="V48" s="16">
        <f t="shared" si="14"/>
        <v>1.0000000000000002</v>
      </c>
      <c r="W48" s="16">
        <f t="shared" si="14"/>
        <v>1</v>
      </c>
      <c r="X48" s="16">
        <f t="shared" si="14"/>
        <v>1</v>
      </c>
      <c r="Y48" s="16">
        <f t="shared" si="14"/>
        <v>1</v>
      </c>
      <c r="Z48" s="16">
        <f t="shared" si="14"/>
        <v>1.0000000000000002</v>
      </c>
      <c r="AA48" s="16">
        <f t="shared" si="14"/>
        <v>1</v>
      </c>
      <c r="AB48" s="16">
        <f t="shared" si="14"/>
        <v>1</v>
      </c>
      <c r="AC48" s="16">
        <f t="shared" si="14"/>
        <v>1.0000000000000002</v>
      </c>
      <c r="AD48" s="16">
        <f t="shared" si="14"/>
        <v>1</v>
      </c>
      <c r="AE48" s="16">
        <f t="shared" si="14"/>
        <v>1</v>
      </c>
    </row>
  </sheetData>
  <mergeCells count="2">
    <mergeCell ref="B24:F25"/>
    <mergeCell ref="B30:F31"/>
  </mergeCells>
  <phoneticPr fontId="3" type="noConversion"/>
  <pageMargins left="0.75" right="0.75" top="1" bottom="1" header="0.5" footer="0.5"/>
  <pageSetup orientation="portrait" r:id="rId1"/>
  <headerFooter alignWithMargins="0"/>
</worksheet>
</file>

<file path=xl/worksheets/sheet24.xml><?xml version="1.0" encoding="utf-8"?>
<worksheet xmlns="http://schemas.openxmlformats.org/spreadsheetml/2006/main" xmlns:r="http://schemas.openxmlformats.org/officeDocument/2006/relationships">
  <dimension ref="B1:P45"/>
  <sheetViews>
    <sheetView workbookViewId="0">
      <selection activeCell="B1" sqref="B1"/>
    </sheetView>
  </sheetViews>
  <sheetFormatPr defaultColWidth="11.625" defaultRowHeight="13.95" customHeight="1"/>
  <cols>
    <col min="1" max="1" width="2.625" customWidth="1"/>
    <col min="2" max="6" width="11.625" customWidth="1"/>
    <col min="7" max="7" width="12.75" customWidth="1"/>
    <col min="8" max="15" width="11.625" customWidth="1"/>
    <col min="16" max="16" width="1.75" customWidth="1"/>
  </cols>
  <sheetData>
    <row r="1" spans="2:16" ht="13.95" customHeight="1">
      <c r="B1" s="1" t="s">
        <v>283</v>
      </c>
      <c r="K1" s="214">
        <f>Summary!I1</f>
        <v>42552</v>
      </c>
    </row>
    <row r="3" spans="2:16" ht="13.95" customHeight="1">
      <c r="B3" s="31" t="s">
        <v>284</v>
      </c>
    </row>
    <row r="4" spans="2:16" ht="13.95" customHeight="1">
      <c r="H4" s="1138" t="str">
        <f>CONCATENATE("% of personal consumption expenditures (figure to left, divided by Cell F",P39, ")")</f>
        <v>% of personal consumption expenditures (figure to left, divided by Cell F39)</v>
      </c>
      <c r="P4" s="7">
        <f>ROW()</f>
        <v>4</v>
      </c>
    </row>
    <row r="5" spans="2:16" ht="13.95" customHeight="1">
      <c r="H5" s="1138"/>
      <c r="P5" s="7">
        <f>ROW()</f>
        <v>5</v>
      </c>
    </row>
    <row r="6" spans="2:16" ht="13.95" customHeight="1">
      <c r="H6" s="1233"/>
      <c r="P6" s="7">
        <f>ROW()</f>
        <v>6</v>
      </c>
    </row>
    <row r="7" spans="2:16" ht="13.95" customHeight="1">
      <c r="H7" s="1233"/>
      <c r="P7" s="7">
        <f>ROW()</f>
        <v>7</v>
      </c>
    </row>
    <row r="8" spans="2:16" ht="13.95" customHeight="1">
      <c r="B8" s="31"/>
      <c r="G8" s="12" t="s">
        <v>192</v>
      </c>
      <c r="H8" s="1233"/>
      <c r="P8" s="7">
        <f>ROW()</f>
        <v>8</v>
      </c>
    </row>
    <row r="9" spans="2:16" ht="13.95" customHeight="1">
      <c r="P9" s="7">
        <f>ROW()</f>
        <v>9</v>
      </c>
    </row>
    <row r="10" spans="2:16" ht="13.95" customHeight="1">
      <c r="B10" s="31" t="s">
        <v>196</v>
      </c>
      <c r="G10" s="192">
        <v>14119</v>
      </c>
      <c r="I10" s="84" t="s">
        <v>188</v>
      </c>
      <c r="P10" s="7">
        <f>ROW()</f>
        <v>10</v>
      </c>
    </row>
    <row r="11" spans="2:16" ht="13.95" customHeight="1">
      <c r="I11" s="10"/>
      <c r="P11" s="7">
        <f>ROW()</f>
        <v>11</v>
      </c>
    </row>
    <row r="12" spans="2:16" ht="13.95" customHeight="1">
      <c r="B12" s="31" t="s">
        <v>197</v>
      </c>
      <c r="F12" s="192"/>
      <c r="G12" s="192">
        <f>(Electricity!M34*Electricity!M66/100)*10^9/10^9</f>
        <v>365.67743731679997</v>
      </c>
      <c r="I12" s="84" t="str">
        <f>CONCATENATE("Product of Rows ",Electricity!AS66, " and ",Electricity!AS34, " from 'Electricity' worksheet.")</f>
        <v>Product of Rows 66 and 34 from 'Electricity' worksheet.</v>
      </c>
      <c r="P12" s="7">
        <f>ROW()</f>
        <v>12</v>
      </c>
    </row>
    <row r="13" spans="2:16" ht="13.95" customHeight="1">
      <c r="B13" s="31" t="s">
        <v>199</v>
      </c>
      <c r="F13" s="192"/>
      <c r="G13" s="205">
        <v>0.37935103703726403</v>
      </c>
      <c r="I13" s="84" t="s">
        <v>189</v>
      </c>
      <c r="P13" s="7">
        <f>ROW()</f>
        <v>13</v>
      </c>
    </row>
    <row r="14" spans="2:16" ht="13.95" customHeight="1">
      <c r="B14" s="31" t="s">
        <v>198</v>
      </c>
      <c r="F14" s="192"/>
      <c r="G14" s="193">
        <v>1364.4744169999999</v>
      </c>
      <c r="I14" s="84" t="s">
        <v>189</v>
      </c>
      <c r="P14" s="7">
        <f>ROW()</f>
        <v>14</v>
      </c>
    </row>
    <row r="15" spans="2:16" ht="13.95" customHeight="1">
      <c r="B15" s="31" t="s">
        <v>200</v>
      </c>
      <c r="G15" s="194">
        <f>11.51/100</f>
        <v>0.11509999999999999</v>
      </c>
      <c r="I15" s="84" t="s">
        <v>190</v>
      </c>
      <c r="P15" s="7">
        <f>ROW()</f>
        <v>15</v>
      </c>
    </row>
    <row r="16" spans="2:16" ht="13.95" customHeight="1">
      <c r="B16" s="31" t="s">
        <v>195</v>
      </c>
      <c r="G16" s="192">
        <f>G14*G15</f>
        <v>157.05100539669999</v>
      </c>
      <c r="H16" s="47">
        <f>G16/$G$39</f>
        <v>1.5566403881089491E-2</v>
      </c>
      <c r="I16" s="84" t="str">
        <f>CONCATENATE("Product of Rows ",P14, " and ",P15, ".")</f>
        <v>Product of Rows 14 and 15.</v>
      </c>
      <c r="P16" s="7">
        <f>ROW()</f>
        <v>16</v>
      </c>
    </row>
    <row r="17" spans="2:16" ht="13.95" customHeight="1">
      <c r="I17" s="10"/>
      <c r="P17" s="7">
        <f>ROW()</f>
        <v>17</v>
      </c>
    </row>
    <row r="18" spans="2:16" ht="13.95" customHeight="1">
      <c r="B18" s="31" t="s">
        <v>201</v>
      </c>
      <c r="G18" s="192">
        <v>50486</v>
      </c>
      <c r="I18" s="84" t="s">
        <v>191</v>
      </c>
      <c r="P18" s="7">
        <f>ROW()</f>
        <v>18</v>
      </c>
    </row>
    <row r="19" spans="2:16" ht="13.95" customHeight="1">
      <c r="B19" s="31" t="s">
        <v>202</v>
      </c>
      <c r="G19" s="196">
        <v>2.5</v>
      </c>
      <c r="I19" s="84" t="s">
        <v>203</v>
      </c>
      <c r="P19" s="7">
        <f>ROW()</f>
        <v>19</v>
      </c>
    </row>
    <row r="20" spans="2:16" ht="13.95" customHeight="1">
      <c r="B20" s="31" t="s">
        <v>204</v>
      </c>
      <c r="G20" s="192">
        <v>531</v>
      </c>
      <c r="I20" s="84" t="s">
        <v>203</v>
      </c>
      <c r="P20" s="7">
        <f>ROW()</f>
        <v>20</v>
      </c>
    </row>
    <row r="21" spans="2:16" ht="13.95" customHeight="1">
      <c r="B21" s="31" t="s">
        <v>205</v>
      </c>
      <c r="G21" s="192">
        <v>1353</v>
      </c>
      <c r="I21" s="84" t="s">
        <v>203</v>
      </c>
      <c r="P21" s="7">
        <f>ROW()</f>
        <v>21</v>
      </c>
    </row>
    <row r="22" spans="2:16" ht="13.95" customHeight="1">
      <c r="B22" s="31" t="s">
        <v>206</v>
      </c>
      <c r="G22" s="192">
        <v>192</v>
      </c>
      <c r="I22" s="84" t="s">
        <v>203</v>
      </c>
      <c r="P22" s="7">
        <f>ROW()</f>
        <v>22</v>
      </c>
    </row>
    <row r="23" spans="2:16" ht="13.95" customHeight="1">
      <c r="B23" s="31" t="s">
        <v>207</v>
      </c>
      <c r="G23" s="192">
        <v>2715</v>
      </c>
      <c r="I23" s="84" t="s">
        <v>203</v>
      </c>
      <c r="P23" s="7">
        <f>ROW()</f>
        <v>23</v>
      </c>
    </row>
    <row r="24" spans="2:16" ht="13.95" customHeight="1">
      <c r="B24" s="31" t="s">
        <v>208</v>
      </c>
      <c r="G24" s="195">
        <v>99</v>
      </c>
      <c r="I24" s="84" t="s">
        <v>203</v>
      </c>
      <c r="P24" s="7">
        <f>ROW()</f>
        <v>24</v>
      </c>
    </row>
    <row r="25" spans="2:16" ht="13.95" customHeight="1">
      <c r="B25" s="31" t="s">
        <v>193</v>
      </c>
      <c r="G25" s="193">
        <v>120770000</v>
      </c>
      <c r="I25" s="84" t="s">
        <v>194</v>
      </c>
      <c r="P25" s="7">
        <f>ROW()</f>
        <v>25</v>
      </c>
    </row>
    <row r="26" spans="2:16" ht="13.95" customHeight="1">
      <c r="B26" s="31"/>
      <c r="G26" s="193"/>
      <c r="I26" s="84"/>
      <c r="P26" s="7">
        <f>ROW()</f>
        <v>26</v>
      </c>
    </row>
    <row r="27" spans="2:16" ht="13.95" customHeight="1">
      <c r="B27" s="31" t="s">
        <v>209</v>
      </c>
      <c r="G27" s="192">
        <f>$G$25*G20/1000000000</f>
        <v>64.128870000000006</v>
      </c>
      <c r="H27" s="47">
        <f>G27/$G$39</f>
        <v>6.3562527876619328E-3</v>
      </c>
      <c r="I27" s="84" t="str">
        <f>CONCATENATE("Product of Rows ",$P$25, " and ",P20, ".")</f>
        <v>Product of Rows 25 and 20.</v>
      </c>
      <c r="P27" s="7">
        <f>ROW()</f>
        <v>27</v>
      </c>
    </row>
    <row r="28" spans="2:16" ht="13.95" customHeight="1">
      <c r="B28" s="31" t="s">
        <v>210</v>
      </c>
      <c r="G28" s="192">
        <f>$G$25*G21/1000000000</f>
        <v>163.40181000000001</v>
      </c>
      <c r="H28" s="47">
        <f>G28/$G$39</f>
        <v>1.6195875747093399E-2</v>
      </c>
      <c r="I28" s="84" t="str">
        <f>CONCATENATE("Product of Rows ",$P$25, " and ",P21, ".")</f>
        <v>Product of Rows 25 and 21.</v>
      </c>
      <c r="P28" s="7">
        <f>ROW()</f>
        <v>28</v>
      </c>
    </row>
    <row r="29" spans="2:16" ht="13.95" customHeight="1">
      <c r="B29" s="31" t="s">
        <v>215</v>
      </c>
      <c r="G29" s="192">
        <f>$G$25*G22/1000000000</f>
        <v>23.187840000000001</v>
      </c>
      <c r="H29" s="47">
        <f>G29/$G$39</f>
        <v>2.298306092713919E-3</v>
      </c>
      <c r="I29" s="84" t="str">
        <f>CONCATENATE("Product of Rows ",$P$25, " and ",P22, ".")</f>
        <v>Product of Rows 25 and 22.</v>
      </c>
      <c r="P29" s="7">
        <f>ROW()</f>
        <v>29</v>
      </c>
    </row>
    <row r="30" spans="2:16" ht="13.95" customHeight="1">
      <c r="B30" s="31" t="s">
        <v>216</v>
      </c>
      <c r="G30" s="192">
        <f>$G$25*G23/1000000000</f>
        <v>327.89055000000002</v>
      </c>
      <c r="H30" s="47">
        <f>G30/$G$39</f>
        <v>3.249948459228276E-2</v>
      </c>
      <c r="I30" s="84" t="str">
        <f>CONCATENATE("Product of Rows ",$P$25, " and ",P23, ".")</f>
        <v>Product of Rows 25 and 23.</v>
      </c>
      <c r="P30" s="7">
        <f>ROW()</f>
        <v>30</v>
      </c>
    </row>
    <row r="31" spans="2:16" ht="13.95" customHeight="1">
      <c r="B31" s="31" t="s">
        <v>217</v>
      </c>
      <c r="G31" s="192">
        <f>$G$25*G24/1000000000</f>
        <v>11.95623</v>
      </c>
      <c r="H31" s="47">
        <f>G31/$G$39</f>
        <v>1.1850640790556145E-3</v>
      </c>
      <c r="I31" s="84" t="str">
        <f>CONCATENATE("Product of Rows ",$P$25, " and ",P24, ".")</f>
        <v>Product of Rows 25 and 24.</v>
      </c>
      <c r="P31" s="7">
        <f>ROW()</f>
        <v>31</v>
      </c>
    </row>
    <row r="32" spans="2:16" ht="13.95" customHeight="1">
      <c r="I32" s="10"/>
      <c r="P32" s="7">
        <f>ROW()</f>
        <v>32</v>
      </c>
    </row>
    <row r="33" spans="2:16" ht="13.95" customHeight="1">
      <c r="B33" s="31" t="s">
        <v>268</v>
      </c>
      <c r="G33" s="210">
        <v>154.71923799999999</v>
      </c>
      <c r="I33" s="84" t="s">
        <v>269</v>
      </c>
      <c r="P33" s="7">
        <f>ROW()</f>
        <v>33</v>
      </c>
    </row>
    <row r="34" spans="2:16" ht="13.95" customHeight="1">
      <c r="B34" s="31" t="s">
        <v>270</v>
      </c>
      <c r="G34" s="210">
        <v>22.913726</v>
      </c>
      <c r="I34" s="84" t="s">
        <v>269</v>
      </c>
      <c r="P34" s="7">
        <f>ROW()</f>
        <v>34</v>
      </c>
    </row>
    <row r="35" spans="2:16" ht="13.95" customHeight="1">
      <c r="B35" s="31" t="s">
        <v>271</v>
      </c>
      <c r="G35" s="205">
        <f>1-G34/G33</f>
        <v>0.85190124837610692</v>
      </c>
      <c r="I35" s="10"/>
      <c r="P35" s="7">
        <f>ROW()</f>
        <v>35</v>
      </c>
    </row>
    <row r="36" spans="2:16" ht="13.95" customHeight="1">
      <c r="B36" s="31" t="s">
        <v>272</v>
      </c>
      <c r="G36" s="211">
        <v>0.5</v>
      </c>
      <c r="I36" s="10"/>
      <c r="P36" s="7">
        <f>ROW()</f>
        <v>36</v>
      </c>
    </row>
    <row r="37" spans="2:16" ht="13.95" customHeight="1">
      <c r="I37" s="10"/>
      <c r="P37" s="7">
        <f>ROW()</f>
        <v>37</v>
      </c>
    </row>
    <row r="38" spans="2:16" ht="13.95" customHeight="1">
      <c r="B38" s="31" t="s">
        <v>211</v>
      </c>
      <c r="D38" s="31"/>
      <c r="G38" s="192">
        <v>10924</v>
      </c>
      <c r="I38" s="84" t="s">
        <v>212</v>
      </c>
      <c r="P38" s="7">
        <f>ROW()</f>
        <v>38</v>
      </c>
    </row>
    <row r="39" spans="2:16" ht="13.95" customHeight="1">
      <c r="B39" s="31" t="s">
        <v>214</v>
      </c>
      <c r="G39" s="192">
        <v>10089.1</v>
      </c>
      <c r="I39" s="84" t="s">
        <v>213</v>
      </c>
      <c r="P39" s="7">
        <f>ROW()</f>
        <v>39</v>
      </c>
    </row>
    <row r="40" spans="2:16" ht="13.95" customHeight="1">
      <c r="P40" s="7">
        <f>ROW()</f>
        <v>40</v>
      </c>
    </row>
    <row r="41" spans="2:16" ht="13.95" customHeight="1">
      <c r="B41" s="31" t="s">
        <v>261</v>
      </c>
      <c r="G41" s="192">
        <f>8989*1000*Parameters!I22*Parameters!I21*3.317/1000000000</f>
        <v>457.08714429000003</v>
      </c>
      <c r="I41" s="84" t="s">
        <v>262</v>
      </c>
      <c r="P41" s="7">
        <f>ROW()</f>
        <v>41</v>
      </c>
    </row>
    <row r="42" spans="2:16" ht="13.95" customHeight="1">
      <c r="B42" s="31" t="s">
        <v>263</v>
      </c>
      <c r="G42" s="205">
        <f>G30/G41</f>
        <v>0.71734800266438703</v>
      </c>
      <c r="I42" s="84" t="str">
        <f>CONCATENATE("Ratio of Row ",$P$30, " to Row ",P41, ".")</f>
        <v>Ratio of Row 30 to Row 41.</v>
      </c>
      <c r="P42" s="7">
        <f>ROW()</f>
        <v>42</v>
      </c>
    </row>
    <row r="43" spans="2:16" ht="13.95" customHeight="1">
      <c r="B43" s="31" t="s">
        <v>266</v>
      </c>
      <c r="G43" s="5">
        <v>0</v>
      </c>
      <c r="P43" s="7">
        <f>ROW()</f>
        <v>43</v>
      </c>
    </row>
    <row r="44" spans="2:16" ht="13.95" customHeight="1">
      <c r="B44" s="31" t="s">
        <v>273</v>
      </c>
      <c r="G44" s="16">
        <f>G36*G35</f>
        <v>0.42595062418805346</v>
      </c>
      <c r="I44" s="10"/>
      <c r="P44" s="7">
        <f>ROW()</f>
        <v>44</v>
      </c>
    </row>
    <row r="45" spans="2:16" ht="13.95" customHeight="1">
      <c r="B45" s="31" t="s">
        <v>274</v>
      </c>
      <c r="G45" s="211">
        <f>1/4</f>
        <v>0.25</v>
      </c>
      <c r="P45" s="7">
        <f>ROW()</f>
        <v>45</v>
      </c>
    </row>
  </sheetData>
  <mergeCells count="1">
    <mergeCell ref="H4:H8"/>
  </mergeCells>
  <pageMargins left="0.7" right="0.7" top="0.75" bottom="0.75" header="0.3" footer="0.3"/>
</worksheet>
</file>

<file path=xl/worksheets/sheet25.xml><?xml version="1.0" encoding="utf-8"?>
<worksheet xmlns="http://schemas.openxmlformats.org/spreadsheetml/2006/main" xmlns:r="http://schemas.openxmlformats.org/officeDocument/2006/relationships">
  <dimension ref="B1:J78"/>
  <sheetViews>
    <sheetView workbookViewId="0"/>
  </sheetViews>
  <sheetFormatPr defaultColWidth="12.625" defaultRowHeight="15" customHeight="1"/>
  <cols>
    <col min="1" max="1" width="2.625" customWidth="1"/>
  </cols>
  <sheetData>
    <row r="1" spans="2:9" ht="15" customHeight="1">
      <c r="B1" s="57" t="s">
        <v>592</v>
      </c>
      <c r="I1" s="214">
        <f>Summary!I1</f>
        <v>42552</v>
      </c>
    </row>
    <row r="2" spans="2:9" ht="15" customHeight="1">
      <c r="B2" s="31" t="s">
        <v>645</v>
      </c>
    </row>
    <row r="5" spans="2:9" ht="15" customHeight="1">
      <c r="B5" s="1" t="s">
        <v>619</v>
      </c>
    </row>
    <row r="7" spans="2:9" ht="15" customHeight="1">
      <c r="B7" s="8" t="s">
        <v>639</v>
      </c>
    </row>
    <row r="8" spans="2:9" ht="15" customHeight="1">
      <c r="B8" s="31" t="s">
        <v>640</v>
      </c>
    </row>
    <row r="10" spans="2:9" ht="15" customHeight="1">
      <c r="B10" s="31" t="s">
        <v>641</v>
      </c>
    </row>
    <row r="12" spans="2:9" ht="15" customHeight="1">
      <c r="B12" s="31" t="s">
        <v>642</v>
      </c>
    </row>
    <row r="14" spans="2:9" ht="15" customHeight="1">
      <c r="B14" s="1446" t="s">
        <v>643</v>
      </c>
      <c r="C14" s="1446"/>
      <c r="D14" s="1446"/>
      <c r="E14" s="1446"/>
      <c r="F14" s="1446"/>
      <c r="G14" s="1446"/>
      <c r="H14" s="1446"/>
      <c r="I14" s="1446"/>
    </row>
    <row r="15" spans="2:9" ht="15" customHeight="1">
      <c r="B15" s="1446"/>
      <c r="C15" s="1446"/>
      <c r="D15" s="1446"/>
      <c r="E15" s="1446"/>
      <c r="F15" s="1446"/>
      <c r="G15" s="1446"/>
      <c r="H15" s="1446"/>
      <c r="I15" s="1446"/>
    </row>
    <row r="16" spans="2:9" ht="15" customHeight="1">
      <c r="B16" s="1446"/>
      <c r="C16" s="1446"/>
      <c r="D16" s="1446"/>
      <c r="E16" s="1446"/>
      <c r="F16" s="1446"/>
      <c r="G16" s="1446"/>
      <c r="H16" s="1446"/>
      <c r="I16" s="1446"/>
    </row>
    <row r="17" spans="2:9" ht="15" customHeight="1">
      <c r="B17" s="31"/>
      <c r="C17" s="31"/>
      <c r="D17" s="31"/>
      <c r="E17" s="31"/>
      <c r="F17" s="31"/>
      <c r="G17" s="31"/>
      <c r="H17" s="31"/>
      <c r="I17" s="31"/>
    </row>
    <row r="18" spans="2:9" ht="15" customHeight="1">
      <c r="B18" s="31" t="s">
        <v>644</v>
      </c>
    </row>
    <row r="19" spans="2:9" ht="15" customHeight="1">
      <c r="B19" s="66"/>
    </row>
    <row r="20" spans="2:9" ht="15" customHeight="1">
      <c r="B20" s="8" t="s">
        <v>638</v>
      </c>
    </row>
    <row r="22" spans="2:9" ht="15" customHeight="1">
      <c r="B22" s="1446" t="s">
        <v>620</v>
      </c>
      <c r="C22" s="1182"/>
      <c r="D22" s="1182"/>
      <c r="E22" s="1182"/>
      <c r="F22" s="1182"/>
      <c r="G22" s="1182"/>
      <c r="H22" s="1182"/>
      <c r="I22" s="1182"/>
    </row>
    <row r="23" spans="2:9" ht="15" customHeight="1">
      <c r="B23" s="1182"/>
      <c r="C23" s="1182"/>
      <c r="D23" s="1182"/>
      <c r="E23" s="1182"/>
      <c r="F23" s="1182"/>
      <c r="G23" s="1182"/>
      <c r="H23" s="1182"/>
      <c r="I23" s="1182"/>
    </row>
    <row r="24" spans="2:9" ht="15" customHeight="1">
      <c r="B24" s="1446" t="s">
        <v>621</v>
      </c>
      <c r="C24" s="1182"/>
      <c r="D24" s="1182"/>
      <c r="E24" s="1182"/>
      <c r="F24" s="1182"/>
      <c r="G24" s="1182"/>
      <c r="H24" s="1182"/>
      <c r="I24" s="1182"/>
    </row>
    <row r="25" spans="2:9" ht="15" customHeight="1">
      <c r="B25" s="1182"/>
      <c r="C25" s="1182"/>
      <c r="D25" s="1182"/>
      <c r="E25" s="1182"/>
      <c r="F25" s="1182"/>
      <c r="G25" s="1182"/>
      <c r="H25" s="1182"/>
      <c r="I25" s="1182"/>
    </row>
    <row r="26" spans="2:9" ht="15" customHeight="1">
      <c r="B26" s="1383"/>
      <c r="C26" s="1383"/>
      <c r="D26" s="1383"/>
      <c r="E26" s="1383"/>
      <c r="F26" s="1383"/>
      <c r="G26" s="1383"/>
      <c r="H26" s="1383"/>
      <c r="I26" s="1383"/>
    </row>
    <row r="27" spans="2:9" ht="15" customHeight="1">
      <c r="B27" s="1446" t="s">
        <v>622</v>
      </c>
      <c r="C27" s="1182"/>
      <c r="D27" s="1182"/>
      <c r="E27" s="1182"/>
      <c r="F27" s="1182"/>
      <c r="G27" s="1182"/>
      <c r="H27" s="1182"/>
      <c r="I27" s="1182"/>
    </row>
    <row r="28" spans="2:9" ht="15" customHeight="1">
      <c r="B28" s="1182"/>
      <c r="C28" s="1182"/>
      <c r="D28" s="1182"/>
      <c r="E28" s="1182"/>
      <c r="F28" s="1182"/>
      <c r="G28" s="1182"/>
      <c r="H28" s="1182"/>
      <c r="I28" s="1182"/>
    </row>
    <row r="29" spans="2:9" ht="15" customHeight="1">
      <c r="B29" s="31"/>
    </row>
    <row r="30" spans="2:9" ht="15" customHeight="1">
      <c r="B30" s="1446" t="s">
        <v>623</v>
      </c>
      <c r="C30" s="1182"/>
      <c r="D30" s="1182"/>
      <c r="E30" s="1182"/>
      <c r="F30" s="1182"/>
      <c r="G30" s="1182"/>
      <c r="H30" s="1182"/>
      <c r="I30" s="1182"/>
    </row>
    <row r="31" spans="2:9" ht="15" customHeight="1">
      <c r="B31" s="1182"/>
      <c r="C31" s="1182"/>
      <c r="D31" s="1182"/>
      <c r="E31" s="1182"/>
      <c r="F31" s="1182"/>
      <c r="G31" s="1182"/>
      <c r="H31" s="1182"/>
      <c r="I31" s="1182"/>
    </row>
    <row r="32" spans="2:9" ht="15" customHeight="1">
      <c r="B32" s="1182"/>
      <c r="C32" s="1182"/>
      <c r="D32" s="1182"/>
      <c r="E32" s="1182"/>
      <c r="F32" s="1182"/>
      <c r="G32" s="1182"/>
      <c r="H32" s="1182"/>
      <c r="I32" s="1182"/>
    </row>
    <row r="33" spans="2:10" ht="15" customHeight="1">
      <c r="B33" s="1182"/>
      <c r="C33" s="1182"/>
      <c r="D33" s="1182"/>
      <c r="E33" s="1182"/>
      <c r="F33" s="1182"/>
      <c r="G33" s="1182"/>
      <c r="H33" s="1182"/>
      <c r="I33" s="1182"/>
    </row>
    <row r="34" spans="2:10" ht="15" customHeight="1">
      <c r="B34" s="1182"/>
      <c r="C34" s="1182"/>
      <c r="D34" s="1182"/>
      <c r="E34" s="1182"/>
      <c r="F34" s="1182"/>
      <c r="G34" s="1182"/>
      <c r="H34" s="1182"/>
      <c r="I34" s="1182"/>
    </row>
    <row r="35" spans="2:10" ht="15" customHeight="1">
      <c r="B35" s="1457" t="s">
        <v>637</v>
      </c>
      <c r="C35" s="1457"/>
      <c r="D35" s="1457"/>
      <c r="E35" s="1457"/>
      <c r="F35" s="1457"/>
      <c r="G35" s="1457"/>
      <c r="H35" s="1457"/>
      <c r="I35" s="1457"/>
    </row>
    <row r="36" spans="2:10" ht="15" customHeight="1">
      <c r="B36" s="131"/>
      <c r="C36" s="131"/>
      <c r="D36" s="131"/>
      <c r="E36" s="1138" t="s">
        <v>625</v>
      </c>
      <c r="F36" s="131"/>
      <c r="G36" s="1138" t="s">
        <v>635</v>
      </c>
      <c r="H36" s="1138" t="s">
        <v>634</v>
      </c>
      <c r="I36" s="131"/>
    </row>
    <row r="37" spans="2:10" ht="15" customHeight="1">
      <c r="B37" s="31"/>
      <c r="D37" s="12" t="s">
        <v>624</v>
      </c>
      <c r="E37" s="1233"/>
      <c r="F37" s="12" t="s">
        <v>626</v>
      </c>
      <c r="G37" s="1233"/>
      <c r="H37" s="1233"/>
      <c r="I37" s="12" t="s">
        <v>627</v>
      </c>
    </row>
    <row r="38" spans="2:10" ht="15" customHeight="1">
      <c r="B38" s="8" t="s">
        <v>629</v>
      </c>
      <c r="D38" s="474">
        <v>104</v>
      </c>
      <c r="E38" s="188" t="s">
        <v>631</v>
      </c>
      <c r="F38" s="489">
        <v>36982</v>
      </c>
      <c r="G38" s="490">
        <v>83.707999999999998</v>
      </c>
      <c r="H38" s="490">
        <v>106.761</v>
      </c>
      <c r="I38" s="237">
        <f>D38*H38/G38</f>
        <v>132.64137238973575</v>
      </c>
    </row>
    <row r="39" spans="2:10" ht="15" customHeight="1">
      <c r="B39" s="8" t="s">
        <v>628</v>
      </c>
      <c r="D39" s="474">
        <v>34</v>
      </c>
      <c r="E39" s="188" t="s">
        <v>632</v>
      </c>
      <c r="F39" s="489">
        <v>37165</v>
      </c>
      <c r="G39" s="490">
        <v>84.239000000000004</v>
      </c>
      <c r="H39" s="490">
        <v>106.761</v>
      </c>
      <c r="I39" s="237">
        <f>D39*H39/G39</f>
        <v>43.090183881575037</v>
      </c>
    </row>
    <row r="40" spans="2:10" ht="15" customHeight="1">
      <c r="B40" s="8" t="s">
        <v>630</v>
      </c>
      <c r="D40" s="474">
        <v>12</v>
      </c>
      <c r="E40" s="188" t="s">
        <v>633</v>
      </c>
      <c r="F40" s="489">
        <v>37347</v>
      </c>
      <c r="G40" s="490">
        <v>84.825999999999993</v>
      </c>
      <c r="H40" s="490">
        <v>106.761</v>
      </c>
      <c r="I40" s="237">
        <f>D40*H40/G40</f>
        <v>15.103058024662252</v>
      </c>
    </row>
    <row r="41" spans="2:10" ht="15" customHeight="1">
      <c r="B41" s="491" t="s">
        <v>585</v>
      </c>
      <c r="C41" s="115"/>
      <c r="D41" s="492"/>
      <c r="E41" s="163"/>
      <c r="F41" s="493"/>
      <c r="G41" s="494"/>
      <c r="H41" s="494"/>
      <c r="I41" s="495">
        <f>SUM(I38:I40)</f>
        <v>190.83461429597304</v>
      </c>
    </row>
    <row r="42" spans="2:10" ht="15" customHeight="1">
      <c r="B42" s="84" t="s">
        <v>636</v>
      </c>
    </row>
    <row r="44" spans="2:10" ht="15" customHeight="1">
      <c r="B44" s="1" t="s">
        <v>612</v>
      </c>
    </row>
    <row r="46" spans="2:10" ht="15" customHeight="1">
      <c r="B46" s="31" t="s">
        <v>613</v>
      </c>
      <c r="H46" s="474">
        <v>1187</v>
      </c>
      <c r="I46" s="31" t="s">
        <v>614</v>
      </c>
    </row>
    <row r="47" spans="2:10" ht="15" customHeight="1">
      <c r="B47" s="31" t="s">
        <v>615</v>
      </c>
    </row>
    <row r="48" spans="2:10" ht="15" customHeight="1">
      <c r="B48" s="124" t="s">
        <v>617</v>
      </c>
      <c r="H48" s="475">
        <v>1.4</v>
      </c>
      <c r="I48" s="31" t="s">
        <v>614</v>
      </c>
      <c r="J48" s="47">
        <f>H48/$H$46</f>
        <v>1.1794439764111204E-3</v>
      </c>
    </row>
    <row r="49" spans="2:10" ht="15" customHeight="1">
      <c r="B49" s="124" t="s">
        <v>616</v>
      </c>
      <c r="H49" s="475">
        <v>1.8</v>
      </c>
      <c r="I49" s="31" t="s">
        <v>614</v>
      </c>
      <c r="J49" s="47">
        <f>H49/$H$46</f>
        <v>1.5164279696714407E-3</v>
      </c>
    </row>
    <row r="51" spans="2:10" ht="15" customHeight="1">
      <c r="B51" s="486" t="s">
        <v>618</v>
      </c>
      <c r="C51" s="487"/>
      <c r="D51" s="487"/>
      <c r="E51" s="487"/>
      <c r="F51" s="487"/>
      <c r="G51" s="487"/>
      <c r="H51" s="487"/>
      <c r="I51" s="488"/>
    </row>
    <row r="52" spans="2:10" ht="15" customHeight="1">
      <c r="B52" s="476" t="s">
        <v>593</v>
      </c>
      <c r="C52" s="477"/>
      <c r="D52" s="477"/>
      <c r="E52" s="477"/>
      <c r="F52" s="477"/>
      <c r="G52" s="477"/>
      <c r="H52" s="477"/>
      <c r="I52" s="478"/>
    </row>
    <row r="53" spans="2:10" ht="15" customHeight="1">
      <c r="B53" s="479" t="s">
        <v>594</v>
      </c>
      <c r="C53" s="480"/>
      <c r="D53" s="480"/>
      <c r="E53" s="480"/>
      <c r="F53" s="480"/>
      <c r="G53" s="480"/>
      <c r="H53" s="480"/>
      <c r="I53" s="481"/>
    </row>
    <row r="54" spans="2:10" ht="15" customHeight="1">
      <c r="B54" s="479" t="s">
        <v>595</v>
      </c>
      <c r="C54" s="480"/>
      <c r="D54" s="480"/>
      <c r="E54" s="480"/>
      <c r="F54" s="480"/>
      <c r="G54" s="480"/>
      <c r="H54" s="480"/>
      <c r="I54" s="481"/>
    </row>
    <row r="55" spans="2:10" ht="15" customHeight="1">
      <c r="B55" s="479" t="s">
        <v>596</v>
      </c>
      <c r="C55" s="480"/>
      <c r="D55" s="480"/>
      <c r="E55" s="480"/>
      <c r="F55" s="480"/>
      <c r="G55" s="480"/>
      <c r="H55" s="480"/>
      <c r="I55" s="481"/>
    </row>
    <row r="56" spans="2:10" ht="15" customHeight="1">
      <c r="B56" s="482"/>
      <c r="C56" s="480"/>
      <c r="D56" s="480"/>
      <c r="E56" s="480"/>
      <c r="F56" s="480"/>
      <c r="G56" s="480"/>
      <c r="H56" s="480"/>
      <c r="I56" s="481"/>
    </row>
    <row r="57" spans="2:10" ht="15" customHeight="1">
      <c r="B57" s="479" t="s">
        <v>597</v>
      </c>
      <c r="C57" s="480"/>
      <c r="D57" s="480"/>
      <c r="E57" s="480"/>
      <c r="F57" s="480"/>
      <c r="G57" s="480"/>
      <c r="H57" s="480"/>
      <c r="I57" s="481"/>
    </row>
    <row r="58" spans="2:10" ht="15" customHeight="1">
      <c r="B58" s="479" t="s">
        <v>598</v>
      </c>
      <c r="C58" s="480"/>
      <c r="D58" s="480"/>
      <c r="E58" s="480"/>
      <c r="F58" s="480"/>
      <c r="G58" s="480"/>
      <c r="H58" s="480"/>
      <c r="I58" s="481"/>
    </row>
    <row r="59" spans="2:10" ht="15" customHeight="1">
      <c r="B59" s="479" t="s">
        <v>599</v>
      </c>
      <c r="C59" s="480"/>
      <c r="D59" s="480"/>
      <c r="E59" s="480"/>
      <c r="F59" s="480"/>
      <c r="G59" s="480"/>
      <c r="H59" s="480"/>
      <c r="I59" s="481"/>
    </row>
    <row r="60" spans="2:10" ht="15" customHeight="1">
      <c r="B60" s="479"/>
      <c r="C60" s="480"/>
      <c r="D60" s="480"/>
      <c r="E60" s="480"/>
      <c r="F60" s="480"/>
      <c r="G60" s="480"/>
      <c r="H60" s="480"/>
      <c r="I60" s="481"/>
    </row>
    <row r="61" spans="2:10" ht="15" customHeight="1">
      <c r="B61" s="479" t="s">
        <v>600</v>
      </c>
      <c r="C61" s="480"/>
      <c r="D61" s="480"/>
      <c r="E61" s="480"/>
      <c r="F61" s="480"/>
      <c r="G61" s="480"/>
      <c r="H61" s="480"/>
      <c r="I61" s="481"/>
    </row>
    <row r="62" spans="2:10" ht="15" customHeight="1">
      <c r="B62" s="479"/>
      <c r="C62" s="480"/>
      <c r="D62" s="480"/>
      <c r="E62" s="480"/>
      <c r="F62" s="480"/>
      <c r="G62" s="480"/>
      <c r="H62" s="480"/>
      <c r="I62" s="481"/>
    </row>
    <row r="63" spans="2:10" ht="15" customHeight="1">
      <c r="B63" s="1453" t="s">
        <v>601</v>
      </c>
      <c r="C63" s="1454"/>
      <c r="D63" s="1454"/>
      <c r="E63" s="1454"/>
      <c r="F63" s="1454"/>
      <c r="G63" s="1454"/>
      <c r="H63" s="1454"/>
      <c r="I63" s="1455"/>
    </row>
    <row r="64" spans="2:10" ht="15" customHeight="1">
      <c r="B64" s="1456"/>
      <c r="C64" s="1454"/>
      <c r="D64" s="1454"/>
      <c r="E64" s="1454"/>
      <c r="F64" s="1454"/>
      <c r="G64" s="1454"/>
      <c r="H64" s="1454"/>
      <c r="I64" s="1455"/>
    </row>
    <row r="65" spans="2:9" ht="15" customHeight="1">
      <c r="B65" s="1453" t="s">
        <v>602</v>
      </c>
      <c r="C65" s="1454"/>
      <c r="D65" s="1454"/>
      <c r="E65" s="1454"/>
      <c r="F65" s="1454"/>
      <c r="G65" s="1454"/>
      <c r="H65" s="1454"/>
      <c r="I65" s="1455"/>
    </row>
    <row r="66" spans="2:9" ht="15" customHeight="1">
      <c r="B66" s="1456"/>
      <c r="C66" s="1454"/>
      <c r="D66" s="1454"/>
      <c r="E66" s="1454"/>
      <c r="F66" s="1454"/>
      <c r="G66" s="1454"/>
      <c r="H66" s="1454"/>
      <c r="I66" s="1455"/>
    </row>
    <row r="67" spans="2:9" ht="15" customHeight="1">
      <c r="B67" s="479" t="s">
        <v>603</v>
      </c>
      <c r="C67" s="480"/>
      <c r="D67" s="480"/>
      <c r="E67" s="480"/>
      <c r="F67" s="480"/>
      <c r="G67" s="480"/>
      <c r="H67" s="480"/>
      <c r="I67" s="481"/>
    </row>
    <row r="68" spans="2:9" ht="15" customHeight="1">
      <c r="B68" s="1453" t="s">
        <v>604</v>
      </c>
      <c r="C68" s="1454"/>
      <c r="D68" s="1454"/>
      <c r="E68" s="1454"/>
      <c r="F68" s="1454"/>
      <c r="G68" s="1454"/>
      <c r="H68" s="1454"/>
      <c r="I68" s="1455"/>
    </row>
    <row r="69" spans="2:9" ht="15" customHeight="1">
      <c r="B69" s="1456"/>
      <c r="C69" s="1454"/>
      <c r="D69" s="1454"/>
      <c r="E69" s="1454"/>
      <c r="F69" s="1454"/>
      <c r="G69" s="1454"/>
      <c r="H69" s="1454"/>
      <c r="I69" s="1455"/>
    </row>
    <row r="70" spans="2:9" ht="15" customHeight="1">
      <c r="B70" s="479" t="s">
        <v>605</v>
      </c>
      <c r="C70" s="480"/>
      <c r="D70" s="480"/>
      <c r="E70" s="480"/>
      <c r="F70" s="480"/>
      <c r="G70" s="480"/>
      <c r="H70" s="480"/>
      <c r="I70" s="481"/>
    </row>
    <row r="71" spans="2:9" ht="15" customHeight="1">
      <c r="B71" s="479" t="s">
        <v>606</v>
      </c>
      <c r="C71" s="480"/>
      <c r="D71" s="480"/>
      <c r="E71" s="480"/>
      <c r="F71" s="480"/>
      <c r="G71" s="480"/>
      <c r="H71" s="480"/>
      <c r="I71" s="481"/>
    </row>
    <row r="72" spans="2:9" ht="15" customHeight="1">
      <c r="B72" s="1453" t="s">
        <v>607</v>
      </c>
      <c r="C72" s="1454"/>
      <c r="D72" s="1454"/>
      <c r="E72" s="1454"/>
      <c r="F72" s="1454"/>
      <c r="G72" s="1454"/>
      <c r="H72" s="1454"/>
      <c r="I72" s="1455"/>
    </row>
    <row r="73" spans="2:9" ht="15" customHeight="1">
      <c r="B73" s="1456"/>
      <c r="C73" s="1454"/>
      <c r="D73" s="1454"/>
      <c r="E73" s="1454"/>
      <c r="F73" s="1454"/>
      <c r="G73" s="1454"/>
      <c r="H73" s="1454"/>
      <c r="I73" s="1455"/>
    </row>
    <row r="74" spans="2:9" ht="15" customHeight="1">
      <c r="B74" s="479" t="s">
        <v>608</v>
      </c>
      <c r="C74" s="480"/>
      <c r="D74" s="480"/>
      <c r="E74" s="480"/>
      <c r="F74" s="480"/>
      <c r="G74" s="480"/>
      <c r="H74" s="480"/>
      <c r="I74" s="481"/>
    </row>
    <row r="75" spans="2:9" ht="15" customHeight="1">
      <c r="B75" s="479" t="s">
        <v>609</v>
      </c>
      <c r="C75" s="480"/>
      <c r="D75" s="480"/>
      <c r="E75" s="480"/>
      <c r="F75" s="480"/>
      <c r="G75" s="480"/>
      <c r="H75" s="480"/>
      <c r="I75" s="481"/>
    </row>
    <row r="76" spans="2:9" ht="15" customHeight="1">
      <c r="B76" s="479" t="s">
        <v>610</v>
      </c>
      <c r="C76" s="480"/>
      <c r="D76" s="480"/>
      <c r="E76" s="480"/>
      <c r="F76" s="480"/>
      <c r="G76" s="480"/>
      <c r="H76" s="480"/>
      <c r="I76" s="481"/>
    </row>
    <row r="77" spans="2:9" ht="15" customHeight="1">
      <c r="B77" s="483" t="s">
        <v>611</v>
      </c>
      <c r="C77" s="484"/>
      <c r="D77" s="484"/>
      <c r="E77" s="484"/>
      <c r="F77" s="484"/>
      <c r="G77" s="484"/>
      <c r="H77" s="484"/>
      <c r="I77" s="485"/>
    </row>
    <row r="78" spans="2:9" ht="15" customHeight="1">
      <c r="B78" s="473"/>
    </row>
  </sheetData>
  <mergeCells count="13">
    <mergeCell ref="B14:I16"/>
    <mergeCell ref="B63:I64"/>
    <mergeCell ref="B65:I66"/>
    <mergeCell ref="B68:I69"/>
    <mergeCell ref="B72:I73"/>
    <mergeCell ref="B22:I23"/>
    <mergeCell ref="B24:I26"/>
    <mergeCell ref="B27:I28"/>
    <mergeCell ref="B30:I34"/>
    <mergeCell ref="H36:H37"/>
    <mergeCell ref="G36:G37"/>
    <mergeCell ref="E36:E37"/>
    <mergeCell ref="B35:I35"/>
  </mergeCells>
  <pageMargins left="0.7" right="0.7" top="0.75" bottom="0.75" header="0.3" footer="0.3"/>
</worksheet>
</file>

<file path=xl/worksheets/sheet26.xml><?xml version="1.0" encoding="utf-8"?>
<worksheet xmlns="http://schemas.openxmlformats.org/spreadsheetml/2006/main" xmlns:r="http://schemas.openxmlformats.org/officeDocument/2006/relationships">
  <dimension ref="B1:K28"/>
  <sheetViews>
    <sheetView workbookViewId="0"/>
  </sheetViews>
  <sheetFormatPr defaultColWidth="9.625" defaultRowHeight="13.95" customHeight="1"/>
  <cols>
    <col min="1" max="1" width="2.625" customWidth="1"/>
  </cols>
  <sheetData>
    <row r="1" spans="2:11" ht="13.95" customHeight="1">
      <c r="B1" s="57" t="s">
        <v>845</v>
      </c>
      <c r="K1" s="214">
        <f>Summary!I1</f>
        <v>42552</v>
      </c>
    </row>
    <row r="5" spans="2:11" ht="13.95" customHeight="1">
      <c r="B5" s="1458" t="s">
        <v>288</v>
      </c>
      <c r="C5" s="1459"/>
      <c r="D5" s="1459"/>
      <c r="E5" s="1459"/>
      <c r="F5" s="1459"/>
      <c r="G5" s="1459"/>
      <c r="H5" s="1459"/>
      <c r="I5" s="1459"/>
      <c r="J5" s="1459"/>
      <c r="K5" s="1460"/>
    </row>
    <row r="6" spans="2:11" ht="13.95" customHeight="1">
      <c r="B6" s="1461"/>
      <c r="C6" s="1462"/>
      <c r="D6" s="1462"/>
      <c r="E6" s="1462"/>
      <c r="F6" s="1462"/>
      <c r="G6" s="1462"/>
      <c r="H6" s="1462"/>
      <c r="I6" s="1462"/>
      <c r="J6" s="1462"/>
      <c r="K6" s="1463"/>
    </row>
    <row r="7" spans="2:11" ht="13.95" customHeight="1">
      <c r="B7" s="1461"/>
      <c r="C7" s="1462"/>
      <c r="D7" s="1462"/>
      <c r="E7" s="1462"/>
      <c r="F7" s="1462"/>
      <c r="G7" s="1462"/>
      <c r="H7" s="1462"/>
      <c r="I7" s="1462"/>
      <c r="J7" s="1462"/>
      <c r="K7" s="1463"/>
    </row>
    <row r="8" spans="2:11" ht="13.95" customHeight="1">
      <c r="B8" s="225" t="s">
        <v>291</v>
      </c>
      <c r="C8" s="222"/>
      <c r="D8" s="222"/>
      <c r="E8" s="222"/>
      <c r="F8" s="222"/>
      <c r="G8" s="222"/>
      <c r="H8" s="222"/>
      <c r="I8" s="222"/>
      <c r="J8" s="222"/>
      <c r="K8" s="223"/>
    </row>
    <row r="9" spans="2:11" ht="13.95" customHeight="1">
      <c r="B9" s="217">
        <v>1</v>
      </c>
      <c r="C9" s="220" t="s">
        <v>293</v>
      </c>
      <c r="D9" s="220"/>
      <c r="E9" s="226"/>
      <c r="F9" s="226"/>
      <c r="G9" s="226"/>
      <c r="H9" s="226"/>
      <c r="I9" s="226"/>
      <c r="J9" s="226"/>
      <c r="K9" s="227"/>
    </row>
    <row r="10" spans="2:11" ht="13.95" customHeight="1">
      <c r="B10" s="217">
        <v>2</v>
      </c>
      <c r="C10" s="218" t="s">
        <v>294</v>
      </c>
      <c r="D10" s="220"/>
      <c r="E10" s="226"/>
      <c r="F10" s="226"/>
      <c r="G10" s="226"/>
      <c r="H10" s="226"/>
      <c r="I10" s="226"/>
      <c r="J10" s="226"/>
      <c r="K10" s="227"/>
    </row>
    <row r="11" spans="2:11" ht="13.95" customHeight="1">
      <c r="B11" s="217">
        <v>3</v>
      </c>
      <c r="C11" s="220" t="s">
        <v>295</v>
      </c>
      <c r="D11" s="218"/>
      <c r="E11" s="219"/>
      <c r="F11" s="219"/>
      <c r="G11" s="226"/>
      <c r="H11" s="226"/>
      <c r="I11" s="226"/>
      <c r="J11" s="226"/>
      <c r="K11" s="227"/>
    </row>
    <row r="12" spans="2:11" ht="13.95" customHeight="1">
      <c r="B12" s="217">
        <v>4</v>
      </c>
      <c r="C12" s="220" t="s">
        <v>296</v>
      </c>
      <c r="D12" s="218"/>
      <c r="E12" s="219"/>
      <c r="F12" s="219"/>
      <c r="G12" s="226"/>
      <c r="H12" s="226"/>
      <c r="I12" s="226"/>
      <c r="J12" s="226"/>
      <c r="K12" s="227"/>
    </row>
    <row r="13" spans="2:11" ht="13.95" customHeight="1">
      <c r="B13" s="217">
        <v>5</v>
      </c>
      <c r="C13" s="218" t="s">
        <v>297</v>
      </c>
      <c r="D13" s="218"/>
      <c r="E13" s="219"/>
      <c r="F13" s="219"/>
      <c r="G13" s="222"/>
      <c r="H13" s="222"/>
      <c r="I13" s="222"/>
      <c r="J13" s="222"/>
      <c r="K13" s="223"/>
    </row>
    <row r="14" spans="2:11" ht="13.95" customHeight="1">
      <c r="B14" s="217">
        <v>6</v>
      </c>
      <c r="C14" s="218" t="s">
        <v>298</v>
      </c>
      <c r="D14" s="218"/>
      <c r="E14" s="219"/>
      <c r="F14" s="219"/>
      <c r="G14" s="222"/>
      <c r="H14" s="222"/>
      <c r="I14" s="222"/>
      <c r="J14" s="222"/>
      <c r="K14" s="223"/>
    </row>
    <row r="15" spans="2:11" ht="13.95" customHeight="1">
      <c r="B15" s="217">
        <v>7</v>
      </c>
      <c r="C15" s="221" t="s">
        <v>299</v>
      </c>
      <c r="D15" s="220"/>
      <c r="E15" s="226"/>
      <c r="F15" s="226"/>
      <c r="G15" s="222"/>
      <c r="H15" s="222"/>
      <c r="I15" s="222"/>
      <c r="J15" s="222"/>
      <c r="K15" s="223"/>
    </row>
    <row r="16" spans="2:11" ht="13.95" customHeight="1">
      <c r="B16" s="217"/>
      <c r="C16" s="221"/>
      <c r="D16" s="220"/>
      <c r="E16" s="226"/>
      <c r="F16" s="226"/>
      <c r="G16" s="222"/>
      <c r="H16" s="222"/>
      <c r="I16" s="222"/>
      <c r="J16" s="222"/>
      <c r="K16" s="223"/>
    </row>
    <row r="17" spans="2:11" ht="13.95" customHeight="1">
      <c r="B17" s="225" t="s">
        <v>292</v>
      </c>
      <c r="C17" s="222"/>
      <c r="D17" s="222"/>
      <c r="E17" s="222"/>
      <c r="F17" s="222"/>
      <c r="G17" s="222"/>
      <c r="H17" s="222"/>
      <c r="I17" s="222"/>
      <c r="J17" s="222"/>
      <c r="K17" s="223"/>
    </row>
    <row r="18" spans="2:11" ht="13.95" customHeight="1">
      <c r="B18" s="217">
        <v>1</v>
      </c>
      <c r="C18" s="224" t="s">
        <v>300</v>
      </c>
      <c r="D18" s="226"/>
      <c r="E18" s="226"/>
      <c r="F18" s="226"/>
      <c r="G18" s="226"/>
      <c r="H18" s="226"/>
      <c r="I18" s="226"/>
      <c r="J18" s="226"/>
      <c r="K18" s="227"/>
    </row>
    <row r="19" spans="2:11" ht="13.95" customHeight="1">
      <c r="B19" s="217">
        <v>2</v>
      </c>
      <c r="C19" s="218" t="s">
        <v>301</v>
      </c>
      <c r="D19" s="226"/>
      <c r="E19" s="226"/>
      <c r="F19" s="226"/>
      <c r="G19" s="226"/>
      <c r="H19" s="226"/>
      <c r="I19" s="226"/>
      <c r="J19" s="226"/>
      <c r="K19" s="227"/>
    </row>
    <row r="20" spans="2:11" ht="13.95" customHeight="1">
      <c r="B20" s="217">
        <v>3</v>
      </c>
      <c r="C20" s="219" t="s">
        <v>302</v>
      </c>
      <c r="D20" s="226"/>
      <c r="E20" s="226"/>
      <c r="F20" s="226"/>
      <c r="G20" s="226"/>
      <c r="H20" s="226"/>
      <c r="I20" s="226"/>
      <c r="J20" s="226"/>
      <c r="K20" s="227"/>
    </row>
    <row r="21" spans="2:11" ht="13.95" customHeight="1">
      <c r="B21" s="217">
        <v>4</v>
      </c>
      <c r="C21" s="218" t="s">
        <v>303</v>
      </c>
      <c r="D21" s="226"/>
      <c r="E21" s="226"/>
      <c r="F21" s="226"/>
      <c r="G21" s="222"/>
      <c r="H21" s="222"/>
      <c r="I21" s="222"/>
      <c r="J21" s="222"/>
      <c r="K21" s="223"/>
    </row>
    <row r="22" spans="2:11" ht="13.95" customHeight="1">
      <c r="B22" s="217">
        <v>5</v>
      </c>
      <c r="C22" s="218" t="s">
        <v>304</v>
      </c>
      <c r="D22" s="226"/>
      <c r="E22" s="226"/>
      <c r="F22" s="226"/>
      <c r="G22" s="222"/>
      <c r="H22" s="222"/>
      <c r="I22" s="222"/>
      <c r="J22" s="222"/>
      <c r="K22" s="223"/>
    </row>
    <row r="23" spans="2:11" ht="13.95" customHeight="1">
      <c r="B23" s="217">
        <v>6</v>
      </c>
      <c r="C23" s="221" t="s">
        <v>305</v>
      </c>
      <c r="D23" s="226"/>
      <c r="E23" s="226"/>
      <c r="F23" s="226"/>
      <c r="G23" s="222"/>
      <c r="H23" s="222"/>
      <c r="I23" s="222"/>
      <c r="J23" s="222"/>
      <c r="K23" s="223"/>
    </row>
    <row r="24" spans="2:11" ht="13.95" customHeight="1">
      <c r="B24" s="217"/>
      <c r="C24" s="221"/>
      <c r="D24" s="226"/>
      <c r="E24" s="226"/>
      <c r="F24" s="226"/>
      <c r="G24" s="222"/>
      <c r="H24" s="222"/>
      <c r="I24" s="222"/>
      <c r="J24" s="222"/>
      <c r="K24" s="223"/>
    </row>
    <row r="25" spans="2:11" ht="13.95" customHeight="1">
      <c r="B25" s="228" t="s">
        <v>287</v>
      </c>
      <c r="C25" s="229"/>
      <c r="D25" s="230"/>
      <c r="E25" s="230"/>
      <c r="F25" s="230"/>
      <c r="G25" s="413"/>
      <c r="H25" s="413"/>
      <c r="I25" s="413"/>
      <c r="J25" s="413"/>
      <c r="K25" s="414"/>
    </row>
    <row r="27" spans="2:11" ht="13.95" customHeight="1">
      <c r="B27" s="1464" t="s">
        <v>351</v>
      </c>
      <c r="C27" s="1465"/>
      <c r="D27" s="1465"/>
      <c r="E27" s="1465"/>
      <c r="F27" s="1465"/>
      <c r="G27" s="1465"/>
      <c r="H27" s="1465"/>
      <c r="I27" s="1465"/>
      <c r="J27" s="1465"/>
      <c r="K27" s="1466"/>
    </row>
    <row r="28" spans="2:11" ht="13.95" customHeight="1">
      <c r="B28" s="1467"/>
      <c r="C28" s="1468"/>
      <c r="D28" s="1468"/>
      <c r="E28" s="1468"/>
      <c r="F28" s="1468"/>
      <c r="G28" s="1468"/>
      <c r="H28" s="1468"/>
      <c r="I28" s="1468"/>
      <c r="J28" s="1468"/>
      <c r="K28" s="1469"/>
    </row>
  </sheetData>
  <mergeCells count="2">
    <mergeCell ref="B5:K7"/>
    <mergeCell ref="B27:K28"/>
  </mergeCells>
  <pageMargins left="0.7" right="0.7" top="0.75" bottom="0.75" header="0.3" footer="0.3"/>
  <pageSetup orientation="portrait" verticalDpi="0" r:id="rId1"/>
</worksheet>
</file>

<file path=xl/worksheets/sheet3.xml><?xml version="1.0" encoding="utf-8"?>
<worksheet xmlns="http://schemas.openxmlformats.org/spreadsheetml/2006/main" xmlns:r="http://schemas.openxmlformats.org/officeDocument/2006/relationships">
  <dimension ref="B1:XFD126"/>
  <sheetViews>
    <sheetView showGridLines="0" workbookViewId="0"/>
  </sheetViews>
  <sheetFormatPr defaultColWidth="10.25" defaultRowHeight="13.95" customHeight="1"/>
  <cols>
    <col min="1" max="1" width="2.625" customWidth="1"/>
    <col min="46" max="46" width="2.25" customWidth="1"/>
  </cols>
  <sheetData>
    <row r="1" spans="2:46" ht="13.95" customHeight="1">
      <c r="B1" s="57" t="s">
        <v>16</v>
      </c>
      <c r="L1" s="214">
        <f>Summary!I1</f>
        <v>42552</v>
      </c>
      <c r="AT1" s="6">
        <f>ROW()</f>
        <v>1</v>
      </c>
    </row>
    <row r="2" spans="2:46" ht="13.95" customHeight="1">
      <c r="B2" s="57"/>
      <c r="AT2" s="6">
        <f>ROW()</f>
        <v>2</v>
      </c>
    </row>
    <row r="3" spans="2:46" ht="13.95" customHeight="1">
      <c r="B3" s="1" t="s">
        <v>1259</v>
      </c>
      <c r="AT3" s="6">
        <f>ROW()</f>
        <v>3</v>
      </c>
    </row>
    <row r="4" spans="2:46" ht="13.95" customHeight="1">
      <c r="B4" s="57"/>
      <c r="AT4" s="6">
        <f>ROW()</f>
        <v>4</v>
      </c>
    </row>
    <row r="5" spans="2:46" ht="13.95" customHeight="1">
      <c r="B5" s="411" t="s">
        <v>20</v>
      </c>
      <c r="D5" s="73"/>
      <c r="E5" s="73"/>
      <c r="F5" s="73"/>
      <c r="G5" s="73"/>
      <c r="H5" s="73"/>
      <c r="I5" s="73"/>
      <c r="J5" s="73"/>
      <c r="K5" s="73"/>
      <c r="L5" s="73"/>
      <c r="M5" s="73"/>
      <c r="N5" s="73"/>
      <c r="O5" s="73"/>
      <c r="P5" s="73"/>
      <c r="Q5" s="73"/>
      <c r="R5" s="73"/>
      <c r="AT5" s="6">
        <f>ROW()</f>
        <v>5</v>
      </c>
    </row>
    <row r="6" spans="2:46" ht="13.95" customHeight="1">
      <c r="B6" s="411"/>
      <c r="D6" s="73"/>
      <c r="E6" s="73"/>
      <c r="F6" s="73"/>
      <c r="G6" s="73"/>
      <c r="H6" s="73"/>
      <c r="I6" s="73"/>
      <c r="J6" s="73"/>
      <c r="K6" s="73"/>
      <c r="L6" s="73"/>
      <c r="M6" s="73"/>
      <c r="N6" s="73"/>
      <c r="O6" s="73"/>
      <c r="P6" s="73"/>
      <c r="Q6" s="73"/>
      <c r="R6" s="73"/>
      <c r="AT6" s="6">
        <f>ROW()</f>
        <v>6</v>
      </c>
    </row>
    <row r="7" spans="2:46" ht="13.95" customHeight="1">
      <c r="B7" s="825" t="s">
        <v>526</v>
      </c>
      <c r="C7" s="826"/>
      <c r="D7" s="826"/>
      <c r="E7" s="826"/>
      <c r="F7" s="826"/>
      <c r="G7" s="826"/>
      <c r="H7" s="827"/>
      <c r="I7" s="73"/>
      <c r="J7" s="73"/>
      <c r="K7" s="73"/>
      <c r="L7" s="73"/>
      <c r="M7" s="73"/>
      <c r="N7" s="73"/>
      <c r="O7" s="73"/>
      <c r="P7" s="73"/>
      <c r="Q7" s="73"/>
      <c r="R7" s="73"/>
      <c r="AT7" s="6">
        <f>ROW()</f>
        <v>7</v>
      </c>
    </row>
    <row r="8" spans="2:46" ht="13.95" customHeight="1">
      <c r="B8" s="828" t="s">
        <v>524</v>
      </c>
      <c r="C8" s="820"/>
      <c r="D8" s="820"/>
      <c r="E8" s="820"/>
      <c r="F8" s="821">
        <f>Summary!$I$56</f>
        <v>11.337868480725623</v>
      </c>
      <c r="G8" s="820"/>
      <c r="H8" s="829"/>
      <c r="I8" s="73"/>
      <c r="J8" s="73"/>
      <c r="K8" s="73"/>
      <c r="L8" s="73"/>
      <c r="M8" s="73"/>
      <c r="N8" s="73"/>
      <c r="O8" s="73"/>
      <c r="P8" s="73"/>
      <c r="Q8" s="73"/>
      <c r="R8" s="73"/>
      <c r="AT8" s="6">
        <f>ROW()</f>
        <v>8</v>
      </c>
    </row>
    <row r="9" spans="2:46" ht="13.95" customHeight="1">
      <c r="B9" s="828" t="s">
        <v>528</v>
      </c>
      <c r="C9" s="820"/>
      <c r="D9" s="820"/>
      <c r="E9" s="820"/>
      <c r="F9" s="1056" t="str">
        <f>IF(Summary!$I$58=1,CONCATENATE("$",ROUND(Summary!$I$60,2),""),CONCATENATE("",Summary!$I$64*100,"%"))</f>
        <v>$11.34</v>
      </c>
      <c r="G9" s="820"/>
      <c r="H9" s="829"/>
      <c r="I9" s="73"/>
      <c r="J9" s="73"/>
      <c r="K9" s="73"/>
      <c r="L9" s="73"/>
      <c r="M9" s="73"/>
      <c r="N9" s="73"/>
      <c r="O9" s="73"/>
      <c r="P9" s="73"/>
      <c r="Q9" s="73"/>
      <c r="R9" s="73"/>
      <c r="AT9" s="6">
        <f>ROW()</f>
        <v>9</v>
      </c>
    </row>
    <row r="10" spans="2:46" ht="13.95" customHeight="1">
      <c r="B10" s="828" t="s">
        <v>525</v>
      </c>
      <c r="C10" s="823"/>
      <c r="D10" s="820"/>
      <c r="E10" s="820"/>
      <c r="F10" s="820" t="str">
        <f>IF(Summary!$I$69="Nominal","No inflation indexing","Carbon tax is indexed to inflation")</f>
        <v>Carbon tax is indexed to inflation</v>
      </c>
      <c r="G10" s="820"/>
      <c r="H10" s="829"/>
      <c r="I10" s="73"/>
      <c r="J10" s="73"/>
      <c r="K10" s="73"/>
      <c r="L10" s="73"/>
      <c r="M10" s="73"/>
      <c r="N10" s="73"/>
      <c r="O10" s="73"/>
      <c r="P10" s="73"/>
      <c r="Q10" s="73"/>
      <c r="R10" s="73"/>
      <c r="AT10" s="6">
        <f>ROW()</f>
        <v>10</v>
      </c>
    </row>
    <row r="11" spans="2:46" ht="13.95" customHeight="1">
      <c r="B11" s="828" t="s">
        <v>527</v>
      </c>
      <c r="C11" s="823"/>
      <c r="D11" s="820"/>
      <c r="E11" s="820"/>
      <c r="F11" s="824">
        <f>Summary!$I$53</f>
        <v>2017</v>
      </c>
      <c r="G11" s="820"/>
      <c r="H11" s="829"/>
      <c r="I11" s="73"/>
      <c r="J11" s="73"/>
      <c r="K11" s="73"/>
      <c r="L11" s="73"/>
      <c r="M11" s="73"/>
      <c r="N11" s="73"/>
      <c r="O11" s="73"/>
      <c r="P11" s="73"/>
      <c r="Q11" s="73"/>
      <c r="R11" s="73"/>
      <c r="AT11" s="6">
        <f>ROW()</f>
        <v>11</v>
      </c>
    </row>
    <row r="12" spans="2:46" ht="13.95" customHeight="1">
      <c r="B12" s="830" t="s">
        <v>884</v>
      </c>
      <c r="C12" s="831"/>
      <c r="D12" s="831"/>
      <c r="E12" s="831"/>
      <c r="F12" s="832">
        <f>Summary!$I$73</f>
        <v>12.5</v>
      </c>
      <c r="G12" s="831"/>
      <c r="H12" s="833"/>
      <c r="I12" s="73"/>
      <c r="J12" s="73"/>
      <c r="K12" s="73"/>
      <c r="L12" s="73"/>
      <c r="M12" s="73"/>
      <c r="N12" s="73"/>
      <c r="O12" s="73"/>
      <c r="P12" s="73"/>
      <c r="Q12" s="73"/>
      <c r="R12" s="73"/>
      <c r="AT12" s="6">
        <f>ROW()</f>
        <v>12</v>
      </c>
    </row>
    <row r="13" spans="2:46" ht="13.95" customHeight="1">
      <c r="B13" s="144"/>
      <c r="D13" s="73"/>
      <c r="E13" s="73"/>
      <c r="F13" s="73"/>
      <c r="G13" s="73"/>
      <c r="H13" s="73"/>
      <c r="I13" s="73"/>
      <c r="J13" s="73"/>
      <c r="K13" s="73"/>
      <c r="L13" s="73"/>
      <c r="M13" s="73"/>
      <c r="N13" s="73"/>
      <c r="O13" s="73"/>
      <c r="P13" s="73"/>
      <c r="Q13" s="73"/>
      <c r="R13" s="73"/>
      <c r="AT13" s="6">
        <f>ROW()</f>
        <v>13</v>
      </c>
    </row>
    <row r="14" spans="2:46" ht="13.95" customHeight="1">
      <c r="Q14" s="75"/>
      <c r="R14" s="75"/>
      <c r="S14" s="75"/>
      <c r="T14" s="75"/>
      <c r="U14" s="75"/>
      <c r="V14" s="75"/>
      <c r="W14" s="75"/>
      <c r="X14" s="75"/>
      <c r="Y14" s="75"/>
      <c r="Z14" s="75"/>
      <c r="AT14" s="6">
        <f>ROW()</f>
        <v>14</v>
      </c>
    </row>
    <row r="15" spans="2:46" ht="13.95" customHeight="1">
      <c r="C15" s="1210" t="str">
        <f>CONCATENATE("Data for graph directly below are calculated and displayed in Rows ", $AT$44, "-",$AT$49, ".")</f>
        <v>Data for graph directly below are calculated and displayed in Rows 44-49.</v>
      </c>
      <c r="D15" s="1211"/>
      <c r="E15" s="1211"/>
      <c r="F15" s="1211"/>
      <c r="G15" s="1211"/>
      <c r="H15" s="1211"/>
      <c r="I15" s="1211"/>
      <c r="J15" s="1211"/>
      <c r="K15" s="1212"/>
      <c r="M15" s="48"/>
      <c r="N15" s="1213" t="str">
        <f>CONCATENATE("Data for graph directly below are calculated and displayed in Rows ", $AT$69, "-",$AT$87, ".")</f>
        <v>Data for graph directly below are calculated and displayed in Rows 69-87.</v>
      </c>
      <c r="O15" s="1214"/>
      <c r="P15" s="1214"/>
      <c r="Q15" s="1214"/>
      <c r="R15" s="1214"/>
      <c r="S15" s="1214"/>
      <c r="T15" s="1214"/>
      <c r="U15" s="1214"/>
      <c r="V15" s="1215"/>
      <c r="W15" s="75"/>
      <c r="X15" s="75"/>
      <c r="Y15" s="1216" t="str">
        <f>CONCATENATE("Data for graph directly below are calculated and displayed in Rows ", $AT$89, "-",$AT$95, ".")</f>
        <v>Data for graph directly below are calculated and displayed in Rows 89-95.</v>
      </c>
      <c r="Z15" s="1217"/>
      <c r="AA15" s="1217"/>
      <c r="AB15" s="1217"/>
      <c r="AC15" s="1217"/>
      <c r="AD15" s="1217"/>
      <c r="AE15" s="1217"/>
      <c r="AF15" s="1217"/>
      <c r="AG15" s="1218"/>
      <c r="AH15" s="75"/>
      <c r="AJ15" s="1210" t="str">
        <f>CONCATENATE("Data for graph directly below are calculated and displayed in Rows ", $AT$44, "-",$AT$49, ".")</f>
        <v>Data for graph directly below are calculated and displayed in Rows 44-49.</v>
      </c>
      <c r="AK15" s="1211"/>
      <c r="AL15" s="1211"/>
      <c r="AM15" s="1211"/>
      <c r="AN15" s="1211"/>
      <c r="AO15" s="1211"/>
      <c r="AP15" s="1211"/>
      <c r="AQ15" s="1211"/>
      <c r="AR15" s="1212"/>
      <c r="AT15" s="6">
        <f>ROW()</f>
        <v>15</v>
      </c>
    </row>
    <row r="16" spans="2:46" ht="13.95" customHeight="1">
      <c r="B16" s="8"/>
      <c r="I16" s="48"/>
      <c r="J16" s="48"/>
      <c r="K16" s="48"/>
      <c r="M16" s="75"/>
      <c r="N16" s="75"/>
      <c r="O16" s="75"/>
      <c r="P16" s="75"/>
      <c r="Q16" s="75"/>
      <c r="R16" s="75"/>
      <c r="S16" s="75"/>
      <c r="T16" s="75"/>
      <c r="U16" s="75"/>
      <c r="V16" s="75"/>
      <c r="W16" s="75"/>
      <c r="AI16" s="8"/>
      <c r="AP16" s="48"/>
      <c r="AQ16" s="48"/>
      <c r="AR16" s="48"/>
      <c r="AT16" s="6">
        <f>ROW()</f>
        <v>16</v>
      </c>
    </row>
    <row r="17" spans="23:46" ht="13.95" customHeight="1">
      <c r="W17" s="75"/>
      <c r="AT17" s="6">
        <f>ROW()</f>
        <v>17</v>
      </c>
    </row>
    <row r="18" spans="23:46" ht="13.95" customHeight="1">
      <c r="W18" s="75"/>
      <c r="AT18" s="6">
        <f>ROW()</f>
        <v>18</v>
      </c>
    </row>
    <row r="19" spans="23:46" ht="13.95" customHeight="1">
      <c r="W19" s="75"/>
      <c r="AT19" s="6">
        <f>ROW()</f>
        <v>19</v>
      </c>
    </row>
    <row r="20" spans="23:46" ht="13.95" customHeight="1">
      <c r="W20" s="75"/>
      <c r="AT20" s="6">
        <f>ROW()</f>
        <v>20</v>
      </c>
    </row>
    <row r="21" spans="23:46" ht="13.95" customHeight="1">
      <c r="W21" s="75"/>
      <c r="AT21" s="6">
        <f>ROW()</f>
        <v>21</v>
      </c>
    </row>
    <row r="22" spans="23:46" ht="13.95" customHeight="1">
      <c r="W22" s="75"/>
      <c r="AT22" s="6">
        <f>ROW()</f>
        <v>22</v>
      </c>
    </row>
    <row r="23" spans="23:46" ht="13.95" customHeight="1">
      <c r="W23" s="75"/>
      <c r="AT23" s="6">
        <f>ROW()</f>
        <v>23</v>
      </c>
    </row>
    <row r="24" spans="23:46" ht="13.95" customHeight="1">
      <c r="W24" s="75"/>
      <c r="AT24" s="6">
        <f>ROW()</f>
        <v>24</v>
      </c>
    </row>
    <row r="25" spans="23:46" ht="13.95" customHeight="1">
      <c r="W25" s="75"/>
      <c r="AT25" s="6">
        <f>ROW()</f>
        <v>25</v>
      </c>
    </row>
    <row r="26" spans="23:46" ht="13.95" customHeight="1">
      <c r="W26" s="75"/>
      <c r="AT26" s="6">
        <f>ROW()</f>
        <v>26</v>
      </c>
    </row>
    <row r="27" spans="23:46" ht="13.95" customHeight="1">
      <c r="W27" s="75"/>
      <c r="AT27" s="6">
        <f>ROW()</f>
        <v>27</v>
      </c>
    </row>
    <row r="28" spans="23:46" ht="13.95" customHeight="1">
      <c r="W28" s="75"/>
      <c r="AT28" s="6">
        <f>ROW()</f>
        <v>28</v>
      </c>
    </row>
    <row r="29" spans="23:46" ht="13.95" customHeight="1">
      <c r="W29" s="75"/>
      <c r="AT29" s="6">
        <f>ROW()</f>
        <v>29</v>
      </c>
    </row>
    <row r="30" spans="23:46" ht="13.95" customHeight="1">
      <c r="W30" s="75"/>
      <c r="AT30" s="6">
        <f>ROW()</f>
        <v>30</v>
      </c>
    </row>
    <row r="31" spans="23:46" ht="13.95" customHeight="1">
      <c r="W31" s="75"/>
      <c r="AT31" s="6">
        <f>ROW()</f>
        <v>31</v>
      </c>
    </row>
    <row r="32" spans="23:46" ht="13.95" customHeight="1">
      <c r="W32" s="75"/>
      <c r="AT32" s="6">
        <f>ROW()</f>
        <v>32</v>
      </c>
    </row>
    <row r="33" spans="2:46" ht="13.95" customHeight="1">
      <c r="W33" s="75"/>
      <c r="AT33" s="6">
        <f>ROW()</f>
        <v>33</v>
      </c>
    </row>
    <row r="34" spans="2:46" ht="13.95" customHeight="1">
      <c r="W34" s="75"/>
      <c r="AT34" s="6">
        <f>ROW()</f>
        <v>34</v>
      </c>
    </row>
    <row r="35" spans="2:46" ht="13.95" customHeight="1">
      <c r="W35" s="75"/>
      <c r="AT35" s="6">
        <f>ROW()</f>
        <v>35</v>
      </c>
    </row>
    <row r="36" spans="2:46" ht="13.95" customHeight="1">
      <c r="W36" s="75"/>
      <c r="AT36" s="6">
        <f>ROW()</f>
        <v>36</v>
      </c>
    </row>
    <row r="37" spans="2:46" ht="13.95" customHeight="1">
      <c r="M37" s="75"/>
      <c r="AT37" s="6">
        <f>ROW()</f>
        <v>37</v>
      </c>
    </row>
    <row r="38" spans="2:46" ht="13.95" customHeight="1">
      <c r="M38" s="75"/>
      <c r="N38" s="75"/>
      <c r="O38" s="75"/>
      <c r="P38" s="75"/>
      <c r="Q38" s="75"/>
      <c r="R38" s="75"/>
      <c r="S38" s="75"/>
      <c r="T38" s="75"/>
      <c r="U38" s="75"/>
      <c r="V38" s="75"/>
      <c r="W38" s="75"/>
      <c r="AT38" s="6">
        <f>ROW()</f>
        <v>38</v>
      </c>
    </row>
    <row r="39" spans="2:46" ht="13.95" customHeight="1">
      <c r="M39" s="75"/>
      <c r="N39" s="75"/>
      <c r="O39" s="75"/>
      <c r="P39" s="75"/>
      <c r="Q39" s="75"/>
      <c r="R39" s="75"/>
      <c r="S39" s="75"/>
      <c r="T39" s="75"/>
      <c r="U39" s="75"/>
      <c r="V39" s="75"/>
      <c r="W39" s="75"/>
      <c r="AT39" s="6">
        <f>ROW()</f>
        <v>39</v>
      </c>
    </row>
    <row r="40" spans="2:46" ht="13.95" customHeight="1">
      <c r="M40" s="75"/>
      <c r="N40" s="75"/>
      <c r="O40" s="75"/>
      <c r="P40" s="75"/>
      <c r="Q40" s="75"/>
      <c r="R40" s="75"/>
      <c r="S40" s="75"/>
      <c r="T40" s="75"/>
      <c r="U40" s="75"/>
      <c r="V40" s="75"/>
      <c r="W40" s="75"/>
      <c r="AT40" s="6">
        <f>ROW()</f>
        <v>40</v>
      </c>
    </row>
    <row r="41" spans="2:46" ht="13.95" customHeight="1">
      <c r="B41" s="8"/>
      <c r="AI41" s="1093" t="s">
        <v>1258</v>
      </c>
      <c r="AT41" s="6">
        <f>ROW()</f>
        <v>41</v>
      </c>
    </row>
    <row r="42" spans="2:46" ht="13.95" customHeight="1">
      <c r="B42" s="8"/>
      <c r="AT42" s="6">
        <f>ROW()</f>
        <v>42</v>
      </c>
    </row>
    <row r="43" spans="2:46" ht="13.95" customHeight="1">
      <c r="I43" s="232"/>
      <c r="J43" s="232"/>
      <c r="K43" s="232"/>
      <c r="L43" s="232"/>
      <c r="M43" s="232"/>
      <c r="N43" s="232"/>
      <c r="O43" s="232"/>
      <c r="P43" s="232"/>
      <c r="Q43" s="109" t="s">
        <v>61</v>
      </c>
      <c r="R43" s="109"/>
      <c r="S43" s="109"/>
      <c r="T43" s="77" t="s">
        <v>21</v>
      </c>
      <c r="U43" s="78"/>
      <c r="V43" s="78"/>
      <c r="W43" s="78"/>
      <c r="X43" s="78"/>
      <c r="Y43" s="78"/>
      <c r="Z43" s="78"/>
      <c r="AA43" s="78"/>
      <c r="AB43" s="78"/>
      <c r="AC43" s="78"/>
      <c r="AD43" s="78"/>
      <c r="AE43" s="78"/>
      <c r="AF43" s="78"/>
      <c r="AG43" s="78"/>
      <c r="AH43" s="78"/>
      <c r="AI43" s="78"/>
      <c r="AJ43" s="78"/>
      <c r="AK43" s="78"/>
      <c r="AL43" s="78"/>
      <c r="AM43" s="78"/>
      <c r="AN43" s="78"/>
      <c r="AO43" s="78"/>
      <c r="AP43" s="78"/>
      <c r="AQ43" s="78"/>
      <c r="AT43" s="6">
        <f>ROW()</f>
        <v>43</v>
      </c>
    </row>
    <row r="44" spans="2:46" s="13" customFormat="1" ht="13.95" customHeight="1">
      <c r="B44" s="76" t="s">
        <v>17</v>
      </c>
      <c r="I44" s="75">
        <f>Summary!I110</f>
        <v>2005</v>
      </c>
      <c r="J44" s="75">
        <f>Summary!J110</f>
        <v>2006</v>
      </c>
      <c r="K44" s="75">
        <f>Summary!K110</f>
        <v>2007</v>
      </c>
      <c r="L44" s="75">
        <f>Summary!L110</f>
        <v>2008</v>
      </c>
      <c r="M44" s="75">
        <f>Summary!M110</f>
        <v>2009</v>
      </c>
      <c r="N44" s="75">
        <f>Summary!N110</f>
        <v>2010</v>
      </c>
      <c r="O44" s="75">
        <f>Summary!O110</f>
        <v>2011</v>
      </c>
      <c r="P44" s="75">
        <f>Summary!P110</f>
        <v>2012</v>
      </c>
      <c r="Q44" s="75">
        <f>Summary!Q110</f>
        <v>2013</v>
      </c>
      <c r="R44" s="75">
        <f>Summary!R110</f>
        <v>2014</v>
      </c>
      <c r="S44" s="75">
        <f>Summary!S110</f>
        <v>2015</v>
      </c>
      <c r="T44" s="75">
        <f>Summary!T110</f>
        <v>2017</v>
      </c>
      <c r="U44" s="75">
        <f>Summary!U110</f>
        <v>2018</v>
      </c>
      <c r="V44" s="75">
        <f>Summary!V110</f>
        <v>2019</v>
      </c>
      <c r="W44" s="75">
        <f>Summary!W110</f>
        <v>2020</v>
      </c>
      <c r="X44" s="75">
        <f>Summary!X110</f>
        <v>2021</v>
      </c>
      <c r="Y44" s="75">
        <f>Summary!Y110</f>
        <v>2022</v>
      </c>
      <c r="Z44" s="75">
        <f>Summary!Z110</f>
        <v>2023</v>
      </c>
      <c r="AA44" s="75">
        <f>Summary!AA110</f>
        <v>2024</v>
      </c>
      <c r="AB44" s="75">
        <f>Summary!AB110</f>
        <v>2025</v>
      </c>
      <c r="AC44" s="75">
        <f>Summary!AC110</f>
        <v>2026</v>
      </c>
      <c r="AD44" s="75">
        <f>Summary!AD110</f>
        <v>2027</v>
      </c>
      <c r="AE44" s="75">
        <f>Summary!AE110</f>
        <v>2028</v>
      </c>
      <c r="AF44" s="75">
        <f>Summary!AF110</f>
        <v>2029</v>
      </c>
      <c r="AG44" s="75">
        <f>Summary!AG110</f>
        <v>2030</v>
      </c>
      <c r="AH44" s="75">
        <f>Summary!AH110</f>
        <v>2031</v>
      </c>
      <c r="AI44" s="75">
        <f>Summary!AI110</f>
        <v>2032</v>
      </c>
      <c r="AJ44" s="75">
        <f>Summary!AJ110</f>
        <v>2033</v>
      </c>
      <c r="AK44" s="75">
        <f>Summary!AK110</f>
        <v>2034</v>
      </c>
      <c r="AL44" s="75">
        <f>Summary!AL110</f>
        <v>2035</v>
      </c>
      <c r="AM44" s="75">
        <f>Summary!AM110</f>
        <v>2036</v>
      </c>
      <c r="AN44" s="75">
        <f>Summary!AN110</f>
        <v>2037</v>
      </c>
      <c r="AO44" s="75">
        <f>Summary!AO110</f>
        <v>2038</v>
      </c>
      <c r="AP44" s="75">
        <f>Summary!AP110</f>
        <v>2039</v>
      </c>
      <c r="AQ44" s="75">
        <f>Summary!AQ110</f>
        <v>2040</v>
      </c>
      <c r="AT44" s="6">
        <f>ROW()</f>
        <v>44</v>
      </c>
    </row>
    <row r="45" spans="2:46" ht="13.95" customHeight="1">
      <c r="B45" s="8" t="s">
        <v>18</v>
      </c>
      <c r="I45" s="355">
        <f>Summary!I115</f>
        <v>5811.705891565216</v>
      </c>
      <c r="J45" s="355">
        <f>Summary!J115</f>
        <v>5741.3947512468221</v>
      </c>
      <c r="K45" s="355">
        <f>Summary!K115</f>
        <v>5831.6621575089175</v>
      </c>
      <c r="L45" s="355">
        <f>Summary!L115</f>
        <v>5629.4402855458411</v>
      </c>
      <c r="M45" s="355">
        <f>Summary!M115</f>
        <v>5237.9790874120499</v>
      </c>
      <c r="N45" s="355">
        <f>Summary!N115</f>
        <v>5421.3546132287674</v>
      </c>
      <c r="O45" s="355">
        <f>Summary!O115</f>
        <v>5271.9587835203365</v>
      </c>
      <c r="P45" s="355">
        <f>Summary!P115</f>
        <v>5061.796514329073</v>
      </c>
      <c r="Q45" s="355">
        <f>Summary!Q115</f>
        <v>5210.4666515024519</v>
      </c>
      <c r="R45" s="355">
        <f>Summary!R115</f>
        <v>5265.4112730987672</v>
      </c>
      <c r="S45" s="355">
        <f>Summary!S115</f>
        <v>5104.5387588362364</v>
      </c>
      <c r="T45" s="355">
        <f>Summary!T115</f>
        <v>5046.5655113504927</v>
      </c>
      <c r="U45" s="355">
        <f>Summary!U115</f>
        <v>5029.0196091770758</v>
      </c>
      <c r="V45" s="355">
        <f>Summary!V115</f>
        <v>5011.7661930732556</v>
      </c>
      <c r="W45" s="355">
        <f>Summary!W115</f>
        <v>4996.6967853840397</v>
      </c>
      <c r="X45" s="355">
        <f>Summary!X115</f>
        <v>4982.1862657830388</v>
      </c>
      <c r="Y45" s="355">
        <f>Summary!Y115</f>
        <v>4977.2427579819168</v>
      </c>
      <c r="Z45" s="355">
        <f>Summary!Z115</f>
        <v>4977.9278678765377</v>
      </c>
      <c r="AA45" s="355">
        <f>Summary!AA115</f>
        <v>4978.6434462421412</v>
      </c>
      <c r="AB45" s="355">
        <f>Summary!AB115</f>
        <v>4977.8611055325591</v>
      </c>
      <c r="AC45" s="355">
        <f>Summary!AC115</f>
        <v>4975.5375122650157</v>
      </c>
      <c r="AD45" s="355">
        <f>Summary!AD115</f>
        <v>4965.5608677201562</v>
      </c>
      <c r="AE45" s="355">
        <f>Summary!AE115</f>
        <v>4955.7415341154447</v>
      </c>
      <c r="AF45" s="355">
        <f>Summary!AF115</f>
        <v>4946.0785287498356</v>
      </c>
      <c r="AG45" s="355">
        <f>Summary!AG115</f>
        <v>4936.5708791641691</v>
      </c>
      <c r="AH45" s="355">
        <f>Summary!AH115</f>
        <v>4936.3511241774959</v>
      </c>
      <c r="AI45" s="355">
        <f>Summary!AI115</f>
        <v>4935.6671283251453</v>
      </c>
      <c r="AJ45" s="355">
        <f>Summary!AJ115</f>
        <v>4935.0429486801213</v>
      </c>
      <c r="AK45" s="355">
        <f>Summary!AK115</f>
        <v>4934.4805393085126</v>
      </c>
      <c r="AL45" s="355">
        <f>Summary!AL115</f>
        <v>4933.9818621789072</v>
      </c>
      <c r="AM45" s="355">
        <f>Summary!AM115</f>
        <v>4933.5488869980691</v>
      </c>
      <c r="AN45" s="355">
        <f>Summary!AN115</f>
        <v>4933.1835910508898</v>
      </c>
      <c r="AO45" s="355">
        <f>Summary!AO115</f>
        <v>4932.8879590446841</v>
      </c>
      <c r="AP45" s="355">
        <f>Summary!AP115</f>
        <v>4932.663982957909</v>
      </c>
      <c r="AQ45" s="355">
        <f>Summary!AQ115</f>
        <v>4981.5623040842993</v>
      </c>
      <c r="AT45" s="6">
        <f>ROW()</f>
        <v>45</v>
      </c>
    </row>
    <row r="46" spans="2:46" ht="13.95" customHeight="1">
      <c r="B46" s="84" t="str">
        <f>CONCATENATE("Figures are copied from Summary tab, Row ",Summary!AR115, ".")</f>
        <v>Figures are copied from Summary tab, Row 115.</v>
      </c>
      <c r="I46" s="355"/>
      <c r="J46" s="355"/>
      <c r="K46" s="355"/>
      <c r="L46" s="355"/>
      <c r="M46" s="355"/>
      <c r="N46" s="355"/>
      <c r="O46" s="355"/>
      <c r="P46" s="355"/>
      <c r="Q46" s="355"/>
      <c r="R46" s="355"/>
      <c r="S46" s="355"/>
      <c r="T46" s="355"/>
      <c r="U46" s="355"/>
      <c r="V46" s="355"/>
      <c r="W46" s="355"/>
      <c r="X46" s="355"/>
      <c r="Y46" s="355"/>
      <c r="Z46" s="355"/>
      <c r="AA46" s="355"/>
      <c r="AB46" s="355"/>
      <c r="AC46" s="355"/>
      <c r="AD46" s="355"/>
      <c r="AE46" s="355"/>
      <c r="AF46" s="355"/>
      <c r="AG46" s="355"/>
      <c r="AH46" s="355"/>
      <c r="AI46" s="355"/>
      <c r="AJ46" s="355"/>
      <c r="AK46" s="355"/>
      <c r="AL46" s="355"/>
      <c r="AM46" s="355"/>
      <c r="AN46" s="355"/>
      <c r="AO46" s="355"/>
      <c r="AP46" s="355"/>
      <c r="AQ46" s="355"/>
      <c r="AT46" s="6">
        <f>ROW()</f>
        <v>46</v>
      </c>
    </row>
    <row r="47" spans="2:46" ht="13.95" customHeight="1">
      <c r="B47" s="8" t="s">
        <v>290</v>
      </c>
      <c r="I47" s="355">
        <f>Summary!I127</f>
        <v>5811.705891565216</v>
      </c>
      <c r="J47" s="355">
        <f>Summary!J127</f>
        <v>5741.3947512468221</v>
      </c>
      <c r="K47" s="355">
        <f>Summary!K127</f>
        <v>5831.6621575089175</v>
      </c>
      <c r="L47" s="355">
        <f>Summary!L127</f>
        <v>5629.4402855458411</v>
      </c>
      <c r="M47" s="355">
        <f>Summary!M127</f>
        <v>5237.9790874120499</v>
      </c>
      <c r="N47" s="355">
        <f>Summary!N127</f>
        <v>5421.3546132287674</v>
      </c>
      <c r="O47" s="355">
        <f>Summary!O127</f>
        <v>5271.9587835203365</v>
      </c>
      <c r="P47" s="355">
        <f>Summary!P127</f>
        <v>5061.796514329073</v>
      </c>
      <c r="Q47" s="355">
        <f>Summary!Q127</f>
        <v>5210.4666515024519</v>
      </c>
      <c r="R47" s="355">
        <f>Summary!R127</f>
        <v>5265.4112730987672</v>
      </c>
      <c r="S47" s="355">
        <f>Summary!S127</f>
        <v>5104.5387588362364</v>
      </c>
      <c r="T47" s="355">
        <f>Summary!T127</f>
        <v>4804.5672943417485</v>
      </c>
      <c r="U47" s="355">
        <f>Summary!U127</f>
        <v>4571.5969475236061</v>
      </c>
      <c r="V47" s="355">
        <f>Summary!V127</f>
        <v>4366.3671264869035</v>
      </c>
      <c r="W47" s="355">
        <f>Summary!W127</f>
        <v>4185.3280177723309</v>
      </c>
      <c r="X47" s="355">
        <f>Summary!X127</f>
        <v>4018.9809123075147</v>
      </c>
      <c r="Y47" s="355">
        <f>Summary!Y127</f>
        <v>3873.4183585679589</v>
      </c>
      <c r="Z47" s="355">
        <f>Summary!Z127</f>
        <v>3744.3933367446161</v>
      </c>
      <c r="AA47" s="355">
        <f>Summary!AA127</f>
        <v>3625.0125223660971</v>
      </c>
      <c r="AB47" s="355">
        <f>Summary!AB127</f>
        <v>3512.6285343834284</v>
      </c>
      <c r="AC47" s="355">
        <f>Summary!AC127</f>
        <v>3406.2137623870713</v>
      </c>
      <c r="AD47" s="355">
        <f>Summary!AD127</f>
        <v>3299.819374038455</v>
      </c>
      <c r="AE47" s="355">
        <f>Summary!AE127</f>
        <v>3200.0306182053191</v>
      </c>
      <c r="AF47" s="355">
        <f>Summary!AF127</f>
        <v>3106.648941185776</v>
      </c>
      <c r="AG47" s="355">
        <f>Summary!AG127</f>
        <v>3019.010616037508</v>
      </c>
      <c r="AH47" s="355">
        <f>Summary!AH127</f>
        <v>2938.6126092781701</v>
      </c>
      <c r="AI47" s="355">
        <f>Summary!AI127</f>
        <v>2862.1350350781963</v>
      </c>
      <c r="AJ47" s="355">
        <f>Summary!AJ127</f>
        <v>2789.6677011175238</v>
      </c>
      <c r="AK47" s="355">
        <f>Summary!AK127</f>
        <v>2720.8691597313632</v>
      </c>
      <c r="AL47" s="355">
        <f>Summary!AL127</f>
        <v>2655.4384955128794</v>
      </c>
      <c r="AM47" s="355">
        <f>Summary!AM127</f>
        <v>2593.1716197677424</v>
      </c>
      <c r="AN47" s="355">
        <f>Summary!AN127</f>
        <v>2533.7775462375603</v>
      </c>
      <c r="AO47" s="355">
        <f>Summary!AO127</f>
        <v>2477.0442876425464</v>
      </c>
      <c r="AP47" s="355">
        <f>Summary!AP127</f>
        <v>2422.7818394032015</v>
      </c>
      <c r="AQ47" s="355">
        <f>Summary!AQ127</f>
        <v>2395.819955976433</v>
      </c>
      <c r="AT47" s="6">
        <f>ROW()</f>
        <v>47</v>
      </c>
    </row>
    <row r="48" spans="2:46" ht="13.95" customHeight="1">
      <c r="B48" s="84" t="str">
        <f>CONCATENATE("Figures are copied from Summary tab, Row ",Summary!AR127, ".")</f>
        <v>Figures are copied from Summary tab, Row 127.</v>
      </c>
      <c r="I48" s="48"/>
      <c r="J48" s="48"/>
      <c r="K48" s="48"/>
      <c r="L48" s="48"/>
      <c r="M48" s="48"/>
      <c r="N48" s="48"/>
      <c r="O48" s="48"/>
      <c r="P48" s="48"/>
      <c r="Q48" s="48"/>
      <c r="R48" s="48"/>
      <c r="S48" s="48"/>
      <c r="T48" s="355"/>
      <c r="U48" s="355"/>
      <c r="V48" s="355"/>
      <c r="W48" s="355"/>
      <c r="X48" s="355"/>
      <c r="Y48" s="355"/>
      <c r="Z48" s="355"/>
      <c r="AA48" s="355"/>
      <c r="AB48" s="355"/>
      <c r="AC48" s="355"/>
      <c r="AD48" s="355"/>
      <c r="AE48" s="355"/>
      <c r="AF48" s="355"/>
      <c r="AG48" s="355"/>
      <c r="AH48" s="355"/>
      <c r="AI48" s="355"/>
      <c r="AJ48" s="355"/>
      <c r="AK48" s="355"/>
      <c r="AL48" s="355"/>
      <c r="AM48" s="355"/>
      <c r="AN48" s="355"/>
      <c r="AO48" s="355"/>
      <c r="AP48" s="355"/>
      <c r="AQ48" s="355"/>
      <c r="AT48" s="6">
        <f>ROW()</f>
        <v>48</v>
      </c>
    </row>
    <row r="49" spans="2:46" ht="13.95" customHeight="1">
      <c r="B49" s="8" t="s">
        <v>798</v>
      </c>
      <c r="I49" s="355">
        <f>Summary!I127</f>
        <v>5811.705891565216</v>
      </c>
      <c r="J49" s="355">
        <f>Summary!J127</f>
        <v>5741.3947512468221</v>
      </c>
      <c r="K49" s="355">
        <f>Summary!K127</f>
        <v>5831.6621575089175</v>
      </c>
      <c r="L49" s="355">
        <f>Summary!L127</f>
        <v>5629.4402855458411</v>
      </c>
      <c r="M49" s="355">
        <f>Summary!M127</f>
        <v>5237.9790874120499</v>
      </c>
      <c r="N49" s="355">
        <f>Summary!N127</f>
        <v>5421.3546132287674</v>
      </c>
      <c r="O49" s="355">
        <f>Summary!O127</f>
        <v>5271.9587835203365</v>
      </c>
      <c r="P49" s="355">
        <f>Summary!P127</f>
        <v>5061.796514329073</v>
      </c>
      <c r="Q49" s="355">
        <f>Summary!Q127</f>
        <v>5210.4666515024519</v>
      </c>
      <c r="R49" s="355">
        <f>Summary!R127</f>
        <v>5265.4112730987672</v>
      </c>
      <c r="S49" s="355">
        <f>Summary!S127</f>
        <v>5104.5387588362364</v>
      </c>
      <c r="T49" s="1057">
        <v>4770.5827902297196</v>
      </c>
      <c r="U49" s="1057">
        <v>4512.2446956721797</v>
      </c>
      <c r="V49" s="1057">
        <v>4287.5424072075602</v>
      </c>
      <c r="W49" s="1057">
        <v>4150.7265817380603</v>
      </c>
      <c r="X49" s="1057">
        <v>4123.0337829501796</v>
      </c>
      <c r="Y49" s="1057">
        <v>4102.5165275321197</v>
      </c>
      <c r="Z49" s="1057">
        <v>4087.22792466295</v>
      </c>
      <c r="AA49" s="1057">
        <v>4071.86017613281</v>
      </c>
      <c r="AB49" s="1057">
        <v>4054.9907476711001</v>
      </c>
      <c r="AC49" s="1057">
        <v>4036.59910366843</v>
      </c>
      <c r="AD49" s="1057">
        <v>4011.0683738666098</v>
      </c>
      <c r="AE49" s="1057">
        <v>3986.39578150229</v>
      </c>
      <c r="AF49" s="1057">
        <v>3963.0517730197798</v>
      </c>
      <c r="AG49" s="1057">
        <v>3940.8931568129101</v>
      </c>
      <c r="AH49" s="1057">
        <v>3924.28814330873</v>
      </c>
      <c r="AI49" s="1057">
        <v>3906.9890245390998</v>
      </c>
      <c r="AJ49" s="1057">
        <v>3889.6031884109302</v>
      </c>
      <c r="AK49" s="1057">
        <v>3872.1303466447098</v>
      </c>
      <c r="AL49" s="1057">
        <v>3854.5702132793699</v>
      </c>
      <c r="AM49" s="1057">
        <v>3837.0209748242801</v>
      </c>
      <c r="AN49" s="1057">
        <v>3819.4007015513898</v>
      </c>
      <c r="AO49" s="1057">
        <v>3801.7086949976501</v>
      </c>
      <c r="AP49" s="1057">
        <v>3783.9442593860099</v>
      </c>
      <c r="AQ49" s="1057">
        <v>3803.4384200211398</v>
      </c>
      <c r="AT49" s="6">
        <f>ROW()</f>
        <v>49</v>
      </c>
    </row>
    <row r="50" spans="2:46" ht="13.95" customHeight="1">
      <c r="B50" s="8"/>
      <c r="T50" s="1058" t="s">
        <v>902</v>
      </c>
      <c r="U50" s="1059"/>
      <c r="V50" s="1059"/>
      <c r="W50" s="1059"/>
      <c r="X50" s="1059"/>
      <c r="Y50" s="1059"/>
      <c r="Z50" s="1059"/>
      <c r="AA50" s="515"/>
      <c r="AB50" s="515"/>
      <c r="AC50" s="515"/>
      <c r="AD50" s="515"/>
      <c r="AE50" s="515"/>
      <c r="AF50" s="515"/>
      <c r="AG50" s="515"/>
      <c r="AH50" s="515"/>
      <c r="AI50" s="515"/>
      <c r="AJ50" s="515"/>
      <c r="AK50" s="515"/>
      <c r="AL50" s="515"/>
      <c r="AM50" s="515"/>
      <c r="AN50" s="515"/>
      <c r="AO50" s="515"/>
      <c r="AP50" s="515"/>
      <c r="AQ50" s="515"/>
      <c r="AT50" s="6">
        <f>ROW()</f>
        <v>50</v>
      </c>
    </row>
    <row r="51" spans="2:46" ht="13.95" customHeight="1">
      <c r="B51" s="8"/>
      <c r="AT51" s="6">
        <f>ROW()</f>
        <v>51</v>
      </c>
    </row>
    <row r="52" spans="2:46" ht="13.95" customHeight="1">
      <c r="B52" s="599" t="s">
        <v>910</v>
      </c>
      <c r="AT52" s="6">
        <f>ROW()</f>
        <v>52</v>
      </c>
    </row>
    <row r="53" spans="2:46" ht="13.95" customHeight="1">
      <c r="B53" s="8"/>
      <c r="AT53" s="6">
        <f>ROW()</f>
        <v>53</v>
      </c>
    </row>
    <row r="54" spans="2:46" ht="13.95" customHeight="1">
      <c r="B54" s="8" t="s">
        <v>446</v>
      </c>
      <c r="I54" s="80">
        <f>Summary!I115</f>
        <v>5811.705891565216</v>
      </c>
      <c r="J54" s="80">
        <f>Summary!J115</f>
        <v>5741.3947512468221</v>
      </c>
      <c r="K54" s="80">
        <f>Summary!K115</f>
        <v>5831.6621575089175</v>
      </c>
      <c r="L54" s="80">
        <f>Summary!L115</f>
        <v>5629.4402855458411</v>
      </c>
      <c r="M54" s="80">
        <f>Summary!M115</f>
        <v>5237.9790874120499</v>
      </c>
      <c r="N54" s="80">
        <f>Summary!N115</f>
        <v>5421.3546132287674</v>
      </c>
      <c r="O54" s="80">
        <f>Summary!O115</f>
        <v>5271.9587835203365</v>
      </c>
      <c r="P54" s="80">
        <f>Summary!P115</f>
        <v>5061.796514329073</v>
      </c>
      <c r="Q54" s="80">
        <f>Summary!Q115</f>
        <v>5210.4666515024519</v>
      </c>
      <c r="R54" s="80">
        <f>Summary!R115</f>
        <v>5265.4112730987672</v>
      </c>
      <c r="S54" s="80">
        <f>Summary!S115</f>
        <v>5104.5387588362364</v>
      </c>
      <c r="T54" s="80">
        <f>Summary!T115</f>
        <v>5046.5655113504927</v>
      </c>
      <c r="U54" s="80">
        <f>Summary!U115</f>
        <v>5029.0196091770758</v>
      </c>
      <c r="V54" s="80">
        <f>Summary!V115</f>
        <v>5011.7661930732556</v>
      </c>
      <c r="W54" s="80">
        <f>Summary!W115</f>
        <v>4996.6967853840397</v>
      </c>
      <c r="X54" s="80">
        <f>Summary!X115</f>
        <v>4982.1862657830388</v>
      </c>
      <c r="Y54" s="80">
        <f>Summary!Y115</f>
        <v>4977.2427579819168</v>
      </c>
      <c r="Z54" s="80">
        <f>Summary!Z115</f>
        <v>4977.9278678765377</v>
      </c>
      <c r="AA54" s="80">
        <f>Summary!AA115</f>
        <v>4978.6434462421412</v>
      </c>
      <c r="AB54" s="80">
        <f>Summary!AB115</f>
        <v>4977.8611055325591</v>
      </c>
      <c r="AC54" s="80">
        <f>Summary!AC115</f>
        <v>4975.5375122650157</v>
      </c>
      <c r="AD54" s="80">
        <f>Summary!AD115</f>
        <v>4965.5608677201562</v>
      </c>
      <c r="AE54" s="80">
        <f>Summary!AE115</f>
        <v>4955.7415341154447</v>
      </c>
      <c r="AF54" s="80">
        <f>Summary!AF115</f>
        <v>4946.0785287498356</v>
      </c>
      <c r="AG54" s="80">
        <f>Summary!AG115</f>
        <v>4936.5708791641691</v>
      </c>
      <c r="AH54" s="80">
        <f>Summary!AH115</f>
        <v>4936.3511241774959</v>
      </c>
      <c r="AI54" s="80">
        <f>Summary!AI115</f>
        <v>4935.6671283251453</v>
      </c>
      <c r="AJ54" s="80">
        <f>Summary!AJ115</f>
        <v>4935.0429486801213</v>
      </c>
      <c r="AK54" s="80">
        <f>Summary!AK115</f>
        <v>4934.4805393085126</v>
      </c>
      <c r="AL54" s="80">
        <f>Summary!AL115</f>
        <v>4933.9818621789072</v>
      </c>
      <c r="AM54" s="80">
        <f>Summary!AM115</f>
        <v>4933.5488869980691</v>
      </c>
      <c r="AN54" s="80">
        <f>Summary!AN115</f>
        <v>4933.1835910508898</v>
      </c>
      <c r="AO54" s="80">
        <f>Summary!AO115</f>
        <v>4932.8879590446841</v>
      </c>
      <c r="AP54" s="80">
        <f>Summary!AP115</f>
        <v>4932.663982957909</v>
      </c>
      <c r="AQ54" s="80">
        <f>Summary!AQ115</f>
        <v>4981.5623040842993</v>
      </c>
      <c r="AR54" s="80"/>
      <c r="AS54" s="80"/>
      <c r="AT54" s="6">
        <f>ROW()</f>
        <v>54</v>
      </c>
    </row>
    <row r="55" spans="2:46" ht="13.95" customHeight="1">
      <c r="B55" s="31" t="str">
        <f>Summary!B$116</f>
        <v>Electricity Generation</v>
      </c>
      <c r="I55" s="17">
        <f>Summary!I116</f>
        <v>2413</v>
      </c>
      <c r="J55" s="17">
        <f>Summary!J116</f>
        <v>2358.6</v>
      </c>
      <c r="K55" s="17">
        <f>Summary!K116</f>
        <v>2425.1999999999998</v>
      </c>
      <c r="L55" s="17">
        <f>Summary!L116</f>
        <v>2372.4</v>
      </c>
      <c r="M55" s="17">
        <f>Summary!M116</f>
        <v>2156.9999999999995</v>
      </c>
      <c r="N55" s="17">
        <f>Summary!N116</f>
        <v>2269</v>
      </c>
      <c r="O55" s="17">
        <f>Summary!O116</f>
        <v>2167.8000000000002</v>
      </c>
      <c r="P55" s="17">
        <f>Summary!P116</f>
        <v>2032.1000000000001</v>
      </c>
      <c r="Q55" s="17">
        <f>Summary!Q116</f>
        <v>2048.7000000000003</v>
      </c>
      <c r="R55" s="17">
        <f>Summary!R116</f>
        <v>2048.3000000000002</v>
      </c>
      <c r="S55" s="17">
        <f>Summary!S116</f>
        <v>1895.3696778233411</v>
      </c>
      <c r="T55" s="17">
        <f>Summary!T116</f>
        <v>1861.1586581214683</v>
      </c>
      <c r="U55" s="17">
        <f>Summary!U116</f>
        <v>1852.0367050277744</v>
      </c>
      <c r="V55" s="17">
        <f>Summary!V116</f>
        <v>1842.9594606577998</v>
      </c>
      <c r="W55" s="17">
        <f>Summary!W116</f>
        <v>1833.9267058841315</v>
      </c>
      <c r="X55" s="17">
        <f>Summary!X116</f>
        <v>1822.0221212183092</v>
      </c>
      <c r="Y55" s="17">
        <f>Summary!Y116</f>
        <v>1810.194812888346</v>
      </c>
      <c r="Z55" s="17">
        <f>Summary!Z116</f>
        <v>1798.4442792696796</v>
      </c>
      <c r="AA55" s="17">
        <f>Summary!AA116</f>
        <v>1786.7700219939454</v>
      </c>
      <c r="AB55" s="17">
        <f>Summary!AB116</f>
        <v>1775.1715459278446</v>
      </c>
      <c r="AC55" s="17">
        <f>Summary!AC116</f>
        <v>1763.6483591521385</v>
      </c>
      <c r="AD55" s="17">
        <f>Summary!AD116</f>
        <v>1752.1999729407914</v>
      </c>
      <c r="AE55" s="17">
        <f>Summary!AE116</f>
        <v>1740.8259017402361</v>
      </c>
      <c r="AF55" s="17">
        <f>Summary!AF116</f>
        <v>1729.5256631487853</v>
      </c>
      <c r="AG55" s="17">
        <f>Summary!AG116</f>
        <v>1718.2987778961697</v>
      </c>
      <c r="AH55" s="17">
        <f>Summary!AH116</f>
        <v>1714.9228964096872</v>
      </c>
      <c r="AI55" s="17">
        <f>Summary!AI116</f>
        <v>1711.5536473994405</v>
      </c>
      <c r="AJ55" s="17">
        <f>Summary!AJ116</f>
        <v>1708.191017834836</v>
      </c>
      <c r="AK55" s="17">
        <f>Summary!AK116</f>
        <v>1704.83499471088</v>
      </c>
      <c r="AL55" s="17">
        <f>Summary!AL116</f>
        <v>1701.4855650481304</v>
      </c>
      <c r="AM55" s="17">
        <f>Summary!AM116</f>
        <v>1698.1427158926438</v>
      </c>
      <c r="AN55" s="17">
        <f>Summary!AN116</f>
        <v>1694.8064343159288</v>
      </c>
      <c r="AO55" s="17">
        <f>Summary!AO116</f>
        <v>1691.4767074148926</v>
      </c>
      <c r="AP55" s="17">
        <f>Summary!AP116</f>
        <v>1688.1535223117933</v>
      </c>
      <c r="AQ55" s="17">
        <f>Summary!AQ116</f>
        <v>1697.821621640066</v>
      </c>
      <c r="AR55" s="17"/>
      <c r="AS55" s="17"/>
      <c r="AT55" s="6">
        <f>ROW()</f>
        <v>55</v>
      </c>
    </row>
    <row r="56" spans="2:46" ht="13.95" customHeight="1">
      <c r="B56" s="31" t="str">
        <f>Summary!B$117</f>
        <v>Personal Ground Travel (driving, boating, rec vehicles, etc.)</v>
      </c>
      <c r="I56" s="17">
        <f>Summary!I117</f>
        <v>1193.0849999999996</v>
      </c>
      <c r="J56" s="17">
        <f>Summary!J117</f>
        <v>1188.3400000000001</v>
      </c>
      <c r="K56" s="17">
        <f>Summary!K117</f>
        <v>1167.73</v>
      </c>
      <c r="L56" s="17">
        <f>Summary!L117</f>
        <v>1113.7300000000002</v>
      </c>
      <c r="M56" s="17">
        <f>Summary!M117</f>
        <v>1088.0049999999994</v>
      </c>
      <c r="N56" s="17">
        <f>Summary!N117</f>
        <v>1081.1350000000002</v>
      </c>
      <c r="O56" s="17">
        <f>Summary!O117</f>
        <v>1060.7649999999994</v>
      </c>
      <c r="P56" s="17">
        <f>Summary!P117</f>
        <v>1055.2850000000001</v>
      </c>
      <c r="Q56" s="17">
        <f>Summary!Q117</f>
        <v>1054.4699999999998</v>
      </c>
      <c r="R56" s="17">
        <f>Summary!R117</f>
        <v>1071.0550000000001</v>
      </c>
      <c r="S56" s="17">
        <f>Summary!S117</f>
        <v>1098.7398093222546</v>
      </c>
      <c r="T56" s="17">
        <f>Summary!T117</f>
        <v>1087.8366656522489</v>
      </c>
      <c r="U56" s="17">
        <f>Summary!U117</f>
        <v>1089.8009463589901</v>
      </c>
      <c r="V56" s="17">
        <f>Summary!V117</f>
        <v>1092.6886680631335</v>
      </c>
      <c r="W56" s="17">
        <f>Summary!W117</f>
        <v>1098.409859110862</v>
      </c>
      <c r="X56" s="17">
        <f>Summary!X117</f>
        <v>1094.5047215664465</v>
      </c>
      <c r="Y56" s="17">
        <f>Summary!Y117</f>
        <v>1094.6404820888908</v>
      </c>
      <c r="Z56" s="17">
        <f>Summary!Z117</f>
        <v>1100.3942505650543</v>
      </c>
      <c r="AA56" s="17">
        <f>Summary!AA117</f>
        <v>1106.0772321039178</v>
      </c>
      <c r="AB56" s="17">
        <f>Summary!AB117</f>
        <v>1110.1365804063062</v>
      </c>
      <c r="AC56" s="17">
        <f>Summary!AC117</f>
        <v>1112.5286533187825</v>
      </c>
      <c r="AD56" s="17">
        <f>Summary!AD117</f>
        <v>1107.0426455205245</v>
      </c>
      <c r="AE56" s="17">
        <f>Summary!AE117</f>
        <v>1101.6163359430432</v>
      </c>
      <c r="AF56" s="17">
        <f>Summary!AF117</f>
        <v>1096.2491150855624</v>
      </c>
      <c r="AG56" s="17">
        <f>Summary!AG117</f>
        <v>1090.9403816097897</v>
      </c>
      <c r="AH56" s="17">
        <f>Summary!AH117</f>
        <v>1084.9424292240019</v>
      </c>
      <c r="AI56" s="17">
        <f>Summary!AI117</f>
        <v>1078.6490893990172</v>
      </c>
      <c r="AJ56" s="17">
        <f>Summary!AJ117</f>
        <v>1072.3253221441321</v>
      </c>
      <c r="AK56" s="17">
        <f>Summary!AK117</f>
        <v>1065.9721099645074</v>
      </c>
      <c r="AL56" s="17">
        <f>Summary!AL117</f>
        <v>1059.5904347586597</v>
      </c>
      <c r="AM56" s="17">
        <f>Summary!AM117</f>
        <v>1053.1812775751905</v>
      </c>
      <c r="AN56" s="17">
        <f>Summary!AN117</f>
        <v>1046.7456183713812</v>
      </c>
      <c r="AO56" s="17">
        <f>Summary!AO117</f>
        <v>1040.2844357737442</v>
      </c>
      <c r="AP56" s="17">
        <f>Summary!AP117</f>
        <v>1033.7987068405948</v>
      </c>
      <c r="AQ56" s="17">
        <f>Summary!AQ117</f>
        <v>1037.9193698156428</v>
      </c>
      <c r="AR56" s="17"/>
      <c r="AS56" s="17"/>
      <c r="AT56" s="6">
        <f>ROW()</f>
        <v>56</v>
      </c>
    </row>
    <row r="57" spans="2:46" ht="13.95" customHeight="1">
      <c r="B57" s="31" t="str">
        <f>Summary!B$118</f>
        <v>Freight (goods movement by road, rail, ship, air)</v>
      </c>
      <c r="I57" s="17">
        <f>Summary!I118</f>
        <v>510.21500000000003</v>
      </c>
      <c r="J57" s="17">
        <f>Summary!J118</f>
        <v>525.87</v>
      </c>
      <c r="K57" s="17">
        <f>Summary!K118</f>
        <v>555.97</v>
      </c>
      <c r="L57" s="17">
        <f>Summary!L118</f>
        <v>530.87</v>
      </c>
      <c r="M57" s="17">
        <f>Summary!M118</f>
        <v>475.69499999999999</v>
      </c>
      <c r="N57" s="17">
        <f>Summary!N118</f>
        <v>499.36500000000001</v>
      </c>
      <c r="O57" s="17">
        <f>Summary!O118</f>
        <v>494.53499999999997</v>
      </c>
      <c r="P57" s="17">
        <f>Summary!P118</f>
        <v>481.71499999999997</v>
      </c>
      <c r="Q57" s="17">
        <f>Summary!Q118</f>
        <v>482.33000000000004</v>
      </c>
      <c r="R57" s="17">
        <f>Summary!R118</f>
        <v>482.54500000000002</v>
      </c>
      <c r="S57" s="17">
        <f>Summary!S118</f>
        <v>480.08011596161907</v>
      </c>
      <c r="T57" s="17">
        <f>Summary!T118</f>
        <v>480.16183873664647</v>
      </c>
      <c r="U57" s="17">
        <f>Summary!U118</f>
        <v>480.2435754231268</v>
      </c>
      <c r="V57" s="17">
        <f>Summary!V118</f>
        <v>480.32532602342843</v>
      </c>
      <c r="W57" s="17">
        <f>Summary!W118</f>
        <v>480.40709053991941</v>
      </c>
      <c r="X57" s="17">
        <f>Summary!X118</f>
        <v>479.52436741685352</v>
      </c>
      <c r="Y57" s="17">
        <f>Summary!Y118</f>
        <v>480.92044856359973</v>
      </c>
      <c r="Z57" s="17">
        <f>Summary!Z118</f>
        <v>482.32059424324723</v>
      </c>
      <c r="AA57" s="17">
        <f>Summary!AA118</f>
        <v>483.72481628922532</v>
      </c>
      <c r="AB57" s="17">
        <f>Summary!AB118</f>
        <v>485.13312656941514</v>
      </c>
      <c r="AC57" s="17">
        <f>Summary!AC118</f>
        <v>486.54553698624977</v>
      </c>
      <c r="AD57" s="17">
        <f>Summary!AD118</f>
        <v>487.96205947681494</v>
      </c>
      <c r="AE57" s="17">
        <f>Summary!AE118</f>
        <v>489.38270601294988</v>
      </c>
      <c r="AF57" s="17">
        <f>Summary!AF118</f>
        <v>490.80748860134833</v>
      </c>
      <c r="AG57" s="17">
        <f>Summary!AG118</f>
        <v>492.23641928366033</v>
      </c>
      <c r="AH57" s="17">
        <f>Summary!AH118</f>
        <v>493.26187810684075</v>
      </c>
      <c r="AI57" s="17">
        <f>Summary!AI118</f>
        <v>494.41980746068799</v>
      </c>
      <c r="AJ57" s="17">
        <f>Summary!AJ118</f>
        <v>495.58045504687391</v>
      </c>
      <c r="AK57" s="17">
        <f>Summary!AK118</f>
        <v>496.74382724643289</v>
      </c>
      <c r="AL57" s="17">
        <f>Summary!AL118</f>
        <v>497.90993045537874</v>
      </c>
      <c r="AM57" s="17">
        <f>Summary!AM118</f>
        <v>499.07877108473997</v>
      </c>
      <c r="AN57" s="17">
        <f>Summary!AN118</f>
        <v>500.25035556059493</v>
      </c>
      <c r="AO57" s="17">
        <f>Summary!AO118</f>
        <v>501.42469032410702</v>
      </c>
      <c r="AP57" s="17">
        <f>Summary!AP118</f>
        <v>502.6017818315604</v>
      </c>
      <c r="AQ57" s="17">
        <f>Summary!AQ118</f>
        <v>513.05702453472463</v>
      </c>
      <c r="AR57" s="17"/>
      <c r="AS57" s="17"/>
      <c r="AT57" s="6">
        <f>ROW()</f>
        <v>57</v>
      </c>
    </row>
    <row r="58" spans="2:46" ht="13.95" customHeight="1">
      <c r="B58" s="31" t="str">
        <f>Summary!B$119</f>
        <v>Aviation (passenger only)</v>
      </c>
      <c r="I58" s="17">
        <f>Summary!I119</f>
        <v>232.5</v>
      </c>
      <c r="J58" s="17">
        <f>Summary!J119</f>
        <v>230</v>
      </c>
      <c r="K58" s="17">
        <f>Summary!K119</f>
        <v>228.6</v>
      </c>
      <c r="L58" s="17">
        <f>Summary!L119</f>
        <v>213.6</v>
      </c>
      <c r="M58" s="17">
        <f>Summary!M119</f>
        <v>193.3</v>
      </c>
      <c r="N58" s="17">
        <f>Summary!N119</f>
        <v>200.8</v>
      </c>
      <c r="O58" s="17">
        <f>Summary!O119</f>
        <v>201.70000000000002</v>
      </c>
      <c r="P58" s="17">
        <f>Summary!P119</f>
        <v>197.5</v>
      </c>
      <c r="Q58" s="17">
        <f>Summary!Q119</f>
        <v>203.8</v>
      </c>
      <c r="R58" s="17">
        <f>Summary!R119</f>
        <v>204.1</v>
      </c>
      <c r="S58" s="17">
        <f>Summary!S119</f>
        <v>213.45843074940368</v>
      </c>
      <c r="T58" s="17">
        <f>Summary!T119</f>
        <v>209.91515519947166</v>
      </c>
      <c r="U58" s="17">
        <f>Summary!U119</f>
        <v>206.43069579270471</v>
      </c>
      <c r="V58" s="17">
        <f>Summary!V119</f>
        <v>203.00407621815887</v>
      </c>
      <c r="W58" s="17">
        <f>Summary!W119</f>
        <v>199.63433637103714</v>
      </c>
      <c r="X58" s="17">
        <f>Summary!X119</f>
        <v>196.59352336821541</v>
      </c>
      <c r="Y58" s="17">
        <f>Summary!Y119</f>
        <v>197.45014971512342</v>
      </c>
      <c r="Z58" s="17">
        <f>Summary!Z119</f>
        <v>198.31050868091751</v>
      </c>
      <c r="AA58" s="17">
        <f>Summary!AA119</f>
        <v>199.17461652991634</v>
      </c>
      <c r="AB58" s="17">
        <f>Summary!AB119</f>
        <v>200.04248959730754</v>
      </c>
      <c r="AC58" s="17">
        <f>Summary!AC119</f>
        <v>200.91414428945711</v>
      </c>
      <c r="AD58" s="17">
        <f>Summary!AD119</f>
        <v>201.78959708421914</v>
      </c>
      <c r="AE58" s="17">
        <f>Summary!AE119</f>
        <v>202.66886453124758</v>
      </c>
      <c r="AF58" s="17">
        <f>Summary!AF119</f>
        <v>203.55196325230884</v>
      </c>
      <c r="AG58" s="17">
        <f>Summary!AG119</f>
        <v>204.43890994159619</v>
      </c>
      <c r="AH58" s="17">
        <f>Summary!AH119</f>
        <v>205.49926552438674</v>
      </c>
      <c r="AI58" s="17">
        <f>Summary!AI119</f>
        <v>206.70480562573709</v>
      </c>
      <c r="AJ58" s="17">
        <f>Summary!AJ119</f>
        <v>207.91741790290405</v>
      </c>
      <c r="AK58" s="17">
        <f>Summary!AK119</f>
        <v>209.13714384407257</v>
      </c>
      <c r="AL58" s="17">
        <f>Summary!AL119</f>
        <v>210.36402518081383</v>
      </c>
      <c r="AM58" s="17">
        <f>Summary!AM119</f>
        <v>211.59810388951294</v>
      </c>
      <c r="AN58" s="17">
        <f>Summary!AN119</f>
        <v>212.83942219280507</v>
      </c>
      <c r="AO58" s="17">
        <f>Summary!AO119</f>
        <v>214.0880225610201</v>
      </c>
      <c r="AP58" s="17">
        <f>Summary!AP119</f>
        <v>215.34394771363574</v>
      </c>
      <c r="AQ58" s="17">
        <f>Summary!AQ119</f>
        <v>220.05498756538378</v>
      </c>
      <c r="AR58" s="17"/>
      <c r="AS58" s="17"/>
      <c r="AT58" s="6">
        <f>ROW()</f>
        <v>58</v>
      </c>
    </row>
    <row r="59" spans="2:46" ht="13.95" customHeight="1">
      <c r="B59" s="31" t="str">
        <f>Summary!B$120</f>
        <v>Oil Refining</v>
      </c>
      <c r="I59" s="17">
        <f>Summary!I120</f>
        <v>306.0851541962794</v>
      </c>
      <c r="J59" s="17">
        <f>Summary!J120</f>
        <v>304.83840012989168</v>
      </c>
      <c r="K59" s="17">
        <f>Summary!K120</f>
        <v>306.95313738187377</v>
      </c>
      <c r="L59" s="17">
        <f>Summary!L120</f>
        <v>293.26082151516505</v>
      </c>
      <c r="M59" s="17">
        <f>Summary!M120</f>
        <v>286.24072207153802</v>
      </c>
      <c r="N59" s="17">
        <f>Summary!N120</f>
        <v>296.79088500969584</v>
      </c>
      <c r="O59" s="17">
        <f>Summary!O120</f>
        <v>299.15227953744244</v>
      </c>
      <c r="P59" s="17">
        <f>Summary!P120</f>
        <v>302.05844775203627</v>
      </c>
      <c r="Q59" s="17">
        <f>Summary!Q120</f>
        <v>308.56923791008637</v>
      </c>
      <c r="R59" s="17">
        <f>Summary!R120</f>
        <v>316.00403237210276</v>
      </c>
      <c r="S59" s="17">
        <f>Summary!S120</f>
        <v>325.31630738964878</v>
      </c>
      <c r="T59" s="17">
        <f>Summary!T120</f>
        <v>320.90365597834347</v>
      </c>
      <c r="U59" s="17">
        <f>Summary!U120</f>
        <v>319.98183803832188</v>
      </c>
      <c r="V59" s="17">
        <f>Summary!V120</f>
        <v>319.25735116263439</v>
      </c>
      <c r="W59" s="17">
        <f>Summary!W120</f>
        <v>319.08829586410587</v>
      </c>
      <c r="X59" s="17">
        <f>Summary!X120</f>
        <v>316.96152541966785</v>
      </c>
      <c r="Y59" s="17">
        <f>Summary!Y120</f>
        <v>316.36421247742243</v>
      </c>
      <c r="Z59" s="17">
        <f>Summary!Z120</f>
        <v>316.82633478339915</v>
      </c>
      <c r="AA59" s="17">
        <f>Summary!AA120</f>
        <v>317.27936405130686</v>
      </c>
      <c r="AB59" s="17">
        <f>Summary!AB120</f>
        <v>317.43160259115683</v>
      </c>
      <c r="AC59" s="17">
        <f>Summary!AC120</f>
        <v>317.27481777314773</v>
      </c>
      <c r="AD59" s="17">
        <f>Summary!AD120</f>
        <v>315.64243635102014</v>
      </c>
      <c r="AE59" s="17">
        <f>Summary!AE120</f>
        <v>314.02532849691846</v>
      </c>
      <c r="AF59" s="17">
        <f>Summary!AF120</f>
        <v>312.42334522306214</v>
      </c>
      <c r="AG59" s="17">
        <f>Summary!AG120</f>
        <v>310.83633942636078</v>
      </c>
      <c r="AH59" s="17">
        <f>Summary!AH120</f>
        <v>309.05910937119148</v>
      </c>
      <c r="AI59" s="17">
        <f>Summary!AI120</f>
        <v>307.26390680182925</v>
      </c>
      <c r="AJ59" s="17">
        <f>Summary!AJ120</f>
        <v>305.46692144267371</v>
      </c>
      <c r="AK59" s="17">
        <f>Summary!AK120</f>
        <v>303.66830923559945</v>
      </c>
      <c r="AL59" s="17">
        <f>Summary!AL120</f>
        <v>301.86822624520983</v>
      </c>
      <c r="AM59" s="17">
        <f>Summary!AM120</f>
        <v>300.0668286109709</v>
      </c>
      <c r="AN59" s="17">
        <f>Summary!AN120</f>
        <v>298.26427249971749</v>
      </c>
      <c r="AO59" s="17">
        <f>Summary!AO120</f>
        <v>296.46071405854752</v>
      </c>
      <c r="AP59" s="17">
        <f>Summary!AP120</f>
        <v>294.65630936811658</v>
      </c>
      <c r="AQ59" s="17">
        <f>Summary!AQ120</f>
        <v>296.65656628093535</v>
      </c>
      <c r="AR59" s="17"/>
      <c r="AS59" s="17"/>
      <c r="AT59" s="6">
        <f>ROW()</f>
        <v>59</v>
      </c>
    </row>
    <row r="60" spans="2:46" ht="13.95" customHeight="1">
      <c r="B60" s="31" t="str">
        <f>Summary!B$121</f>
        <v>"Other" Petroleum Products (industry, construxn, etc.)</v>
      </c>
      <c r="I60" s="17">
        <f>Summary!I121</f>
        <v>282.31135569455722</v>
      </c>
      <c r="J60" s="17">
        <f>Summary!J121</f>
        <v>306.99811885153406</v>
      </c>
      <c r="K60" s="17">
        <f>Summary!K121</f>
        <v>311.67055726003537</v>
      </c>
      <c r="L60" s="17">
        <f>Summary!L121</f>
        <v>281.2219367368487</v>
      </c>
      <c r="M60" s="17">
        <f>Summary!M121</f>
        <v>324.05935348673682</v>
      </c>
      <c r="N60" s="17">
        <f>Summary!N121</f>
        <v>334.16166892133862</v>
      </c>
      <c r="O60" s="17">
        <f>Summary!O121</f>
        <v>315.10554703951397</v>
      </c>
      <c r="P60" s="17">
        <f>Summary!P121</f>
        <v>288.66148481259364</v>
      </c>
      <c r="Q60" s="17">
        <f>Summary!Q121</f>
        <v>343.1128331016601</v>
      </c>
      <c r="R60" s="17">
        <f>Summary!R121</f>
        <v>337.53498763500778</v>
      </c>
      <c r="S60" s="17">
        <f>Summary!S121</f>
        <v>282.16515385959826</v>
      </c>
      <c r="T60" s="17">
        <f>Summary!T121</f>
        <v>285.45569337712743</v>
      </c>
      <c r="U60" s="17">
        <f>Summary!U121</f>
        <v>284.9614985657746</v>
      </c>
      <c r="V60" s="17">
        <f>Summary!V121</f>
        <v>284.25668407335758</v>
      </c>
      <c r="W60" s="17">
        <f>Summary!W121</f>
        <v>282.95262936964798</v>
      </c>
      <c r="X60" s="17">
        <f>Summary!X121</f>
        <v>285.70789734032928</v>
      </c>
      <c r="Y60" s="17">
        <f>Summary!Y121</f>
        <v>286.80370940452724</v>
      </c>
      <c r="Z60" s="17">
        <f>Summary!Z121</f>
        <v>286.75013596029987</v>
      </c>
      <c r="AA60" s="17">
        <f>Summary!AA121</f>
        <v>286.70674872690762</v>
      </c>
      <c r="AB60" s="17">
        <f>Summary!AB121</f>
        <v>286.99009951874638</v>
      </c>
      <c r="AC60" s="17">
        <f>Summary!AC121</f>
        <v>287.60912264759384</v>
      </c>
      <c r="AD60" s="17">
        <f>Summary!AD121</f>
        <v>289.829788645539</v>
      </c>
      <c r="AE60" s="17">
        <f>Summary!AE121</f>
        <v>292.03419901488456</v>
      </c>
      <c r="AF60" s="17">
        <f>Summary!AF121</f>
        <v>294.22251566479468</v>
      </c>
      <c r="AG60" s="17">
        <f>Summary!AG121</f>
        <v>296.39489845932144</v>
      </c>
      <c r="AH60" s="17">
        <f>Summary!AH121</f>
        <v>298.50473624758558</v>
      </c>
      <c r="AI60" s="17">
        <f>Summary!AI121</f>
        <v>300.63412968516508</v>
      </c>
      <c r="AJ60" s="17">
        <f>Summary!AJ121</f>
        <v>302.76550962830299</v>
      </c>
      <c r="AK60" s="17">
        <f>Summary!AK121</f>
        <v>304.89870686302032</v>
      </c>
      <c r="AL60" s="17">
        <f>Summary!AL121</f>
        <v>307.03355204215558</v>
      </c>
      <c r="AM60" s="17">
        <f>Summary!AM121</f>
        <v>309.1698757373112</v>
      </c>
      <c r="AN60" s="17">
        <f>Summary!AN121</f>
        <v>311.30750849039237</v>
      </c>
      <c r="AO60" s="17">
        <f>Summary!AO121</f>
        <v>313.44628086472784</v>
      </c>
      <c r="AP60" s="17">
        <f>Summary!AP121</f>
        <v>315.58602349575341</v>
      </c>
      <c r="AQ60" s="17">
        <f>Summary!AQ121</f>
        <v>326.63200404785186</v>
      </c>
      <c r="AR60" s="17"/>
      <c r="AS60" s="17"/>
      <c r="AT60" s="6">
        <f>ROW()</f>
        <v>60</v>
      </c>
    </row>
    <row r="61" spans="2:46" ht="13.95" customHeight="1">
      <c r="B61" s="31" t="str">
        <f>Summary!B$122</f>
        <v>"Other" Natural Gas (industry, heat/hot water, etc.)</v>
      </c>
      <c r="I61" s="17">
        <f>Summary!I122</f>
        <v>559.00938167437994</v>
      </c>
      <c r="J61" s="17">
        <f>Summary!J122</f>
        <v>513.84823226539675</v>
      </c>
      <c r="K61" s="17">
        <f>Summary!K122</f>
        <v>540.83846286700918</v>
      </c>
      <c r="L61" s="17">
        <f>Summary!L122</f>
        <v>545.35752729382648</v>
      </c>
      <c r="M61" s="17">
        <f>Summary!M122</f>
        <v>471.87901185377547</v>
      </c>
      <c r="N61" s="17">
        <f>Summary!N122</f>
        <v>487.90205929773322</v>
      </c>
      <c r="O61" s="17">
        <f>Summary!O122</f>
        <v>495.10095694338077</v>
      </c>
      <c r="P61" s="17">
        <f>Summary!P122</f>
        <v>477.07658176444318</v>
      </c>
      <c r="Q61" s="17">
        <f>Summary!Q122</f>
        <v>524.68458049070568</v>
      </c>
      <c r="R61" s="17">
        <f>Summary!R122</f>
        <v>570.77225309165624</v>
      </c>
      <c r="S61" s="17">
        <f>Summary!S122</f>
        <v>577.86226030945033</v>
      </c>
      <c r="T61" s="17">
        <f>Summary!T122</f>
        <v>569.10829174750586</v>
      </c>
      <c r="U61" s="17">
        <f>Summary!U122</f>
        <v>564.03486215440967</v>
      </c>
      <c r="V61" s="17">
        <f>Summary!V122</f>
        <v>558.25415181616495</v>
      </c>
      <c r="W61" s="17">
        <f>Summary!W122</f>
        <v>551.77902345222833</v>
      </c>
      <c r="X61" s="17">
        <f>Summary!X122</f>
        <v>557.03496779637953</v>
      </c>
      <c r="Y61" s="17">
        <f>Summary!Y122</f>
        <v>561.38776217972111</v>
      </c>
      <c r="Z61" s="17">
        <f>Summary!Z122</f>
        <v>565.76208148764817</v>
      </c>
      <c r="AA61" s="17">
        <f>Summary!AA122</f>
        <v>570.15789438029447</v>
      </c>
      <c r="AB61" s="17">
        <f>Summary!AB122</f>
        <v>574.57516884322297</v>
      </c>
      <c r="AC61" s="17">
        <f>Summary!AC122</f>
        <v>579.01387221993764</v>
      </c>
      <c r="AD61" s="17">
        <f>Summary!AD122</f>
        <v>583.47397124479642</v>
      </c>
      <c r="AE61" s="17">
        <f>Summary!AE122</f>
        <v>587.95543207630408</v>
      </c>
      <c r="AF61" s="17">
        <f>Summary!AF122</f>
        <v>592.45822033076149</v>
      </c>
      <c r="AG61" s="17">
        <f>Summary!AG122</f>
        <v>596.98230111625082</v>
      </c>
      <c r="AH61" s="17">
        <f>Summary!AH122</f>
        <v>604.19465513778619</v>
      </c>
      <c r="AI61" s="17">
        <f>Summary!AI122</f>
        <v>611.07210493321656</v>
      </c>
      <c r="AJ61" s="17">
        <f>Summary!AJ122</f>
        <v>618.02658348852708</v>
      </c>
      <c r="AK61" s="17">
        <f>Summary!AK122</f>
        <v>625.05893894995882</v>
      </c>
      <c r="AL61" s="17">
        <f>Summary!AL122</f>
        <v>632.17002864592871</v>
      </c>
      <c r="AM61" s="17">
        <f>Summary!AM122</f>
        <v>639.36071918492439</v>
      </c>
      <c r="AN61" s="17">
        <f>Summary!AN122</f>
        <v>646.63188655443071</v>
      </c>
      <c r="AO61" s="17">
        <f>Summary!AO122</f>
        <v>653.98441622089717</v>
      </c>
      <c r="AP61" s="17">
        <f>Summary!AP122</f>
        <v>661.41920323075897</v>
      </c>
      <c r="AQ61" s="17">
        <f>Summary!AQ122</f>
        <v>668.93715231252088</v>
      </c>
      <c r="AR61" s="17"/>
      <c r="AS61" s="17"/>
      <c r="AT61" s="6">
        <f>ROW()</f>
        <v>61</v>
      </c>
    </row>
    <row r="62" spans="2:46" ht="13.95" customHeight="1">
      <c r="B62" s="31" t="str">
        <f>Summary!B$123</f>
        <v>Misc. (non-electric coal, non-energy FF's, U.S. territories)</v>
      </c>
      <c r="I62" s="17">
        <f>Summary!I123</f>
        <v>315.5</v>
      </c>
      <c r="J62" s="17">
        <f>Summary!J123</f>
        <v>312.90000000000003</v>
      </c>
      <c r="K62" s="17">
        <f>Summary!K123</f>
        <v>294.70000000000005</v>
      </c>
      <c r="L62" s="17">
        <f>Summary!L123</f>
        <v>279</v>
      </c>
      <c r="M62" s="17">
        <f>Summary!M123</f>
        <v>241.8</v>
      </c>
      <c r="N62" s="17">
        <f>Summary!N123</f>
        <v>252.2</v>
      </c>
      <c r="O62" s="17">
        <f>Summary!O123</f>
        <v>237.8</v>
      </c>
      <c r="P62" s="17">
        <f>Summary!P123</f>
        <v>227.39999999999998</v>
      </c>
      <c r="Q62" s="17">
        <f>Summary!Q123</f>
        <v>244.8</v>
      </c>
      <c r="R62" s="17">
        <f>Summary!R123</f>
        <v>235.1</v>
      </c>
      <c r="S62" s="17">
        <f>Summary!S123</f>
        <v>231.54700342092116</v>
      </c>
      <c r="T62" s="17">
        <f>Summary!T123</f>
        <v>232.02555253768097</v>
      </c>
      <c r="U62" s="17">
        <f>Summary!U123</f>
        <v>231.52948781597368</v>
      </c>
      <c r="V62" s="17">
        <f>Summary!V123</f>
        <v>231.02047505857806</v>
      </c>
      <c r="W62" s="17">
        <f>Summary!W123</f>
        <v>230.4988447921076</v>
      </c>
      <c r="X62" s="17">
        <f>Summary!X123</f>
        <v>229.83714165683742</v>
      </c>
      <c r="Y62" s="17">
        <f>Summary!Y123</f>
        <v>229.48118066428603</v>
      </c>
      <c r="Z62" s="17">
        <f>Summary!Z123</f>
        <v>229.11968288629234</v>
      </c>
      <c r="AA62" s="17">
        <f>Summary!AA123</f>
        <v>228.75275216662783</v>
      </c>
      <c r="AB62" s="17">
        <f>Summary!AB123</f>
        <v>228.38049207855974</v>
      </c>
      <c r="AC62" s="17">
        <f>Summary!AC123</f>
        <v>228.00300587770931</v>
      </c>
      <c r="AD62" s="17">
        <f>Summary!AD123</f>
        <v>227.62039645645135</v>
      </c>
      <c r="AE62" s="17">
        <f>Summary!AE123</f>
        <v>227.23276629986151</v>
      </c>
      <c r="AF62" s="17">
        <f>Summary!AF123</f>
        <v>226.84021744321259</v>
      </c>
      <c r="AG62" s="17">
        <f>Summary!AG123</f>
        <v>226.44285143102002</v>
      </c>
      <c r="AH62" s="17">
        <f>Summary!AH123</f>
        <v>225.96615415601607</v>
      </c>
      <c r="AI62" s="17">
        <f>Summary!AI123</f>
        <v>225.36963702005141</v>
      </c>
      <c r="AJ62" s="17">
        <f>Summary!AJ123</f>
        <v>224.76972119187212</v>
      </c>
      <c r="AK62" s="17">
        <f>Summary!AK123</f>
        <v>224.16650849404132</v>
      </c>
      <c r="AL62" s="17">
        <f>Summary!AL123</f>
        <v>223.5600998026305</v>
      </c>
      <c r="AM62" s="17">
        <f>Summary!AM123</f>
        <v>222.95059502277618</v>
      </c>
      <c r="AN62" s="17">
        <f>Summary!AN123</f>
        <v>222.33809306563941</v>
      </c>
      <c r="AO62" s="17">
        <f>Summary!AO123</f>
        <v>221.7226918267479</v>
      </c>
      <c r="AP62" s="17">
        <f>Summary!AP123</f>
        <v>221.10448816569519</v>
      </c>
      <c r="AQ62" s="17">
        <f>Summary!AQ123</f>
        <v>220.48357788717388</v>
      </c>
      <c r="AR62" s="17"/>
      <c r="AS62" s="17"/>
      <c r="AT62" s="6">
        <f>ROW()</f>
        <v>62</v>
      </c>
    </row>
    <row r="63" spans="2:46" ht="13.95" customHeight="1">
      <c r="B63" s="83" t="str">
        <f>CONCATENATE("This array is copied from 'Summary' tab, Rows ",Summary!AR115, "-",Summary!AR122, ".")</f>
        <v>This array is copied from 'Summary' tab, Rows 115-122.</v>
      </c>
      <c r="AT63" s="6">
        <f>ROW()</f>
        <v>63</v>
      </c>
    </row>
    <row r="64" spans="2:46" ht="13.95" customHeight="1">
      <c r="B64" s="14" t="s">
        <v>773</v>
      </c>
      <c r="R64" s="24"/>
      <c r="S64" s="36">
        <f>S54</f>
        <v>5104.5387588362364</v>
      </c>
      <c r="T64" s="36">
        <f t="shared" ref="T64:AG64" si="0">S64-($S$64-$AH$64)/15</f>
        <v>5045.0662498589872</v>
      </c>
      <c r="U64" s="36">
        <f t="shared" si="0"/>
        <v>4985.5937408817381</v>
      </c>
      <c r="V64" s="36">
        <f t="shared" si="0"/>
        <v>4926.1212319044889</v>
      </c>
      <c r="W64" s="36">
        <f t="shared" si="0"/>
        <v>4866.6487229272398</v>
      </c>
      <c r="X64" s="36">
        <f t="shared" si="0"/>
        <v>4807.1762139499906</v>
      </c>
      <c r="Y64" s="36">
        <f t="shared" si="0"/>
        <v>4747.7037049727414</v>
      </c>
      <c r="Z64" s="36">
        <f t="shared" si="0"/>
        <v>4688.2311959954923</v>
      </c>
      <c r="AA64" s="36">
        <f t="shared" si="0"/>
        <v>4628.7586870182431</v>
      </c>
      <c r="AB64" s="36">
        <f t="shared" si="0"/>
        <v>4569.2861780409939</v>
      </c>
      <c r="AC64" s="36">
        <f t="shared" si="0"/>
        <v>4509.8136690637448</v>
      </c>
      <c r="AD64" s="36">
        <f t="shared" si="0"/>
        <v>4450.3411600864956</v>
      </c>
      <c r="AE64" s="36">
        <f t="shared" si="0"/>
        <v>4390.8686511092465</v>
      </c>
      <c r="AF64" s="36">
        <f t="shared" si="0"/>
        <v>4331.3961421319973</v>
      </c>
      <c r="AG64" s="36">
        <f t="shared" si="0"/>
        <v>4271.9236331547481</v>
      </c>
      <c r="AH64" s="80">
        <f>AH54-0.3*$I$55</f>
        <v>4212.4511241774962</v>
      </c>
      <c r="AI64" s="17"/>
      <c r="AT64" s="6">
        <f>ROW()</f>
        <v>64</v>
      </c>
    </row>
    <row r="65" spans="2:46" ht="13.95" customHeight="1">
      <c r="B65" s="14"/>
      <c r="T65" s="17"/>
      <c r="U65" s="17"/>
      <c r="V65" s="17"/>
      <c r="W65" s="17"/>
      <c r="X65" s="17"/>
      <c r="Y65" s="17"/>
      <c r="Z65" s="17"/>
      <c r="AA65" s="17"/>
      <c r="AB65" s="17"/>
      <c r="AC65" s="17"/>
      <c r="AD65" s="17"/>
      <c r="AE65" s="17"/>
      <c r="AF65" s="17"/>
      <c r="AG65" s="17"/>
      <c r="AH65" s="17"/>
      <c r="AI65" s="17"/>
      <c r="AT65" s="6">
        <f>ROW()</f>
        <v>65</v>
      </c>
    </row>
    <row r="66" spans="2:46" ht="13.95" customHeight="1">
      <c r="B66" s="8" t="s">
        <v>307</v>
      </c>
      <c r="I66" s="231">
        <f t="shared" ref="I66:AQ66" si="1">I44</f>
        <v>2005</v>
      </c>
      <c r="J66" s="231">
        <f t="shared" si="1"/>
        <v>2006</v>
      </c>
      <c r="K66" s="231">
        <f t="shared" si="1"/>
        <v>2007</v>
      </c>
      <c r="L66" s="231">
        <f t="shared" si="1"/>
        <v>2008</v>
      </c>
      <c r="M66" s="231">
        <f t="shared" si="1"/>
        <v>2009</v>
      </c>
      <c r="N66" s="231">
        <f t="shared" si="1"/>
        <v>2010</v>
      </c>
      <c r="O66" s="231">
        <f t="shared" si="1"/>
        <v>2011</v>
      </c>
      <c r="P66" s="231">
        <f t="shared" si="1"/>
        <v>2012</v>
      </c>
      <c r="Q66" s="231">
        <f t="shared" si="1"/>
        <v>2013</v>
      </c>
      <c r="R66" s="231">
        <f t="shared" si="1"/>
        <v>2014</v>
      </c>
      <c r="S66" s="231">
        <f t="shared" si="1"/>
        <v>2015</v>
      </c>
      <c r="T66" s="231">
        <f t="shared" si="1"/>
        <v>2017</v>
      </c>
      <c r="U66" s="231">
        <f t="shared" si="1"/>
        <v>2018</v>
      </c>
      <c r="V66" s="231">
        <f t="shared" si="1"/>
        <v>2019</v>
      </c>
      <c r="W66" s="231">
        <f t="shared" si="1"/>
        <v>2020</v>
      </c>
      <c r="X66" s="231">
        <f t="shared" si="1"/>
        <v>2021</v>
      </c>
      <c r="Y66" s="231">
        <f t="shared" si="1"/>
        <v>2022</v>
      </c>
      <c r="Z66" s="231">
        <f t="shared" si="1"/>
        <v>2023</v>
      </c>
      <c r="AA66" s="231">
        <f t="shared" si="1"/>
        <v>2024</v>
      </c>
      <c r="AB66" s="231">
        <f t="shared" si="1"/>
        <v>2025</v>
      </c>
      <c r="AC66" s="231">
        <f t="shared" si="1"/>
        <v>2026</v>
      </c>
      <c r="AD66" s="231">
        <f t="shared" si="1"/>
        <v>2027</v>
      </c>
      <c r="AE66" s="231">
        <f t="shared" si="1"/>
        <v>2028</v>
      </c>
      <c r="AF66" s="231">
        <f t="shared" si="1"/>
        <v>2029</v>
      </c>
      <c r="AG66" s="231">
        <f t="shared" si="1"/>
        <v>2030</v>
      </c>
      <c r="AH66" s="231">
        <f t="shared" si="1"/>
        <v>2031</v>
      </c>
      <c r="AI66" s="231">
        <f t="shared" si="1"/>
        <v>2032</v>
      </c>
      <c r="AJ66" s="231">
        <f t="shared" si="1"/>
        <v>2033</v>
      </c>
      <c r="AK66" s="231">
        <f t="shared" si="1"/>
        <v>2034</v>
      </c>
      <c r="AL66" s="231">
        <f t="shared" si="1"/>
        <v>2035</v>
      </c>
      <c r="AM66" s="231">
        <f t="shared" si="1"/>
        <v>2036</v>
      </c>
      <c r="AN66" s="231">
        <f t="shared" si="1"/>
        <v>2037</v>
      </c>
      <c r="AO66" s="231">
        <f t="shared" si="1"/>
        <v>2038</v>
      </c>
      <c r="AP66" s="231">
        <f t="shared" si="1"/>
        <v>2039</v>
      </c>
      <c r="AQ66" s="231">
        <f t="shared" si="1"/>
        <v>2040</v>
      </c>
      <c r="AT66" s="6">
        <f>ROW()</f>
        <v>66</v>
      </c>
    </row>
    <row r="67" spans="2:46" ht="13.95" customHeight="1">
      <c r="AT67" s="6">
        <f>ROW()</f>
        <v>67</v>
      </c>
    </row>
    <row r="68" spans="2:46" ht="13.95" customHeight="1">
      <c r="B68" s="8" t="str">
        <f>Summary!B127</f>
        <v>CO2 emissions, million metric tons, with carbon tax incremented at levels inputted above</v>
      </c>
      <c r="I68" s="80">
        <f>Summary!I127</f>
        <v>5811.705891565216</v>
      </c>
      <c r="J68" s="80">
        <f>Summary!J127</f>
        <v>5741.3947512468221</v>
      </c>
      <c r="K68" s="80">
        <f>Summary!K127</f>
        <v>5831.6621575089175</v>
      </c>
      <c r="L68" s="80">
        <f>Summary!L127</f>
        <v>5629.4402855458411</v>
      </c>
      <c r="M68" s="80">
        <f>Summary!M127</f>
        <v>5237.9790874120499</v>
      </c>
      <c r="N68" s="80">
        <f>Summary!N127</f>
        <v>5421.3546132287674</v>
      </c>
      <c r="O68" s="80">
        <f>Summary!O127</f>
        <v>5271.9587835203365</v>
      </c>
      <c r="P68" s="80">
        <f>Summary!P127</f>
        <v>5061.796514329073</v>
      </c>
      <c r="Q68" s="80">
        <f>Summary!Q127</f>
        <v>5210.4666515024519</v>
      </c>
      <c r="R68" s="80">
        <f>Summary!R127</f>
        <v>5265.4112730987672</v>
      </c>
      <c r="S68" s="80">
        <f>Summary!S127</f>
        <v>5104.5387588362364</v>
      </c>
      <c r="T68" s="80">
        <f>Summary!T127</f>
        <v>4804.5672943417485</v>
      </c>
      <c r="U68" s="80">
        <f>Summary!U127</f>
        <v>4571.5969475236061</v>
      </c>
      <c r="V68" s="80">
        <f>Summary!V127</f>
        <v>4366.3671264869035</v>
      </c>
      <c r="W68" s="80">
        <f>Summary!W127</f>
        <v>4185.3280177723309</v>
      </c>
      <c r="X68" s="80">
        <f>Summary!X127</f>
        <v>4018.9809123075147</v>
      </c>
      <c r="Y68" s="80">
        <f>Summary!Y127</f>
        <v>3873.4183585679589</v>
      </c>
      <c r="Z68" s="80">
        <f>Summary!Z127</f>
        <v>3744.3933367446161</v>
      </c>
      <c r="AA68" s="80">
        <f>Summary!AA127</f>
        <v>3625.0125223660971</v>
      </c>
      <c r="AB68" s="80">
        <f>Summary!AB127</f>
        <v>3512.6285343834284</v>
      </c>
      <c r="AC68" s="80">
        <f>Summary!AC127</f>
        <v>3406.2137623870713</v>
      </c>
      <c r="AD68" s="80">
        <f>Summary!AD127</f>
        <v>3299.819374038455</v>
      </c>
      <c r="AE68" s="80">
        <f>Summary!AE127</f>
        <v>3200.0306182053191</v>
      </c>
      <c r="AF68" s="80">
        <f>Summary!AF127</f>
        <v>3106.648941185776</v>
      </c>
      <c r="AG68" s="80">
        <f>Summary!AG127</f>
        <v>3019.010616037508</v>
      </c>
      <c r="AH68" s="80">
        <f>Summary!AH127</f>
        <v>2938.6126092781701</v>
      </c>
      <c r="AI68" s="80">
        <f>Summary!AI127</f>
        <v>2862.1350350781963</v>
      </c>
      <c r="AJ68" s="80">
        <f>Summary!AJ127</f>
        <v>2789.6677011175238</v>
      </c>
      <c r="AK68" s="80">
        <f>Summary!AK127</f>
        <v>2720.8691597313632</v>
      </c>
      <c r="AL68" s="80">
        <f>Summary!AL127</f>
        <v>2655.4384955128794</v>
      </c>
      <c r="AM68" s="80">
        <f>Summary!AM127</f>
        <v>2593.1716197677424</v>
      </c>
      <c r="AN68" s="80">
        <f>Summary!AN127</f>
        <v>2533.7775462375603</v>
      </c>
      <c r="AO68" s="80">
        <f>Summary!AO127</f>
        <v>2477.0442876425464</v>
      </c>
      <c r="AP68" s="80">
        <f>Summary!AP127</f>
        <v>2422.7818394032015</v>
      </c>
      <c r="AQ68" s="80">
        <f>Summary!AQ127</f>
        <v>2395.819955976433</v>
      </c>
      <c r="AT68" s="6">
        <f>ROW()</f>
        <v>68</v>
      </c>
    </row>
    <row r="69" spans="2:46" ht="13.95" customHeight="1">
      <c r="B69" s="31" t="str">
        <f>Summary!B$116</f>
        <v>Electricity Generation</v>
      </c>
      <c r="I69" s="17">
        <f>Summary!I128</f>
        <v>2413</v>
      </c>
      <c r="J69" s="17">
        <f>Summary!J128</f>
        <v>2358.6</v>
      </c>
      <c r="K69" s="17">
        <f>Summary!K128</f>
        <v>2425.1999999999998</v>
      </c>
      <c r="L69" s="17">
        <f>Summary!L128</f>
        <v>2372.4</v>
      </c>
      <c r="M69" s="17">
        <f>Summary!M128</f>
        <v>2156.9999999999995</v>
      </c>
      <c r="N69" s="17">
        <f>Summary!N128</f>
        <v>2269</v>
      </c>
      <c r="O69" s="17">
        <f>Summary!O128</f>
        <v>2167.8000000000002</v>
      </c>
      <c r="P69" s="17">
        <f>Summary!P128</f>
        <v>2032.1000000000001</v>
      </c>
      <c r="Q69" s="17">
        <f>Summary!Q128</f>
        <v>2048.7000000000003</v>
      </c>
      <c r="R69" s="17">
        <f>Summary!R128</f>
        <v>2048.3000000000002</v>
      </c>
      <c r="S69" s="17">
        <f>Summary!S128</f>
        <v>1895.3696778233411</v>
      </c>
      <c r="T69" s="17">
        <f>Summary!T128</f>
        <v>1708.6951648869037</v>
      </c>
      <c r="U69" s="17">
        <f>Summary!U128</f>
        <v>1570.754716977109</v>
      </c>
      <c r="V69" s="17">
        <f>Summary!V128</f>
        <v>1451.3128052629102</v>
      </c>
      <c r="W69" s="17">
        <f>Summary!W128</f>
        <v>1346.6310361745989</v>
      </c>
      <c r="X69" s="17">
        <f>Summary!X128</f>
        <v>1251.9237903599949</v>
      </c>
      <c r="Y69" s="17">
        <f>Summary!Y128</f>
        <v>1167.383264321614</v>
      </c>
      <c r="Z69" s="17">
        <f>Summary!Z128</f>
        <v>1091.3533465396845</v>
      </c>
      <c r="AA69" s="17">
        <f>Summary!AA128</f>
        <v>1022.5327803728325</v>
      </c>
      <c r="AB69" s="17">
        <f>Summary!AB128</f>
        <v>959.88377316450317</v>
      </c>
      <c r="AC69" s="17">
        <f>Summary!AC128</f>
        <v>902.56768671022394</v>
      </c>
      <c r="AD69" s="17">
        <f>Summary!AD128</f>
        <v>849.89883450316222</v>
      </c>
      <c r="AE69" s="17">
        <f>Summary!AE128</f>
        <v>801.31066963894386</v>
      </c>
      <c r="AF69" s="17">
        <f>Summary!AF128</f>
        <v>756.33062883959576</v>
      </c>
      <c r="AG69" s="17">
        <f>Summary!AG128</f>
        <v>714.56113670244486</v>
      </c>
      <c r="AH69" s="17">
        <f>Summary!AH128</f>
        <v>677.90602020010067</v>
      </c>
      <c r="AI69" s="17">
        <f>Summary!AI128</f>
        <v>643.60209281336267</v>
      </c>
      <c r="AJ69" s="17">
        <f>Summary!AJ128</f>
        <v>611.43077835529857</v>
      </c>
      <c r="AK69" s="17">
        <f>Summary!AK128</f>
        <v>581.20180474768756</v>
      </c>
      <c r="AL69" s="17">
        <f>Summary!AL128</f>
        <v>552.74866545672478</v>
      </c>
      <c r="AM69" s="17">
        <f>Summary!AM128</f>
        <v>525.92493101244918</v>
      </c>
      <c r="AN69" s="17">
        <f>Summary!AN128</f>
        <v>500.60122921808289</v>
      </c>
      <c r="AO69" s="17">
        <f>Summary!AO128</f>
        <v>476.66275584785006</v>
      </c>
      <c r="AP69" s="17">
        <f>Summary!AP128</f>
        <v>454.00720954632419</v>
      </c>
      <c r="AQ69" s="17">
        <f>Summary!AQ128</f>
        <v>435.87660543659445</v>
      </c>
      <c r="AT69" s="6">
        <f>ROW()</f>
        <v>69</v>
      </c>
    </row>
    <row r="70" spans="2:46" ht="13.95" customHeight="1">
      <c r="B70" s="31" t="str">
        <f>Summary!B$117</f>
        <v>Personal Ground Travel (driving, boating, rec vehicles, etc.)</v>
      </c>
      <c r="I70" s="17">
        <f>Summary!I129</f>
        <v>1193.0849999999996</v>
      </c>
      <c r="J70" s="17">
        <f>Summary!J129</f>
        <v>1188.3400000000001</v>
      </c>
      <c r="K70" s="17">
        <f>Summary!K129</f>
        <v>1167.73</v>
      </c>
      <c r="L70" s="17">
        <f>Summary!L129</f>
        <v>1113.7300000000002</v>
      </c>
      <c r="M70" s="17">
        <f>Summary!M129</f>
        <v>1088.0049999999994</v>
      </c>
      <c r="N70" s="17">
        <f>Summary!N129</f>
        <v>1081.1350000000002</v>
      </c>
      <c r="O70" s="17">
        <f>Summary!O129</f>
        <v>1060.7649999999994</v>
      </c>
      <c r="P70" s="17">
        <f>Summary!P129</f>
        <v>1055.2850000000001</v>
      </c>
      <c r="Q70" s="17">
        <f>Summary!Q129</f>
        <v>1054.4699999999998</v>
      </c>
      <c r="R70" s="17">
        <f>Summary!R129</f>
        <v>1071.0550000000001</v>
      </c>
      <c r="S70" s="17">
        <f>Summary!S129</f>
        <v>1098.7398093222546</v>
      </c>
      <c r="T70" s="17">
        <f>Summary!T129</f>
        <v>1084.105081251932</v>
      </c>
      <c r="U70" s="17">
        <f>Summary!U129</f>
        <v>1068.7085362106964</v>
      </c>
      <c r="V70" s="17">
        <f>Summary!V129</f>
        <v>1053.8966796519292</v>
      </c>
      <c r="W70" s="17">
        <f>Summary!W129</f>
        <v>1041.4748203084253</v>
      </c>
      <c r="X70" s="17">
        <f>Summary!X129</f>
        <v>1019.8546427559528</v>
      </c>
      <c r="Y70" s="17">
        <f>Summary!Y129</f>
        <v>1001.772369879881</v>
      </c>
      <c r="Z70" s="17">
        <f>Summary!Z129</f>
        <v>988.59679392679527</v>
      </c>
      <c r="AA70" s="17">
        <f>Summary!AA129</f>
        <v>975.15485028986882</v>
      </c>
      <c r="AB70" s="17">
        <f>Summary!AB129</f>
        <v>960.17832641399991</v>
      </c>
      <c r="AC70" s="17">
        <f>Summary!AC129</f>
        <v>943.75323775500249</v>
      </c>
      <c r="AD70" s="17">
        <f>Summary!AD129</f>
        <v>920.96510020418236</v>
      </c>
      <c r="AE70" s="17">
        <f>Summary!AE129</f>
        <v>898.94176090737335</v>
      </c>
      <c r="AF70" s="17">
        <f>Summary!AF129</f>
        <v>878.0413742428774</v>
      </c>
      <c r="AG70" s="17">
        <f>Summary!AG129</f>
        <v>858.15810712319012</v>
      </c>
      <c r="AH70" s="17">
        <f>Summary!AH129</f>
        <v>838.62284291729964</v>
      </c>
      <c r="AI70" s="17">
        <f>Summary!AI129</f>
        <v>819.70902769846612</v>
      </c>
      <c r="AJ70" s="17">
        <f>Summary!AJ129</f>
        <v>801.56792779523562</v>
      </c>
      <c r="AK70" s="17">
        <f>Summary!AK129</f>
        <v>784.13816192614343</v>
      </c>
      <c r="AL70" s="17">
        <f>Summary!AL129</f>
        <v>767.36539977670827</v>
      </c>
      <c r="AM70" s="17">
        <f>Summary!AM129</f>
        <v>751.25185546320733</v>
      </c>
      <c r="AN70" s="17">
        <f>Summary!AN129</f>
        <v>735.7103264369407</v>
      </c>
      <c r="AO70" s="17">
        <f>Summary!AO129</f>
        <v>720.70170739264688</v>
      </c>
      <c r="AP70" s="17">
        <f>Summary!AP129</f>
        <v>706.19079837983577</v>
      </c>
      <c r="AQ70" s="17">
        <f>Summary!AQ129</f>
        <v>699.0778177418498</v>
      </c>
      <c r="AT70" s="6">
        <f>ROW()</f>
        <v>70</v>
      </c>
    </row>
    <row r="71" spans="2:46" ht="13.95" customHeight="1">
      <c r="B71" s="31" t="str">
        <f>Summary!B$118</f>
        <v>Freight (goods movement by road, rail, ship, air)</v>
      </c>
      <c r="I71" s="17">
        <f>Summary!I130</f>
        <v>510.21500000000003</v>
      </c>
      <c r="J71" s="17">
        <f>Summary!J130</f>
        <v>525.87</v>
      </c>
      <c r="K71" s="17">
        <f>Summary!K130</f>
        <v>555.97</v>
      </c>
      <c r="L71" s="17">
        <f>Summary!L130</f>
        <v>530.87</v>
      </c>
      <c r="M71" s="17">
        <f>Summary!M130</f>
        <v>475.69499999999999</v>
      </c>
      <c r="N71" s="17">
        <f>Summary!N130</f>
        <v>499.36500000000001</v>
      </c>
      <c r="O71" s="17">
        <f>Summary!O130</f>
        <v>494.53499999999997</v>
      </c>
      <c r="P71" s="17">
        <f>Summary!P130</f>
        <v>481.71499999999997</v>
      </c>
      <c r="Q71" s="17">
        <f>Summary!Q130</f>
        <v>482.33000000000004</v>
      </c>
      <c r="R71" s="17">
        <f>Summary!R130</f>
        <v>482.54500000000002</v>
      </c>
      <c r="S71" s="17">
        <f>Summary!S130</f>
        <v>480.08011596161907</v>
      </c>
      <c r="T71" s="17">
        <f>Summary!T130</f>
        <v>456.302131443706</v>
      </c>
      <c r="U71" s="17">
        <f>Summary!U130</f>
        <v>438.14389993478449</v>
      </c>
      <c r="V71" s="17">
        <f>Summary!V130</f>
        <v>421.70071892093495</v>
      </c>
      <c r="W71" s="17">
        <f>Summary!W130</f>
        <v>406.71218498643503</v>
      </c>
      <c r="X71" s="17">
        <f>Summary!X130</f>
        <v>392.2314011649259</v>
      </c>
      <c r="Y71" s="17">
        <f>Summary!Y130</f>
        <v>380.39062425327268</v>
      </c>
      <c r="Z71" s="17">
        <f>Summary!Z130</f>
        <v>369.3873214152423</v>
      </c>
      <c r="AA71" s="17">
        <f>Summary!AA130</f>
        <v>359.1239625084412</v>
      </c>
      <c r="AB71" s="17">
        <f>Summary!AB130</f>
        <v>349.51823997069306</v>
      </c>
      <c r="AC71" s="17">
        <f>Summary!AC130</f>
        <v>340.50013682499349</v>
      </c>
      <c r="AD71" s="17">
        <f>Summary!AD130</f>
        <v>332.00965740631182</v>
      </c>
      <c r="AE71" s="17">
        <f>Summary!AE130</f>
        <v>323.99505067083305</v>
      </c>
      <c r="AF71" s="17">
        <f>Summary!AF130</f>
        <v>316.41140444972632</v>
      </c>
      <c r="AG71" s="17">
        <f>Summary!AG130</f>
        <v>309.21952241145436</v>
      </c>
      <c r="AH71" s="17">
        <f>Summary!AH130</f>
        <v>302.17754090278208</v>
      </c>
      <c r="AI71" s="17">
        <f>Summary!AI130</f>
        <v>295.52905929254979</v>
      </c>
      <c r="AJ71" s="17">
        <f>Summary!AJ130</f>
        <v>289.18735047992635</v>
      </c>
      <c r="AK71" s="17">
        <f>Summary!AK130</f>
        <v>283.12800251100646</v>
      </c>
      <c r="AL71" s="17">
        <f>Summary!AL130</f>
        <v>277.32923490886174</v>
      </c>
      <c r="AM71" s="17">
        <f>Summary!AM130</f>
        <v>271.77154394209742</v>
      </c>
      <c r="AN71" s="17">
        <f>Summary!AN130</f>
        <v>266.43740480586632</v>
      </c>
      <c r="AO71" s="17">
        <f>Summary!AO130</f>
        <v>261.31102022016654</v>
      </c>
      <c r="AP71" s="17">
        <f>Summary!AP130</f>
        <v>256.37810712292458</v>
      </c>
      <c r="AQ71" s="17">
        <f>Summary!AQ130</f>
        <v>256.25852784300031</v>
      </c>
      <c r="AT71" s="6">
        <f>ROW()</f>
        <v>71</v>
      </c>
    </row>
    <row r="72" spans="2:46" ht="13.95" customHeight="1">
      <c r="B72" s="31" t="str">
        <f>Summary!B$119</f>
        <v>Aviation (passenger only)</v>
      </c>
      <c r="I72" s="17">
        <f>Summary!I131</f>
        <v>232.5</v>
      </c>
      <c r="J72" s="17">
        <f>Summary!J131</f>
        <v>230</v>
      </c>
      <c r="K72" s="17">
        <f>Summary!K131</f>
        <v>228.6</v>
      </c>
      <c r="L72" s="17">
        <f>Summary!L131</f>
        <v>213.6</v>
      </c>
      <c r="M72" s="17">
        <f>Summary!M131</f>
        <v>193.3</v>
      </c>
      <c r="N72" s="17">
        <f>Summary!N131</f>
        <v>200.8</v>
      </c>
      <c r="O72" s="17">
        <f>Summary!O131</f>
        <v>201.70000000000002</v>
      </c>
      <c r="P72" s="17">
        <f>Summary!P131</f>
        <v>197.5</v>
      </c>
      <c r="Q72" s="17">
        <f>Summary!Q131</f>
        <v>203.8</v>
      </c>
      <c r="R72" s="17">
        <f>Summary!R131</f>
        <v>204.1</v>
      </c>
      <c r="S72" s="17">
        <f>Summary!S131</f>
        <v>213.45843074940368</v>
      </c>
      <c r="T72" s="17">
        <f>Summary!T131</f>
        <v>195.73534939421813</v>
      </c>
      <c r="U72" s="17">
        <f>Summary!U131</f>
        <v>183.44239762936223</v>
      </c>
      <c r="V72" s="17">
        <f>Summary!V131</f>
        <v>172.67497093633398</v>
      </c>
      <c r="W72" s="17">
        <f>Summary!W131</f>
        <v>163.14044112898549</v>
      </c>
      <c r="X72" s="17">
        <f>Summary!X131</f>
        <v>154.85591407440091</v>
      </c>
      <c r="Y72" s="17">
        <f>Summary!Y131</f>
        <v>149.75166319040889</v>
      </c>
      <c r="Z72" s="17">
        <f>Summary!Z131</f>
        <v>145.05433263403202</v>
      </c>
      <c r="AA72" s="17">
        <f>Summary!AA131</f>
        <v>140.7130506498105</v>
      </c>
      <c r="AB72" s="17">
        <f>Summary!AB131</f>
        <v>136.68531152368863</v>
      </c>
      <c r="AC72" s="17">
        <f>Summary!AC131</f>
        <v>132.93529293538171</v>
      </c>
      <c r="AD72" s="17">
        <f>Summary!AD131</f>
        <v>129.4325682341512</v>
      </c>
      <c r="AE72" s="17">
        <f>Summary!AE131</f>
        <v>126.15110877053968</v>
      </c>
      <c r="AF72" s="17">
        <f>Summary!AF131</f>
        <v>123.06850224586769</v>
      </c>
      <c r="AG72" s="17">
        <f>Summary!AG131</f>
        <v>120.16533399574932</v>
      </c>
      <c r="AH72" s="17">
        <f>Summary!AH131</f>
        <v>117.54061523138634</v>
      </c>
      <c r="AI72" s="17">
        <f>Summary!AI131</f>
        <v>115.11136996837544</v>
      </c>
      <c r="AJ72" s="17">
        <f>Summary!AJ131</f>
        <v>112.80970927445668</v>
      </c>
      <c r="AK72" s="17">
        <f>Summary!AK131</f>
        <v>110.62469884761693</v>
      </c>
      <c r="AL72" s="17">
        <f>Summary!AL131</f>
        <v>108.5466349358247</v>
      </c>
      <c r="AM72" s="17">
        <f>Summary!AM131</f>
        <v>106.5668726504322</v>
      </c>
      <c r="AN72" s="17">
        <f>Summary!AN131</f>
        <v>104.67768261294096</v>
      </c>
      <c r="AO72" s="17">
        <f>Summary!AO131</f>
        <v>102.87213058187612</v>
      </c>
      <c r="AP72" s="17">
        <f>Summary!AP131</f>
        <v>101.14397583885327</v>
      </c>
      <c r="AQ72" s="17">
        <f>Summary!AQ131</f>
        <v>101.07113323306478</v>
      </c>
      <c r="AT72" s="6">
        <f>ROW()</f>
        <v>72</v>
      </c>
    </row>
    <row r="73" spans="2:46" ht="13.95" customHeight="1">
      <c r="B73" s="31" t="str">
        <f>Summary!B$120</f>
        <v>Oil Refining</v>
      </c>
      <c r="I73" s="17">
        <f>Summary!I132</f>
        <v>306.0851541962794</v>
      </c>
      <c r="J73" s="17">
        <f>Summary!J132</f>
        <v>304.83840012989168</v>
      </c>
      <c r="K73" s="17">
        <f>Summary!K132</f>
        <v>306.95313738187377</v>
      </c>
      <c r="L73" s="17">
        <f>Summary!L132</f>
        <v>293.26082151516505</v>
      </c>
      <c r="M73" s="17">
        <f>Summary!M132</f>
        <v>286.24072207153802</v>
      </c>
      <c r="N73" s="17">
        <f>Summary!N132</f>
        <v>296.79088500969584</v>
      </c>
      <c r="O73" s="17">
        <f>Summary!O132</f>
        <v>299.15227953744244</v>
      </c>
      <c r="P73" s="17">
        <f>Summary!P132</f>
        <v>302.05844775203627</v>
      </c>
      <c r="Q73" s="17">
        <f>Summary!Q132</f>
        <v>308.56923791008637</v>
      </c>
      <c r="R73" s="17">
        <f>Summary!R132</f>
        <v>316.00403237210276</v>
      </c>
      <c r="S73" s="17">
        <f>Summary!S132</f>
        <v>325.31630738964878</v>
      </c>
      <c r="T73" s="17">
        <f>Summary!T132</f>
        <v>319.39025977315725</v>
      </c>
      <c r="U73" s="17">
        <f>Summary!U132</f>
        <v>314.84784063596481</v>
      </c>
      <c r="V73" s="17">
        <f>Summary!V132</f>
        <v>310.80344912888842</v>
      </c>
      <c r="W73" s="17">
        <f>Summary!W132</f>
        <v>307.54377025985411</v>
      </c>
      <c r="X73" s="17">
        <f>Summary!X132</f>
        <v>302.58644019406728</v>
      </c>
      <c r="Y73" s="17">
        <f>Summary!Y132</f>
        <v>299.0731175650912</v>
      </c>
      <c r="Z73" s="17">
        <f>Summary!Z132</f>
        <v>296.67469139961861</v>
      </c>
      <c r="AA73" s="17">
        <f>Summary!AA132</f>
        <v>294.341390542998</v>
      </c>
      <c r="AB73" s="17">
        <f>Summary!AB132</f>
        <v>291.79012846797707</v>
      </c>
      <c r="AC73" s="17">
        <f>Summary!AC132</f>
        <v>289.01264834488057</v>
      </c>
      <c r="AD73" s="17">
        <f>Summary!AD132</f>
        <v>284.94424474469827</v>
      </c>
      <c r="AE73" s="17">
        <f>Summary!AE132</f>
        <v>281.05483073950626</v>
      </c>
      <c r="AF73" s="17">
        <f>Summary!AF132</f>
        <v>277.41628190608071</v>
      </c>
      <c r="AG73" s="17">
        <f>Summary!AG132</f>
        <v>274.00366198953856</v>
      </c>
      <c r="AH73" s="17">
        <f>Summary!AH132</f>
        <v>270.62654673286198</v>
      </c>
      <c r="AI73" s="17">
        <f>Summary!AI132</f>
        <v>267.40166971263659</v>
      </c>
      <c r="AJ73" s="17">
        <f>Summary!AJ132</f>
        <v>264.34140093370212</v>
      </c>
      <c r="AK73" s="17">
        <f>Summary!AK132</f>
        <v>261.43109689828339</v>
      </c>
      <c r="AL73" s="17">
        <f>Summary!AL132</f>
        <v>258.65778926358411</v>
      </c>
      <c r="AM73" s="17">
        <f>Summary!AM132</f>
        <v>256.0217506440444</v>
      </c>
      <c r="AN73" s="17">
        <f>Summary!AN132</f>
        <v>253.50265605081276</v>
      </c>
      <c r="AO73" s="17">
        <f>Summary!AO132</f>
        <v>251.09121958138221</v>
      </c>
      <c r="AP73" s="17">
        <f>Summary!AP132</f>
        <v>248.77908476406921</v>
      </c>
      <c r="AQ73" s="17">
        <f>Summary!AQ132</f>
        <v>249.65696299109575</v>
      </c>
      <c r="AT73" s="6">
        <f>ROW()</f>
        <v>73</v>
      </c>
    </row>
    <row r="74" spans="2:46" ht="13.95" customHeight="1">
      <c r="B74" s="31" t="str">
        <f>Summary!B$121</f>
        <v>"Other" Petroleum Products (industry, construxn, etc.)</v>
      </c>
      <c r="I74" s="17">
        <f>Summary!I133</f>
        <v>282.31135569455722</v>
      </c>
      <c r="J74" s="17">
        <f>Summary!J133</f>
        <v>306.99811885153406</v>
      </c>
      <c r="K74" s="17">
        <f>Summary!K133</f>
        <v>311.67055726003537</v>
      </c>
      <c r="L74" s="17">
        <f>Summary!L133</f>
        <v>281.2219367368487</v>
      </c>
      <c r="M74" s="17">
        <f>Summary!M133</f>
        <v>324.05935348673682</v>
      </c>
      <c r="N74" s="17">
        <f>Summary!N133</f>
        <v>334.16166892133862</v>
      </c>
      <c r="O74" s="17">
        <f>Summary!O133</f>
        <v>315.10554703951397</v>
      </c>
      <c r="P74" s="17">
        <f>Summary!P133</f>
        <v>288.66148481259364</v>
      </c>
      <c r="Q74" s="17">
        <f>Summary!Q133</f>
        <v>343.1128331016601</v>
      </c>
      <c r="R74" s="17">
        <f>Summary!R133</f>
        <v>337.53498763500778</v>
      </c>
      <c r="S74" s="17">
        <f>Summary!S133</f>
        <v>282.16515385959826</v>
      </c>
      <c r="T74" s="17">
        <f>Summary!T133</f>
        <v>275.38694123328776</v>
      </c>
      <c r="U74" s="17">
        <f>Summary!U133</f>
        <v>266.25521718354213</v>
      </c>
      <c r="V74" s="17">
        <f>Summary!V133</f>
        <v>257.79409579949009</v>
      </c>
      <c r="W74" s="17">
        <f>Summary!W133</f>
        <v>249.54878577097196</v>
      </c>
      <c r="X74" s="17">
        <f>Summary!X133</f>
        <v>245.48801869654858</v>
      </c>
      <c r="Y74" s="17">
        <f>Summary!Y133</f>
        <v>240.27047297642196</v>
      </c>
      <c r="Z74" s="17">
        <f>Summary!Z133</f>
        <v>234.50615101778746</v>
      </c>
      <c r="AA74" s="17">
        <f>Summary!AA133</f>
        <v>229.14025990967087</v>
      </c>
      <c r="AB74" s="17">
        <f>Summary!AB133</f>
        <v>224.37692897301838</v>
      </c>
      <c r="AC74" s="17">
        <f>Summary!AC133</f>
        <v>220.17046137699671</v>
      </c>
      <c r="AD74" s="17">
        <f>Summary!AD133</f>
        <v>217.4246307672116</v>
      </c>
      <c r="AE74" s="17">
        <f>Summary!AE133</f>
        <v>214.85412173609507</v>
      </c>
      <c r="AF74" s="17">
        <f>Summary!AF133</f>
        <v>212.44133395773144</v>
      </c>
      <c r="AG74" s="17">
        <f>Summary!AG133</f>
        <v>210.17090156199413</v>
      </c>
      <c r="AH74" s="17">
        <f>Summary!AH133</f>
        <v>208.02457267251307</v>
      </c>
      <c r="AI74" s="17">
        <f>Summary!AI133</f>
        <v>206.0061937410814</v>
      </c>
      <c r="AJ74" s="17">
        <f>Summary!AJ133</f>
        <v>204.10643462284941</v>
      </c>
      <c r="AK74" s="17">
        <f>Summary!AK133</f>
        <v>202.31508394602946</v>
      </c>
      <c r="AL74" s="17">
        <f>Summary!AL133</f>
        <v>200.62301403313339</v>
      </c>
      <c r="AM74" s="17">
        <f>Summary!AM133</f>
        <v>199.0220358456472</v>
      </c>
      <c r="AN74" s="17">
        <f>Summary!AN133</f>
        <v>197.50477696802577</v>
      </c>
      <c r="AO74" s="17">
        <f>Summary!AO133</f>
        <v>196.06457843777815</v>
      </c>
      <c r="AP74" s="17">
        <f>Summary!AP133</f>
        <v>194.69540708441781</v>
      </c>
      <c r="AQ74" s="17">
        <f>Summary!AQ133</f>
        <v>198.81228524851397</v>
      </c>
      <c r="AT74" s="6">
        <f>ROW()</f>
        <v>74</v>
      </c>
    </row>
    <row r="75" spans="2:46" ht="13.95" customHeight="1">
      <c r="B75" s="31" t="str">
        <f>Summary!B$122</f>
        <v>"Other" Natural Gas (industry, heat/hot water, etc.)</v>
      </c>
      <c r="I75" s="17">
        <f>Summary!I134</f>
        <v>559.00938167437994</v>
      </c>
      <c r="J75" s="17">
        <f>Summary!J134</f>
        <v>513.84823226539675</v>
      </c>
      <c r="K75" s="17">
        <f>Summary!K134</f>
        <v>540.83846286700918</v>
      </c>
      <c r="L75" s="17">
        <f>Summary!L134</f>
        <v>545.35752729382648</v>
      </c>
      <c r="M75" s="17">
        <f>Summary!M134</f>
        <v>471.87901185377547</v>
      </c>
      <c r="N75" s="17">
        <f>Summary!N134</f>
        <v>487.90205929773322</v>
      </c>
      <c r="O75" s="17">
        <f>Summary!O134</f>
        <v>495.10095694338077</v>
      </c>
      <c r="P75" s="17">
        <f>Summary!P134</f>
        <v>477.07658176444318</v>
      </c>
      <c r="Q75" s="17">
        <f>Summary!Q134</f>
        <v>524.68458049070568</v>
      </c>
      <c r="R75" s="17">
        <f>Summary!R134</f>
        <v>570.77225309165624</v>
      </c>
      <c r="S75" s="17">
        <f>Summary!S134</f>
        <v>577.86226030945033</v>
      </c>
      <c r="T75" s="17">
        <f>Summary!T134</f>
        <v>537.95690297561214</v>
      </c>
      <c r="U75" s="17">
        <f>Summary!U134</f>
        <v>507.60045049424406</v>
      </c>
      <c r="V75" s="17">
        <f>Summary!V134</f>
        <v>481.1741071683166</v>
      </c>
      <c r="W75" s="17">
        <f>Summary!W134</f>
        <v>457.81873181564265</v>
      </c>
      <c r="X75" s="17">
        <f>Summary!X134</f>
        <v>443.98727327618275</v>
      </c>
      <c r="Y75" s="17">
        <f>Summary!Y134</f>
        <v>430.69008039432583</v>
      </c>
      <c r="Z75" s="17">
        <f>Summary!Z134</f>
        <v>418.5114365230653</v>
      </c>
      <c r="AA75" s="17">
        <f>Summary!AA134</f>
        <v>407.30247577786616</v>
      </c>
      <c r="AB75" s="17">
        <f>Summary!AB134</f>
        <v>396.94066816608068</v>
      </c>
      <c r="AC75" s="17">
        <f>Summary!AC134</f>
        <v>387.32411671439286</v>
      </c>
      <c r="AD75" s="17">
        <f>Summary!AD134</f>
        <v>378.36729480135062</v>
      </c>
      <c r="AE75" s="17">
        <f>Summary!AE134</f>
        <v>369.99781268915007</v>
      </c>
      <c r="AF75" s="17">
        <f>Summary!AF134</f>
        <v>362.15393190502408</v>
      </c>
      <c r="AG75" s="17">
        <f>Summary!AG134</f>
        <v>354.78263129171239</v>
      </c>
      <c r="AH75" s="17">
        <f>Summary!AH134</f>
        <v>348.55132889993263</v>
      </c>
      <c r="AI75" s="17">
        <f>Summary!AI134</f>
        <v>342.402055673794</v>
      </c>
      <c r="AJ75" s="17">
        <f>Summary!AJ134</f>
        <v>336.55237714555392</v>
      </c>
      <c r="AK75" s="17">
        <f>Summary!AK134</f>
        <v>330.97852408082849</v>
      </c>
      <c r="AL75" s="17">
        <f>Summary!AL134</f>
        <v>325.65929012842537</v>
      </c>
      <c r="AM75" s="17">
        <f>Summary!AM134</f>
        <v>320.57568696965967</v>
      </c>
      <c r="AN75" s="17">
        <f>Summary!AN134</f>
        <v>315.71065454765557</v>
      </c>
      <c r="AO75" s="17">
        <f>Summary!AO134</f>
        <v>311.0488162716108</v>
      </c>
      <c r="AP75" s="17">
        <f>Summary!AP134</f>
        <v>306.57627117157921</v>
      </c>
      <c r="AQ75" s="17">
        <f>Summary!AQ134</f>
        <v>302.28041658733366</v>
      </c>
      <c r="AT75" s="6">
        <f>ROW()</f>
        <v>75</v>
      </c>
    </row>
    <row r="76" spans="2:46" ht="13.95" customHeight="1">
      <c r="B76" s="31" t="str">
        <f>Summary!B$123</f>
        <v>Misc. (non-electric coal, non-energy FF's, U.S. territories)</v>
      </c>
      <c r="I76" s="17">
        <f>Summary!I135</f>
        <v>315.5</v>
      </c>
      <c r="J76" s="17">
        <f>Summary!J135</f>
        <v>312.90000000000003</v>
      </c>
      <c r="K76" s="17">
        <f>Summary!K135</f>
        <v>294.70000000000005</v>
      </c>
      <c r="L76" s="17">
        <f>Summary!L135</f>
        <v>279</v>
      </c>
      <c r="M76" s="17">
        <f>Summary!M135</f>
        <v>241.8</v>
      </c>
      <c r="N76" s="17">
        <f>Summary!N135</f>
        <v>252.2</v>
      </c>
      <c r="O76" s="17">
        <f>Summary!O135</f>
        <v>237.8</v>
      </c>
      <c r="P76" s="17">
        <f>Summary!P135</f>
        <v>227.39999999999998</v>
      </c>
      <c r="Q76" s="17">
        <f>Summary!Q135</f>
        <v>244.8</v>
      </c>
      <c r="R76" s="17">
        <f>Summary!R135</f>
        <v>235.1</v>
      </c>
      <c r="S76" s="17">
        <f>Summary!S135</f>
        <v>231.54700342092116</v>
      </c>
      <c r="T76" s="17">
        <f>Summary!T135</f>
        <v>226.99546338293121</v>
      </c>
      <c r="U76" s="17">
        <f>Summary!U135</f>
        <v>221.84388845790292</v>
      </c>
      <c r="V76" s="17">
        <f>Summary!V135</f>
        <v>217.01029961810053</v>
      </c>
      <c r="W76" s="17">
        <f>Summary!W135</f>
        <v>212.4582473274175</v>
      </c>
      <c r="X76" s="17">
        <f>Summary!X135</f>
        <v>208.05343178544132</v>
      </c>
      <c r="Y76" s="17">
        <f>Summary!Y135</f>
        <v>204.08676598694313</v>
      </c>
      <c r="Z76" s="17">
        <f>Summary!Z135</f>
        <v>200.30926328839107</v>
      </c>
      <c r="AA76" s="17">
        <f>Summary!AA135</f>
        <v>196.70375231460869</v>
      </c>
      <c r="AB76" s="17">
        <f>Summary!AB135</f>
        <v>193.25515770346757</v>
      </c>
      <c r="AC76" s="17">
        <f>Summary!AC135</f>
        <v>189.95018172519949</v>
      </c>
      <c r="AD76" s="17">
        <f>Summary!AD135</f>
        <v>186.77704337738695</v>
      </c>
      <c r="AE76" s="17">
        <f>Summary!AE135</f>
        <v>183.7252630528784</v>
      </c>
      <c r="AF76" s="17">
        <f>Summary!AF135</f>
        <v>180.7854836388729</v>
      </c>
      <c r="AG76" s="17">
        <f>Summary!AG135</f>
        <v>177.94932096142472</v>
      </c>
      <c r="AH76" s="17">
        <f>Summary!AH135</f>
        <v>175.1631417212937</v>
      </c>
      <c r="AI76" s="17">
        <f>Summary!AI135</f>
        <v>172.37356617792992</v>
      </c>
      <c r="AJ76" s="17">
        <f>Summary!AJ135</f>
        <v>169.67172251050087</v>
      </c>
      <c r="AK76" s="17">
        <f>Summary!AK135</f>
        <v>167.05178677376762</v>
      </c>
      <c r="AL76" s="17">
        <f>Summary!AL135</f>
        <v>164.50846700961711</v>
      </c>
      <c r="AM76" s="17">
        <f>Summary!AM135</f>
        <v>162.03694324020486</v>
      </c>
      <c r="AN76" s="17">
        <f>Summary!AN135</f>
        <v>159.63281559723538</v>
      </c>
      <c r="AO76" s="17">
        <f>Summary!AO135</f>
        <v>157.29205930923564</v>
      </c>
      <c r="AP76" s="17">
        <f>Summary!AP135</f>
        <v>155.01098549519727</v>
      </c>
      <c r="AQ76" s="17">
        <f>Summary!AQ135</f>
        <v>152.7862068949803</v>
      </c>
      <c r="AT76" s="6">
        <f>ROW()</f>
        <v>76</v>
      </c>
    </row>
    <row r="77" spans="2:46" ht="13.95" customHeight="1">
      <c r="B77" s="83" t="str">
        <f>CONCATENATE("This array is copied from 'Summary' tab, Rows ",Summary!AR127, "-",Summary!AR134, ".")</f>
        <v>This array is copied from 'Summary' tab, Rows 127-134.</v>
      </c>
      <c r="AT77" s="6">
        <f>ROW()</f>
        <v>77</v>
      </c>
    </row>
    <row r="78" spans="2:46" ht="13.95" customHeight="1">
      <c r="AT78" s="6">
        <f>ROW()</f>
        <v>78</v>
      </c>
    </row>
    <row r="79" spans="2:46" ht="13.95" customHeight="1">
      <c r="B79" s="8" t="s">
        <v>912</v>
      </c>
      <c r="T79" s="24">
        <f t="shared" ref="T79:W87" si="2">T54-T68</f>
        <v>241.99821700874418</v>
      </c>
      <c r="U79" s="24">
        <f t="shared" si="2"/>
        <v>457.42266165346973</v>
      </c>
      <c r="V79" s="24">
        <f t="shared" si="2"/>
        <v>645.39906658635209</v>
      </c>
      <c r="W79" s="24">
        <f t="shared" si="2"/>
        <v>811.36876761170879</v>
      </c>
      <c r="X79" s="24">
        <f t="shared" ref="X79:AP79" si="3">X54-X68</f>
        <v>963.20535347552413</v>
      </c>
      <c r="Y79" s="24">
        <f t="shared" si="3"/>
        <v>1103.824399413958</v>
      </c>
      <c r="Z79" s="24">
        <f t="shared" si="3"/>
        <v>1233.5345311319215</v>
      </c>
      <c r="AA79" s="24">
        <f t="shared" si="3"/>
        <v>1353.6309238760441</v>
      </c>
      <c r="AB79" s="24">
        <f t="shared" si="3"/>
        <v>1465.2325711491308</v>
      </c>
      <c r="AC79" s="24">
        <f t="shared" si="3"/>
        <v>1569.3237498779445</v>
      </c>
      <c r="AD79" s="24">
        <f t="shared" si="3"/>
        <v>1665.7414936817013</v>
      </c>
      <c r="AE79" s="24">
        <f t="shared" si="3"/>
        <v>1755.7109159101255</v>
      </c>
      <c r="AF79" s="24">
        <f t="shared" si="3"/>
        <v>1839.4295875640596</v>
      </c>
      <c r="AG79" s="24">
        <f t="shared" si="3"/>
        <v>1917.5602631266611</v>
      </c>
      <c r="AH79" s="24">
        <f t="shared" si="3"/>
        <v>1997.7385148993258</v>
      </c>
      <c r="AI79" s="24">
        <f t="shared" si="3"/>
        <v>2073.532093246949</v>
      </c>
      <c r="AJ79" s="24">
        <f t="shared" si="3"/>
        <v>2145.3752475625975</v>
      </c>
      <c r="AK79" s="24">
        <f t="shared" si="3"/>
        <v>2213.6113795771494</v>
      </c>
      <c r="AL79" s="24">
        <f t="shared" si="3"/>
        <v>2278.5433666660279</v>
      </c>
      <c r="AM79" s="24">
        <f t="shared" si="3"/>
        <v>2340.3772672303267</v>
      </c>
      <c r="AN79" s="24">
        <f t="shared" si="3"/>
        <v>2399.4060448133296</v>
      </c>
      <c r="AO79" s="24">
        <f t="shared" si="3"/>
        <v>2455.8436714021377</v>
      </c>
      <c r="AP79" s="24">
        <f t="shared" si="3"/>
        <v>2509.8821435547075</v>
      </c>
      <c r="AQ79" s="24">
        <f t="shared" ref="AQ79" si="4">AQ54-AQ68</f>
        <v>2585.7423481078663</v>
      </c>
      <c r="AT79" s="6">
        <f>ROW()</f>
        <v>79</v>
      </c>
    </row>
    <row r="80" spans="2:46" ht="13.95" customHeight="1">
      <c r="B80" s="31" t="str">
        <f>Summary!B$116</f>
        <v>Electricity Generation</v>
      </c>
      <c r="T80" s="33">
        <f t="shared" si="2"/>
        <v>152.46349323456457</v>
      </c>
      <c r="U80" s="33">
        <f t="shared" si="2"/>
        <v>281.2819880506654</v>
      </c>
      <c r="V80" s="33">
        <f t="shared" si="2"/>
        <v>391.64665539488965</v>
      </c>
      <c r="W80" s="33">
        <f t="shared" si="2"/>
        <v>487.2956697095326</v>
      </c>
      <c r="X80" s="33">
        <f t="shared" ref="X80:AP80" si="5">X55-X69</f>
        <v>570.09833085831428</v>
      </c>
      <c r="Y80" s="33">
        <f t="shared" si="5"/>
        <v>642.81154856673197</v>
      </c>
      <c r="Z80" s="33">
        <f t="shared" si="5"/>
        <v>707.09093272999507</v>
      </c>
      <c r="AA80" s="33">
        <f t="shared" si="5"/>
        <v>764.23724162111296</v>
      </c>
      <c r="AB80" s="33">
        <f t="shared" si="5"/>
        <v>815.28777276334142</v>
      </c>
      <c r="AC80" s="33">
        <f t="shared" si="5"/>
        <v>861.08067244191454</v>
      </c>
      <c r="AD80" s="33">
        <f t="shared" si="5"/>
        <v>902.30113843762922</v>
      </c>
      <c r="AE80" s="33">
        <f t="shared" si="5"/>
        <v>939.51523210129221</v>
      </c>
      <c r="AF80" s="33">
        <f t="shared" si="5"/>
        <v>973.19503430918951</v>
      </c>
      <c r="AG80" s="33">
        <f t="shared" si="5"/>
        <v>1003.7376411937248</v>
      </c>
      <c r="AH80" s="33">
        <f t="shared" si="5"/>
        <v>1037.0168762095864</v>
      </c>
      <c r="AI80" s="33">
        <f t="shared" si="5"/>
        <v>1067.9515545860777</v>
      </c>
      <c r="AJ80" s="33">
        <f t="shared" si="5"/>
        <v>1096.7602394795374</v>
      </c>
      <c r="AK80" s="33">
        <f t="shared" si="5"/>
        <v>1123.6331899631923</v>
      </c>
      <c r="AL80" s="33">
        <f t="shared" si="5"/>
        <v>1148.7368995914057</v>
      </c>
      <c r="AM80" s="33">
        <f t="shared" si="5"/>
        <v>1172.2177848801946</v>
      </c>
      <c r="AN80" s="33">
        <f t="shared" si="5"/>
        <v>1194.2052050978459</v>
      </c>
      <c r="AO80" s="33">
        <f t="shared" si="5"/>
        <v>1214.8139515670425</v>
      </c>
      <c r="AP80" s="33">
        <f t="shared" si="5"/>
        <v>1234.146312765469</v>
      </c>
      <c r="AQ80" s="33">
        <f t="shared" ref="AQ80" si="6">AQ55-AQ69</f>
        <v>1261.9450162034716</v>
      </c>
      <c r="AT80" s="6">
        <f>ROW()</f>
        <v>80</v>
      </c>
    </row>
    <row r="81" spans="2:257 16384:16384" ht="13.95" customHeight="1">
      <c r="B81" s="31" t="str">
        <f>Summary!B$117</f>
        <v>Personal Ground Travel (driving, boating, rec vehicles, etc.)</v>
      </c>
      <c r="T81" s="33">
        <f t="shared" si="2"/>
        <v>3.7315844003169332</v>
      </c>
      <c r="U81" s="33">
        <f t="shared" si="2"/>
        <v>21.092410148293766</v>
      </c>
      <c r="V81" s="33">
        <f t="shared" si="2"/>
        <v>38.791988411204329</v>
      </c>
      <c r="W81" s="33">
        <f t="shared" si="2"/>
        <v>56.935038802436793</v>
      </c>
      <c r="X81" s="33">
        <f t="shared" ref="X81:AP81" si="7">X56-X70</f>
        <v>74.65007881049371</v>
      </c>
      <c r="Y81" s="33">
        <f t="shared" si="7"/>
        <v>92.868112209009837</v>
      </c>
      <c r="Z81" s="33">
        <f t="shared" si="7"/>
        <v>111.79745663825906</v>
      </c>
      <c r="AA81" s="33">
        <f t="shared" si="7"/>
        <v>130.922381814049</v>
      </c>
      <c r="AB81" s="33">
        <f t="shared" si="7"/>
        <v>149.95825399230625</v>
      </c>
      <c r="AC81" s="33">
        <f t="shared" si="7"/>
        <v>168.77541556378003</v>
      </c>
      <c r="AD81" s="33">
        <f t="shared" si="7"/>
        <v>186.07754531634214</v>
      </c>
      <c r="AE81" s="33">
        <f t="shared" si="7"/>
        <v>202.67457503566982</v>
      </c>
      <c r="AF81" s="33">
        <f t="shared" si="7"/>
        <v>218.20774084268498</v>
      </c>
      <c r="AG81" s="33">
        <f t="shared" si="7"/>
        <v>232.78227448659959</v>
      </c>
      <c r="AH81" s="33">
        <f t="shared" si="7"/>
        <v>246.31958630670226</v>
      </c>
      <c r="AI81" s="33">
        <f t="shared" si="7"/>
        <v>258.94006170055104</v>
      </c>
      <c r="AJ81" s="33">
        <f t="shared" si="7"/>
        <v>270.75739434889647</v>
      </c>
      <c r="AK81" s="33">
        <f t="shared" si="7"/>
        <v>281.83394803836393</v>
      </c>
      <c r="AL81" s="33">
        <f t="shared" si="7"/>
        <v>292.22503498195147</v>
      </c>
      <c r="AM81" s="33">
        <f t="shared" si="7"/>
        <v>301.92942211198317</v>
      </c>
      <c r="AN81" s="33">
        <f t="shared" si="7"/>
        <v>311.03529193444047</v>
      </c>
      <c r="AO81" s="33">
        <f t="shared" si="7"/>
        <v>319.58272838109735</v>
      </c>
      <c r="AP81" s="33">
        <f t="shared" si="7"/>
        <v>327.60790846075906</v>
      </c>
      <c r="AQ81" s="33">
        <f t="shared" ref="AQ81" si="8">AQ56-AQ70</f>
        <v>338.84155207379297</v>
      </c>
      <c r="AT81" s="6">
        <f>ROW()</f>
        <v>81</v>
      </c>
    </row>
    <row r="82" spans="2:257 16384:16384" ht="13.95" customHeight="1">
      <c r="B82" s="31" t="str">
        <f>Summary!B$118</f>
        <v>Freight (goods movement by road, rail, ship, air)</v>
      </c>
      <c r="T82" s="33">
        <f t="shared" si="2"/>
        <v>23.85970729294047</v>
      </c>
      <c r="U82" s="33">
        <f t="shared" si="2"/>
        <v>42.099675488342314</v>
      </c>
      <c r="V82" s="33">
        <f t="shared" si="2"/>
        <v>58.624607102493485</v>
      </c>
      <c r="W82" s="33">
        <f t="shared" si="2"/>
        <v>73.694905553484375</v>
      </c>
      <c r="X82" s="33">
        <f t="shared" ref="X82:AP82" si="9">X57-X71</f>
        <v>87.292966251927623</v>
      </c>
      <c r="Y82" s="33">
        <f t="shared" si="9"/>
        <v>100.52982431032706</v>
      </c>
      <c r="Z82" s="33">
        <f t="shared" si="9"/>
        <v>112.93327282800493</v>
      </c>
      <c r="AA82" s="33">
        <f t="shared" si="9"/>
        <v>124.60085378078412</v>
      </c>
      <c r="AB82" s="33">
        <f t="shared" si="9"/>
        <v>135.61488659872208</v>
      </c>
      <c r="AC82" s="33">
        <f t="shared" si="9"/>
        <v>146.04540016125628</v>
      </c>
      <c r="AD82" s="33">
        <f t="shared" si="9"/>
        <v>155.95240207050313</v>
      </c>
      <c r="AE82" s="33">
        <f t="shared" si="9"/>
        <v>165.38765534211683</v>
      </c>
      <c r="AF82" s="33">
        <f t="shared" si="9"/>
        <v>174.39608415162201</v>
      </c>
      <c r="AG82" s="33">
        <f t="shared" si="9"/>
        <v>183.01689687220596</v>
      </c>
      <c r="AH82" s="33">
        <f t="shared" si="9"/>
        <v>191.08433720405867</v>
      </c>
      <c r="AI82" s="33">
        <f t="shared" si="9"/>
        <v>198.8907481681382</v>
      </c>
      <c r="AJ82" s="33">
        <f t="shared" si="9"/>
        <v>206.39310456694756</v>
      </c>
      <c r="AK82" s="33">
        <f t="shared" si="9"/>
        <v>213.61582473542643</v>
      </c>
      <c r="AL82" s="33">
        <f t="shared" si="9"/>
        <v>220.58069554651701</v>
      </c>
      <c r="AM82" s="33">
        <f t="shared" si="9"/>
        <v>227.30722714264255</v>
      </c>
      <c r="AN82" s="33">
        <f t="shared" si="9"/>
        <v>233.8129507547286</v>
      </c>
      <c r="AO82" s="33">
        <f t="shared" si="9"/>
        <v>240.11367010394048</v>
      </c>
      <c r="AP82" s="33">
        <f t="shared" si="9"/>
        <v>246.22367470863583</v>
      </c>
      <c r="AQ82" s="33">
        <f t="shared" ref="AQ82" si="10">AQ57-AQ71</f>
        <v>256.79849669172432</v>
      </c>
      <c r="AT82" s="6">
        <f>ROW()</f>
        <v>82</v>
      </c>
    </row>
    <row r="83" spans="2:257 16384:16384" ht="13.95" customHeight="1">
      <c r="B83" s="31" t="str">
        <f>Summary!B$119</f>
        <v>Aviation (passenger only)</v>
      </c>
      <c r="T83" s="33">
        <f t="shared" si="2"/>
        <v>14.179805805253523</v>
      </c>
      <c r="U83" s="33">
        <f t="shared" si="2"/>
        <v>22.988298163342478</v>
      </c>
      <c r="V83" s="33">
        <f t="shared" si="2"/>
        <v>30.329105281824894</v>
      </c>
      <c r="W83" s="33">
        <f t="shared" si="2"/>
        <v>36.49389524205165</v>
      </c>
      <c r="X83" s="33">
        <f t="shared" ref="X83:AQ83" si="11">X58-X72</f>
        <v>41.737609293814501</v>
      </c>
      <c r="Y83" s="33">
        <f t="shared" si="11"/>
        <v>47.698486524714525</v>
      </c>
      <c r="Z83" s="33">
        <f t="shared" si="11"/>
        <v>53.256176046885486</v>
      </c>
      <c r="AA83" s="33">
        <f t="shared" si="11"/>
        <v>58.461565880105837</v>
      </c>
      <c r="AB83" s="33">
        <f t="shared" si="11"/>
        <v>63.357178073618911</v>
      </c>
      <c r="AC83" s="33">
        <f t="shared" si="11"/>
        <v>67.978851354075402</v>
      </c>
      <c r="AD83" s="33">
        <f t="shared" si="11"/>
        <v>72.357028850067934</v>
      </c>
      <c r="AE83" s="33">
        <f t="shared" si="11"/>
        <v>76.5177557607079</v>
      </c>
      <c r="AF83" s="33">
        <f t="shared" si="11"/>
        <v>80.483461006441146</v>
      </c>
      <c r="AG83" s="33">
        <f t="shared" si="11"/>
        <v>84.273575945846872</v>
      </c>
      <c r="AH83" s="33">
        <f t="shared" si="11"/>
        <v>87.958650293000403</v>
      </c>
      <c r="AI83" s="33">
        <f t="shared" si="11"/>
        <v>91.593435657361653</v>
      </c>
      <c r="AJ83" s="33">
        <f t="shared" si="11"/>
        <v>95.107708628447369</v>
      </c>
      <c r="AK83" s="33">
        <f t="shared" si="11"/>
        <v>98.512444996455642</v>
      </c>
      <c r="AL83" s="33">
        <f t="shared" si="11"/>
        <v>101.81739024498913</v>
      </c>
      <c r="AM83" s="33">
        <f t="shared" si="11"/>
        <v>105.03123123908074</v>
      </c>
      <c r="AN83" s="33">
        <f t="shared" si="11"/>
        <v>108.16173957986412</v>
      </c>
      <c r="AO83" s="33">
        <f t="shared" si="11"/>
        <v>111.21589197914398</v>
      </c>
      <c r="AP83" s="33">
        <f t="shared" si="11"/>
        <v>114.19997187478248</v>
      </c>
      <c r="AQ83" s="33">
        <f t="shared" si="11"/>
        <v>118.983854332319</v>
      </c>
      <c r="AT83" s="6">
        <f>ROW()</f>
        <v>83</v>
      </c>
    </row>
    <row r="84" spans="2:257 16384:16384" ht="13.95" customHeight="1">
      <c r="B84" s="31" t="str">
        <f>Summary!B$120</f>
        <v>Oil Refining</v>
      </c>
      <c r="T84" s="33">
        <f t="shared" si="2"/>
        <v>1.5133962051862113</v>
      </c>
      <c r="U84" s="33">
        <f t="shared" si="2"/>
        <v>5.1339974023570676</v>
      </c>
      <c r="V84" s="33">
        <f t="shared" si="2"/>
        <v>8.453902033745976</v>
      </c>
      <c r="W84" s="33">
        <f t="shared" si="2"/>
        <v>11.54452560425176</v>
      </c>
      <c r="X84" s="33">
        <f t="shared" ref="X84:AQ84" si="12">X59-X73</f>
        <v>14.375085225600571</v>
      </c>
      <c r="Y84" s="33">
        <f t="shared" si="12"/>
        <v>17.291094912331232</v>
      </c>
      <c r="Z84" s="33">
        <f t="shared" si="12"/>
        <v>20.151643383780538</v>
      </c>
      <c r="AA84" s="33">
        <f t="shared" si="12"/>
        <v>22.937973508308858</v>
      </c>
      <c r="AB84" s="33">
        <f t="shared" si="12"/>
        <v>25.641474123179762</v>
      </c>
      <c r="AC84" s="33">
        <f t="shared" si="12"/>
        <v>28.262169428267157</v>
      </c>
      <c r="AD84" s="33">
        <f t="shared" si="12"/>
        <v>30.69819160632187</v>
      </c>
      <c r="AE84" s="33">
        <f t="shared" si="12"/>
        <v>32.970497757412204</v>
      </c>
      <c r="AF84" s="33">
        <f t="shared" si="12"/>
        <v>35.00706331698143</v>
      </c>
      <c r="AG84" s="33">
        <f t="shared" si="12"/>
        <v>36.832677436822223</v>
      </c>
      <c r="AH84" s="33">
        <f t="shared" si="12"/>
        <v>38.4325626383295</v>
      </c>
      <c r="AI84" s="33">
        <f t="shared" si="12"/>
        <v>39.862237089192661</v>
      </c>
      <c r="AJ84" s="33">
        <f t="shared" si="12"/>
        <v>41.12552050897159</v>
      </c>
      <c r="AK84" s="33">
        <f t="shared" si="12"/>
        <v>42.237212337316066</v>
      </c>
      <c r="AL84" s="33">
        <f t="shared" si="12"/>
        <v>43.210436981625719</v>
      </c>
      <c r="AM84" s="33">
        <f t="shared" si="12"/>
        <v>44.045077966926499</v>
      </c>
      <c r="AN84" s="33">
        <f t="shared" si="12"/>
        <v>44.761616448904732</v>
      </c>
      <c r="AO84" s="33">
        <f t="shared" si="12"/>
        <v>45.369494477165318</v>
      </c>
      <c r="AP84" s="33">
        <f t="shared" si="12"/>
        <v>45.87722460404737</v>
      </c>
      <c r="AQ84" s="33">
        <f t="shared" si="12"/>
        <v>46.999603289839598</v>
      </c>
      <c r="AT84" s="6">
        <f>ROW()</f>
        <v>84</v>
      </c>
    </row>
    <row r="85" spans="2:257 16384:16384" ht="13.95" customHeight="1">
      <c r="B85" s="31" t="str">
        <f>Summary!B$121</f>
        <v>"Other" Petroleum Products (industry, construxn, etc.)</v>
      </c>
      <c r="T85" s="33">
        <f t="shared" si="2"/>
        <v>10.068752143839674</v>
      </c>
      <c r="U85" s="33">
        <f t="shared" si="2"/>
        <v>18.706281382232476</v>
      </c>
      <c r="V85" s="33">
        <f t="shared" si="2"/>
        <v>26.462588273867482</v>
      </c>
      <c r="W85" s="33">
        <f t="shared" si="2"/>
        <v>33.403843598676019</v>
      </c>
      <c r="X85" s="33">
        <f t="shared" ref="X85:AP85" si="13">X60-X74</f>
        <v>40.219878643780703</v>
      </c>
      <c r="Y85" s="33">
        <f t="shared" si="13"/>
        <v>46.533236428105283</v>
      </c>
      <c r="Z85" s="33">
        <f t="shared" si="13"/>
        <v>52.243984942512412</v>
      </c>
      <c r="AA85" s="33">
        <f t="shared" si="13"/>
        <v>57.566488817236745</v>
      </c>
      <c r="AB85" s="33">
        <f t="shared" si="13"/>
        <v>62.613170545727996</v>
      </c>
      <c r="AC85" s="33">
        <f t="shared" si="13"/>
        <v>67.438661270597123</v>
      </c>
      <c r="AD85" s="33">
        <f t="shared" si="13"/>
        <v>72.405157878327401</v>
      </c>
      <c r="AE85" s="33">
        <f t="shared" si="13"/>
        <v>77.180077278789497</v>
      </c>
      <c r="AF85" s="33">
        <f t="shared" si="13"/>
        <v>81.78118170706324</v>
      </c>
      <c r="AG85" s="33">
        <f t="shared" si="13"/>
        <v>86.223996897327311</v>
      </c>
      <c r="AH85" s="33">
        <f t="shared" si="13"/>
        <v>90.48016357507251</v>
      </c>
      <c r="AI85" s="33">
        <f t="shared" si="13"/>
        <v>94.627935944083674</v>
      </c>
      <c r="AJ85" s="33">
        <f t="shared" si="13"/>
        <v>98.659075005453587</v>
      </c>
      <c r="AK85" s="33">
        <f t="shared" si="13"/>
        <v>102.58362291699086</v>
      </c>
      <c r="AL85" s="33">
        <f t="shared" si="13"/>
        <v>106.41053800902219</v>
      </c>
      <c r="AM85" s="33">
        <f t="shared" si="13"/>
        <v>110.14783989166401</v>
      </c>
      <c r="AN85" s="33">
        <f t="shared" si="13"/>
        <v>113.8027315223666</v>
      </c>
      <c r="AO85" s="33">
        <f t="shared" si="13"/>
        <v>117.38170242694969</v>
      </c>
      <c r="AP85" s="33">
        <f t="shared" si="13"/>
        <v>120.8906164113356</v>
      </c>
      <c r="AQ85" s="33">
        <f t="shared" ref="AQ85" si="14">AQ60-AQ74</f>
        <v>127.81971879933789</v>
      </c>
      <c r="AT85" s="6">
        <f>ROW()</f>
        <v>85</v>
      </c>
    </row>
    <row r="86" spans="2:257 16384:16384" ht="13.95" customHeight="1">
      <c r="B86" s="31" t="str">
        <f>Summary!B$122</f>
        <v>"Other" Natural Gas (industry, heat/hot water, etc.)</v>
      </c>
      <c r="T86" s="33">
        <f t="shared" si="2"/>
        <v>31.151388771893721</v>
      </c>
      <c r="U86" s="33">
        <f t="shared" si="2"/>
        <v>56.434411660165608</v>
      </c>
      <c r="V86" s="33">
        <f t="shared" si="2"/>
        <v>77.080044647848354</v>
      </c>
      <c r="W86" s="33">
        <f t="shared" si="2"/>
        <v>93.96029163658568</v>
      </c>
      <c r="X86" s="33">
        <f t="shared" ref="X86:AP86" si="15">X61-X75</f>
        <v>113.04769452019679</v>
      </c>
      <c r="Y86" s="33">
        <f t="shared" si="15"/>
        <v>130.69768178539528</v>
      </c>
      <c r="Z86" s="33">
        <f t="shared" si="15"/>
        <v>147.25064496458288</v>
      </c>
      <c r="AA86" s="33">
        <f t="shared" si="15"/>
        <v>162.8554186024283</v>
      </c>
      <c r="AB86" s="33">
        <f t="shared" si="15"/>
        <v>177.63450067714228</v>
      </c>
      <c r="AC86" s="33">
        <f t="shared" si="15"/>
        <v>191.68975550554478</v>
      </c>
      <c r="AD86" s="33">
        <f t="shared" si="15"/>
        <v>205.10667644344579</v>
      </c>
      <c r="AE86" s="33">
        <f t="shared" si="15"/>
        <v>217.95761938715401</v>
      </c>
      <c r="AF86" s="33">
        <f t="shared" si="15"/>
        <v>230.30428842573741</v>
      </c>
      <c r="AG86" s="33">
        <f t="shared" si="15"/>
        <v>242.19966982453843</v>
      </c>
      <c r="AH86" s="33">
        <f t="shared" si="15"/>
        <v>255.64332623785356</v>
      </c>
      <c r="AI86" s="33">
        <f t="shared" si="15"/>
        <v>268.67004925942257</v>
      </c>
      <c r="AJ86" s="33">
        <f t="shared" si="15"/>
        <v>281.47420634297316</v>
      </c>
      <c r="AK86" s="33">
        <f t="shared" si="15"/>
        <v>294.08041486913032</v>
      </c>
      <c r="AL86" s="33">
        <f t="shared" si="15"/>
        <v>306.51073851750334</v>
      </c>
      <c r="AM86" s="33">
        <f t="shared" si="15"/>
        <v>318.78503221526472</v>
      </c>
      <c r="AN86" s="33">
        <f t="shared" si="15"/>
        <v>330.92123200677514</v>
      </c>
      <c r="AO86" s="33">
        <f t="shared" si="15"/>
        <v>342.93559994928637</v>
      </c>
      <c r="AP86" s="33">
        <f t="shared" si="15"/>
        <v>354.84293205917976</v>
      </c>
      <c r="AQ86" s="33">
        <f t="shared" ref="AQ86" si="16">AQ61-AQ75</f>
        <v>366.65673572518722</v>
      </c>
      <c r="AT86" s="6">
        <f>ROW()</f>
        <v>86</v>
      </c>
    </row>
    <row r="87" spans="2:257 16384:16384" ht="13.95" customHeight="1">
      <c r="B87" s="31" t="str">
        <f>Summary!B$123</f>
        <v>Misc. (non-electric coal, non-energy FF's, U.S. territories)</v>
      </c>
      <c r="T87" s="33">
        <f t="shared" si="2"/>
        <v>5.0300891547497599</v>
      </c>
      <c r="U87" s="33">
        <f t="shared" si="2"/>
        <v>9.6855993580707604</v>
      </c>
      <c r="V87" s="33">
        <f t="shared" si="2"/>
        <v>14.010175440477525</v>
      </c>
      <c r="W87" s="33">
        <f t="shared" si="2"/>
        <v>18.040597464690109</v>
      </c>
      <c r="X87" s="33">
        <f t="shared" ref="X87:AP87" si="17">X62-X76</f>
        <v>21.783709871396098</v>
      </c>
      <c r="Y87" s="33">
        <f t="shared" si="17"/>
        <v>25.394414677342894</v>
      </c>
      <c r="Z87" s="33">
        <f t="shared" si="17"/>
        <v>28.810419597901273</v>
      </c>
      <c r="AA87" s="33">
        <f t="shared" si="17"/>
        <v>32.048999852019136</v>
      </c>
      <c r="AB87" s="33">
        <f t="shared" si="17"/>
        <v>35.125334375092166</v>
      </c>
      <c r="AC87" s="33">
        <f t="shared" si="17"/>
        <v>38.052824152509828</v>
      </c>
      <c r="AD87" s="33">
        <f t="shared" si="17"/>
        <v>40.8433530790644</v>
      </c>
      <c r="AE87" s="33">
        <f t="shared" si="17"/>
        <v>43.507503246983106</v>
      </c>
      <c r="AF87" s="33">
        <f t="shared" si="17"/>
        <v>46.054733804339691</v>
      </c>
      <c r="AG87" s="33">
        <f t="shared" si="17"/>
        <v>48.493530469595299</v>
      </c>
      <c r="AH87" s="33">
        <f t="shared" si="17"/>
        <v>50.803012434722376</v>
      </c>
      <c r="AI87" s="33">
        <f t="shared" si="17"/>
        <v>52.996070842121497</v>
      </c>
      <c r="AJ87" s="33">
        <f t="shared" si="17"/>
        <v>55.097998681371251</v>
      </c>
      <c r="AK87" s="33">
        <f t="shared" si="17"/>
        <v>57.114721720273707</v>
      </c>
      <c r="AL87" s="33">
        <f t="shared" si="17"/>
        <v>59.051632793013397</v>
      </c>
      <c r="AM87" s="33">
        <f t="shared" si="17"/>
        <v>60.913651782571321</v>
      </c>
      <c r="AN87" s="33">
        <f t="shared" si="17"/>
        <v>62.705277468404034</v>
      </c>
      <c r="AO87" s="33">
        <f t="shared" si="17"/>
        <v>64.430632517512265</v>
      </c>
      <c r="AP87" s="33">
        <f t="shared" si="17"/>
        <v>66.093502670497912</v>
      </c>
      <c r="AQ87" s="33">
        <f t="shared" ref="AQ87" si="18">AQ62-AQ76</f>
        <v>67.697370992193584</v>
      </c>
      <c r="AT87" s="6">
        <f>ROW()</f>
        <v>87</v>
      </c>
      <c r="XFD87" s="33"/>
    </row>
    <row r="88" spans="2:257 16384:16384" ht="13.95" customHeight="1">
      <c r="AT88" s="6">
        <f>ROW()</f>
        <v>88</v>
      </c>
    </row>
    <row r="89" spans="2:257 16384:16384" ht="13.95" customHeight="1">
      <c r="B89" s="8" t="str">
        <f>B68</f>
        <v>CO2 emissions, million metric tons, with carbon tax incremented at levels inputted above</v>
      </c>
      <c r="AT89" s="6">
        <f>ROW()</f>
        <v>89</v>
      </c>
    </row>
    <row r="90" spans="2:257 16384:16384" ht="13.95" customHeight="1">
      <c r="B90" s="31" t="s">
        <v>92</v>
      </c>
      <c r="I90" s="36">
        <f t="shared" ref="I90:P90" si="19">I69</f>
        <v>2413</v>
      </c>
      <c r="J90" s="36">
        <f t="shared" si="19"/>
        <v>2358.6</v>
      </c>
      <c r="K90" s="36">
        <f t="shared" si="19"/>
        <v>2425.1999999999998</v>
      </c>
      <c r="L90" s="36">
        <f t="shared" si="19"/>
        <v>2372.4</v>
      </c>
      <c r="M90" s="36">
        <f t="shared" si="19"/>
        <v>2156.9999999999995</v>
      </c>
      <c r="N90" s="36">
        <f t="shared" si="19"/>
        <v>2269</v>
      </c>
      <c r="O90" s="36">
        <f t="shared" si="19"/>
        <v>2167.8000000000002</v>
      </c>
      <c r="P90" s="36">
        <f t="shared" si="19"/>
        <v>2032.1000000000001</v>
      </c>
      <c r="Q90" s="36">
        <f t="shared" ref="Q90:R90" si="20">Q69</f>
        <v>2048.7000000000003</v>
      </c>
      <c r="R90" s="36">
        <f t="shared" si="20"/>
        <v>2048.3000000000002</v>
      </c>
      <c r="S90" s="36">
        <f t="shared" ref="S90" si="21">S69</f>
        <v>1895.3696778233411</v>
      </c>
      <c r="T90" s="36">
        <f t="shared" ref="T90:AP90" si="22">T69</f>
        <v>1708.6951648869037</v>
      </c>
      <c r="U90" s="36">
        <f t="shared" si="22"/>
        <v>1570.754716977109</v>
      </c>
      <c r="V90" s="36">
        <f t="shared" si="22"/>
        <v>1451.3128052629102</v>
      </c>
      <c r="W90" s="36">
        <f t="shared" si="22"/>
        <v>1346.6310361745989</v>
      </c>
      <c r="X90" s="36">
        <f t="shared" si="22"/>
        <v>1251.9237903599949</v>
      </c>
      <c r="Y90" s="36">
        <f t="shared" si="22"/>
        <v>1167.383264321614</v>
      </c>
      <c r="Z90" s="36">
        <f t="shared" si="22"/>
        <v>1091.3533465396845</v>
      </c>
      <c r="AA90" s="36">
        <f t="shared" si="22"/>
        <v>1022.5327803728325</v>
      </c>
      <c r="AB90" s="36">
        <f t="shared" si="22"/>
        <v>959.88377316450317</v>
      </c>
      <c r="AC90" s="36">
        <f t="shared" si="22"/>
        <v>902.56768671022394</v>
      </c>
      <c r="AD90" s="36">
        <f t="shared" si="22"/>
        <v>849.89883450316222</v>
      </c>
      <c r="AE90" s="36">
        <f t="shared" si="22"/>
        <v>801.31066963894386</v>
      </c>
      <c r="AF90" s="36">
        <f t="shared" si="22"/>
        <v>756.33062883959576</v>
      </c>
      <c r="AG90" s="36">
        <f t="shared" si="22"/>
        <v>714.56113670244486</v>
      </c>
      <c r="AH90" s="36">
        <f t="shared" si="22"/>
        <v>677.90602020010067</v>
      </c>
      <c r="AI90" s="36">
        <f t="shared" si="22"/>
        <v>643.60209281336267</v>
      </c>
      <c r="AJ90" s="36">
        <f t="shared" si="22"/>
        <v>611.43077835529857</v>
      </c>
      <c r="AK90" s="36">
        <f t="shared" si="22"/>
        <v>581.20180474768756</v>
      </c>
      <c r="AL90" s="36">
        <f t="shared" si="22"/>
        <v>552.74866545672478</v>
      </c>
      <c r="AM90" s="36">
        <f t="shared" si="22"/>
        <v>525.92493101244918</v>
      </c>
      <c r="AN90" s="36">
        <f t="shared" si="22"/>
        <v>500.60122921808289</v>
      </c>
      <c r="AO90" s="36">
        <f t="shared" si="22"/>
        <v>476.66275584785006</v>
      </c>
      <c r="AP90" s="36">
        <f t="shared" si="22"/>
        <v>454.00720954632419</v>
      </c>
      <c r="AQ90" s="36">
        <f t="shared" ref="AQ90" si="23">AQ69</f>
        <v>435.87660543659445</v>
      </c>
      <c r="AT90" s="6">
        <f>ROW()</f>
        <v>90</v>
      </c>
    </row>
    <row r="91" spans="2:257 16384:16384" ht="13.95" customHeight="1">
      <c r="B91" s="31" t="s">
        <v>586</v>
      </c>
      <c r="I91" s="36">
        <f t="shared" ref="I91:Q91" si="24">SUM(I70:I76)</f>
        <v>3398.705891565216</v>
      </c>
      <c r="J91" s="36">
        <f t="shared" si="24"/>
        <v>3382.7947512468227</v>
      </c>
      <c r="K91" s="36">
        <f t="shared" si="24"/>
        <v>3406.4621575089186</v>
      </c>
      <c r="L91" s="36">
        <f t="shared" si="24"/>
        <v>3257.0402855458406</v>
      </c>
      <c r="M91" s="36">
        <f t="shared" si="24"/>
        <v>3080.9790874120495</v>
      </c>
      <c r="N91" s="36">
        <f t="shared" si="24"/>
        <v>3152.3546132287679</v>
      </c>
      <c r="O91" s="36">
        <f t="shared" si="24"/>
        <v>3104.1587835203368</v>
      </c>
      <c r="P91" s="36">
        <f t="shared" si="24"/>
        <v>3029.6965143290731</v>
      </c>
      <c r="Q91" s="36">
        <f t="shared" si="24"/>
        <v>3161.7666515024521</v>
      </c>
      <c r="R91" s="36">
        <f t="shared" ref="R91:S91" si="25">SUM(R70:R76)</f>
        <v>3217.111273098767</v>
      </c>
      <c r="S91" s="36">
        <f t="shared" si="25"/>
        <v>3209.1690810128962</v>
      </c>
      <c r="T91" s="36">
        <f t="shared" ref="T91:AI91" si="26">SUM(T70:T76)</f>
        <v>3095.8721294548445</v>
      </c>
      <c r="U91" s="36">
        <f t="shared" si="26"/>
        <v>3000.8422305464965</v>
      </c>
      <c r="V91" s="36">
        <f t="shared" si="26"/>
        <v>2915.0543212239936</v>
      </c>
      <c r="W91" s="36">
        <f t="shared" si="26"/>
        <v>2838.6969815977318</v>
      </c>
      <c r="X91" s="36">
        <f t="shared" si="26"/>
        <v>2767.0571219475196</v>
      </c>
      <c r="Y91" s="36">
        <f t="shared" si="26"/>
        <v>2706.0350942463447</v>
      </c>
      <c r="Z91" s="36">
        <f t="shared" si="26"/>
        <v>2653.0399902049317</v>
      </c>
      <c r="AA91" s="36">
        <f t="shared" si="26"/>
        <v>2602.4797419932643</v>
      </c>
      <c r="AB91" s="36">
        <f t="shared" si="26"/>
        <v>2552.7447612189253</v>
      </c>
      <c r="AC91" s="36">
        <f t="shared" si="26"/>
        <v>2503.6460756768474</v>
      </c>
      <c r="AD91" s="36">
        <f t="shared" si="26"/>
        <v>2449.9205395352928</v>
      </c>
      <c r="AE91" s="36">
        <f t="shared" si="26"/>
        <v>2398.7199485663755</v>
      </c>
      <c r="AF91" s="36">
        <f t="shared" si="26"/>
        <v>2350.3183123461804</v>
      </c>
      <c r="AG91" s="36">
        <f t="shared" si="26"/>
        <v>2304.4494793350636</v>
      </c>
      <c r="AH91" s="36">
        <f t="shared" si="26"/>
        <v>2260.7065890780696</v>
      </c>
      <c r="AI91" s="36">
        <f t="shared" si="26"/>
        <v>2218.5329422648333</v>
      </c>
      <c r="AJ91" s="36">
        <f t="shared" ref="AJ91:AO91" si="27">SUM(AJ70:AJ75)</f>
        <v>2008.5652002517243</v>
      </c>
      <c r="AK91" s="36">
        <f t="shared" si="27"/>
        <v>1972.6155682099081</v>
      </c>
      <c r="AL91" s="36">
        <f t="shared" si="27"/>
        <v>1938.1813630465376</v>
      </c>
      <c r="AM91" s="36">
        <f t="shared" si="27"/>
        <v>1905.2097455150883</v>
      </c>
      <c r="AN91" s="36">
        <f t="shared" si="27"/>
        <v>1873.5435014222419</v>
      </c>
      <c r="AO91" s="36">
        <f t="shared" si="27"/>
        <v>1843.0894724854606</v>
      </c>
      <c r="AP91" s="36">
        <f>SUM(AP70:AP76)</f>
        <v>1968.7746298568773</v>
      </c>
      <c r="AQ91" s="36">
        <f>SUM(AQ70:AQ76)</f>
        <v>1959.9433505398383</v>
      </c>
      <c r="AT91" s="6">
        <f>ROW()</f>
        <v>91</v>
      </c>
    </row>
    <row r="92" spans="2:257 16384:16384" ht="13.95" customHeight="1">
      <c r="AT92" s="6">
        <f>ROW()</f>
        <v>92</v>
      </c>
    </row>
    <row r="93" spans="2:257 16384:16384" ht="13.95" customHeight="1">
      <c r="B93" s="8" t="s">
        <v>490</v>
      </c>
      <c r="AT93" s="6">
        <f>ROW()</f>
        <v>93</v>
      </c>
    </row>
    <row r="94" spans="2:257 16384:16384" ht="13.95" customHeight="1">
      <c r="B94" s="31" t="s">
        <v>92</v>
      </c>
      <c r="T94" s="36">
        <f t="shared" ref="T94:AP94" si="28">T80</f>
        <v>152.46349323456457</v>
      </c>
      <c r="U94" s="36">
        <f t="shared" si="28"/>
        <v>281.2819880506654</v>
      </c>
      <c r="V94" s="36">
        <f t="shared" si="28"/>
        <v>391.64665539488965</v>
      </c>
      <c r="W94" s="36">
        <f t="shared" si="28"/>
        <v>487.2956697095326</v>
      </c>
      <c r="X94" s="36">
        <f t="shared" si="28"/>
        <v>570.09833085831428</v>
      </c>
      <c r="Y94" s="36">
        <f t="shared" si="28"/>
        <v>642.81154856673197</v>
      </c>
      <c r="Z94" s="36">
        <f t="shared" si="28"/>
        <v>707.09093272999507</v>
      </c>
      <c r="AA94" s="36">
        <f t="shared" si="28"/>
        <v>764.23724162111296</v>
      </c>
      <c r="AB94" s="36">
        <f t="shared" si="28"/>
        <v>815.28777276334142</v>
      </c>
      <c r="AC94" s="36">
        <f t="shared" si="28"/>
        <v>861.08067244191454</v>
      </c>
      <c r="AD94" s="36">
        <f t="shared" si="28"/>
        <v>902.30113843762922</v>
      </c>
      <c r="AE94" s="36">
        <f t="shared" si="28"/>
        <v>939.51523210129221</v>
      </c>
      <c r="AF94" s="36">
        <f t="shared" si="28"/>
        <v>973.19503430918951</v>
      </c>
      <c r="AG94" s="36">
        <f t="shared" si="28"/>
        <v>1003.7376411937248</v>
      </c>
      <c r="AH94" s="36">
        <f t="shared" si="28"/>
        <v>1037.0168762095864</v>
      </c>
      <c r="AI94" s="36">
        <f t="shared" si="28"/>
        <v>1067.9515545860777</v>
      </c>
      <c r="AJ94" s="36">
        <f t="shared" si="28"/>
        <v>1096.7602394795374</v>
      </c>
      <c r="AK94" s="36">
        <f t="shared" si="28"/>
        <v>1123.6331899631923</v>
      </c>
      <c r="AL94" s="36">
        <f t="shared" si="28"/>
        <v>1148.7368995914057</v>
      </c>
      <c r="AM94" s="36">
        <f t="shared" si="28"/>
        <v>1172.2177848801946</v>
      </c>
      <c r="AN94" s="36">
        <f t="shared" si="28"/>
        <v>1194.2052050978459</v>
      </c>
      <c r="AO94" s="36">
        <f t="shared" si="28"/>
        <v>1214.8139515670425</v>
      </c>
      <c r="AP94" s="36">
        <f t="shared" si="28"/>
        <v>1234.146312765469</v>
      </c>
      <c r="AQ94" s="36">
        <f t="shared" ref="AQ94" si="29">AQ80</f>
        <v>1261.9450162034716</v>
      </c>
      <c r="AT94" s="6">
        <f>ROW()</f>
        <v>94</v>
      </c>
      <c r="IW94" s="36"/>
    </row>
    <row r="95" spans="2:257 16384:16384" ht="13.95" customHeight="1">
      <c r="B95" s="31" t="s">
        <v>586</v>
      </c>
      <c r="T95" s="36">
        <f t="shared" ref="T95:AP95" si="30">SUM(T81:T87)</f>
        <v>89.534723774180293</v>
      </c>
      <c r="U95" s="36">
        <f t="shared" si="30"/>
        <v>176.14067360280447</v>
      </c>
      <c r="V95" s="36">
        <f t="shared" si="30"/>
        <v>253.75241119146204</v>
      </c>
      <c r="W95" s="36">
        <f t="shared" si="30"/>
        <v>324.07309790217641</v>
      </c>
      <c r="X95" s="36">
        <f t="shared" si="30"/>
        <v>393.10702261720996</v>
      </c>
      <c r="Y95" s="36">
        <f t="shared" si="30"/>
        <v>461.0128508472261</v>
      </c>
      <c r="Z95" s="36">
        <f t="shared" si="30"/>
        <v>526.44359840192658</v>
      </c>
      <c r="AA95" s="36">
        <f t="shared" si="30"/>
        <v>589.39368225493206</v>
      </c>
      <c r="AB95" s="36">
        <f t="shared" si="30"/>
        <v>649.94479838578945</v>
      </c>
      <c r="AC95" s="36">
        <f t="shared" si="30"/>
        <v>708.2430774360306</v>
      </c>
      <c r="AD95" s="36">
        <f t="shared" si="30"/>
        <v>763.44035524407263</v>
      </c>
      <c r="AE95" s="36">
        <f t="shared" si="30"/>
        <v>816.19568380883334</v>
      </c>
      <c r="AF95" s="36">
        <f t="shared" si="30"/>
        <v>866.23455325486987</v>
      </c>
      <c r="AG95" s="36">
        <f t="shared" si="30"/>
        <v>913.8226219329357</v>
      </c>
      <c r="AH95" s="36">
        <f t="shared" si="30"/>
        <v>960.72163868973928</v>
      </c>
      <c r="AI95" s="36">
        <f t="shared" si="30"/>
        <v>1005.5805386608713</v>
      </c>
      <c r="AJ95" s="36">
        <f t="shared" si="30"/>
        <v>1048.615008083061</v>
      </c>
      <c r="AK95" s="36">
        <f t="shared" si="30"/>
        <v>1089.9781896139571</v>
      </c>
      <c r="AL95" s="36">
        <f t="shared" si="30"/>
        <v>1129.8064670746223</v>
      </c>
      <c r="AM95" s="36">
        <f t="shared" si="30"/>
        <v>1168.159482350133</v>
      </c>
      <c r="AN95" s="36">
        <f t="shared" si="30"/>
        <v>1205.2008397154839</v>
      </c>
      <c r="AO95" s="36">
        <f t="shared" si="30"/>
        <v>1241.0297198350956</v>
      </c>
      <c r="AP95" s="36">
        <f t="shared" si="30"/>
        <v>1275.735830789238</v>
      </c>
      <c r="AQ95" s="36">
        <f t="shared" ref="AQ95" si="31">SUM(AQ81:AQ87)</f>
        <v>1323.7973319043945</v>
      </c>
      <c r="AT95" s="6">
        <f>ROW()</f>
        <v>95</v>
      </c>
    </row>
    <row r="96" spans="2:257 16384:16384" ht="13.95" customHeight="1">
      <c r="B96" s="31"/>
      <c r="AT96" s="6">
        <f>ROW()</f>
        <v>96</v>
      </c>
    </row>
    <row r="97" spans="2:46" ht="13.95" customHeight="1">
      <c r="AT97" s="6">
        <f>ROW()</f>
        <v>97</v>
      </c>
    </row>
    <row r="98" spans="2:46" ht="13.95" customHeight="1">
      <c r="B98" s="1092" t="s">
        <v>1257</v>
      </c>
      <c r="AT98" s="6">
        <f>ROW()</f>
        <v>98</v>
      </c>
    </row>
    <row r="99" spans="2:46" ht="13.95" customHeight="1">
      <c r="B99" s="8"/>
      <c r="I99" s="48"/>
      <c r="J99" s="48"/>
      <c r="K99" s="48"/>
      <c r="AT99" s="6">
        <f>ROW()</f>
        <v>99</v>
      </c>
    </row>
    <row r="100" spans="2:46" ht="13.95" customHeight="1">
      <c r="AT100" s="6">
        <f>ROW()</f>
        <v>100</v>
      </c>
    </row>
    <row r="101" spans="2:46" ht="13.95" customHeight="1">
      <c r="AT101" s="6">
        <f>ROW()</f>
        <v>101</v>
      </c>
    </row>
    <row r="102" spans="2:46" ht="13.95" customHeight="1">
      <c r="AT102" s="6">
        <f>ROW()</f>
        <v>102</v>
      </c>
    </row>
    <row r="103" spans="2:46" ht="13.95" customHeight="1">
      <c r="AT103" s="6">
        <f>ROW()</f>
        <v>103</v>
      </c>
    </row>
    <row r="104" spans="2:46" ht="13.95" customHeight="1">
      <c r="AT104" s="6">
        <f>ROW()</f>
        <v>104</v>
      </c>
    </row>
    <row r="105" spans="2:46" ht="13.95" customHeight="1">
      <c r="AT105" s="6">
        <f>ROW()</f>
        <v>105</v>
      </c>
    </row>
    <row r="106" spans="2:46" ht="13.95" customHeight="1">
      <c r="AT106" s="6">
        <f>ROW()</f>
        <v>106</v>
      </c>
    </row>
    <row r="107" spans="2:46" ht="13.95" customHeight="1">
      <c r="AT107" s="6">
        <f>ROW()</f>
        <v>107</v>
      </c>
    </row>
    <row r="108" spans="2:46" ht="13.95" customHeight="1">
      <c r="AT108" s="6">
        <f>ROW()</f>
        <v>108</v>
      </c>
    </row>
    <row r="109" spans="2:46" ht="13.95" customHeight="1">
      <c r="AT109" s="6">
        <f>ROW()</f>
        <v>109</v>
      </c>
    </row>
    <row r="110" spans="2:46" ht="13.95" customHeight="1">
      <c r="AT110" s="6">
        <f>ROW()</f>
        <v>110</v>
      </c>
    </row>
    <row r="111" spans="2:46" ht="13.95" customHeight="1">
      <c r="AT111" s="6">
        <f>ROW()</f>
        <v>111</v>
      </c>
    </row>
    <row r="112" spans="2:46" ht="13.95" customHeight="1">
      <c r="AT112" s="6">
        <f>ROW()</f>
        <v>112</v>
      </c>
    </row>
    <row r="113" spans="2:46" ht="13.95" customHeight="1">
      <c r="AT113" s="6">
        <f>ROW()</f>
        <v>113</v>
      </c>
    </row>
    <row r="114" spans="2:46" ht="13.95" customHeight="1">
      <c r="AT114" s="6">
        <f>ROW()</f>
        <v>114</v>
      </c>
    </row>
    <row r="115" spans="2:46" ht="13.95" customHeight="1">
      <c r="AT115" s="6">
        <f>ROW()</f>
        <v>115</v>
      </c>
    </row>
    <row r="116" spans="2:46" ht="13.95" customHeight="1">
      <c r="AT116" s="6">
        <f>ROW()</f>
        <v>116</v>
      </c>
    </row>
    <row r="117" spans="2:46" ht="13.95" customHeight="1">
      <c r="AT117" s="6">
        <f>ROW()</f>
        <v>117</v>
      </c>
    </row>
    <row r="118" spans="2:46" ht="13.95" customHeight="1">
      <c r="AT118" s="6">
        <f>ROW()</f>
        <v>118</v>
      </c>
    </row>
    <row r="119" spans="2:46" ht="13.95" customHeight="1">
      <c r="AT119" s="6">
        <f>ROW()</f>
        <v>119</v>
      </c>
    </row>
    <row r="120" spans="2:46" ht="13.95" customHeight="1">
      <c r="AT120" s="6">
        <f>ROW()</f>
        <v>120</v>
      </c>
    </row>
    <row r="121" spans="2:46" ht="13.95" customHeight="1">
      <c r="AT121" s="6">
        <f>ROW()</f>
        <v>121</v>
      </c>
    </row>
    <row r="126" spans="2:46" ht="13.95" customHeight="1">
      <c r="B126" s="1093" t="s">
        <v>1258</v>
      </c>
      <c r="N126" s="1093" t="s">
        <v>1258</v>
      </c>
    </row>
  </sheetData>
  <mergeCells count="4">
    <mergeCell ref="C15:K15"/>
    <mergeCell ref="N15:V15"/>
    <mergeCell ref="Y15:AG15"/>
    <mergeCell ref="AJ15:AR15"/>
  </mergeCells>
  <phoneticPr fontId="3" type="noConversion"/>
  <conditionalFormatting sqref="F12 F9">
    <cfRule type="cellIs" dxfId="7" priority="5" stopIfTrue="1" operator="lessThan">
      <formula>$H$1</formula>
    </cfRule>
    <cfRule type="cellIs" dxfId="6" priority="6" stopIfTrue="1" operator="greaterThan">
      <formula>$G$1</formula>
    </cfRule>
  </conditionalFormatting>
  <pageMargins left="1" right="1" top="1" bottom="1" header="0.5" footer="0.5"/>
  <pageSetup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dimension ref="B1:AV153"/>
  <sheetViews>
    <sheetView workbookViewId="0"/>
  </sheetViews>
  <sheetFormatPr defaultColWidth="10.25" defaultRowHeight="13.95" customHeight="1"/>
  <cols>
    <col min="1" max="1" width="2.625" customWidth="1"/>
    <col min="2" max="44" width="10.25" customWidth="1"/>
    <col min="45" max="45" width="1.625" customWidth="1"/>
  </cols>
  <sheetData>
    <row r="1" spans="2:48" ht="13.95" customHeight="1">
      <c r="B1" s="57" t="s">
        <v>15</v>
      </c>
      <c r="L1" s="214">
        <f>Summary!I1</f>
        <v>42552</v>
      </c>
      <c r="AS1" s="6">
        <f>ROW()</f>
        <v>1</v>
      </c>
    </row>
    <row r="2" spans="2:48" ht="13.95" customHeight="1">
      <c r="AS2" s="6">
        <f>ROW()</f>
        <v>2</v>
      </c>
    </row>
    <row r="3" spans="2:48" ht="13.95" customHeight="1">
      <c r="AS3" s="6">
        <f>ROW()</f>
        <v>3</v>
      </c>
    </row>
    <row r="4" spans="2:48" ht="13.95" customHeight="1">
      <c r="B4" s="1" t="s">
        <v>1260</v>
      </c>
      <c r="AS4" s="6">
        <f>ROW()</f>
        <v>4</v>
      </c>
    </row>
    <row r="5" spans="2:48" ht="13.95" customHeight="1">
      <c r="AS5" s="6">
        <f>ROW()</f>
        <v>5</v>
      </c>
    </row>
    <row r="6" spans="2:48" ht="13.95" customHeight="1">
      <c r="B6" s="825" t="s">
        <v>526</v>
      </c>
      <c r="C6" s="826"/>
      <c r="D6" s="826"/>
      <c r="E6" s="826"/>
      <c r="F6" s="826"/>
      <c r="G6" s="826"/>
      <c r="H6" s="827"/>
      <c r="AS6" s="6">
        <f>ROW()</f>
        <v>6</v>
      </c>
    </row>
    <row r="7" spans="2:48" ht="13.95" customHeight="1">
      <c r="B7" s="828" t="s">
        <v>524</v>
      </c>
      <c r="C7" s="820"/>
      <c r="D7" s="820"/>
      <c r="E7" s="820"/>
      <c r="F7" s="821">
        <f>Summary!$I$56</f>
        <v>11.337868480725623</v>
      </c>
      <c r="G7" s="820"/>
      <c r="H7" s="829"/>
      <c r="AS7" s="6">
        <f>ROW()</f>
        <v>7</v>
      </c>
    </row>
    <row r="8" spans="2:48" ht="13.95" customHeight="1">
      <c r="B8" s="828" t="s">
        <v>528</v>
      </c>
      <c r="C8" s="820"/>
      <c r="D8" s="820"/>
      <c r="E8" s="820"/>
      <c r="F8" s="822" t="str">
        <f>IF(Summary!$I$58=1,CONCATENATE("$",ROUND(Summary!$I$60,2),""),CONCATENATE("",Summary!$I$64*100,"%"))</f>
        <v>$11.34</v>
      </c>
      <c r="G8" s="820"/>
      <c r="H8" s="829"/>
      <c r="AS8" s="6">
        <f>ROW()</f>
        <v>8</v>
      </c>
    </row>
    <row r="9" spans="2:48" ht="13.95" customHeight="1">
      <c r="B9" s="828" t="s">
        <v>525</v>
      </c>
      <c r="C9" s="823"/>
      <c r="D9" s="820"/>
      <c r="E9" s="820"/>
      <c r="F9" s="820" t="str">
        <f>IF(Summary!$I$69="Nominal","No inflation indexing","Carbon tax is indexed to inflation")</f>
        <v>Carbon tax is indexed to inflation</v>
      </c>
      <c r="G9" s="820"/>
      <c r="H9" s="829"/>
      <c r="AS9" s="6">
        <f>ROW()</f>
        <v>9</v>
      </c>
    </row>
    <row r="10" spans="2:48" ht="13.95" customHeight="1">
      <c r="B10" s="828" t="s">
        <v>527</v>
      </c>
      <c r="C10" s="823"/>
      <c r="D10" s="820"/>
      <c r="E10" s="820"/>
      <c r="F10" s="824">
        <f>Summary!$I$53</f>
        <v>2017</v>
      </c>
      <c r="G10" s="820"/>
      <c r="H10" s="829"/>
      <c r="AS10" s="6">
        <f>ROW()</f>
        <v>10</v>
      </c>
    </row>
    <row r="11" spans="2:48" s="13" customFormat="1" ht="13.95" customHeight="1">
      <c r="B11" s="830" t="s">
        <v>884</v>
      </c>
      <c r="C11" s="831"/>
      <c r="D11" s="831"/>
      <c r="E11" s="831"/>
      <c r="F11" s="832">
        <f>Summary!$I$73</f>
        <v>12.5</v>
      </c>
      <c r="G11" s="831"/>
      <c r="H11" s="833"/>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c r="AS11" s="6">
        <f>ROW()</f>
        <v>11</v>
      </c>
      <c r="AT11"/>
      <c r="AU11"/>
      <c r="AV11"/>
    </row>
    <row r="12" spans="2:48" s="13" customFormat="1" ht="13.95" customHeight="1">
      <c r="B12" s="843"/>
      <c r="C12" s="372"/>
      <c r="D12" s="372"/>
      <c r="E12" s="372"/>
      <c r="F12" s="844"/>
      <c r="G12" s="372"/>
      <c r="H12" s="372"/>
      <c r="I12" s="75"/>
      <c r="J12" s="75"/>
      <c r="K12" s="75"/>
      <c r="L12" s="75"/>
      <c r="M12" s="75"/>
      <c r="N12" s="75"/>
      <c r="O12" s="75"/>
      <c r="P12" s="75"/>
      <c r="Q12" s="75"/>
      <c r="R12" s="75"/>
      <c r="S12" s="75"/>
      <c r="T12" s="75"/>
      <c r="U12" s="75"/>
      <c r="V12" s="75"/>
      <c r="W12" s="75"/>
      <c r="X12" s="75"/>
      <c r="Y12" s="75"/>
      <c r="Z12" s="75"/>
      <c r="AA12" s="75"/>
      <c r="AB12" s="75"/>
      <c r="AC12" s="75"/>
      <c r="AD12" s="75"/>
      <c r="AE12" s="75"/>
      <c r="AF12" s="75"/>
      <c r="AG12" s="75"/>
      <c r="AH12" s="75"/>
      <c r="AI12" s="75"/>
      <c r="AJ12" s="75"/>
      <c r="AK12" s="75"/>
      <c r="AL12" s="75"/>
      <c r="AM12" s="75"/>
      <c r="AN12" s="75"/>
      <c r="AO12" s="75"/>
      <c r="AP12" s="75"/>
      <c r="AQ12" s="75"/>
      <c r="AR12"/>
      <c r="AS12" s="6">
        <f>ROW()</f>
        <v>12</v>
      </c>
      <c r="AT12"/>
      <c r="AU12"/>
      <c r="AV12"/>
    </row>
    <row r="13" spans="2:48" s="13" customFormat="1" ht="13.95" customHeight="1">
      <c r="B13" s="8"/>
      <c r="C13"/>
      <c r="D13"/>
      <c r="E13"/>
      <c r="F13"/>
      <c r="G13"/>
      <c r="H13"/>
      <c r="I13" s="48"/>
      <c r="J13" s="48"/>
      <c r="K13" s="48"/>
      <c r="L13" s="48"/>
      <c r="M13" s="75"/>
      <c r="N13" s="75"/>
      <c r="O13" s="75"/>
      <c r="P13" s="75"/>
      <c r="Q13" s="75"/>
      <c r="R13" s="75"/>
      <c r="S13" s="75"/>
      <c r="T13" s="75"/>
      <c r="U13" s="75"/>
      <c r="V13" s="75"/>
      <c r="W13" s="75"/>
      <c r="X13" s="75"/>
      <c r="Y13" s="75"/>
      <c r="Z13" s="75"/>
      <c r="AA13" s="75"/>
      <c r="AB13" s="75"/>
      <c r="AC13" s="75"/>
      <c r="AD13" s="75"/>
      <c r="AE13" s="75"/>
      <c r="AF13" s="75"/>
      <c r="AG13" s="75"/>
      <c r="AH13" s="75"/>
      <c r="AI13" s="75"/>
      <c r="AJ13" s="75"/>
      <c r="AK13" s="75"/>
      <c r="AL13" s="75"/>
      <c r="AM13" s="75"/>
      <c r="AN13" s="75"/>
      <c r="AO13" s="75"/>
      <c r="AP13" s="75"/>
      <c r="AQ13" s="75"/>
      <c r="AR13"/>
      <c r="AS13" s="6">
        <f>ROW()</f>
        <v>13</v>
      </c>
      <c r="AT13"/>
      <c r="AU13"/>
      <c r="AV13"/>
    </row>
    <row r="14" spans="2:48" s="13" customFormat="1" ht="13.95" customHeight="1">
      <c r="B14"/>
      <c r="C14"/>
      <c r="D14"/>
      <c r="E14"/>
      <c r="F14"/>
      <c r="G14"/>
      <c r="H14"/>
      <c r="I14"/>
      <c r="J14"/>
      <c r="K14"/>
      <c r="L14"/>
      <c r="M14"/>
      <c r="N14"/>
      <c r="O14"/>
      <c r="P14"/>
      <c r="Q14"/>
      <c r="R14"/>
      <c r="S14"/>
      <c r="T14"/>
      <c r="U14"/>
      <c r="V14"/>
      <c r="W14" s="75"/>
      <c r="X14" s="75"/>
      <c r="Y14" s="75"/>
      <c r="AA14" s="75"/>
      <c r="AB14" s="75"/>
      <c r="AC14" s="75"/>
      <c r="AD14" s="75"/>
      <c r="AE14" s="75"/>
      <c r="AF14" s="75"/>
      <c r="AG14" s="75"/>
      <c r="AH14" s="75"/>
      <c r="AI14" s="75"/>
      <c r="AJ14" s="75"/>
      <c r="AK14" s="75"/>
      <c r="AL14" s="75"/>
      <c r="AM14" s="75"/>
      <c r="AN14" s="75"/>
      <c r="AO14" s="75"/>
      <c r="AP14" s="75"/>
      <c r="AQ14" s="75"/>
      <c r="AR14"/>
      <c r="AS14" s="6">
        <f>ROW()</f>
        <v>14</v>
      </c>
      <c r="AT14"/>
      <c r="AU14"/>
      <c r="AV14"/>
    </row>
    <row r="15" spans="2:48" s="13" customFormat="1" ht="13.95" customHeight="1">
      <c r="B15"/>
      <c r="C15"/>
      <c r="D15"/>
      <c r="E15"/>
      <c r="F15"/>
      <c r="G15"/>
      <c r="H15"/>
      <c r="I15"/>
      <c r="J15"/>
      <c r="K15"/>
      <c r="L15"/>
      <c r="M15"/>
      <c r="N15"/>
      <c r="O15"/>
      <c r="P15"/>
      <c r="Q15"/>
      <c r="R15"/>
      <c r="S15"/>
      <c r="T15"/>
      <c r="U15"/>
      <c r="V15"/>
      <c r="W15" s="75"/>
      <c r="X15" s="75"/>
      <c r="Y15" s="75"/>
      <c r="AA15" s="75"/>
      <c r="AB15" s="75"/>
      <c r="AC15" s="75"/>
      <c r="AD15" s="75"/>
      <c r="AE15" s="75"/>
      <c r="AF15" s="75"/>
      <c r="AG15" s="75"/>
      <c r="AH15" s="75"/>
      <c r="AI15" s="75"/>
      <c r="AJ15" s="75"/>
      <c r="AK15" s="75"/>
      <c r="AL15" s="75"/>
      <c r="AM15" s="75"/>
      <c r="AN15" s="75"/>
      <c r="AO15" s="75"/>
      <c r="AP15" s="75"/>
      <c r="AQ15" s="75"/>
      <c r="AR15"/>
      <c r="AS15" s="6">
        <f>ROW()</f>
        <v>15</v>
      </c>
      <c r="AT15"/>
      <c r="AU15"/>
      <c r="AV15"/>
    </row>
    <row r="16" spans="2:48" s="13" customFormat="1" ht="13.95" customHeight="1">
      <c r="B16"/>
      <c r="C16"/>
      <c r="D16"/>
      <c r="E16"/>
      <c r="F16"/>
      <c r="G16"/>
      <c r="H16"/>
      <c r="I16"/>
      <c r="J16"/>
      <c r="K16"/>
      <c r="L16"/>
      <c r="M16"/>
      <c r="N16"/>
      <c r="O16"/>
      <c r="P16"/>
      <c r="Q16"/>
      <c r="R16"/>
      <c r="S16"/>
      <c r="T16"/>
      <c r="U16"/>
      <c r="V16"/>
      <c r="W16" s="75"/>
      <c r="X16" s="75"/>
      <c r="Y16" s="75"/>
      <c r="AA16" s="75"/>
      <c r="AB16" s="75"/>
      <c r="AC16" s="75"/>
      <c r="AD16" s="75"/>
      <c r="AE16" s="75"/>
      <c r="AF16" s="75"/>
      <c r="AG16" s="75"/>
      <c r="AH16" s="75"/>
      <c r="AI16" s="75"/>
      <c r="AJ16" s="75"/>
      <c r="AK16" s="75"/>
      <c r="AL16" s="75"/>
      <c r="AM16" s="75"/>
      <c r="AN16" s="75"/>
      <c r="AO16" s="75"/>
      <c r="AP16" s="75"/>
      <c r="AQ16" s="75"/>
      <c r="AR16"/>
      <c r="AS16" s="6">
        <f>ROW()</f>
        <v>16</v>
      </c>
      <c r="AT16"/>
      <c r="AU16"/>
      <c r="AV16"/>
    </row>
    <row r="17" spans="2:48" s="13" customFormat="1" ht="13.95" customHeight="1">
      <c r="B17"/>
      <c r="C17"/>
      <c r="D17"/>
      <c r="E17"/>
      <c r="F17"/>
      <c r="G17"/>
      <c r="H17"/>
      <c r="I17"/>
      <c r="J17"/>
      <c r="K17"/>
      <c r="L17"/>
      <c r="M17"/>
      <c r="N17"/>
      <c r="O17"/>
      <c r="P17"/>
      <c r="Q17"/>
      <c r="R17"/>
      <c r="S17"/>
      <c r="T17"/>
      <c r="U17"/>
      <c r="V17"/>
      <c r="W17" s="75"/>
      <c r="X17" s="75"/>
      <c r="Y17" s="75"/>
      <c r="AA17" s="75"/>
      <c r="AB17" s="75"/>
      <c r="AC17" s="75"/>
      <c r="AD17" s="75"/>
      <c r="AE17" s="75"/>
      <c r="AF17" s="75"/>
      <c r="AG17" s="75"/>
      <c r="AH17" s="75"/>
      <c r="AI17" s="75"/>
      <c r="AJ17" s="75"/>
      <c r="AK17" s="75"/>
      <c r="AL17" s="75"/>
      <c r="AM17" s="75"/>
      <c r="AN17" s="75"/>
      <c r="AO17" s="75"/>
      <c r="AP17" s="75"/>
      <c r="AQ17" s="75"/>
      <c r="AR17"/>
      <c r="AS17" s="6">
        <f>ROW()</f>
        <v>17</v>
      </c>
      <c r="AT17"/>
      <c r="AU17"/>
      <c r="AV17"/>
    </row>
    <row r="18" spans="2:48" s="13" customFormat="1" ht="13.95" customHeight="1">
      <c r="B18"/>
      <c r="C18"/>
      <c r="D18"/>
      <c r="E18"/>
      <c r="F18"/>
      <c r="G18"/>
      <c r="H18"/>
      <c r="I18"/>
      <c r="J18"/>
      <c r="K18"/>
      <c r="L18"/>
      <c r="M18"/>
      <c r="N18"/>
      <c r="O18"/>
      <c r="P18"/>
      <c r="Q18"/>
      <c r="R18"/>
      <c r="S18"/>
      <c r="T18"/>
      <c r="U18"/>
      <c r="V18"/>
      <c r="W18" s="75"/>
      <c r="X18" s="75"/>
      <c r="Y18" s="75"/>
      <c r="AA18" s="75"/>
      <c r="AB18" s="75"/>
      <c r="AC18" s="75"/>
      <c r="AD18" s="75"/>
      <c r="AE18" s="75"/>
      <c r="AF18" s="75"/>
      <c r="AG18" s="75"/>
      <c r="AH18" s="75"/>
      <c r="AI18" s="75"/>
      <c r="AJ18" s="75"/>
      <c r="AK18" s="75"/>
      <c r="AL18" s="75"/>
      <c r="AM18" s="75"/>
      <c r="AN18" s="75"/>
      <c r="AO18" s="75"/>
      <c r="AP18" s="75"/>
      <c r="AQ18" s="75"/>
      <c r="AR18"/>
      <c r="AS18" s="6">
        <f>ROW()</f>
        <v>18</v>
      </c>
      <c r="AT18"/>
      <c r="AU18"/>
      <c r="AV18"/>
    </row>
    <row r="19" spans="2:48" s="13" customFormat="1" ht="13.95" customHeight="1">
      <c r="B19"/>
      <c r="C19"/>
      <c r="D19"/>
      <c r="E19"/>
      <c r="F19"/>
      <c r="G19"/>
      <c r="H19"/>
      <c r="I19"/>
      <c r="J19"/>
      <c r="K19"/>
      <c r="L19"/>
      <c r="M19"/>
      <c r="N19"/>
      <c r="O19"/>
      <c r="P19"/>
      <c r="Q19"/>
      <c r="R19"/>
      <c r="S19"/>
      <c r="T19"/>
      <c r="U19"/>
      <c r="V19"/>
      <c r="W19" s="75"/>
      <c r="X19" s="75"/>
      <c r="Y19" s="75"/>
      <c r="AA19" s="75"/>
      <c r="AB19" s="75"/>
      <c r="AC19" s="75"/>
      <c r="AD19" s="75"/>
      <c r="AE19" s="75"/>
      <c r="AF19" s="75"/>
      <c r="AG19" s="75"/>
      <c r="AH19" s="75"/>
      <c r="AI19" s="75"/>
      <c r="AJ19" s="75"/>
      <c r="AK19" s="75"/>
      <c r="AL19" s="75"/>
      <c r="AM19" s="75"/>
      <c r="AN19" s="75"/>
      <c r="AO19" s="75"/>
      <c r="AP19" s="75"/>
      <c r="AQ19" s="75"/>
      <c r="AR19"/>
      <c r="AS19" s="6">
        <f>ROW()</f>
        <v>19</v>
      </c>
      <c r="AT19"/>
      <c r="AU19"/>
      <c r="AV19"/>
    </row>
    <row r="20" spans="2:48" s="13" customFormat="1" ht="13.95" customHeight="1">
      <c r="B20"/>
      <c r="C20"/>
      <c r="D20"/>
      <c r="E20"/>
      <c r="F20"/>
      <c r="G20"/>
      <c r="H20"/>
      <c r="I20"/>
      <c r="J20"/>
      <c r="K20"/>
      <c r="L20"/>
      <c r="M20"/>
      <c r="N20"/>
      <c r="O20"/>
      <c r="P20"/>
      <c r="Q20"/>
      <c r="R20"/>
      <c r="S20"/>
      <c r="T20"/>
      <c r="U20"/>
      <c r="V20"/>
      <c r="W20" s="75"/>
      <c r="X20" s="75"/>
      <c r="Y20" s="75"/>
      <c r="AA20" s="75"/>
      <c r="AB20" s="75"/>
      <c r="AC20" s="75"/>
      <c r="AD20" s="75"/>
      <c r="AE20" s="75"/>
      <c r="AF20" s="75"/>
      <c r="AG20" s="75"/>
      <c r="AH20" s="75"/>
      <c r="AI20" s="75"/>
      <c r="AJ20" s="75"/>
      <c r="AK20" s="75"/>
      <c r="AL20" s="75"/>
      <c r="AM20" s="75"/>
      <c r="AN20" s="75"/>
      <c r="AO20" s="75"/>
      <c r="AP20" s="75"/>
      <c r="AQ20" s="75"/>
      <c r="AR20"/>
      <c r="AS20" s="6">
        <f>ROW()</f>
        <v>20</v>
      </c>
      <c r="AT20"/>
      <c r="AU20"/>
      <c r="AV20"/>
    </row>
    <row r="21" spans="2:48" s="13" customFormat="1" ht="13.95" customHeight="1">
      <c r="B21"/>
      <c r="C21"/>
      <c r="D21"/>
      <c r="E21"/>
      <c r="F21"/>
      <c r="G21"/>
      <c r="H21"/>
      <c r="I21"/>
      <c r="J21"/>
      <c r="K21"/>
      <c r="L21"/>
      <c r="M21"/>
      <c r="N21"/>
      <c r="O21"/>
      <c r="P21"/>
      <c r="Q21"/>
      <c r="R21"/>
      <c r="S21"/>
      <c r="T21"/>
      <c r="U21"/>
      <c r="V21"/>
      <c r="W21" s="75"/>
      <c r="X21" s="75"/>
      <c r="Y21" s="75"/>
      <c r="AA21" s="75"/>
      <c r="AB21" s="75"/>
      <c r="AC21" s="75"/>
      <c r="AD21" s="75"/>
      <c r="AE21" s="75"/>
      <c r="AF21" s="75"/>
      <c r="AG21" s="75"/>
      <c r="AH21" s="75"/>
      <c r="AI21" s="75"/>
      <c r="AJ21" s="75"/>
      <c r="AK21" s="75"/>
      <c r="AL21" s="75"/>
      <c r="AM21" s="75"/>
      <c r="AN21" s="75"/>
      <c r="AO21" s="75"/>
      <c r="AP21" s="75"/>
      <c r="AQ21" s="75"/>
      <c r="AR21"/>
      <c r="AS21" s="6">
        <f>ROW()</f>
        <v>21</v>
      </c>
      <c r="AT21"/>
      <c r="AU21"/>
      <c r="AV21"/>
    </row>
    <row r="22" spans="2:48" s="13" customFormat="1" ht="13.95" customHeight="1">
      <c r="B22"/>
      <c r="C22"/>
      <c r="D22"/>
      <c r="E22"/>
      <c r="F22"/>
      <c r="G22"/>
      <c r="H22"/>
      <c r="I22"/>
      <c r="J22"/>
      <c r="K22"/>
      <c r="L22"/>
      <c r="M22"/>
      <c r="N22"/>
      <c r="O22"/>
      <c r="P22"/>
      <c r="Q22"/>
      <c r="R22"/>
      <c r="S22"/>
      <c r="T22"/>
      <c r="U22"/>
      <c r="V22"/>
      <c r="W22" s="75"/>
      <c r="X22" s="75"/>
      <c r="Y22" s="75"/>
      <c r="AA22" s="75"/>
      <c r="AB22" s="75"/>
      <c r="AC22" s="75"/>
      <c r="AD22" s="75"/>
      <c r="AE22" s="75"/>
      <c r="AF22" s="75"/>
      <c r="AG22" s="75"/>
      <c r="AH22" s="75"/>
      <c r="AI22" s="75"/>
      <c r="AJ22" s="75"/>
      <c r="AK22" s="75"/>
      <c r="AL22" s="75"/>
      <c r="AM22" s="75"/>
      <c r="AN22" s="75"/>
      <c r="AO22" s="75"/>
      <c r="AP22" s="75"/>
      <c r="AQ22" s="75"/>
      <c r="AR22"/>
      <c r="AS22" s="6">
        <f>ROW()</f>
        <v>22</v>
      </c>
      <c r="AT22"/>
      <c r="AU22"/>
      <c r="AV22"/>
    </row>
    <row r="23" spans="2:48" s="13" customFormat="1" ht="13.95" customHeight="1">
      <c r="B23"/>
      <c r="C23"/>
      <c r="D23"/>
      <c r="E23"/>
      <c r="F23"/>
      <c r="G23"/>
      <c r="H23"/>
      <c r="I23"/>
      <c r="J23"/>
      <c r="K23"/>
      <c r="L23"/>
      <c r="M23"/>
      <c r="N23"/>
      <c r="O23"/>
      <c r="P23"/>
      <c r="Q23"/>
      <c r="R23"/>
      <c r="S23"/>
      <c r="T23"/>
      <c r="U23"/>
      <c r="V23"/>
      <c r="W23" s="75"/>
      <c r="X23" s="75"/>
      <c r="Y23" s="75"/>
      <c r="AA23" s="75"/>
      <c r="AB23" s="75"/>
      <c r="AC23" s="75"/>
      <c r="AD23" s="75"/>
      <c r="AE23" s="75"/>
      <c r="AF23" s="75"/>
      <c r="AG23" s="75"/>
      <c r="AH23" s="75"/>
      <c r="AI23" s="75"/>
      <c r="AJ23" s="75"/>
      <c r="AK23" s="75"/>
      <c r="AL23" s="75"/>
      <c r="AM23" s="75"/>
      <c r="AN23" s="75"/>
      <c r="AO23" s="75"/>
      <c r="AP23" s="75"/>
      <c r="AQ23" s="75"/>
      <c r="AR23"/>
      <c r="AS23" s="6">
        <f>ROW()</f>
        <v>23</v>
      </c>
      <c r="AT23"/>
      <c r="AU23"/>
      <c r="AV23"/>
    </row>
    <row r="24" spans="2:48" s="13" customFormat="1" ht="13.95" customHeight="1">
      <c r="B24"/>
      <c r="C24"/>
      <c r="D24"/>
      <c r="E24"/>
      <c r="F24"/>
      <c r="G24"/>
      <c r="H24"/>
      <c r="I24"/>
      <c r="J24"/>
      <c r="K24"/>
      <c r="L24"/>
      <c r="M24"/>
      <c r="N24"/>
      <c r="O24"/>
      <c r="P24"/>
      <c r="Q24"/>
      <c r="R24"/>
      <c r="S24"/>
      <c r="T24"/>
      <c r="U24"/>
      <c r="V24"/>
      <c r="W24" s="75"/>
      <c r="X24" s="75"/>
      <c r="Y24" s="75"/>
      <c r="AA24" s="75"/>
      <c r="AB24" s="75"/>
      <c r="AC24" s="75"/>
      <c r="AD24" s="75"/>
      <c r="AE24" s="75"/>
      <c r="AF24" s="75"/>
      <c r="AG24" s="75"/>
      <c r="AH24" s="75"/>
      <c r="AI24" s="75"/>
      <c r="AJ24" s="75"/>
      <c r="AK24" s="75"/>
      <c r="AL24" s="75"/>
      <c r="AM24" s="75"/>
      <c r="AN24" s="75"/>
      <c r="AO24" s="75"/>
      <c r="AP24" s="75"/>
      <c r="AQ24" s="75"/>
      <c r="AR24"/>
      <c r="AS24" s="6">
        <f>ROW()</f>
        <v>24</v>
      </c>
      <c r="AT24"/>
      <c r="AU24"/>
      <c r="AV24"/>
    </row>
    <row r="25" spans="2:48" s="13" customFormat="1" ht="13.95" customHeight="1">
      <c r="B25"/>
      <c r="C25"/>
      <c r="D25"/>
      <c r="E25"/>
      <c r="F25"/>
      <c r="G25"/>
      <c r="H25"/>
      <c r="I25"/>
      <c r="J25"/>
      <c r="K25"/>
      <c r="L25"/>
      <c r="M25"/>
      <c r="N25"/>
      <c r="O25"/>
      <c r="P25"/>
      <c r="Q25"/>
      <c r="R25"/>
      <c r="S25"/>
      <c r="T25"/>
      <c r="U25"/>
      <c r="V25"/>
      <c r="W25" s="75"/>
      <c r="X25" s="75"/>
      <c r="Y25" s="75"/>
      <c r="AA25" s="75"/>
      <c r="AB25" s="75"/>
      <c r="AC25" s="75"/>
      <c r="AD25" s="75"/>
      <c r="AE25" s="75"/>
      <c r="AF25" s="75"/>
      <c r="AG25" s="75"/>
      <c r="AH25" s="75"/>
      <c r="AI25" s="75"/>
      <c r="AJ25" s="75"/>
      <c r="AK25" s="75"/>
      <c r="AL25" s="75"/>
      <c r="AM25" s="75"/>
      <c r="AN25" s="75"/>
      <c r="AO25" s="75"/>
      <c r="AP25" s="75"/>
      <c r="AQ25" s="75"/>
      <c r="AR25"/>
      <c r="AS25" s="6">
        <f>ROW()</f>
        <v>25</v>
      </c>
      <c r="AT25"/>
      <c r="AU25"/>
      <c r="AV25"/>
    </row>
    <row r="26" spans="2:48" s="13" customFormat="1" ht="13.95" customHeight="1">
      <c r="B26"/>
      <c r="C26"/>
      <c r="D26"/>
      <c r="E26"/>
      <c r="F26"/>
      <c r="G26"/>
      <c r="H26"/>
      <c r="I26"/>
      <c r="J26"/>
      <c r="K26"/>
      <c r="L26"/>
      <c r="M26"/>
      <c r="N26"/>
      <c r="O26"/>
      <c r="P26"/>
      <c r="Q26"/>
      <c r="R26"/>
      <c r="S26"/>
      <c r="T26"/>
      <c r="U26"/>
      <c r="V26"/>
      <c r="W26" s="75"/>
      <c r="X26" s="75"/>
      <c r="Y26" s="75"/>
      <c r="AA26" s="75"/>
      <c r="AB26" s="75"/>
      <c r="AC26" s="75"/>
      <c r="AD26" s="75"/>
      <c r="AE26" s="75"/>
      <c r="AF26" s="75"/>
      <c r="AG26" s="75"/>
      <c r="AH26" s="75"/>
      <c r="AI26" s="75"/>
      <c r="AJ26" s="75"/>
      <c r="AK26" s="75"/>
      <c r="AL26" s="75"/>
      <c r="AM26" s="75"/>
      <c r="AN26" s="75"/>
      <c r="AO26" s="75"/>
      <c r="AP26" s="75"/>
      <c r="AQ26" s="75"/>
      <c r="AR26"/>
      <c r="AS26" s="6">
        <f>ROW()</f>
        <v>26</v>
      </c>
      <c r="AT26"/>
      <c r="AU26"/>
      <c r="AV26"/>
    </row>
    <row r="27" spans="2:48" s="13" customFormat="1" ht="13.95" customHeight="1">
      <c r="B27"/>
      <c r="C27"/>
      <c r="D27"/>
      <c r="E27"/>
      <c r="F27"/>
      <c r="G27"/>
      <c r="H27"/>
      <c r="I27"/>
      <c r="J27"/>
      <c r="K27"/>
      <c r="L27"/>
      <c r="M27"/>
      <c r="N27"/>
      <c r="O27"/>
      <c r="P27"/>
      <c r="Q27"/>
      <c r="R27"/>
      <c r="S27"/>
      <c r="T27"/>
      <c r="U27"/>
      <c r="V27"/>
      <c r="W27" s="75"/>
      <c r="X27" s="75"/>
      <c r="Y27" s="75"/>
      <c r="AA27" s="75"/>
      <c r="AB27" s="75"/>
      <c r="AC27" s="75"/>
      <c r="AD27" s="75"/>
      <c r="AE27" s="75"/>
      <c r="AF27" s="75"/>
      <c r="AG27" s="75"/>
      <c r="AH27" s="75"/>
      <c r="AI27" s="75"/>
      <c r="AJ27" s="75"/>
      <c r="AK27" s="75"/>
      <c r="AL27" s="75"/>
      <c r="AM27" s="75"/>
      <c r="AN27" s="75"/>
      <c r="AO27" s="75"/>
      <c r="AP27" s="75"/>
      <c r="AQ27" s="75"/>
      <c r="AR27"/>
      <c r="AS27" s="6">
        <f>ROW()</f>
        <v>27</v>
      </c>
      <c r="AT27"/>
      <c r="AU27"/>
      <c r="AV27"/>
    </row>
    <row r="28" spans="2:48" s="13" customFormat="1" ht="13.95" customHeight="1">
      <c r="B28"/>
      <c r="C28"/>
      <c r="D28"/>
      <c r="E28"/>
      <c r="F28"/>
      <c r="G28"/>
      <c r="H28"/>
      <c r="I28"/>
      <c r="J28"/>
      <c r="K28"/>
      <c r="L28"/>
      <c r="M28"/>
      <c r="N28"/>
      <c r="O28"/>
      <c r="P28"/>
      <c r="Q28"/>
      <c r="R28"/>
      <c r="S28"/>
      <c r="T28"/>
      <c r="U28"/>
      <c r="V28"/>
      <c r="W28" s="75"/>
      <c r="X28" s="75"/>
      <c r="Y28" s="75"/>
      <c r="AA28" s="75"/>
      <c r="AB28" s="75"/>
      <c r="AC28" s="75"/>
      <c r="AD28" s="75"/>
      <c r="AE28" s="75"/>
      <c r="AF28" s="75"/>
      <c r="AG28" s="75"/>
      <c r="AH28" s="75"/>
      <c r="AI28" s="75"/>
      <c r="AJ28" s="75"/>
      <c r="AK28" s="75"/>
      <c r="AL28" s="75"/>
      <c r="AM28" s="75"/>
      <c r="AN28" s="75"/>
      <c r="AO28" s="75"/>
      <c r="AP28" s="75"/>
      <c r="AQ28" s="75"/>
      <c r="AR28"/>
      <c r="AS28" s="6">
        <f>ROW()</f>
        <v>28</v>
      </c>
      <c r="AT28"/>
      <c r="AU28"/>
      <c r="AV28"/>
    </row>
    <row r="29" spans="2:48" s="13" customFormat="1" ht="13.95" customHeight="1">
      <c r="B29"/>
      <c r="C29"/>
      <c r="D29"/>
      <c r="E29"/>
      <c r="F29"/>
      <c r="G29"/>
      <c r="H29"/>
      <c r="I29"/>
      <c r="J29"/>
      <c r="K29"/>
      <c r="L29"/>
      <c r="M29"/>
      <c r="N29"/>
      <c r="O29"/>
      <c r="P29"/>
      <c r="Q29"/>
      <c r="R29"/>
      <c r="S29"/>
      <c r="T29"/>
      <c r="U29"/>
      <c r="V29"/>
      <c r="W29" s="75"/>
      <c r="X29" s="75"/>
      <c r="Y29" s="75"/>
      <c r="AA29" s="75"/>
      <c r="AB29" s="75"/>
      <c r="AC29" s="75"/>
      <c r="AD29" s="75"/>
      <c r="AE29" s="75"/>
      <c r="AF29" s="75"/>
      <c r="AG29" s="75"/>
      <c r="AH29" s="75"/>
      <c r="AI29" s="75"/>
      <c r="AJ29" s="75"/>
      <c r="AK29" s="75"/>
      <c r="AL29" s="75"/>
      <c r="AM29" s="75"/>
      <c r="AN29" s="75"/>
      <c r="AO29" s="75"/>
      <c r="AP29" s="75"/>
      <c r="AQ29" s="75"/>
      <c r="AR29"/>
      <c r="AS29" s="6">
        <f>ROW()</f>
        <v>29</v>
      </c>
      <c r="AT29"/>
      <c r="AU29"/>
      <c r="AV29"/>
    </row>
    <row r="30" spans="2:48" s="13" customFormat="1" ht="13.95" customHeight="1">
      <c r="B30"/>
      <c r="C30"/>
      <c r="D30"/>
      <c r="E30"/>
      <c r="F30"/>
      <c r="G30"/>
      <c r="H30"/>
      <c r="I30"/>
      <c r="J30"/>
      <c r="K30"/>
      <c r="L30"/>
      <c r="M30"/>
      <c r="N30"/>
      <c r="O30"/>
      <c r="P30"/>
      <c r="Q30"/>
      <c r="R30"/>
      <c r="S30"/>
      <c r="T30"/>
      <c r="U30"/>
      <c r="V30"/>
      <c r="W30" s="75"/>
      <c r="X30" s="75"/>
      <c r="Y30" s="75"/>
      <c r="AA30" s="75"/>
      <c r="AB30" s="75"/>
      <c r="AC30" s="75"/>
      <c r="AD30" s="75"/>
      <c r="AE30" s="75"/>
      <c r="AF30" s="75"/>
      <c r="AG30" s="75"/>
      <c r="AH30" s="75"/>
      <c r="AI30" s="75"/>
      <c r="AJ30" s="75"/>
      <c r="AK30" s="75"/>
      <c r="AL30" s="75"/>
      <c r="AM30" s="75"/>
      <c r="AN30" s="75"/>
      <c r="AO30" s="75"/>
      <c r="AP30" s="75"/>
      <c r="AQ30" s="75"/>
      <c r="AR30"/>
      <c r="AS30" s="6">
        <f>ROW()</f>
        <v>30</v>
      </c>
      <c r="AT30"/>
      <c r="AU30"/>
      <c r="AV30"/>
    </row>
    <row r="31" spans="2:48" s="13" customFormat="1" ht="13.95" customHeight="1">
      <c r="B31"/>
      <c r="C31"/>
      <c r="D31"/>
      <c r="E31"/>
      <c r="F31"/>
      <c r="G31"/>
      <c r="H31"/>
      <c r="I31"/>
      <c r="J31"/>
      <c r="K31"/>
      <c r="L31"/>
      <c r="M31"/>
      <c r="N31"/>
      <c r="O31"/>
      <c r="P31"/>
      <c r="Q31"/>
      <c r="R31"/>
      <c r="S31"/>
      <c r="T31"/>
      <c r="U31"/>
      <c r="V31"/>
      <c r="W31" s="75"/>
      <c r="X31" s="75"/>
      <c r="Y31" s="75"/>
      <c r="AA31" s="75"/>
      <c r="AB31" s="75"/>
      <c r="AC31" s="75"/>
      <c r="AD31" s="75"/>
      <c r="AE31" s="75"/>
      <c r="AF31" s="75"/>
      <c r="AG31" s="75"/>
      <c r="AH31" s="75"/>
      <c r="AI31" s="75"/>
      <c r="AJ31" s="75"/>
      <c r="AK31" s="75"/>
      <c r="AL31" s="75"/>
      <c r="AM31" s="75"/>
      <c r="AN31" s="75"/>
      <c r="AO31" s="75"/>
      <c r="AP31" s="75"/>
      <c r="AQ31" s="75"/>
      <c r="AR31"/>
      <c r="AS31" s="6">
        <f>ROW()</f>
        <v>31</v>
      </c>
      <c r="AT31"/>
      <c r="AU31"/>
      <c r="AV31"/>
    </row>
    <row r="32" spans="2:48" s="13" customFormat="1" ht="13.95" customHeight="1">
      <c r="B32"/>
      <c r="C32"/>
      <c r="D32"/>
      <c r="E32"/>
      <c r="F32"/>
      <c r="G32"/>
      <c r="H32"/>
      <c r="I32"/>
      <c r="J32"/>
      <c r="K32"/>
      <c r="L32"/>
      <c r="M32"/>
      <c r="N32"/>
      <c r="O32"/>
      <c r="P32"/>
      <c r="Q32"/>
      <c r="R32"/>
      <c r="S32"/>
      <c r="T32"/>
      <c r="U32"/>
      <c r="V32"/>
      <c r="W32" s="75"/>
      <c r="X32" s="75"/>
      <c r="Y32" s="75"/>
      <c r="AA32" s="75"/>
      <c r="AB32" s="75"/>
      <c r="AC32" s="75"/>
      <c r="AD32" s="75"/>
      <c r="AE32" s="75"/>
      <c r="AF32" s="75"/>
      <c r="AG32" s="75"/>
      <c r="AH32" s="75"/>
      <c r="AI32" s="75"/>
      <c r="AJ32" s="75"/>
      <c r="AK32" s="75"/>
      <c r="AL32" s="75"/>
      <c r="AM32" s="75"/>
      <c r="AN32" s="75"/>
      <c r="AO32" s="75"/>
      <c r="AP32" s="75"/>
      <c r="AQ32" s="75"/>
      <c r="AR32"/>
      <c r="AS32" s="6">
        <f>ROW()</f>
        <v>32</v>
      </c>
      <c r="AT32"/>
      <c r="AU32"/>
      <c r="AV32"/>
    </row>
    <row r="33" spans="2:48" s="13" customFormat="1" ht="13.95" customHeight="1">
      <c r="B33"/>
      <c r="C33"/>
      <c r="D33"/>
      <c r="E33"/>
      <c r="F33"/>
      <c r="G33"/>
      <c r="H33"/>
      <c r="I33"/>
      <c r="J33"/>
      <c r="K33"/>
      <c r="L33"/>
      <c r="M33"/>
      <c r="N33"/>
      <c r="O33"/>
      <c r="P33"/>
      <c r="Q33"/>
      <c r="R33"/>
      <c r="S33"/>
      <c r="T33"/>
      <c r="U33"/>
      <c r="V33"/>
      <c r="W33" s="75"/>
      <c r="X33" s="75"/>
      <c r="Y33" s="75"/>
      <c r="AA33" s="75"/>
      <c r="AB33" s="75"/>
      <c r="AC33" s="75"/>
      <c r="AD33" s="75"/>
      <c r="AE33" s="75"/>
      <c r="AF33" s="75"/>
      <c r="AG33" s="75"/>
      <c r="AH33" s="75"/>
      <c r="AI33" s="75"/>
      <c r="AJ33" s="75"/>
      <c r="AK33" s="75"/>
      <c r="AL33" s="75"/>
      <c r="AM33" s="75"/>
      <c r="AN33" s="75"/>
      <c r="AO33" s="75"/>
      <c r="AP33" s="75"/>
      <c r="AQ33" s="75"/>
      <c r="AR33"/>
      <c r="AS33" s="6">
        <f>ROW()</f>
        <v>33</v>
      </c>
      <c r="AT33"/>
      <c r="AU33"/>
      <c r="AV33"/>
    </row>
    <row r="34" spans="2:48" s="13" customFormat="1" ht="13.95" customHeight="1">
      <c r="B34"/>
      <c r="C34"/>
      <c r="D34"/>
      <c r="E34"/>
      <c r="F34"/>
      <c r="G34"/>
      <c r="H34"/>
      <c r="I34"/>
      <c r="J34"/>
      <c r="K34"/>
      <c r="L34"/>
      <c r="M34" s="75"/>
      <c r="N34"/>
      <c r="O34"/>
      <c r="P34"/>
      <c r="Q34"/>
      <c r="R34"/>
      <c r="S34"/>
      <c r="T34"/>
      <c r="U34"/>
      <c r="V34"/>
      <c r="W34"/>
      <c r="X34" s="75"/>
      <c r="Y34" s="75"/>
      <c r="Z34" s="75"/>
      <c r="AA34" s="75"/>
      <c r="AB34" s="75"/>
      <c r="AC34" s="75"/>
      <c r="AD34" s="75"/>
      <c r="AE34" s="75"/>
      <c r="AF34" s="75"/>
      <c r="AG34" s="75"/>
      <c r="AH34" s="75"/>
      <c r="AI34" s="75"/>
      <c r="AJ34" s="75"/>
      <c r="AK34" s="75"/>
      <c r="AL34" s="75"/>
      <c r="AM34" s="75"/>
      <c r="AN34" s="75"/>
      <c r="AO34" s="75"/>
      <c r="AP34" s="75"/>
      <c r="AQ34" s="75"/>
      <c r="AR34"/>
      <c r="AS34" s="6">
        <f>ROW()</f>
        <v>34</v>
      </c>
      <c r="AT34"/>
      <c r="AU34"/>
      <c r="AV34"/>
    </row>
    <row r="35" spans="2:48" s="13" customFormat="1" ht="13.95" customHeight="1">
      <c r="B35"/>
      <c r="C35"/>
      <c r="D35"/>
      <c r="E35"/>
      <c r="F35"/>
      <c r="G35"/>
      <c r="H35"/>
      <c r="I35"/>
      <c r="J35"/>
      <c r="K35"/>
      <c r="L35"/>
      <c r="M35" s="75"/>
      <c r="N35" s="75"/>
      <c r="O35" s="75"/>
      <c r="P35" s="75"/>
      <c r="Q35" s="75"/>
      <c r="R35" s="75"/>
      <c r="S35" s="75"/>
      <c r="T35" s="75"/>
      <c r="U35" s="75"/>
      <c r="V35" s="75"/>
      <c r="W35" s="75"/>
      <c r="X35" s="75"/>
      <c r="Y35" s="75"/>
      <c r="Z35" s="75"/>
      <c r="AA35" s="75"/>
      <c r="AB35" s="75"/>
      <c r="AC35" s="75"/>
      <c r="AD35" s="75"/>
      <c r="AE35" s="75"/>
      <c r="AF35" s="75"/>
      <c r="AG35" s="75"/>
      <c r="AH35" s="75"/>
      <c r="AI35" s="75"/>
      <c r="AJ35" s="75"/>
      <c r="AK35" s="75"/>
      <c r="AL35" s="75"/>
      <c r="AM35" s="75"/>
      <c r="AN35" s="75"/>
      <c r="AO35" s="75"/>
      <c r="AP35" s="75"/>
      <c r="AQ35" s="75"/>
      <c r="AR35"/>
      <c r="AS35" s="6">
        <f>ROW()</f>
        <v>35</v>
      </c>
      <c r="AT35"/>
      <c r="AU35"/>
      <c r="AV35"/>
    </row>
    <row r="36" spans="2:48" s="13" customFormat="1" ht="13.95" customHeight="1">
      <c r="B36"/>
      <c r="C36"/>
      <c r="D36"/>
      <c r="E36"/>
      <c r="F36"/>
      <c r="G36"/>
      <c r="H36"/>
      <c r="I36"/>
      <c r="J36"/>
      <c r="K36"/>
      <c r="L36"/>
      <c r="M36" s="75"/>
      <c r="N36" s="75"/>
      <c r="O36" s="75"/>
      <c r="P36" s="75"/>
      <c r="Q36" s="75"/>
      <c r="R36" s="75"/>
      <c r="S36" s="75"/>
      <c r="T36" s="75"/>
      <c r="U36" s="75"/>
      <c r="V36" s="75"/>
      <c r="W36" s="75"/>
      <c r="X36" s="75"/>
      <c r="Y36" s="75"/>
      <c r="Z36" s="75"/>
      <c r="AA36" s="75"/>
      <c r="AB36" s="75"/>
      <c r="AC36" s="75"/>
      <c r="AD36" s="75"/>
      <c r="AE36" s="75"/>
      <c r="AF36" s="75"/>
      <c r="AG36" s="75"/>
      <c r="AH36" s="75"/>
      <c r="AI36" s="75"/>
      <c r="AJ36" s="75"/>
      <c r="AK36" s="75"/>
      <c r="AL36" s="75"/>
      <c r="AM36" s="75"/>
      <c r="AN36" s="75"/>
      <c r="AO36" s="75"/>
      <c r="AP36" s="75"/>
      <c r="AQ36" s="75"/>
      <c r="AR36"/>
      <c r="AS36" s="6">
        <f>ROW()</f>
        <v>36</v>
      </c>
      <c r="AT36"/>
      <c r="AU36"/>
      <c r="AV36"/>
    </row>
    <row r="37" spans="2:48" s="13" customFormat="1" ht="13.95" customHeight="1">
      <c r="B37"/>
      <c r="C37"/>
      <c r="D37"/>
      <c r="E37"/>
      <c r="F37"/>
      <c r="G37"/>
      <c r="H37"/>
      <c r="I37"/>
      <c r="J37"/>
      <c r="K37"/>
      <c r="L37"/>
      <c r="M37" s="75"/>
      <c r="N37" s="75"/>
      <c r="O37" s="75"/>
      <c r="P37" s="75"/>
      <c r="Q37" s="75"/>
      <c r="R37" s="75"/>
      <c r="S37" s="75"/>
      <c r="T37" s="75"/>
      <c r="U37" s="75"/>
      <c r="V37" s="75"/>
      <c r="W37" s="75"/>
      <c r="X37" s="75"/>
      <c r="Y37" s="75"/>
      <c r="Z37" s="75"/>
      <c r="AA37" s="75"/>
      <c r="AB37" s="75"/>
      <c r="AC37" s="75"/>
      <c r="AD37" s="75"/>
      <c r="AE37" s="75"/>
      <c r="AF37" s="75"/>
      <c r="AG37" s="75"/>
      <c r="AH37" s="75"/>
      <c r="AI37" s="75"/>
      <c r="AJ37" s="75"/>
      <c r="AK37" s="75"/>
      <c r="AL37" s="75"/>
      <c r="AM37" s="75"/>
      <c r="AN37" s="75"/>
      <c r="AO37" s="75"/>
      <c r="AP37" s="75"/>
      <c r="AQ37" s="75"/>
      <c r="AR37"/>
      <c r="AS37" s="6">
        <f>ROW()</f>
        <v>37</v>
      </c>
      <c r="AT37"/>
      <c r="AU37"/>
      <c r="AV37"/>
    </row>
    <row r="38" spans="2:48" s="13" customFormat="1" ht="13.95" customHeight="1">
      <c r="B38"/>
      <c r="C38"/>
      <c r="D38"/>
      <c r="E38"/>
      <c r="F38"/>
      <c r="G38"/>
      <c r="H38"/>
      <c r="I38"/>
      <c r="J38"/>
      <c r="K38"/>
      <c r="L38"/>
      <c r="M38" s="75"/>
      <c r="N38" s="75"/>
      <c r="O38" s="75"/>
      <c r="P38" s="75"/>
      <c r="Q38" s="75"/>
      <c r="R38" s="75"/>
      <c r="S38" s="75"/>
      <c r="T38" s="75"/>
      <c r="U38" s="75"/>
      <c r="V38" s="75"/>
      <c r="W38" s="75"/>
      <c r="X38" s="75"/>
      <c r="Y38" s="75"/>
      <c r="Z38" s="75"/>
      <c r="AA38" s="75"/>
      <c r="AB38" s="75"/>
      <c r="AC38" s="75"/>
      <c r="AD38" s="75"/>
      <c r="AE38" s="75"/>
      <c r="AF38" s="75"/>
      <c r="AG38" s="75"/>
      <c r="AH38" s="75"/>
      <c r="AI38" s="75"/>
      <c r="AJ38" s="75"/>
      <c r="AK38" s="75"/>
      <c r="AL38" s="75"/>
      <c r="AM38" s="75"/>
      <c r="AN38" s="75"/>
      <c r="AO38" s="75"/>
      <c r="AP38" s="75"/>
      <c r="AQ38" s="75"/>
      <c r="AR38"/>
      <c r="AS38" s="6">
        <f>ROW()</f>
        <v>38</v>
      </c>
      <c r="AT38"/>
      <c r="AU38"/>
      <c r="AV38"/>
    </row>
    <row r="39" spans="2:48" s="13" customFormat="1" ht="13.95" customHeight="1">
      <c r="B39" s="31" t="s">
        <v>443</v>
      </c>
      <c r="C39"/>
      <c r="D39"/>
      <c r="E39"/>
      <c r="F39"/>
      <c r="G39"/>
      <c r="H39"/>
      <c r="I39"/>
      <c r="J39"/>
      <c r="K39"/>
      <c r="L39"/>
      <c r="M39" s="75"/>
      <c r="R39" s="75"/>
      <c r="S39" s="75"/>
      <c r="T39" s="75"/>
      <c r="U39" s="75"/>
      <c r="V39" s="75"/>
      <c r="W39" s="75"/>
      <c r="X39" s="75"/>
      <c r="Y39" s="75"/>
      <c r="Z39" s="75"/>
      <c r="AA39" s="75"/>
      <c r="AB39" s="75"/>
      <c r="AC39" s="75"/>
      <c r="AD39" s="75"/>
      <c r="AE39" s="75"/>
      <c r="AF39" s="75"/>
      <c r="AG39" s="75"/>
      <c r="AH39" s="75"/>
      <c r="AI39" s="75"/>
      <c r="AJ39" s="75"/>
      <c r="AK39" s="75"/>
      <c r="AL39" s="75"/>
      <c r="AM39" s="75"/>
      <c r="AN39" s="75"/>
      <c r="AO39" s="75"/>
      <c r="AP39" s="75"/>
      <c r="AQ39" s="75"/>
      <c r="AR39"/>
      <c r="AS39" s="6">
        <f>ROW()</f>
        <v>39</v>
      </c>
      <c r="AT39"/>
      <c r="AU39"/>
      <c r="AV39"/>
    </row>
    <row r="40" spans="2:48" ht="13.95" customHeight="1">
      <c r="AS40" s="6">
        <f>ROW()</f>
        <v>40</v>
      </c>
    </row>
    <row r="41" spans="2:48" ht="13.95" customHeight="1">
      <c r="I41" s="232"/>
      <c r="J41" s="232"/>
      <c r="K41" s="232"/>
      <c r="L41" s="232"/>
      <c r="M41" s="232"/>
      <c r="N41" s="232"/>
      <c r="O41" s="110"/>
      <c r="P41" s="110"/>
      <c r="Q41" s="109"/>
      <c r="R41" s="109"/>
      <c r="S41" s="109" t="s">
        <v>837</v>
      </c>
      <c r="T41" s="77" t="s">
        <v>21</v>
      </c>
      <c r="U41" s="77"/>
      <c r="V41" s="77"/>
      <c r="W41" s="77"/>
      <c r="X41" s="78"/>
      <c r="Y41" s="78"/>
      <c r="Z41" s="78"/>
      <c r="AA41" s="78"/>
      <c r="AB41" s="78"/>
      <c r="AC41" s="78"/>
      <c r="AD41" s="78"/>
      <c r="AE41" s="78"/>
      <c r="AF41" s="78"/>
      <c r="AG41" s="78"/>
      <c r="AH41" s="78"/>
      <c r="AI41" s="78"/>
      <c r="AJ41" s="78"/>
      <c r="AK41" s="78"/>
      <c r="AL41" s="78"/>
      <c r="AM41" s="78"/>
      <c r="AN41" s="78"/>
      <c r="AO41" s="78"/>
      <c r="AP41" s="78"/>
      <c r="AQ41" s="78"/>
      <c r="AS41" s="6">
        <f>ROW()</f>
        <v>41</v>
      </c>
    </row>
    <row r="42" spans="2:48" s="13" customFormat="1" ht="13.95" customHeight="1">
      <c r="B42" s="8" t="s">
        <v>444</v>
      </c>
      <c r="I42" s="75">
        <f>Summary!I110</f>
        <v>2005</v>
      </c>
      <c r="J42" s="75">
        <f>Summary!J110</f>
        <v>2006</v>
      </c>
      <c r="K42" s="75">
        <f>Summary!K110</f>
        <v>2007</v>
      </c>
      <c r="L42" s="75">
        <f>Summary!L110</f>
        <v>2008</v>
      </c>
      <c r="M42" s="75">
        <f>Summary!M110</f>
        <v>2009</v>
      </c>
      <c r="N42" s="75">
        <f>Summary!N110</f>
        <v>2010</v>
      </c>
      <c r="O42" s="75">
        <f>Summary!O110</f>
        <v>2011</v>
      </c>
      <c r="P42" s="75">
        <f>Summary!P110</f>
        <v>2012</v>
      </c>
      <c r="Q42" s="75">
        <f>Summary!Q110</f>
        <v>2013</v>
      </c>
      <c r="R42" s="75">
        <f>Summary!R110</f>
        <v>2014</v>
      </c>
      <c r="S42" s="75">
        <f>Summary!S110</f>
        <v>2015</v>
      </c>
      <c r="T42" s="75">
        <f>Summary!T110</f>
        <v>2017</v>
      </c>
      <c r="U42" s="75">
        <f>Summary!U110</f>
        <v>2018</v>
      </c>
      <c r="V42" s="75">
        <f>Summary!V110</f>
        <v>2019</v>
      </c>
      <c r="W42" s="75">
        <f>Summary!W110</f>
        <v>2020</v>
      </c>
      <c r="X42" s="75">
        <f>Summary!X110</f>
        <v>2021</v>
      </c>
      <c r="Y42" s="75">
        <f>Summary!Y110</f>
        <v>2022</v>
      </c>
      <c r="Z42" s="75">
        <f>Summary!Z110</f>
        <v>2023</v>
      </c>
      <c r="AA42" s="75">
        <f>Summary!AA110</f>
        <v>2024</v>
      </c>
      <c r="AB42" s="75">
        <f>Summary!AB110</f>
        <v>2025</v>
      </c>
      <c r="AC42" s="75">
        <f>Summary!AC110</f>
        <v>2026</v>
      </c>
      <c r="AD42" s="75">
        <f>Summary!AD110</f>
        <v>2027</v>
      </c>
      <c r="AE42" s="75">
        <f>Summary!AE110</f>
        <v>2028</v>
      </c>
      <c r="AF42" s="75">
        <f>Summary!AF110</f>
        <v>2029</v>
      </c>
      <c r="AG42" s="75">
        <f>Summary!AG110</f>
        <v>2030</v>
      </c>
      <c r="AH42" s="75">
        <f>Summary!AH110</f>
        <v>2031</v>
      </c>
      <c r="AI42" s="75">
        <f>Summary!AI110</f>
        <v>2032</v>
      </c>
      <c r="AJ42" s="75">
        <f>Summary!AJ110</f>
        <v>2033</v>
      </c>
      <c r="AK42" s="75">
        <f>Summary!AK110</f>
        <v>2034</v>
      </c>
      <c r="AL42" s="75">
        <f>Summary!AL110</f>
        <v>2035</v>
      </c>
      <c r="AM42" s="75">
        <f>Summary!AM110</f>
        <v>2036</v>
      </c>
      <c r="AN42" s="75">
        <f>Summary!AN110</f>
        <v>2037</v>
      </c>
      <c r="AO42" s="75">
        <f>Summary!AO110</f>
        <v>2038</v>
      </c>
      <c r="AP42" s="75">
        <f>Summary!AP110</f>
        <v>2039</v>
      </c>
      <c r="AQ42" s="75">
        <f>Summary!AQ110</f>
        <v>2040</v>
      </c>
      <c r="AR42"/>
      <c r="AS42" s="6">
        <f>ROW()</f>
        <v>42</v>
      </c>
      <c r="AT42"/>
      <c r="AU42"/>
      <c r="AV42"/>
    </row>
    <row r="43" spans="2:48" s="13" customFormat="1" ht="13.95" customHeight="1">
      <c r="I43" s="75"/>
      <c r="J43" s="75"/>
      <c r="K43" s="75"/>
      <c r="L43" s="75"/>
      <c r="M43" s="75"/>
      <c r="N43" s="75"/>
      <c r="O43" s="75"/>
      <c r="P43" s="75"/>
      <c r="Q43" s="75"/>
      <c r="R43" s="75"/>
      <c r="S43" s="75"/>
      <c r="T43" s="75"/>
      <c r="U43" s="75"/>
      <c r="V43" s="75"/>
      <c r="W43" s="75"/>
      <c r="X43" s="75"/>
      <c r="Y43" s="75"/>
      <c r="Z43" s="75"/>
      <c r="AA43" s="75"/>
      <c r="AB43" s="75"/>
      <c r="AC43" s="75"/>
      <c r="AD43" s="75"/>
      <c r="AE43" s="75"/>
      <c r="AF43" s="75"/>
      <c r="AG43" s="75"/>
      <c r="AH43" s="75"/>
      <c r="AI43" s="75"/>
      <c r="AJ43" s="75"/>
      <c r="AK43" s="75"/>
      <c r="AL43" s="75"/>
      <c r="AM43" s="75"/>
      <c r="AN43" s="75"/>
      <c r="AO43" s="75"/>
      <c r="AP43" s="75"/>
      <c r="AQ43" s="75"/>
      <c r="AR43"/>
      <c r="AS43" s="6">
        <f>ROW()</f>
        <v>43</v>
      </c>
      <c r="AT43"/>
      <c r="AU43"/>
      <c r="AV43"/>
    </row>
    <row r="44" spans="2:48" ht="13.95" customHeight="1">
      <c r="B44" s="8" t="s">
        <v>18</v>
      </c>
      <c r="I44" s="36">
        <f>I53</f>
        <v>20809.074968038592</v>
      </c>
      <c r="J44" s="36">
        <f t="shared" ref="J44:O44" si="0">J53</f>
        <v>20646.492886113178</v>
      </c>
      <c r="K44" s="36">
        <f t="shared" si="0"/>
        <v>20633.371620679645</v>
      </c>
      <c r="L44" s="36">
        <f t="shared" si="0"/>
        <v>19474.810521627416</v>
      </c>
      <c r="M44" s="36">
        <f t="shared" si="0"/>
        <v>18813.671223260968</v>
      </c>
      <c r="N44" s="36">
        <f t="shared" si="0"/>
        <v>19217.346527940364</v>
      </c>
      <c r="O44" s="36">
        <f t="shared" si="0"/>
        <v>18832.165529220609</v>
      </c>
      <c r="P44" s="36">
        <f t="shared" ref="P44:AP44" si="1">P53</f>
        <v>18428.844368881586</v>
      </c>
      <c r="Q44" s="36">
        <f t="shared" si="1"/>
        <v>18991.811424089072</v>
      </c>
      <c r="R44" s="36">
        <f t="shared" si="1"/>
        <v>19117.750295724691</v>
      </c>
      <c r="S44" s="36">
        <f t="shared" si="1"/>
        <v>19028.450611360709</v>
      </c>
      <c r="T44" s="36">
        <f t="shared" si="1"/>
        <v>18944.404258451574</v>
      </c>
      <c r="U44" s="36">
        <f t="shared" si="1"/>
        <v>18933.512240197011</v>
      </c>
      <c r="V44" s="36">
        <f t="shared" si="1"/>
        <v>18929.615752255038</v>
      </c>
      <c r="W44" s="36">
        <f t="shared" si="1"/>
        <v>18946.542327705647</v>
      </c>
      <c r="X44" s="36">
        <f t="shared" si="1"/>
        <v>18901.577082147705</v>
      </c>
      <c r="Y44" s="36">
        <f t="shared" si="1"/>
        <v>18929.546669923628</v>
      </c>
      <c r="Z44" s="36">
        <f t="shared" si="1"/>
        <v>18998.244188524324</v>
      </c>
      <c r="AA44" s="36">
        <f t="shared" si="1"/>
        <v>19066.470380210543</v>
      </c>
      <c r="AB44" s="36">
        <f t="shared" si="1"/>
        <v>19122.979503680152</v>
      </c>
      <c r="AC44" s="36">
        <f t="shared" si="1"/>
        <v>19167.455836912952</v>
      </c>
      <c r="AD44" s="36">
        <f t="shared" si="1"/>
        <v>19154.919631676232</v>
      </c>
      <c r="AE44" s="36">
        <f t="shared" si="1"/>
        <v>19142.85850157879</v>
      </c>
      <c r="AF44" s="36">
        <f t="shared" si="1"/>
        <v>19131.268406317897</v>
      </c>
      <c r="AG44" s="36">
        <f t="shared" si="1"/>
        <v>19120.145373847594</v>
      </c>
      <c r="AH44" s="36">
        <f t="shared" si="1"/>
        <v>19100.647619106981</v>
      </c>
      <c r="AI44" s="36">
        <f t="shared" si="1"/>
        <v>19079.63189766898</v>
      </c>
      <c r="AJ44" s="36">
        <f t="shared" si="1"/>
        <v>19058.434297950073</v>
      </c>
      <c r="AK44" s="36">
        <f t="shared" si="1"/>
        <v>19037.062537218331</v>
      </c>
      <c r="AL44" s="36">
        <f t="shared" si="1"/>
        <v>19015.524335510716</v>
      </c>
      <c r="AM44" s="36">
        <f t="shared" si="1"/>
        <v>18993.827413613431</v>
      </c>
      <c r="AN44" s="36">
        <f t="shared" si="1"/>
        <v>18971.979491059894</v>
      </c>
      <c r="AO44" s="36">
        <f t="shared" si="1"/>
        <v>18949.988284146944</v>
      </c>
      <c r="AP44" s="36">
        <f t="shared" si="1"/>
        <v>18927.861503970085</v>
      </c>
      <c r="AQ44" s="36">
        <f t="shared" ref="AQ44" si="2">AQ53</f>
        <v>19154.424648148284</v>
      </c>
      <c r="AS44" s="6">
        <f>ROW()</f>
        <v>44</v>
      </c>
    </row>
    <row r="45" spans="2:48" ht="13.95" customHeight="1">
      <c r="B45" s="84" t="str">
        <f>CONCATENATE("Figures are copied from Row ",AS53, ".")</f>
        <v>Figures are copied from Row 53.</v>
      </c>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S45" s="6">
        <f>ROW()</f>
        <v>45</v>
      </c>
    </row>
    <row r="46" spans="2:48" ht="13.95" customHeight="1">
      <c r="B46" s="8" t="s">
        <v>290</v>
      </c>
      <c r="I46" s="36">
        <f t="shared" ref="I46:Q46" si="3">I65</f>
        <v>20809.074968038592</v>
      </c>
      <c r="J46" s="36">
        <f t="shared" si="3"/>
        <v>20646.492886113178</v>
      </c>
      <c r="K46" s="36">
        <f t="shared" si="3"/>
        <v>20633.371620679645</v>
      </c>
      <c r="L46" s="36">
        <f t="shared" si="3"/>
        <v>19474.810521627416</v>
      </c>
      <c r="M46" s="36">
        <f t="shared" si="3"/>
        <v>18813.671223260968</v>
      </c>
      <c r="N46" s="36">
        <f t="shared" si="3"/>
        <v>19217.346527940364</v>
      </c>
      <c r="O46" s="36">
        <f t="shared" si="3"/>
        <v>18832.165529220609</v>
      </c>
      <c r="P46" s="36">
        <f t="shared" si="3"/>
        <v>18428.844368881586</v>
      </c>
      <c r="Q46" s="36">
        <f t="shared" si="3"/>
        <v>18991.811424089072</v>
      </c>
      <c r="R46" s="36">
        <f t="shared" ref="R46:S46" si="4">R65</f>
        <v>19117.750295724691</v>
      </c>
      <c r="S46" s="36">
        <f t="shared" si="4"/>
        <v>19028.450611360709</v>
      </c>
      <c r="T46" s="36">
        <f t="shared" ref="T46:AP46" si="5">T65</f>
        <v>18519.753487674301</v>
      </c>
      <c r="U46" s="36">
        <f t="shared" si="5"/>
        <v>18068.069600676667</v>
      </c>
      <c r="V46" s="36">
        <f t="shared" si="5"/>
        <v>17653.800751182636</v>
      </c>
      <c r="W46" s="36">
        <f t="shared" si="5"/>
        <v>17284.854393691792</v>
      </c>
      <c r="X46" s="36">
        <f t="shared" si="5"/>
        <v>16878.712271077144</v>
      </c>
      <c r="Y46" s="36">
        <f t="shared" si="5"/>
        <v>16543.586402653535</v>
      </c>
      <c r="Z46" s="36">
        <f t="shared" si="5"/>
        <v>16258.560948145847</v>
      </c>
      <c r="AA46" s="36">
        <f t="shared" si="5"/>
        <v>15983.703997751894</v>
      </c>
      <c r="AB46" s="36">
        <f t="shared" si="5"/>
        <v>15708.147102835728</v>
      </c>
      <c r="AC46" s="36">
        <f t="shared" si="5"/>
        <v>15431.297823548071</v>
      </c>
      <c r="AD46" s="36">
        <f t="shared" si="5"/>
        <v>15115.204047031719</v>
      </c>
      <c r="AE46" s="36">
        <f t="shared" si="5"/>
        <v>14812.883658577011</v>
      </c>
      <c r="AF46" s="36">
        <f t="shared" si="5"/>
        <v>14526.79269167245</v>
      </c>
      <c r="AG46" s="36">
        <f t="shared" si="5"/>
        <v>14255.400427343087</v>
      </c>
      <c r="AH46" s="36">
        <f t="shared" si="5"/>
        <v>13991.090034152887</v>
      </c>
      <c r="AI46" s="36">
        <f t="shared" si="5"/>
        <v>13736.966446469041</v>
      </c>
      <c r="AJ46" s="36">
        <f t="shared" si="5"/>
        <v>13494.059312673688</v>
      </c>
      <c r="AK46" s="36">
        <f t="shared" si="5"/>
        <v>13261.457283173469</v>
      </c>
      <c r="AL46" s="36">
        <f t="shared" si="5"/>
        <v>13038.350788429743</v>
      </c>
      <c r="AM46" s="36">
        <f t="shared" si="5"/>
        <v>12824.469695236709</v>
      </c>
      <c r="AN46" s="36">
        <f t="shared" si="5"/>
        <v>12618.774895491501</v>
      </c>
      <c r="AO46" s="36">
        <f t="shared" si="5"/>
        <v>12420.681580433751</v>
      </c>
      <c r="AP46" s="36">
        <f t="shared" si="5"/>
        <v>12229.66222848402</v>
      </c>
      <c r="AQ46" s="36">
        <f t="shared" ref="AQ46" si="6">AQ65</f>
        <v>12195.113974069631</v>
      </c>
      <c r="AS46" s="6">
        <f>ROW()</f>
        <v>46</v>
      </c>
    </row>
    <row r="47" spans="2:48" ht="13.95" customHeight="1">
      <c r="B47" s="84" t="str">
        <f>CONCATENATE("Figures are copied from Row ",AS65, ".")</f>
        <v>Figures are copied from Row 65.</v>
      </c>
      <c r="I47" s="48"/>
      <c r="J47" s="48"/>
      <c r="K47" s="48"/>
      <c r="M47" s="48"/>
      <c r="N47" s="48"/>
      <c r="O47" s="48"/>
      <c r="P47" s="48"/>
      <c r="Q47" s="48"/>
      <c r="R47" s="48"/>
      <c r="S47" s="48"/>
      <c r="T47" s="48"/>
      <c r="U47" s="48"/>
      <c r="V47" s="48"/>
      <c r="W47" s="48"/>
      <c r="X47" s="48"/>
      <c r="Y47" s="48"/>
      <c r="Z47" s="48"/>
      <c r="AA47" s="48"/>
      <c r="AS47" s="6">
        <f>ROW()</f>
        <v>47</v>
      </c>
    </row>
    <row r="48" spans="2:48" ht="13.95" customHeight="1">
      <c r="I48" s="48"/>
      <c r="J48" s="48"/>
      <c r="K48" s="48"/>
      <c r="M48" s="48"/>
      <c r="N48" s="48"/>
      <c r="O48" s="48"/>
      <c r="P48" s="48"/>
      <c r="Q48" s="48"/>
      <c r="R48" s="48"/>
      <c r="S48" s="48"/>
      <c r="T48" s="48"/>
      <c r="U48" s="48"/>
      <c r="V48" s="790"/>
      <c r="W48" s="790"/>
      <c r="X48" s="790"/>
      <c r="Y48" s="790"/>
      <c r="Z48" s="165"/>
      <c r="AA48" s="165"/>
      <c r="AB48" s="233" t="s">
        <v>309</v>
      </c>
      <c r="AC48" s="791">
        <f>AC46/$I46-1</f>
        <v>-0.25843422414261286</v>
      </c>
      <c r="AS48" s="6">
        <f>ROW()</f>
        <v>48</v>
      </c>
    </row>
    <row r="49" spans="2:45" ht="13.95" customHeight="1">
      <c r="B49" s="31"/>
      <c r="I49" s="48"/>
      <c r="J49" s="48"/>
      <c r="K49" s="48"/>
      <c r="M49" s="48"/>
      <c r="N49" s="48"/>
      <c r="O49" s="48"/>
      <c r="P49" s="48"/>
      <c r="Q49" s="48"/>
      <c r="R49" s="48"/>
      <c r="S49" s="48"/>
      <c r="T49" s="48"/>
      <c r="U49" s="48"/>
      <c r="V49" s="790"/>
      <c r="W49" s="790"/>
      <c r="X49" s="790"/>
      <c r="Y49" s="790"/>
      <c r="Z49" s="165"/>
      <c r="AA49" s="165"/>
      <c r="AB49" s="234" t="s">
        <v>843</v>
      </c>
      <c r="AC49" s="791">
        <f>AC46/AC44-1</f>
        <v>-0.19492195756985842</v>
      </c>
      <c r="AS49" s="6">
        <f>ROW()</f>
        <v>49</v>
      </c>
    </row>
    <row r="50" spans="2:45" ht="13.95" customHeight="1">
      <c r="B50" s="8" t="s">
        <v>308</v>
      </c>
      <c r="I50" s="1225" t="str">
        <f>CONCATENATE("Figures below are EIA data copied from 'Energy' tab, Row ",Energy!R21, ". They're shown as check on Row ",AS53, ".")</f>
        <v>Figures below are EIA data copied from 'Energy' tab, Row 21. They're shown as check on Row 53.</v>
      </c>
      <c r="J50" s="1226"/>
      <c r="K50" s="1226"/>
      <c r="L50" s="1226"/>
      <c r="M50" s="1226"/>
      <c r="N50" s="1226"/>
      <c r="O50" s="1226"/>
      <c r="P50" s="1226"/>
      <c r="Q50" s="1226"/>
      <c r="R50" s="1226"/>
      <c r="S50" s="1227"/>
      <c r="T50" s="48"/>
      <c r="U50" s="48"/>
      <c r="V50" s="48"/>
      <c r="W50" s="48"/>
      <c r="X50" s="48"/>
      <c r="Y50" s="48"/>
      <c r="Z50" s="48"/>
      <c r="AA50" s="48"/>
      <c r="AS50" s="6">
        <f>ROW()</f>
        <v>50</v>
      </c>
    </row>
    <row r="51" spans="2:45" ht="13.95" customHeight="1">
      <c r="B51" s="8"/>
      <c r="I51" s="21">
        <f>Energy!G21</f>
        <v>20802.162</v>
      </c>
      <c r="J51" s="21">
        <f>Energy!H21</f>
        <v>20687.418000000001</v>
      </c>
      <c r="K51" s="21">
        <f>Energy!I21</f>
        <v>20680.378000000001</v>
      </c>
      <c r="L51" s="21">
        <f>Energy!J21</f>
        <v>19497.964</v>
      </c>
      <c r="M51" s="21">
        <f>Energy!K21</f>
        <v>18771.400000000001</v>
      </c>
      <c r="N51" s="21">
        <f>Energy!L21</f>
        <v>19180.126</v>
      </c>
      <c r="O51" s="21">
        <f>Energy!M21</f>
        <v>18882.072</v>
      </c>
      <c r="P51" s="21">
        <f>Energy!N21</f>
        <v>18490.214</v>
      </c>
      <c r="Q51" s="21">
        <f>Energy!O21</f>
        <v>18961.128000000001</v>
      </c>
      <c r="R51" s="21">
        <f>Energy!P21</f>
        <v>19105.614000000001</v>
      </c>
      <c r="S51" s="21">
        <f>Energy!Q21</f>
        <v>19395.427</v>
      </c>
      <c r="U51" s="27"/>
      <c r="V51" s="27"/>
      <c r="W51" s="27"/>
      <c r="X51" s="27"/>
      <c r="Y51" s="27"/>
      <c r="Z51" s="27"/>
      <c r="AA51" s="27"/>
      <c r="AB51" s="27"/>
      <c r="AC51" s="27"/>
      <c r="AD51" s="27"/>
      <c r="AE51" s="27"/>
      <c r="AS51" s="6">
        <f>ROW()</f>
        <v>51</v>
      </c>
    </row>
    <row r="52" spans="2:45" ht="13.95" customHeight="1">
      <c r="B52" s="8"/>
      <c r="I52" s="232"/>
      <c r="J52" s="232"/>
      <c r="K52" s="232"/>
      <c r="L52" s="232"/>
      <c r="M52" s="232"/>
      <c r="N52" s="232"/>
      <c r="O52" s="110"/>
      <c r="P52" s="110"/>
      <c r="Q52" s="109"/>
      <c r="R52" s="109"/>
      <c r="S52" s="109"/>
      <c r="T52" s="581" t="str">
        <f>CONCATENATE("Figures for ",T42, " and beyond extrapolate from prior years via ratios of fuel/energy volumes and CO2 per unit fuel (w/o tax).")</f>
        <v>Figures for 2017 and beyond extrapolate from prior years via ratios of fuel/energy volumes and CO2 per unit fuel (w/o tax).</v>
      </c>
      <c r="U52" s="77"/>
      <c r="V52" s="77"/>
      <c r="W52" s="77"/>
      <c r="X52" s="78"/>
      <c r="Y52" s="78"/>
      <c r="Z52" s="78"/>
      <c r="AA52" s="78"/>
      <c r="AB52" s="78"/>
      <c r="AC52" s="78"/>
      <c r="AD52" s="78"/>
      <c r="AE52" s="78"/>
      <c r="AF52" s="78"/>
      <c r="AG52" s="78"/>
      <c r="AH52" s="78"/>
      <c r="AI52" s="78"/>
      <c r="AJ52" s="78"/>
      <c r="AK52" s="78"/>
      <c r="AL52" s="78"/>
      <c r="AM52" s="78"/>
      <c r="AN52" s="78"/>
      <c r="AO52" s="78"/>
      <c r="AP52" s="78"/>
      <c r="AQ52" s="78"/>
      <c r="AS52" s="6">
        <f>ROW()</f>
        <v>52</v>
      </c>
    </row>
    <row r="53" spans="2:45" ht="13.95" customHeight="1">
      <c r="B53" s="8" t="s">
        <v>1185</v>
      </c>
      <c r="H53" s="95" t="s">
        <v>1184</v>
      </c>
      <c r="I53" s="24">
        <f>SUM(I54:I61)</f>
        <v>20809.074968038592</v>
      </c>
      <c r="J53" s="24">
        <f t="shared" ref="J53:Q53" si="7">SUM(J54:J61)</f>
        <v>20646.492886113178</v>
      </c>
      <c r="K53" s="24">
        <f t="shared" si="7"/>
        <v>20633.371620679645</v>
      </c>
      <c r="L53" s="24">
        <f t="shared" si="7"/>
        <v>19474.810521627416</v>
      </c>
      <c r="M53" s="24">
        <f t="shared" si="7"/>
        <v>18813.671223260968</v>
      </c>
      <c r="N53" s="24">
        <f t="shared" si="7"/>
        <v>19217.346527940364</v>
      </c>
      <c r="O53" s="24">
        <f t="shared" si="7"/>
        <v>18832.165529220609</v>
      </c>
      <c r="P53" s="24">
        <f t="shared" si="7"/>
        <v>18428.844368881586</v>
      </c>
      <c r="Q53" s="24">
        <f t="shared" si="7"/>
        <v>18991.811424089072</v>
      </c>
      <c r="R53" s="24">
        <f t="shared" ref="R53:S53" si="8">SUM(R54:R61)</f>
        <v>19117.750295724691</v>
      </c>
      <c r="S53" s="24">
        <f t="shared" si="8"/>
        <v>19028.450611360709</v>
      </c>
      <c r="T53" s="24">
        <f t="shared" ref="T53:AP53" si="9">SUM(T54:T61)</f>
        <v>18944.404258451574</v>
      </c>
      <c r="U53" s="24">
        <f t="shared" si="9"/>
        <v>18933.512240197011</v>
      </c>
      <c r="V53" s="24">
        <f t="shared" si="9"/>
        <v>18929.615752255038</v>
      </c>
      <c r="W53" s="24">
        <f t="shared" si="9"/>
        <v>18946.542327705647</v>
      </c>
      <c r="X53" s="24">
        <f t="shared" si="9"/>
        <v>18901.577082147705</v>
      </c>
      <c r="Y53" s="24">
        <f t="shared" si="9"/>
        <v>18929.546669923628</v>
      </c>
      <c r="Z53" s="24">
        <f t="shared" si="9"/>
        <v>18998.244188524324</v>
      </c>
      <c r="AA53" s="24">
        <f t="shared" si="9"/>
        <v>19066.470380210543</v>
      </c>
      <c r="AB53" s="24">
        <f t="shared" si="9"/>
        <v>19122.979503680152</v>
      </c>
      <c r="AC53" s="24">
        <f t="shared" si="9"/>
        <v>19167.455836912952</v>
      </c>
      <c r="AD53" s="24">
        <f t="shared" si="9"/>
        <v>19154.919631676232</v>
      </c>
      <c r="AE53" s="24">
        <f t="shared" si="9"/>
        <v>19142.85850157879</v>
      </c>
      <c r="AF53" s="24">
        <f t="shared" si="9"/>
        <v>19131.268406317897</v>
      </c>
      <c r="AG53" s="24">
        <f t="shared" si="9"/>
        <v>19120.145373847594</v>
      </c>
      <c r="AH53" s="24">
        <f t="shared" si="9"/>
        <v>19100.647619106981</v>
      </c>
      <c r="AI53" s="24">
        <f t="shared" si="9"/>
        <v>19079.63189766898</v>
      </c>
      <c r="AJ53" s="24">
        <f t="shared" si="9"/>
        <v>19058.434297950073</v>
      </c>
      <c r="AK53" s="24">
        <f t="shared" si="9"/>
        <v>19037.062537218331</v>
      </c>
      <c r="AL53" s="24">
        <f t="shared" si="9"/>
        <v>19015.524335510716</v>
      </c>
      <c r="AM53" s="24">
        <f t="shared" si="9"/>
        <v>18993.827413613431</v>
      </c>
      <c r="AN53" s="24">
        <f t="shared" si="9"/>
        <v>18971.979491059894</v>
      </c>
      <c r="AO53" s="24">
        <f t="shared" si="9"/>
        <v>18949.988284146944</v>
      </c>
      <c r="AP53" s="24">
        <f t="shared" si="9"/>
        <v>18927.861503970085</v>
      </c>
      <c r="AQ53" s="24">
        <f t="shared" ref="AQ53" si="10">SUM(AQ54:AQ61)</f>
        <v>19154.424648148284</v>
      </c>
      <c r="AR53" s="24"/>
      <c r="AS53" s="6">
        <f>ROW()</f>
        <v>53</v>
      </c>
    </row>
    <row r="54" spans="2:45" ht="13.95" customHeight="1">
      <c r="B54" s="31" t="str">
        <f>Summary!B102</f>
        <v>Electricity Generation</v>
      </c>
      <c r="D54" s="579" t="s">
        <v>454</v>
      </c>
      <c r="E54" s="580">
        <v>11500</v>
      </c>
      <c r="F54" s="395" t="s">
        <v>455</v>
      </c>
      <c r="G54" s="1219" t="s">
        <v>456</v>
      </c>
      <c r="H54" s="1220"/>
      <c r="I54" s="33">
        <f>($E$54/1000)*Energy!G12/(Energy!$O$77*Parameters!$I$22)</f>
        <v>622.22090695600014</v>
      </c>
      <c r="J54" s="33">
        <f>($E$54/1000)*Energy!H12/(Energy!$O$77*Parameters!$I$22)</f>
        <v>326.6572203888029</v>
      </c>
      <c r="K54" s="33">
        <f>($E$54/1000)*Energy!I12/(Energy!$O$77*Parameters!$I$22)</f>
        <v>334.66280077114277</v>
      </c>
      <c r="L54" s="33">
        <f>($E$54/1000)*Energy!J12/(Energy!$O$77*Parameters!$I$22)</f>
        <v>235.41105319424432</v>
      </c>
      <c r="M54" s="33">
        <f>($E$54/1000)*Energy!K12/(Energy!$O$77*Parameters!$I$22)</f>
        <v>198.21730666648958</v>
      </c>
      <c r="N54" s="33">
        <f>($E$54/1000)*Energy!L12/(Energy!$O$77*Parameters!$I$22)</f>
        <v>188.66953499027218</v>
      </c>
      <c r="O54" s="33">
        <f>($E$54/1000)*Energy!M12/(Energy!$O$77*Parameters!$I$22)</f>
        <v>153.65122721045071</v>
      </c>
      <c r="P54" s="33">
        <f>($E$54/1000)*Energy!N12/(Energy!$O$77*Parameters!$I$22)</f>
        <v>118.05290119234965</v>
      </c>
      <c r="Q54" s="33">
        <f>($E$54/1000)*Energy!O12/(Energy!$O$77*Parameters!$I$22)</f>
        <v>138.28826043554957</v>
      </c>
      <c r="R54" s="33">
        <f>($E$54/1000)*Energy!P12/(Energy!$O$77*Parameters!$I$22)</f>
        <v>153.9045190649783</v>
      </c>
      <c r="S54" s="33">
        <f>$R54*(Electricity!S48/Electricity!$R48)*(Electricity!S45/Electricity!$R45)</f>
        <v>142.41368877398048</v>
      </c>
      <c r="T54" s="33">
        <f>$R54*(Electricity!T48/Electricity!$R48)*(Electricity!T45/Electricity!$R45)</f>
        <v>139.8431519708075</v>
      </c>
      <c r="U54" s="33">
        <f>$R54*(Electricity!U48/Electricity!$R48)*(Electricity!U45/Electricity!$R45)</f>
        <v>139.1577495376589</v>
      </c>
      <c r="V54" s="33">
        <f>$R54*(Electricity!V48/Electricity!$R48)*(Electricity!V45/Electricity!$R45)</f>
        <v>138.47570641448544</v>
      </c>
      <c r="W54" s="33">
        <f>$R54*(Electricity!W48/Electricity!$R48)*(Electricity!W45/Electricity!$R45)</f>
        <v>137.79700613656067</v>
      </c>
      <c r="X54" s="33">
        <f>$R54*(Electricity!X48/Electricity!$R48)*(Electricity!X45/Electricity!$R45)</f>
        <v>136.90252321039662</v>
      </c>
      <c r="Y54" s="33">
        <f>$R54*(Electricity!Y48/Electricity!$R48)*(Electricity!Y45/Electricity!$R45)</f>
        <v>136.01384664917214</v>
      </c>
      <c r="Z54" s="33">
        <f>$R54*(Electricity!Z48/Electricity!$R48)*(Electricity!Z45/Electricity!$R45)</f>
        <v>135.130938761979</v>
      </c>
      <c r="AA54" s="33">
        <f>$R54*(Electricity!AA48/Electricity!$R48)*(Electricity!AA45/Electricity!$R45)</f>
        <v>134.25376210257232</v>
      </c>
      <c r="AB54" s="33">
        <f>$R54*(Electricity!AB48/Electricity!$R48)*(Electricity!AB45/Electricity!$R45)</f>
        <v>133.38227946778255</v>
      </c>
      <c r="AC54" s="33">
        <f>$R54*(Electricity!AC48/Electricity!$R48)*(Electricity!AC45/Electricity!$R45)</f>
        <v>132.51645389593716</v>
      </c>
      <c r="AD54" s="33">
        <f>$R54*(Electricity!AD48/Electricity!$R48)*(Electricity!AD45/Electricity!$R45)</f>
        <v>131.65624866529342</v>
      </c>
      <c r="AE54" s="33">
        <f>$R54*(Electricity!AE48/Electricity!$R48)*(Electricity!AE45/Electricity!$R45)</f>
        <v>130.8016272924807</v>
      </c>
      <c r="AF54" s="33">
        <f>$R54*(Electricity!AF48/Electricity!$R48)*(Electricity!AF45/Electricity!$R45)</f>
        <v>129.9525535309532</v>
      </c>
      <c r="AG54" s="33">
        <f>$R54*(Electricity!AG48/Electricity!$R48)*(Electricity!AG45/Electricity!$R45)</f>
        <v>129.10899136945272</v>
      </c>
      <c r="AH54" s="33">
        <f>$R54*(Electricity!AH48/Electricity!$R48)*(Electricity!AH45/Electricity!$R45)</f>
        <v>128.85533545157082</v>
      </c>
      <c r="AI54" s="33">
        <f>$R54*(Electricity!AI48/Electricity!$R48)*(Electricity!AI45/Electricity!$R45)</f>
        <v>128.6021778825955</v>
      </c>
      <c r="AJ54" s="33">
        <f>$R54*(Electricity!AJ48/Electricity!$R48)*(Electricity!AJ45/Electricity!$R45)</f>
        <v>128.34951768343808</v>
      </c>
      <c r="AK54" s="33">
        <f>$R54*(Electricity!AK48/Electricity!$R48)*(Electricity!AK45/Electricity!$R45)</f>
        <v>128.09735387693348</v>
      </c>
      <c r="AL54" s="33">
        <f>$R54*(Electricity!AL48/Electricity!$R48)*(Electricity!AL45/Electricity!$R45)</f>
        <v>127.84568548783643</v>
      </c>
      <c r="AM54" s="33">
        <f>$R54*(Electricity!AM48/Electricity!$R48)*(Electricity!AM45/Electricity!$R45)</f>
        <v>127.5945115428177</v>
      </c>
      <c r="AN54" s="33">
        <f>$R54*(Electricity!AN48/Electricity!$R48)*(Electricity!AN45/Electricity!$R45)</f>
        <v>127.34383107046028</v>
      </c>
      <c r="AO54" s="33">
        <f>$R54*(Electricity!AO48/Electricity!$R48)*(Electricity!AO45/Electricity!$R45)</f>
        <v>127.09364310125569</v>
      </c>
      <c r="AP54" s="33">
        <f>$R54*(Electricity!AP48/Electricity!$R48)*(Electricity!AP45/Electricity!$R45)</f>
        <v>126.84394666760028</v>
      </c>
      <c r="AQ54" s="33">
        <f>$R54*(Electricity!AQ48/Electricity!$R48)*(Electricity!AQ45/Electricity!$R45)</f>
        <v>127.57038526418786</v>
      </c>
      <c r="AR54" s="33"/>
      <c r="AS54" s="6">
        <f>ROW()</f>
        <v>54</v>
      </c>
    </row>
    <row r="55" spans="2:45" ht="13.95" customHeight="1">
      <c r="B55" s="31" t="str">
        <f>Summary!B103</f>
        <v>Personal Ground Travel (driving, boating, rec vehicles, etc.)</v>
      </c>
      <c r="G55" s="1221"/>
      <c r="H55" s="1222"/>
      <c r="I55" s="33">
        <f>'Personal Ground Travel'!I49*1000/(Parameters!$I$21*Parameters!$I$22)</f>
        <v>8768.7430715906157</v>
      </c>
      <c r="J55" s="33">
        <f>'Personal Ground Travel'!J49*1000/(Parameters!$I$21*Parameters!$I$22)</f>
        <v>8733.8690384121819</v>
      </c>
      <c r="K55" s="33">
        <f>'Personal Ground Travel'!K49*1000/(Parameters!$I$21*Parameters!$I$22)</f>
        <v>8582.3929954601026</v>
      </c>
      <c r="L55" s="33">
        <f>'Personal Ground Travel'!L49*1000/(Parameters!$I$21*Parameters!$I$22)</f>
        <v>8185.5125335769235</v>
      </c>
      <c r="M55" s="33">
        <f>'Personal Ground Travel'!M49*1000/(Parameters!$I$21*Parameters!$I$22)</f>
        <v>7996.4430913186798</v>
      </c>
      <c r="N55" s="33">
        <f>'Personal Ground Travel'!N49*1000/(Parameters!$I$21*Parameters!$I$22)</f>
        <v>7945.9510770013248</v>
      </c>
      <c r="O55" s="33">
        <f>'Personal Ground Travel'!O49*1000/(Parameters!$I$21*Parameters!$I$22)</f>
        <v>7796.2389472131654</v>
      </c>
      <c r="P55" s="33">
        <f>'Personal Ground Travel'!P49*1000/(Parameters!$I$21*Parameters!$I$22)</f>
        <v>7755.962929970211</v>
      </c>
      <c r="Q55" s="33">
        <f>'Personal Ground Travel'!Q49*1000/(Parameters!$I$21*Parameters!$I$22)</f>
        <v>7749.9729748510463</v>
      </c>
      <c r="R55" s="33">
        <f>'Personal Ground Travel'!R49*1000/(Parameters!$I$21*Parameters!$I$22)</f>
        <v>7871.8667241164658</v>
      </c>
      <c r="S55" s="33">
        <f>'Personal Ground Travel'!S49*1000/(Parameters!$I$21*Parameters!$I$22)</f>
        <v>8075.3400558009853</v>
      </c>
      <c r="T55" s="33">
        <f>'Personal Ground Travel'!T49*1000/(Parameters!$I$21*Parameters!$I$22)</f>
        <v>7995.2058947689384</v>
      </c>
      <c r="U55" s="33">
        <f>'Personal Ground Travel'!U49*1000/(Parameters!$I$21*Parameters!$I$22)</f>
        <v>8009.6426472533776</v>
      </c>
      <c r="V55" s="33">
        <f>'Personal Ground Travel'!V49*1000/(Parameters!$I$21*Parameters!$I$22)</f>
        <v>8030.8663569520904</v>
      </c>
      <c r="W55" s="33">
        <f>'Personal Ground Travel'!W49*1000/(Parameters!$I$21*Parameters!$I$22)</f>
        <v>8072.9150411288401</v>
      </c>
      <c r="X55" s="33">
        <f>'Personal Ground Travel'!X49*1000/(Parameters!$I$21*Parameters!$I$22)</f>
        <v>8044.2136931224522</v>
      </c>
      <c r="Y55" s="33">
        <f>'Personal Ground Travel'!Y49*1000/(Parameters!$I$21*Parameters!$I$22)</f>
        <v>8045.2114838419557</v>
      </c>
      <c r="Z55" s="33">
        <f>'Personal Ground Travel'!Z49*1000/(Parameters!$I$21*Parameters!$I$22)</f>
        <v>8087.4996003306342</v>
      </c>
      <c r="AA55" s="33">
        <f>'Personal Ground Travel'!AA49*1000/(Parameters!$I$21*Parameters!$I$22)</f>
        <v>8129.2674584420711</v>
      </c>
      <c r="AB55" s="33">
        <f>'Personal Ground Travel'!AB49*1000/(Parameters!$I$21*Parameters!$I$22)</f>
        <v>8159.1021997234911</v>
      </c>
      <c r="AC55" s="33">
        <f>'Personal Ground Travel'!AC49*1000/(Parameters!$I$21*Parameters!$I$22)</f>
        <v>8176.6830701375993</v>
      </c>
      <c r="AD55" s="33">
        <f>'Personal Ground Travel'!AD49*1000/(Parameters!$I$21*Parameters!$I$22)</f>
        <v>8136.3628977511671</v>
      </c>
      <c r="AE55" s="33">
        <f>'Personal Ground Travel'!AE49*1000/(Parameters!$I$21*Parameters!$I$22)</f>
        <v>8096.4814856876128</v>
      </c>
      <c r="AF55" s="33">
        <f>'Personal Ground Travel'!AF49*1000/(Parameters!$I$21*Parameters!$I$22)</f>
        <v>8057.0343543367599</v>
      </c>
      <c r="AG55" s="33">
        <f>'Personal Ground Travel'!AG49*1000/(Parameters!$I$21*Parameters!$I$22)</f>
        <v>8018.0170840797346</v>
      </c>
      <c r="AH55" s="33">
        <f>'Personal Ground Travel'!AH49*1000/(Parameters!$I$21*Parameters!$I$22)</f>
        <v>7973.9343042052033</v>
      </c>
      <c r="AI55" s="33">
        <f>'Personal Ground Travel'!AI49*1000/(Parameters!$I$21*Parameters!$I$22)</f>
        <v>7927.6805335287618</v>
      </c>
      <c r="AJ55" s="33">
        <f>'Personal Ground Travel'!AJ49*1000/(Parameters!$I$21*Parameters!$I$22)</f>
        <v>7881.203132251715</v>
      </c>
      <c r="AK55" s="33">
        <f>'Personal Ground Travel'!AK49*1000/(Parameters!$I$21*Parameters!$I$22)</f>
        <v>7834.5093214315057</v>
      </c>
      <c r="AL55" s="33">
        <f>'Personal Ground Travel'!AL49*1000/(Parameters!$I$21*Parameters!$I$22)</f>
        <v>7787.606317666965</v>
      </c>
      <c r="AM55" s="33">
        <f>'Personal Ground Travel'!AM49*1000/(Parameters!$I$21*Parameters!$I$22)</f>
        <v>7740.5013313103509</v>
      </c>
      <c r="AN55" s="33">
        <f>'Personal Ground Travel'!AN49*1000/(Parameters!$I$21*Parameters!$I$22)</f>
        <v>7693.2015646931186</v>
      </c>
      <c r="AO55" s="33">
        <f>'Personal Ground Travel'!AO49*1000/(Parameters!$I$21*Parameters!$I$22)</f>
        <v>7645.7142103660481</v>
      </c>
      <c r="AP55" s="33">
        <f>'Personal Ground Travel'!AP49*1000/(Parameters!$I$21*Parameters!$I$22)</f>
        <v>7598.0464493542459</v>
      </c>
      <c r="AQ55" s="33">
        <f>'Personal Ground Travel'!AQ49*1000/(Parameters!$I$21*Parameters!$I$22)</f>
        <v>7628.3318312950223</v>
      </c>
      <c r="AR55" s="33"/>
      <c r="AS55" s="6">
        <f>ROW()</f>
        <v>55</v>
      </c>
    </row>
    <row r="56" spans="2:45" ht="13.95" customHeight="1">
      <c r="B56" s="31" t="str">
        <f>Summary!B104</f>
        <v>Freight (goods movement by road, rail, ship, air)</v>
      </c>
      <c r="G56" s="1223"/>
      <c r="H56" s="1224"/>
      <c r="I56" s="33">
        <f>Freight!I37*1000/(Parameters!$I$21*Parameters!$I$22)</f>
        <v>3267.9976090272644</v>
      </c>
      <c r="J56" s="33">
        <f>Freight!J37*1000/(Parameters!$I$21*Parameters!$I$22)</f>
        <v>3368.270048232936</v>
      </c>
      <c r="K56" s="33">
        <f>Freight!K37*1000/(Parameters!$I$21*Parameters!$I$22)</f>
        <v>3561.0647093693601</v>
      </c>
      <c r="L56" s="33">
        <f>Freight!L37*1000/(Parameters!$I$21*Parameters!$I$22)</f>
        <v>3400.2957394516111</v>
      </c>
      <c r="M56" s="33">
        <f>Freight!M37*1000/(Parameters!$I$21*Parameters!$I$22)</f>
        <v>3046.8922368535309</v>
      </c>
      <c r="N56" s="33">
        <f>Freight!N37*1000/(Parameters!$I$21*Parameters!$I$22)</f>
        <v>3198.501859082739</v>
      </c>
      <c r="O56" s="33">
        <f>Freight!O37*1000/(Parameters!$I$21*Parameters!$I$22)</f>
        <v>3167.5650413654989</v>
      </c>
      <c r="P56" s="33">
        <f>Freight!P37*1000/(Parameters!$I$21*Parameters!$I$22)</f>
        <v>3085.4511690808158</v>
      </c>
      <c r="Q56" s="33">
        <f>Freight!Q37*1000/(Parameters!$I$21*Parameters!$I$22)</f>
        <v>3089.3903291007132</v>
      </c>
      <c r="R56" s="33">
        <f>Freight!R37*1000/(Parameters!$I$21*Parameters!$I$22)</f>
        <v>3090.7674338231163</v>
      </c>
      <c r="S56" s="33">
        <f>Freight!S37*1000/(Parameters!$I$21*Parameters!$I$22)</f>
        <v>3074.97951080251</v>
      </c>
      <c r="T56" s="33">
        <f>Freight!T37*1000/(Parameters!$I$21*Parameters!$I$22)</f>
        <v>3075.5029564742226</v>
      </c>
      <c r="U56" s="33">
        <f>Freight!U37*1000/(Parameters!$I$21*Parameters!$I$22)</f>
        <v>3076.0264912507141</v>
      </c>
      <c r="V56" s="33">
        <f>Freight!V37*1000/(Parameters!$I$21*Parameters!$I$22)</f>
        <v>3076.550115147154</v>
      </c>
      <c r="W56" s="33">
        <f>Freight!W37*1000/(Parameters!$I$21*Parameters!$I$22)</f>
        <v>3077.0738281787112</v>
      </c>
      <c r="X56" s="33">
        <f>Freight!X37*1000/(Parameters!$I$21*Parameters!$I$22)</f>
        <v>3071.4198645445326</v>
      </c>
      <c r="Y56" s="33">
        <f>Freight!Y37*1000/(Parameters!$I$21*Parameters!$I$22)</f>
        <v>3080.3619572889138</v>
      </c>
      <c r="Z56" s="33">
        <f>Freight!Z37*1000/(Parameters!$I$21*Parameters!$I$22)</f>
        <v>3089.3300839284243</v>
      </c>
      <c r="AA56" s="33">
        <f>Freight!AA37*1000/(Parameters!$I$21*Parameters!$I$22)</f>
        <v>3098.3243202578142</v>
      </c>
      <c r="AB56" s="33">
        <f>Freight!AB37*1000/(Parameters!$I$21*Parameters!$I$22)</f>
        <v>3107.3447422925037</v>
      </c>
      <c r="AC56" s="33">
        <f>Freight!AC37*1000/(Parameters!$I$21*Parameters!$I$22)</f>
        <v>3116.3914262692206</v>
      </c>
      <c r="AD56" s="33">
        <f>Freight!AD37*1000/(Parameters!$I$21*Parameters!$I$22)</f>
        <v>3125.4644486466505</v>
      </c>
      <c r="AE56" s="33">
        <f>Freight!AE37*1000/(Parameters!$I$21*Parameters!$I$22)</f>
        <v>3134.5638861060779</v>
      </c>
      <c r="AF56" s="33">
        <f>Freight!AF37*1000/(Parameters!$I$21*Parameters!$I$22)</f>
        <v>3143.6898155520371</v>
      </c>
      <c r="AG56" s="33">
        <f>Freight!AG37*1000/(Parameters!$I$21*Parameters!$I$22)</f>
        <v>3152.8423141129601</v>
      </c>
      <c r="AH56" s="33">
        <f>Freight!AH37*1000/(Parameters!$I$21*Parameters!$I$22)</f>
        <v>3159.4105196386886</v>
      </c>
      <c r="AI56" s="33">
        <f>Freight!AI37*1000/(Parameters!$I$21*Parameters!$I$22)</f>
        <v>3166.8272172265588</v>
      </c>
      <c r="AJ56" s="33">
        <f>Freight!AJ37*1000/(Parameters!$I$21*Parameters!$I$22)</f>
        <v>3174.261325468337</v>
      </c>
      <c r="AK56" s="33">
        <f>Freight!AK37*1000/(Parameters!$I$21*Parameters!$I$22)</f>
        <v>3181.7128852354303</v>
      </c>
      <c r="AL56" s="33">
        <f>Freight!AL37*1000/(Parameters!$I$21*Parameters!$I$22)</f>
        <v>3189.1819374951915</v>
      </c>
      <c r="AM56" s="33">
        <f>Freight!AM37*1000/(Parameters!$I$21*Parameters!$I$22)</f>
        <v>3196.6685233111443</v>
      </c>
      <c r="AN56" s="33">
        <f>Freight!AN37*1000/(Parameters!$I$21*Parameters!$I$22)</f>
        <v>3204.1726838432091</v>
      </c>
      <c r="AO56" s="33">
        <f>Freight!AO37*1000/(Parameters!$I$21*Parameters!$I$22)</f>
        <v>3211.6944603479283</v>
      </c>
      <c r="AP56" s="33">
        <f>Freight!AP37*1000/(Parameters!$I$21*Parameters!$I$22)</f>
        <v>3219.2338941786929</v>
      </c>
      <c r="AQ56" s="33">
        <f>Freight!AQ37*1000/(Parameters!$I$21*Parameters!$I$22)</f>
        <v>3286.2011690642621</v>
      </c>
      <c r="AR56" s="33"/>
      <c r="AS56" s="6">
        <f>ROW()</f>
        <v>56</v>
      </c>
    </row>
    <row r="57" spans="2:45" ht="13.95" customHeight="1">
      <c r="B57" s="31" t="str">
        <f>Summary!B105</f>
        <v>Aviation (passenger only)</v>
      </c>
      <c r="I57" s="33">
        <f>Aviation!I37*1000/(Parameters!$I$21*Parameters!$I$22)</f>
        <v>1585.0508484884269</v>
      </c>
      <c r="J57" s="33">
        <f>Aviation!J37*1000/(Parameters!$I$21*Parameters!$I$22)</f>
        <v>1568.0072909777989</v>
      </c>
      <c r="K57" s="33">
        <f>Aviation!K37*1000/(Parameters!$I$21*Parameters!$I$22)</f>
        <v>1558.462898771847</v>
      </c>
      <c r="L57" s="33">
        <f>Aviation!L37*1000/(Parameters!$I$21*Parameters!$I$22)</f>
        <v>1456.2015537080774</v>
      </c>
      <c r="M57" s="33">
        <f>Aviation!M37*1000/(Parameters!$I$21*Parameters!$I$22)</f>
        <v>1317.8078667217762</v>
      </c>
      <c r="N57" s="33">
        <f>Aviation!N37*1000/(Parameters!$I$21*Parameters!$I$22)</f>
        <v>1368.938539253661</v>
      </c>
      <c r="O57" s="33">
        <f>Aviation!O37*1000/(Parameters!$I$21*Parameters!$I$22)</f>
        <v>1375.0742199574875</v>
      </c>
      <c r="P57" s="33">
        <f>Aviation!P37*1000/(Parameters!$I$21*Parameters!$I$22)</f>
        <v>1346.4410433396315</v>
      </c>
      <c r="Q57" s="33">
        <f>Aviation!Q37*1000/(Parameters!$I$21*Parameters!$I$22)</f>
        <v>1389.390808266415</v>
      </c>
      <c r="R57" s="33">
        <f>Aviation!R37*1000/(Parameters!$I$21*Parameters!$I$22)</f>
        <v>1391.4360351676903</v>
      </c>
      <c r="S57" s="33">
        <f>Aviation!S37*1000/(Parameters!$I$21*Parameters!$I$22)</f>
        <v>1455.2364162423676</v>
      </c>
      <c r="T57" s="33">
        <f>Aviation!T37*1000/(Parameters!$I$21*Parameters!$I$22)</f>
        <v>1431.0804079978598</v>
      </c>
      <c r="U57" s="33">
        <f>Aviation!U37*1000/(Parameters!$I$21*Parameters!$I$22)</f>
        <v>1407.3253742807869</v>
      </c>
      <c r="V57" s="33">
        <f>Aviation!V37*1000/(Parameters!$I$21*Parameters!$I$22)</f>
        <v>1383.9646591664605</v>
      </c>
      <c r="W57" s="33">
        <f>Aviation!W37*1000/(Parameters!$I$21*Parameters!$I$22)</f>
        <v>1360.9917172143505</v>
      </c>
      <c r="X57" s="33">
        <f>Aviation!X37*1000/(Parameters!$I$21*Parameters!$I$22)</f>
        <v>1340.2612086972872</v>
      </c>
      <c r="Y57" s="33">
        <f>Aviation!Y37*1000/(Parameters!$I$21*Parameters!$I$22)</f>
        <v>1346.1011928607454</v>
      </c>
      <c r="Z57" s="33">
        <f>Aviation!Z37*1000/(Parameters!$I$21*Parameters!$I$22)</f>
        <v>1351.9666238660643</v>
      </c>
      <c r="AA57" s="33">
        <f>Aviation!AA37*1000/(Parameters!$I$21*Parameters!$I$22)</f>
        <v>1357.8576125939826</v>
      </c>
      <c r="AB57" s="33">
        <f>Aviation!AB37*1000/(Parameters!$I$21*Parameters!$I$22)</f>
        <v>1363.7742704083857</v>
      </c>
      <c r="AC57" s="33">
        <f>Aviation!AC37*1000/(Parameters!$I$21*Parameters!$I$22)</f>
        <v>1369.7167091584097</v>
      </c>
      <c r="AD57" s="33">
        <f>Aviation!AD37*1000/(Parameters!$I$21*Parameters!$I$22)</f>
        <v>1375.6850411805567</v>
      </c>
      <c r="AE57" s="33">
        <f>Aviation!AE37*1000/(Parameters!$I$21*Parameters!$I$22)</f>
        <v>1381.6793793008176</v>
      </c>
      <c r="AF57" s="33">
        <f>Aviation!AF37*1000/(Parameters!$I$21*Parameters!$I$22)</f>
        <v>1387.6998368368054</v>
      </c>
      <c r="AG57" s="33">
        <f>Aviation!AG37*1000/(Parameters!$I$21*Parameters!$I$22)</f>
        <v>1393.7465275998977</v>
      </c>
      <c r="AH57" s="33">
        <f>Aviation!AH37*1000/(Parameters!$I$21*Parameters!$I$22)</f>
        <v>1400.9754201427002</v>
      </c>
      <c r="AI57" s="33">
        <f>Aviation!AI37*1000/(Parameters!$I$21*Parameters!$I$22)</f>
        <v>1409.1940969621937</v>
      </c>
      <c r="AJ57" s="33">
        <f>Aviation!AJ37*1000/(Parameters!$I$21*Parameters!$I$22)</f>
        <v>1417.4609877957889</v>
      </c>
      <c r="AK57" s="33">
        <f>Aviation!AK37*1000/(Parameters!$I$21*Parameters!$I$22)</f>
        <v>1425.7763754859934</v>
      </c>
      <c r="AL57" s="33">
        <f>Aviation!AL37*1000/(Parameters!$I$21*Parameters!$I$22)</f>
        <v>1434.1405445345799</v>
      </c>
      <c r="AM57" s="33">
        <f>Aviation!AM37*1000/(Parameters!$I$21*Parameters!$I$22)</f>
        <v>1442.5537811123218</v>
      </c>
      <c r="AN57" s="33">
        <f>Aviation!AN37*1000/(Parameters!$I$21*Parameters!$I$22)</f>
        <v>1451.0163730687837</v>
      </c>
      <c r="AO57" s="33">
        <f>Aviation!AO37*1000/(Parameters!$I$21*Parameters!$I$22)</f>
        <v>1459.5286099421696</v>
      </c>
      <c r="AP57" s="33">
        <f>Aviation!AP37*1000/(Parameters!$I$21*Parameters!$I$22)</f>
        <v>1468.0907829692292</v>
      </c>
      <c r="AQ57" s="33">
        <f>Aviation!AQ37*1000/(Parameters!$I$21*Parameters!$I$22)</f>
        <v>1500.2079344284809</v>
      </c>
      <c r="AR57" s="33"/>
      <c r="AS57" s="6">
        <f>ROW()</f>
        <v>57</v>
      </c>
    </row>
    <row r="58" spans="2:45" ht="13.95" customHeight="1">
      <c r="B58" s="14" t="s">
        <v>1130</v>
      </c>
      <c r="I58" s="33">
        <f>'Oil Refining'!I74*1000/(Parameters!$I$21*Parameters!$I$22)</f>
        <v>2092.3235672517594</v>
      </c>
      <c r="J58" s="33">
        <f>'Oil Refining'!J74*1000/(Parameters!$I$21*Parameters!$I$22)</f>
        <v>2083.8010601000497</v>
      </c>
      <c r="K58" s="33">
        <f>'Oil Refining'!K74*1000/(Parameters!$I$21*Parameters!$I$22)</f>
        <v>2098.2568889117597</v>
      </c>
      <c r="L58" s="33">
        <f>'Oil Refining'!L74*1000/(Parameters!$I$21*Parameters!$I$22)</f>
        <v>2004.6595524012846</v>
      </c>
      <c r="M58" s="33">
        <f>'Oil Refining'!M74*1000/(Parameters!$I$21*Parameters!$I$22)</f>
        <v>1956.6718623451613</v>
      </c>
      <c r="N58" s="33">
        <f>'Oil Refining'!N74*1000/(Parameters!$I$21*Parameters!$I$22)</f>
        <v>2028.7902067053008</v>
      </c>
      <c r="O58" s="33">
        <f>'Oil Refining'!O74*1000/(Parameters!$I$21*Parameters!$I$22)</f>
        <v>2044.9321245809231</v>
      </c>
      <c r="P58" s="33">
        <f>'Oil Refining'!P74*1000/(Parameters!$I$21*Parameters!$I$22)</f>
        <v>2064.797982700567</v>
      </c>
      <c r="Q58" s="33">
        <f>'Oil Refining'!Q74*1000/(Parameters!$I$21*Parameters!$I$22)</f>
        <v>2109.3041585224214</v>
      </c>
      <c r="R58" s="33">
        <f>'Oil Refining'!R74*1000/(Parameters!$I$21*Parameters!$I$22)</f>
        <v>2160.126602725561</v>
      </c>
      <c r="S58" s="33">
        <f>'Oil Refining'!S74*1000/(Parameters!$I$21*Parameters!$I$22)</f>
        <v>2223.7830467471713</v>
      </c>
      <c r="T58" s="33">
        <f>'Oil Refining'!T74*1000/(Parameters!$I$21*Parameters!$I$22)</f>
        <v>2193.6192363977798</v>
      </c>
      <c r="U58" s="33">
        <f>'Oil Refining'!U74*1000/(Parameters!$I$21*Parameters!$I$22)</f>
        <v>2187.3179134679326</v>
      </c>
      <c r="V58" s="33">
        <f>'Oil Refining'!V74*1000/(Parameters!$I$21*Parameters!$I$22)</f>
        <v>2182.3654976340258</v>
      </c>
      <c r="W58" s="33">
        <f>'Oil Refining'!W74*1000/(Parameters!$I$21*Parameters!$I$22)</f>
        <v>2181.2098767865896</v>
      </c>
      <c r="X58" s="33">
        <f>'Oil Refining'!X74*1000/(Parameters!$I$21*Parameters!$I$22)</f>
        <v>2166.6717920019264</v>
      </c>
      <c r="Y58" s="33">
        <f>'Oil Refining'!Y74*1000/(Parameters!$I$21*Parameters!$I$22)</f>
        <v>2162.5887062039033</v>
      </c>
      <c r="Z58" s="33">
        <f>'Oil Refining'!Z74*1000/(Parameters!$I$21*Parameters!$I$22)</f>
        <v>2165.7476617379821</v>
      </c>
      <c r="AA58" s="33">
        <f>'Oil Refining'!AA74*1000/(Parameters!$I$21*Parameters!$I$22)</f>
        <v>2168.8444594784251</v>
      </c>
      <c r="AB58" s="33">
        <f>'Oil Refining'!AB74*1000/(Parameters!$I$21*Parameters!$I$22)</f>
        <v>2169.8851250592452</v>
      </c>
      <c r="AC58" s="33">
        <f>'Oil Refining'!AC74*1000/(Parameters!$I$21*Parameters!$I$22)</f>
        <v>2168.8133822281725</v>
      </c>
      <c r="AD58" s="33">
        <f>'Oil Refining'!AD74*1000/(Parameters!$I$21*Parameters!$I$22)</f>
        <v>2157.6548203919087</v>
      </c>
      <c r="AE58" s="33">
        <f>'Oil Refining'!AE74*1000/(Parameters!$I$21*Parameters!$I$22)</f>
        <v>2146.6006649468027</v>
      </c>
      <c r="AF58" s="33">
        <f>'Oil Refining'!AF74*1000/(Parameters!$I$21*Parameters!$I$22)</f>
        <v>2135.6498974486731</v>
      </c>
      <c r="AG58" s="33">
        <f>'Oil Refining'!AG74*1000/(Parameters!$I$21*Parameters!$I$22)</f>
        <v>2124.8015123366195</v>
      </c>
      <c r="AH58" s="33">
        <f>'Oil Refining'!AH74*1000/(Parameters!$I$21*Parameters!$I$22)</f>
        <v>2112.6528005226701</v>
      </c>
      <c r="AI58" s="33">
        <f>'Oil Refining'!AI74*1000/(Parameters!$I$21*Parameters!$I$22)</f>
        <v>2100.3812329788916</v>
      </c>
      <c r="AJ58" s="33">
        <f>'Oil Refining'!AJ74*1000/(Parameters!$I$21*Parameters!$I$22)</f>
        <v>2088.0974787182836</v>
      </c>
      <c r="AK58" s="33">
        <f>'Oil Refining'!AK74*1000/(Parameters!$I$21*Parameters!$I$22)</f>
        <v>2075.8026037215204</v>
      </c>
      <c r="AL58" s="33">
        <f>'Oil Refining'!AL74*1000/(Parameters!$I$21*Parameters!$I$22)</f>
        <v>2063.4976748082217</v>
      </c>
      <c r="AM58" s="33">
        <f>'Oil Refining'!AM74*1000/(Parameters!$I$21*Parameters!$I$22)</f>
        <v>2051.1837593097498</v>
      </c>
      <c r="AN58" s="33">
        <f>'Oil Refining'!AN74*1000/(Parameters!$I$21*Parameters!$I$22)</f>
        <v>2038.8619247445538</v>
      </c>
      <c r="AO58" s="33">
        <f>'Oil Refining'!AO74*1000/(Parameters!$I$21*Parameters!$I$22)</f>
        <v>2026.5332384961644</v>
      </c>
      <c r="AP58" s="33">
        <f>'Oil Refining'!AP74*1000/(Parameters!$I$21*Parameters!$I$22)</f>
        <v>2014.1987674939305</v>
      </c>
      <c r="AQ58" s="33">
        <f>'Oil Refining'!AQ74*1000/(Parameters!$I$21*Parameters!$I$22)</f>
        <v>2027.8720365887302</v>
      </c>
      <c r="AR58" s="33"/>
      <c r="AS58" s="6">
        <f>ROW()</f>
        <v>58</v>
      </c>
    </row>
    <row r="59" spans="2:45" ht="13.95" customHeight="1">
      <c r="B59" s="14" t="s">
        <v>1183</v>
      </c>
      <c r="I59" s="33">
        <f>Other_Petrol!I48*1000/(Parameters!$I$22*Parameters!$I$21)</f>
        <v>1927.0542933059819</v>
      </c>
      <c r="J59" s="33">
        <f>Other_Petrol!J48*1000/(Parameters!$I$22*Parameters!$I$21)</f>
        <v>2095.5658744729494</v>
      </c>
      <c r="K59" s="33">
        <f>Other_Petrol!K48*1000/(Parameters!$I$22*Parameters!$I$21)</f>
        <v>2127.4598890553884</v>
      </c>
      <c r="L59" s="33">
        <f>Other_Petrol!L48*1000/(Parameters!$I$22*Parameters!$I$21)</f>
        <v>1919.6179311571902</v>
      </c>
      <c r="M59" s="33">
        <f>Other_Petrol!M48*1000/(Parameters!$I$22*Parameters!$I$21)</f>
        <v>2212.0256795416485</v>
      </c>
      <c r="N59" s="33">
        <f>Other_Petrol!N48*1000/(Parameters!$I$22*Parameters!$I$21)</f>
        <v>2280.9839766058421</v>
      </c>
      <c r="O59" s="33">
        <f>Other_Petrol!O48*1000/(Parameters!$I$22*Parameters!$I$21)</f>
        <v>2150.9070925365268</v>
      </c>
      <c r="P59" s="33">
        <f>Other_Petrol!P48*1000/(Parameters!$I$22*Parameters!$I$21)</f>
        <v>1970.4002067208112</v>
      </c>
      <c r="Q59" s="33">
        <f>Other_Petrol!Q48*1000/(Parameters!$I$22*Parameters!$I$21)</f>
        <v>2342.0845275253664</v>
      </c>
      <c r="R59" s="33">
        <f>Other_Petrol!R48*1000/(Parameters!$I$22*Parameters!$I$21)</f>
        <v>2304.0102140516319</v>
      </c>
      <c r="S59" s="33">
        <f>Other_Petrol!S48*1000/(Parameters!$I$22*Parameters!$I$21)</f>
        <v>1926.0563211448771</v>
      </c>
      <c r="T59" s="33">
        <f>Other_Petrol!T48*1000/(Parameters!$I$22*Parameters!$I$21)</f>
        <v>1948.5175086835327</v>
      </c>
      <c r="U59" s="33">
        <f>Other_Petrol!U48*1000/(Parameters!$I$22*Parameters!$I$21)</f>
        <v>1945.1441401890067</v>
      </c>
      <c r="V59" s="33">
        <f>Other_Petrol!V48*1000/(Parameters!$I$22*Parameters!$I$21)</f>
        <v>1940.3330840051169</v>
      </c>
      <c r="W59" s="33">
        <f>Other_Petrol!W48*1000/(Parameters!$I$22*Parameters!$I$21)</f>
        <v>1931.4316205506739</v>
      </c>
      <c r="X59" s="33">
        <f>Other_Petrol!X48*1000/(Parameters!$I$22*Parameters!$I$21)</f>
        <v>1950.2390502378257</v>
      </c>
      <c r="Y59" s="33">
        <f>Other_Petrol!Y48*1000/(Parameters!$I$22*Parameters!$I$21)</f>
        <v>1957.7190516631094</v>
      </c>
      <c r="Z59" s="33">
        <f>Other_Petrol!Z48*1000/(Parameters!$I$22*Parameters!$I$21)</f>
        <v>1957.3533599060368</v>
      </c>
      <c r="AA59" s="33">
        <f>Other_Petrol!AA48*1000/(Parameters!$I$22*Parameters!$I$21)</f>
        <v>1957.0571991151344</v>
      </c>
      <c r="AB59" s="33">
        <f>Other_Petrol!AB48*1000/(Parameters!$I$22*Parameters!$I$21)</f>
        <v>1958.9913485884388</v>
      </c>
      <c r="AC59" s="33">
        <f>Other_Petrol!AC48*1000/(Parameters!$I$22*Parameters!$I$21)</f>
        <v>1963.2167938425498</v>
      </c>
      <c r="AD59" s="33">
        <f>Other_Petrol!AD48*1000/(Parameters!$I$22*Parameters!$I$21)</f>
        <v>1978.37503618392</v>
      </c>
      <c r="AE59" s="33">
        <f>Other_Petrol!AE48*1000/(Parameters!$I$22*Parameters!$I$21)</f>
        <v>1993.4223177784008</v>
      </c>
      <c r="AF59" s="33">
        <f>Other_Petrol!AF48*1000/(Parameters!$I$22*Parameters!$I$21)</f>
        <v>2008.3597438162137</v>
      </c>
      <c r="AG59" s="33">
        <f>Other_Petrol!AG48*1000/(Parameters!$I$22*Parameters!$I$21)</f>
        <v>2023.1884055276689</v>
      </c>
      <c r="AH59" s="33">
        <f>Other_Petrol!AH48*1000/(Parameters!$I$22*Parameters!$I$21)</f>
        <v>2037.5901356955924</v>
      </c>
      <c r="AI59" s="33">
        <f>Other_Petrol!AI48*1000/(Parameters!$I$22*Parameters!$I$21)</f>
        <v>2052.1253525165012</v>
      </c>
      <c r="AJ59" s="33">
        <f>Other_Petrol!AJ48*1000/(Parameters!$I$22*Parameters!$I$21)</f>
        <v>2066.674129203097</v>
      </c>
      <c r="AK59" s="33">
        <f>Other_Petrol!AK48*1000/(Parameters!$I$22*Parameters!$I$21)</f>
        <v>2081.2353107025692</v>
      </c>
      <c r="AL59" s="33">
        <f>Other_Petrol!AL48*1000/(Parameters!$I$22*Parameters!$I$21)</f>
        <v>2095.8077410530059</v>
      </c>
      <c r="AM59" s="33">
        <f>Other_Petrol!AM48*1000/(Parameters!$I$22*Parameters!$I$21)</f>
        <v>2110.390263737977</v>
      </c>
      <c r="AN59" s="33">
        <f>Other_Petrol!AN48*1000/(Parameters!$I$22*Parameters!$I$21)</f>
        <v>2124.9817220383411</v>
      </c>
      <c r="AO59" s="33">
        <f>Other_Petrol!AO48*1000/(Parameters!$I$22*Parameters!$I$21)</f>
        <v>2139.5809593811941</v>
      </c>
      <c r="AP59" s="33">
        <f>Other_Petrol!AP48*1000/(Parameters!$I$22*Parameters!$I$21)</f>
        <v>2154.1868196858327</v>
      </c>
      <c r="AQ59" s="33">
        <f>Other_Petrol!AQ48*1000/(Parameters!$I$22*Parameters!$I$21)</f>
        <v>2229.5865647450642</v>
      </c>
      <c r="AR59" s="33"/>
      <c r="AS59" s="6">
        <f>ROW()</f>
        <v>59</v>
      </c>
    </row>
    <row r="60" spans="2:45" ht="13.95" customHeight="1">
      <c r="B60" s="31" t="str">
        <f>Summary!B108</f>
        <v>"Other" Natural Gas (industry, heat/hot water, etc.)</v>
      </c>
      <c r="I60" s="33">
        <v>0</v>
      </c>
      <c r="J60" s="33">
        <v>0</v>
      </c>
      <c r="K60" s="33">
        <v>0</v>
      </c>
      <c r="L60" s="33">
        <v>0</v>
      </c>
      <c r="M60" s="33">
        <v>0</v>
      </c>
      <c r="N60" s="33">
        <v>0</v>
      </c>
      <c r="O60" s="33">
        <v>0</v>
      </c>
      <c r="P60" s="33">
        <v>0</v>
      </c>
      <c r="Q60" s="33">
        <v>0</v>
      </c>
      <c r="R60" s="33">
        <v>0</v>
      </c>
      <c r="S60" s="33">
        <v>0</v>
      </c>
      <c r="T60" s="33">
        <v>0</v>
      </c>
      <c r="U60" s="33">
        <v>0</v>
      </c>
      <c r="V60" s="33">
        <v>0</v>
      </c>
      <c r="W60" s="33">
        <v>0</v>
      </c>
      <c r="X60" s="33">
        <v>0</v>
      </c>
      <c r="Y60" s="33">
        <v>0</v>
      </c>
      <c r="Z60" s="33">
        <v>0</v>
      </c>
      <c r="AA60" s="33">
        <v>0</v>
      </c>
      <c r="AB60" s="33">
        <v>0</v>
      </c>
      <c r="AC60" s="33">
        <v>0</v>
      </c>
      <c r="AD60" s="33">
        <v>0</v>
      </c>
      <c r="AE60" s="33">
        <v>0</v>
      </c>
      <c r="AF60" s="33">
        <v>0</v>
      </c>
      <c r="AG60" s="33">
        <v>0</v>
      </c>
      <c r="AH60" s="33">
        <v>0</v>
      </c>
      <c r="AI60" s="33">
        <v>0</v>
      </c>
      <c r="AJ60" s="33">
        <v>0</v>
      </c>
      <c r="AK60" s="33">
        <v>0</v>
      </c>
      <c r="AL60" s="33">
        <v>0</v>
      </c>
      <c r="AM60" s="33">
        <v>0</v>
      </c>
      <c r="AN60" s="33">
        <v>0</v>
      </c>
      <c r="AO60" s="33">
        <v>0</v>
      </c>
      <c r="AP60" s="33">
        <v>0</v>
      </c>
      <c r="AQ60" s="33">
        <v>0</v>
      </c>
      <c r="AR60" s="33"/>
      <c r="AS60" s="6">
        <f>ROW()</f>
        <v>60</v>
      </c>
    </row>
    <row r="61" spans="2:45" ht="13.95" customHeight="1">
      <c r="B61" s="14" t="s">
        <v>797</v>
      </c>
      <c r="I61" s="33">
        <f>1000000*(Miscellany!I43*Miscellany!$Z$51)/(Parameters!$H$42*Parameters!$I$22)</f>
        <v>2545.6846714185467</v>
      </c>
      <c r="J61" s="33">
        <f>1000000*(Miscellany!J43*Miscellany!$Z$51)/(Parameters!$H$42*Parameters!$I$22)</f>
        <v>2470.3223535284601</v>
      </c>
      <c r="K61" s="33">
        <f>1000000*(Miscellany!K43*Miscellany!$Z$51)/(Parameters!$H$42*Parameters!$I$22)</f>
        <v>2371.0714383400455</v>
      </c>
      <c r="L61" s="33">
        <f>1000000*(Miscellany!L43*Miscellany!$Z$51)/(Parameters!$H$42*Parameters!$I$22)</f>
        <v>2273.1121581380876</v>
      </c>
      <c r="M61" s="33">
        <f>1000000*(Miscellany!M43*Miscellany!$Z$51)/(Parameters!$H$42*Parameters!$I$22)</f>
        <v>2085.6131798136817</v>
      </c>
      <c r="N61" s="33">
        <f>1000000*(Miscellany!N43*Miscellany!$Z$51)/(Parameters!$H$42*Parameters!$I$22)</f>
        <v>2205.5113343012285</v>
      </c>
      <c r="O61" s="33">
        <f>1000000*(Miscellany!O43*Miscellany!$Z$51)/(Parameters!$H$42*Parameters!$I$22)</f>
        <v>2143.7968763565564</v>
      </c>
      <c r="P61" s="33">
        <f>1000000*(Miscellany!P43*Miscellany!$Z$51)/(Parameters!$H$42*Parameters!$I$22)</f>
        <v>2087.7381358771968</v>
      </c>
      <c r="Q61" s="33">
        <f>1000000*(Miscellany!Q43*Miscellany!$Z$51)/(Parameters!$H$42*Parameters!$I$22)</f>
        <v>2173.3803653875598</v>
      </c>
      <c r="R61" s="33">
        <f>1000000*(Miscellany!R43*Miscellany!$Z$51)/(Parameters!$H$42*Parameters!$I$22)</f>
        <v>2145.638766775251</v>
      </c>
      <c r="S61" s="33">
        <f>1000000*(Miscellany!S43*Miscellany!$Z$51)/(Parameters!$H$42*Parameters!$I$22)</f>
        <v>2130.6415718488183</v>
      </c>
      <c r="T61" s="33">
        <f>1000000*(Miscellany!T43*Miscellany!$Z$51)/(Parameters!$H$42*Parameters!$I$22)</f>
        <v>2160.6351021584346</v>
      </c>
      <c r="U61" s="33">
        <f>1000000*(Miscellany!U43*Miscellany!$Z$51)/(Parameters!$H$42*Parameters!$I$22)</f>
        <v>2168.8979242175324</v>
      </c>
      <c r="V61" s="33">
        <f>1000000*(Miscellany!V43*Miscellany!$Z$51)/(Parameters!$H$42*Parameters!$I$22)</f>
        <v>2177.0603329357032</v>
      </c>
      <c r="W61" s="33">
        <f>1000000*(Miscellany!W43*Miscellany!$Z$51)/(Parameters!$H$42*Parameters!$I$22)</f>
        <v>2185.1232377099209</v>
      </c>
      <c r="X61" s="33">
        <f>1000000*(Miscellany!X43*Miscellany!$Z$51)/(Parameters!$H$42*Parameters!$I$22)</f>
        <v>2191.8689503332821</v>
      </c>
      <c r="Y61" s="33">
        <f>1000000*(Miscellany!Y43*Miscellany!$Z$51)/(Parameters!$H$42*Parameters!$I$22)</f>
        <v>2201.5504314158243</v>
      </c>
      <c r="Z61" s="33">
        <f>1000000*(Miscellany!Z43*Miscellany!$Z$51)/(Parameters!$H$42*Parameters!$I$22)</f>
        <v>2211.2159199932044</v>
      </c>
      <c r="AA61" s="33">
        <f>1000000*(Miscellany!AA43*Miscellany!$Z$51)/(Parameters!$H$42*Parameters!$I$22)</f>
        <v>2220.8655682205444</v>
      </c>
      <c r="AB61" s="33">
        <f>1000000*(Miscellany!AB43*Miscellany!$Z$51)/(Parameters!$H$42*Parameters!$I$22)</f>
        <v>2230.4995381403046</v>
      </c>
      <c r="AC61" s="33">
        <f>1000000*(Miscellany!AC43*Miscellany!$Z$51)/(Parameters!$H$42*Parameters!$I$22)</f>
        <v>2240.1180013810631</v>
      </c>
      <c r="AD61" s="33">
        <f>1000000*(Miscellany!AD43*Miscellany!$Z$51)/(Parameters!$H$42*Parameters!$I$22)</f>
        <v>2249.7211388567357</v>
      </c>
      <c r="AE61" s="33">
        <f>1000000*(Miscellany!AE43*Miscellany!$Z$51)/(Parameters!$H$42*Parameters!$I$22)</f>
        <v>2259.3091404665988</v>
      </c>
      <c r="AF61" s="33">
        <f>1000000*(Miscellany!AF43*Miscellany!$Z$51)/(Parameters!$H$42*Parameters!$I$22)</f>
        <v>2268.8822047964541</v>
      </c>
      <c r="AG61" s="33">
        <f>1000000*(Miscellany!AG43*Miscellany!$Z$51)/(Parameters!$H$42*Parameters!$I$22)</f>
        <v>2278.4405388212631</v>
      </c>
      <c r="AH61" s="33">
        <f>1000000*(Miscellany!AH43*Miscellany!$Z$51)/(Parameters!$H$42*Parameters!$I$22)</f>
        <v>2287.229103450557</v>
      </c>
      <c r="AI61" s="33">
        <f>1000000*(Miscellany!AI43*Miscellany!$Z$51)/(Parameters!$H$42*Parameters!$I$22)</f>
        <v>2294.8212865734781</v>
      </c>
      <c r="AJ61" s="33">
        <f>1000000*(Miscellany!AJ43*Miscellany!$Z$51)/(Parameters!$H$42*Parameters!$I$22)</f>
        <v>2302.3877268294113</v>
      </c>
      <c r="AK61" s="33">
        <f>1000000*(Miscellany!AK43*Miscellany!$Z$51)/(Parameters!$H$42*Parameters!$I$22)</f>
        <v>2309.9286867643782</v>
      </c>
      <c r="AL61" s="33">
        <f>1000000*(Miscellany!AL43*Miscellany!$Z$51)/(Parameters!$H$42*Parameters!$I$22)</f>
        <v>2317.4444344649119</v>
      </c>
      <c r="AM61" s="33">
        <f>1000000*(Miscellany!AM43*Miscellany!$Z$51)/(Parameters!$H$42*Parameters!$I$22)</f>
        <v>2324.9352432890714</v>
      </c>
      <c r="AN61" s="33">
        <f>1000000*(Miscellany!AN43*Miscellany!$Z$51)/(Parameters!$H$42*Parameters!$I$22)</f>
        <v>2332.4013916014292</v>
      </c>
      <c r="AO61" s="33">
        <f>1000000*(Miscellany!AO43*Miscellany!$Z$51)/(Parameters!$H$42*Parameters!$I$22)</f>
        <v>2339.8431625121862</v>
      </c>
      <c r="AP61" s="33">
        <f>1000000*(Miscellany!AP43*Miscellany!$Z$51)/(Parameters!$H$42*Parameters!$I$22)</f>
        <v>2347.2608436205528</v>
      </c>
      <c r="AQ61" s="33">
        <f>1000000*(Miscellany!AQ43*Miscellany!$Z$51)/(Parameters!$H$42*Parameters!$I$22)</f>
        <v>2354.6547267625397</v>
      </c>
      <c r="AS61" s="6">
        <f>ROW()</f>
        <v>61</v>
      </c>
    </row>
    <row r="62" spans="2:45" ht="13.95" customHeight="1">
      <c r="B62" s="8"/>
      <c r="I62" s="48"/>
      <c r="J62" s="48"/>
      <c r="K62" s="48"/>
      <c r="L62" s="48"/>
      <c r="M62" s="48"/>
      <c r="N62" s="48"/>
      <c r="O62" s="48"/>
      <c r="P62" s="48"/>
      <c r="Q62" s="48"/>
      <c r="R62" s="48"/>
      <c r="S62" s="48"/>
      <c r="T62" s="48"/>
      <c r="U62" s="48"/>
      <c r="V62" s="48"/>
      <c r="W62" s="48"/>
      <c r="X62" s="48"/>
      <c r="Y62" s="48"/>
      <c r="Z62" s="48"/>
      <c r="AA62" s="48"/>
      <c r="AS62" s="6">
        <f>ROW()</f>
        <v>62</v>
      </c>
    </row>
    <row r="63" spans="2:45" ht="13.95" customHeight="1">
      <c r="B63" s="8" t="s">
        <v>307</v>
      </c>
      <c r="I63" s="231">
        <f t="shared" ref="I63:P63" si="11">I42</f>
        <v>2005</v>
      </c>
      <c r="J63" s="231">
        <f t="shared" si="11"/>
        <v>2006</v>
      </c>
      <c r="K63" s="231">
        <f t="shared" si="11"/>
        <v>2007</v>
      </c>
      <c r="L63" s="231">
        <f t="shared" si="11"/>
        <v>2008</v>
      </c>
      <c r="M63" s="231">
        <f t="shared" si="11"/>
        <v>2009</v>
      </c>
      <c r="N63" s="231">
        <f t="shared" si="11"/>
        <v>2010</v>
      </c>
      <c r="O63" s="231">
        <f t="shared" si="11"/>
        <v>2011</v>
      </c>
      <c r="P63" s="231">
        <f t="shared" si="11"/>
        <v>2012</v>
      </c>
      <c r="Q63" s="231">
        <f t="shared" ref="Q63:R63" si="12">Q42</f>
        <v>2013</v>
      </c>
      <c r="R63" s="231">
        <f t="shared" si="12"/>
        <v>2014</v>
      </c>
      <c r="S63" s="231">
        <f t="shared" ref="S63" si="13">S42</f>
        <v>2015</v>
      </c>
      <c r="T63" s="231">
        <f t="shared" ref="T63:AP63" si="14">T42</f>
        <v>2017</v>
      </c>
      <c r="U63" s="231">
        <f t="shared" si="14"/>
        <v>2018</v>
      </c>
      <c r="V63" s="231">
        <f t="shared" si="14"/>
        <v>2019</v>
      </c>
      <c r="W63" s="231">
        <f t="shared" si="14"/>
        <v>2020</v>
      </c>
      <c r="X63" s="231">
        <f t="shared" si="14"/>
        <v>2021</v>
      </c>
      <c r="Y63" s="231">
        <f t="shared" si="14"/>
        <v>2022</v>
      </c>
      <c r="Z63" s="231">
        <f t="shared" si="14"/>
        <v>2023</v>
      </c>
      <c r="AA63" s="231">
        <f t="shared" si="14"/>
        <v>2024</v>
      </c>
      <c r="AB63" s="231">
        <f t="shared" si="14"/>
        <v>2025</v>
      </c>
      <c r="AC63" s="231">
        <f t="shared" si="14"/>
        <v>2026</v>
      </c>
      <c r="AD63" s="231">
        <f t="shared" si="14"/>
        <v>2027</v>
      </c>
      <c r="AE63" s="231">
        <f t="shared" si="14"/>
        <v>2028</v>
      </c>
      <c r="AF63" s="231">
        <f t="shared" si="14"/>
        <v>2029</v>
      </c>
      <c r="AG63" s="231">
        <f t="shared" si="14"/>
        <v>2030</v>
      </c>
      <c r="AH63" s="231">
        <f t="shared" si="14"/>
        <v>2031</v>
      </c>
      <c r="AI63" s="231">
        <f t="shared" si="14"/>
        <v>2032</v>
      </c>
      <c r="AJ63" s="231">
        <f t="shared" si="14"/>
        <v>2033</v>
      </c>
      <c r="AK63" s="231">
        <f t="shared" si="14"/>
        <v>2034</v>
      </c>
      <c r="AL63" s="231">
        <f t="shared" si="14"/>
        <v>2035</v>
      </c>
      <c r="AM63" s="231">
        <f t="shared" si="14"/>
        <v>2036</v>
      </c>
      <c r="AN63" s="231">
        <f t="shared" si="14"/>
        <v>2037</v>
      </c>
      <c r="AO63" s="231">
        <f t="shared" si="14"/>
        <v>2038</v>
      </c>
      <c r="AP63" s="231">
        <f t="shared" si="14"/>
        <v>2039</v>
      </c>
      <c r="AQ63" s="231">
        <f t="shared" ref="AQ63" si="15">AQ42</f>
        <v>2040</v>
      </c>
      <c r="AS63" s="6">
        <f>ROW()</f>
        <v>63</v>
      </c>
    </row>
    <row r="64" spans="2:45" ht="13.95" customHeight="1">
      <c r="M64" s="48"/>
      <c r="N64" s="48"/>
      <c r="O64" s="48"/>
      <c r="P64" s="48"/>
      <c r="Q64" s="48"/>
      <c r="R64" s="48"/>
      <c r="S64" s="48"/>
      <c r="T64" s="48"/>
      <c r="U64" s="48"/>
      <c r="V64" s="48"/>
      <c r="W64" s="48"/>
      <c r="X64" s="48"/>
      <c r="Y64" s="48"/>
      <c r="Z64" s="48"/>
      <c r="AA64" s="48"/>
      <c r="AB64" s="48"/>
      <c r="AC64" s="48"/>
      <c r="AS64" s="6">
        <f>ROW()</f>
        <v>64</v>
      </c>
    </row>
    <row r="65" spans="2:45" ht="13.95" customHeight="1">
      <c r="B65" s="8" t="s">
        <v>1186</v>
      </c>
      <c r="I65" s="24">
        <f>SUM(I66:I73)</f>
        <v>20809.074968038592</v>
      </c>
      <c r="J65" s="24">
        <f t="shared" ref="J65" si="16">SUM(J66:J73)</f>
        <v>20646.492886113178</v>
      </c>
      <c r="K65" s="24">
        <f t="shared" ref="K65" si="17">SUM(K66:K73)</f>
        <v>20633.371620679645</v>
      </c>
      <c r="L65" s="24">
        <f t="shared" ref="L65" si="18">SUM(L66:L73)</f>
        <v>19474.810521627416</v>
      </c>
      <c r="M65" s="24">
        <f t="shared" ref="M65" si="19">SUM(M66:M73)</f>
        <v>18813.671223260968</v>
      </c>
      <c r="N65" s="24">
        <f t="shared" ref="N65" si="20">SUM(N66:N73)</f>
        <v>19217.346527940364</v>
      </c>
      <c r="O65" s="24">
        <f t="shared" ref="O65" si="21">SUM(O66:O73)</f>
        <v>18832.165529220609</v>
      </c>
      <c r="P65" s="24">
        <f t="shared" ref="P65:Q65" si="22">SUM(P66:P73)</f>
        <v>18428.844368881586</v>
      </c>
      <c r="Q65" s="24">
        <f t="shared" si="22"/>
        <v>18991.811424089072</v>
      </c>
      <c r="R65" s="24">
        <f t="shared" ref="R65:S65" si="23">SUM(R66:R73)</f>
        <v>19117.750295724691</v>
      </c>
      <c r="S65" s="24">
        <f t="shared" si="23"/>
        <v>19028.450611360709</v>
      </c>
      <c r="T65" s="24">
        <f t="shared" ref="T65" si="24">SUM(T66:T73)</f>
        <v>18519.753487674301</v>
      </c>
      <c r="U65" s="24">
        <f t="shared" ref="U65" si="25">SUM(U66:U73)</f>
        <v>18068.069600676667</v>
      </c>
      <c r="V65" s="24">
        <f t="shared" ref="V65" si="26">SUM(V66:V73)</f>
        <v>17653.800751182636</v>
      </c>
      <c r="W65" s="24">
        <f t="shared" ref="W65" si="27">SUM(W66:W73)</f>
        <v>17284.854393691792</v>
      </c>
      <c r="X65" s="24">
        <f t="shared" ref="X65" si="28">SUM(X66:X73)</f>
        <v>16878.712271077144</v>
      </c>
      <c r="Y65" s="24">
        <f t="shared" ref="Y65" si="29">SUM(Y66:Y73)</f>
        <v>16543.586402653535</v>
      </c>
      <c r="Z65" s="24">
        <f t="shared" ref="Z65" si="30">SUM(Z66:Z73)</f>
        <v>16258.560948145847</v>
      </c>
      <c r="AA65" s="24">
        <f t="shared" ref="AA65" si="31">SUM(AA66:AA73)</f>
        <v>15983.703997751894</v>
      </c>
      <c r="AB65" s="24">
        <f t="shared" ref="AB65" si="32">SUM(AB66:AB73)</f>
        <v>15708.147102835728</v>
      </c>
      <c r="AC65" s="24">
        <f t="shared" ref="AC65" si="33">SUM(AC66:AC73)</f>
        <v>15431.297823548071</v>
      </c>
      <c r="AD65" s="24">
        <f t="shared" ref="AD65" si="34">SUM(AD66:AD73)</f>
        <v>15115.204047031719</v>
      </c>
      <c r="AE65" s="24">
        <f t="shared" ref="AE65" si="35">SUM(AE66:AE73)</f>
        <v>14812.883658577011</v>
      </c>
      <c r="AF65" s="24">
        <f t="shared" ref="AF65" si="36">SUM(AF66:AF73)</f>
        <v>14526.79269167245</v>
      </c>
      <c r="AG65" s="24">
        <f t="shared" ref="AG65" si="37">SUM(AG66:AG73)</f>
        <v>14255.400427343087</v>
      </c>
      <c r="AH65" s="24">
        <f t="shared" ref="AH65" si="38">SUM(AH66:AH73)</f>
        <v>13991.090034152887</v>
      </c>
      <c r="AI65" s="24">
        <f t="shared" ref="AI65" si="39">SUM(AI66:AI73)</f>
        <v>13736.966446469041</v>
      </c>
      <c r="AJ65" s="24">
        <f t="shared" ref="AJ65" si="40">SUM(AJ66:AJ73)</f>
        <v>13494.059312673688</v>
      </c>
      <c r="AK65" s="24">
        <f t="shared" ref="AK65" si="41">SUM(AK66:AK73)</f>
        <v>13261.457283173469</v>
      </c>
      <c r="AL65" s="24">
        <f t="shared" ref="AL65" si="42">SUM(AL66:AL73)</f>
        <v>13038.350788429743</v>
      </c>
      <c r="AM65" s="24">
        <f t="shared" ref="AM65" si="43">SUM(AM66:AM73)</f>
        <v>12824.469695236709</v>
      </c>
      <c r="AN65" s="24">
        <f t="shared" ref="AN65" si="44">SUM(AN66:AN73)</f>
        <v>12618.774895491501</v>
      </c>
      <c r="AO65" s="24">
        <f t="shared" ref="AO65" si="45">SUM(AO66:AO73)</f>
        <v>12420.681580433751</v>
      </c>
      <c r="AP65" s="24">
        <f t="shared" ref="AP65:AQ65" si="46">SUM(AP66:AP73)</f>
        <v>12229.66222848402</v>
      </c>
      <c r="AQ65" s="24">
        <f t="shared" si="46"/>
        <v>12195.113974069631</v>
      </c>
      <c r="AS65" s="6">
        <f>ROW()</f>
        <v>65</v>
      </c>
    </row>
    <row r="66" spans="2:45" ht="13.95" customHeight="1">
      <c r="B66" s="31" t="str">
        <f t="shared" ref="B66:B73" si="47">B54</f>
        <v>Electricity Generation</v>
      </c>
      <c r="I66" s="33">
        <f t="shared" ref="I66:Q66" si="48">I54</f>
        <v>622.22090695600014</v>
      </c>
      <c r="J66" s="33">
        <f t="shared" si="48"/>
        <v>326.6572203888029</v>
      </c>
      <c r="K66" s="33">
        <f t="shared" si="48"/>
        <v>334.66280077114277</v>
      </c>
      <c r="L66" s="33">
        <f t="shared" si="48"/>
        <v>235.41105319424432</v>
      </c>
      <c r="M66" s="33">
        <f t="shared" si="48"/>
        <v>198.21730666648958</v>
      </c>
      <c r="N66" s="33">
        <f t="shared" si="48"/>
        <v>188.66953499027218</v>
      </c>
      <c r="O66" s="33">
        <f t="shared" si="48"/>
        <v>153.65122721045071</v>
      </c>
      <c r="P66" s="33">
        <f t="shared" si="48"/>
        <v>118.05290119234965</v>
      </c>
      <c r="Q66" s="33">
        <f t="shared" si="48"/>
        <v>138.28826043554957</v>
      </c>
      <c r="R66" s="33">
        <f t="shared" ref="R66:S66" si="49">R54</f>
        <v>153.9045190649783</v>
      </c>
      <c r="S66" s="33">
        <f t="shared" si="49"/>
        <v>142.41368877398048</v>
      </c>
      <c r="T66" s="33">
        <f>$Q66*(Electricity!T76/Electricity!$Q48)*(Electricity!T59/Electricity!$Q59)</f>
        <v>115.33776637225773</v>
      </c>
      <c r="U66" s="33">
        <f>$Q66*(Electricity!U76/Electricity!$Q48)*(Electricity!U59/Electricity!$Q59)</f>
        <v>106.02671810499263</v>
      </c>
      <c r="V66" s="33">
        <f>$Q66*(Electricity!V76/Electricity!$Q48)*(Electricity!V59/Electricity!$Q59)</f>
        <v>97.96433015455915</v>
      </c>
      <c r="W66" s="33">
        <f>$Q66*(Electricity!W76/Electricity!$Q48)*(Electricity!W59/Electricity!$Q59)</f>
        <v>90.898259111195813</v>
      </c>
      <c r="X66" s="33">
        <f>$Q66*(Electricity!X76/Electricity!$Q48)*(Electricity!X59/Electricity!$Q59)</f>
        <v>84.505473308323957</v>
      </c>
      <c r="Y66" s="33">
        <f>$Q66*(Electricity!Y76/Electricity!$Q48)*(Electricity!Y59/Electricity!$Q59)</f>
        <v>78.798946104656267</v>
      </c>
      <c r="Z66" s="33">
        <f>$Q66*(Electricity!Z76/Electricity!$Q48)*(Electricity!Z59/Electricity!$Q59)</f>
        <v>73.666889155800462</v>
      </c>
      <c r="AA66" s="33">
        <f>$Q66*(Electricity!AA76/Electricity!$Q48)*(Electricity!AA59/Electricity!$Q59)</f>
        <v>69.021466996673425</v>
      </c>
      <c r="AB66" s="33">
        <f>$Q66*(Electricity!AB76/Electricity!$Q48)*(Electricity!AB59/Electricity!$Q59)</f>
        <v>64.792628111109863</v>
      </c>
      <c r="AC66" s="33">
        <f>$Q66*(Electricity!AC76/Electricity!$Q48)*(Electricity!AC59/Electricity!$Q59)</f>
        <v>60.923764006684692</v>
      </c>
      <c r="AD66" s="33">
        <f>$Q66*(Electricity!AD76/Electricity!$Q48)*(Electricity!AD59/Electricity!$Q59)</f>
        <v>57.368590506000551</v>
      </c>
      <c r="AE66" s="33">
        <f>$Q66*(Electricity!AE76/Electricity!$Q48)*(Electricity!AE59/Electricity!$Q59)</f>
        <v>54.088865413586603</v>
      </c>
      <c r="AF66" s="33">
        <f>$Q66*(Electricity!AF76/Electricity!$Q48)*(Electricity!AF59/Electricity!$Q59)</f>
        <v>51.052690475107617</v>
      </c>
      <c r="AG66" s="33">
        <f>$Q66*(Electricity!AG76/Electricity!$Q48)*(Electricity!AG59/Electricity!$Q59)</f>
        <v>48.233229154795744</v>
      </c>
      <c r="AH66" s="33">
        <f>$Q66*(Electricity!AH76/Electricity!$Q48)*(Electricity!AH59/Electricity!$Q59)</f>
        <v>45.758990712285069</v>
      </c>
      <c r="AI66" s="33">
        <f>$Q66*(Electricity!AI76/Electricity!$Q48)*(Electricity!AI59/Electricity!$Q59)</f>
        <v>43.443458694703487</v>
      </c>
      <c r="AJ66" s="33">
        <f>$Q66*(Electricity!AJ76/Electricity!$Q48)*(Electricity!AJ59/Electricity!$Q59)</f>
        <v>41.27187910162948</v>
      </c>
      <c r="AK66" s="33">
        <f>$Q66*(Electricity!AK76/Electricity!$Q48)*(Electricity!AK59/Electricity!$Q59)</f>
        <v>39.231408473939396</v>
      </c>
      <c r="AL66" s="33">
        <f>$Q66*(Electricity!AL76/Electricity!$Q48)*(Electricity!AL59/Electricity!$Q59)</f>
        <v>37.31080753847904</v>
      </c>
      <c r="AM66" s="33">
        <f>$Q66*(Electricity!AM76/Electricity!$Q48)*(Electricity!AM59/Electricity!$Q59)</f>
        <v>35.500192233805826</v>
      </c>
      <c r="AN66" s="33">
        <f>$Q66*(Electricity!AN76/Electricity!$Q48)*(Electricity!AN59/Electricity!$Q59)</f>
        <v>33.790829872829832</v>
      </c>
      <c r="AO66" s="33">
        <f>$Q66*(Electricity!AO76/Electricity!$Q48)*(Electricity!AO59/Electricity!$Q59)</f>
        <v>32.174971113688805</v>
      </c>
      <c r="AP66" s="33">
        <f>$Q66*(Electricity!AP76/Electricity!$Q48)*(Electricity!AP59/Electricity!$Q59)</f>
        <v>30.645710564435596</v>
      </c>
      <c r="AQ66" s="33">
        <f>$Q66*(Electricity!AQ76/Electricity!$Q48)*(Electricity!AQ59/Electricity!$Q59)</f>
        <v>29.42188584486701</v>
      </c>
      <c r="AS66" s="6">
        <f>ROW()</f>
        <v>66</v>
      </c>
    </row>
    <row r="67" spans="2:45" ht="13.95" customHeight="1">
      <c r="B67" s="31" t="str">
        <f t="shared" si="47"/>
        <v>Personal Ground Travel (driving, boating, rec vehicles, etc.)</v>
      </c>
      <c r="I67" s="33">
        <f t="shared" ref="I67:Q67" si="50">I55</f>
        <v>8768.7430715906157</v>
      </c>
      <c r="J67" s="33">
        <f t="shared" si="50"/>
        <v>8733.8690384121819</v>
      </c>
      <c r="K67" s="33">
        <f t="shared" si="50"/>
        <v>8582.3929954601026</v>
      </c>
      <c r="L67" s="33">
        <f t="shared" si="50"/>
        <v>8185.5125335769235</v>
      </c>
      <c r="M67" s="33">
        <f t="shared" si="50"/>
        <v>7996.4430913186798</v>
      </c>
      <c r="N67" s="33">
        <f t="shared" si="50"/>
        <v>7945.9510770013248</v>
      </c>
      <c r="O67" s="33">
        <f t="shared" si="50"/>
        <v>7796.2389472131654</v>
      </c>
      <c r="P67" s="33">
        <f t="shared" si="50"/>
        <v>7755.962929970211</v>
      </c>
      <c r="Q67" s="33">
        <f t="shared" si="50"/>
        <v>7749.9729748510463</v>
      </c>
      <c r="R67" s="33">
        <f t="shared" ref="R67:S67" si="51">R55</f>
        <v>7871.8667241164658</v>
      </c>
      <c r="S67" s="33">
        <f t="shared" si="51"/>
        <v>8075.3400558009853</v>
      </c>
      <c r="T67" s="33">
        <f>$Q67*('Personal Ground Travel'!T75/'Personal Ground Travel'!$Q43)*('Personal Ground Travel'!T72/'Personal Ground Travel'!$Q72)</f>
        <v>7967.7800995772022</v>
      </c>
      <c r="U67" s="33">
        <f>$Q67*('Personal Ground Travel'!U75/'Personal Ground Travel'!$Q43)*('Personal Ground Travel'!U72/'Personal Ground Travel'!$Q72)</f>
        <v>7854.6210642555207</v>
      </c>
      <c r="V67" s="33">
        <f>$Q67*('Personal Ground Travel'!V75/'Personal Ground Travel'!$Q43)*('Personal Ground Travel'!V72/'Personal Ground Travel'!$Q72)</f>
        <v>7745.7592777297632</v>
      </c>
      <c r="W67" s="33">
        <f>$Q67*('Personal Ground Travel'!W75/'Personal Ground Travel'!$Q43)*('Personal Ground Travel'!W72/'Personal Ground Travel'!$Q72)</f>
        <v>7654.4631059946205</v>
      </c>
      <c r="X67" s="33">
        <f>$Q67*('Personal Ground Travel'!X75/'Personal Ground Travel'!$Q43)*('Personal Ground Travel'!X72/'Personal Ground Travel'!$Q72)</f>
        <v>7495.5626235312566</v>
      </c>
      <c r="Y67" s="33">
        <f>$Q67*('Personal Ground Travel'!Y75/'Personal Ground Travel'!$Q43)*('Personal Ground Travel'!Y72/'Personal Ground Travel'!$Q72)</f>
        <v>7362.6644603654595</v>
      </c>
      <c r="Z67" s="33">
        <f>$Q67*('Personal Ground Travel'!Z75/'Personal Ground Travel'!$Q43)*('Personal Ground Travel'!Z72/'Personal Ground Travel'!$Q72)</f>
        <v>7265.8287442573564</v>
      </c>
      <c r="AA67" s="33">
        <f>$Q67*('Personal Ground Travel'!AA75/'Personal Ground Travel'!$Q43)*('Personal Ground Travel'!AA72/'Personal Ground Travel'!$Q72)</f>
        <v>7167.0353220493735</v>
      </c>
      <c r="AB67" s="33">
        <f>$Q67*('Personal Ground Travel'!AB75/'Personal Ground Travel'!$Q43)*('Personal Ground Travel'!AB72/'Personal Ground Travel'!$Q72)</f>
        <v>7056.9632903223492</v>
      </c>
      <c r="AC67" s="33">
        <f>$Q67*('Personal Ground Travel'!AC75/'Personal Ground Travel'!$Q43)*('Personal Ground Travel'!AC72/'Personal Ground Travel'!$Q72)</f>
        <v>6936.2448315546617</v>
      </c>
      <c r="AD67" s="33">
        <f>$Q67*('Personal Ground Travel'!AD75/'Personal Ground Travel'!$Q43)*('Personal Ground Travel'!AD72/'Personal Ground Travel'!$Q72)</f>
        <v>6768.7602656911995</v>
      </c>
      <c r="AE67" s="33">
        <f>$Q67*('Personal Ground Travel'!AE75/'Personal Ground Travel'!$Q43)*('Personal Ground Travel'!AE72/'Personal Ground Travel'!$Q72)</f>
        <v>6606.8966902777283</v>
      </c>
      <c r="AF67" s="33">
        <f>$Q67*('Personal Ground Travel'!AF75/'Personal Ground Travel'!$Q43)*('Personal Ground Travel'!AF72/'Personal Ground Travel'!$Q72)</f>
        <v>6453.2864104084283</v>
      </c>
      <c r="AG67" s="33">
        <f>$Q67*('Personal Ground Travel'!AG75/'Personal Ground Travel'!$Q43)*('Personal Ground Travel'!AG72/'Personal Ground Travel'!$Q72)</f>
        <v>6307.1515911823508</v>
      </c>
      <c r="AH67" s="33">
        <f>$Q67*('Personal Ground Travel'!AH75/'Personal Ground Travel'!$Q43)*('Personal Ground Travel'!AH72/'Personal Ground Travel'!$Q72)</f>
        <v>6163.5744674593179</v>
      </c>
      <c r="AI67" s="33">
        <f>$Q67*('Personal Ground Travel'!AI75/'Personal Ground Travel'!$Q43)*('Personal Ground Travel'!AI72/'Personal Ground Travel'!$Q72)</f>
        <v>6024.5647689403595</v>
      </c>
      <c r="AJ67" s="33">
        <f>$Q67*('Personal Ground Travel'!AJ75/'Personal Ground Travel'!$Q43)*('Personal Ground Travel'!AJ72/'Personal Ground Travel'!$Q72)</f>
        <v>5891.2342484095625</v>
      </c>
      <c r="AK67" s="33">
        <f>$Q67*('Personal Ground Travel'!AK75/'Personal Ground Travel'!$Q43)*('Personal Ground Travel'!AK72/'Personal Ground Travel'!$Q72)</f>
        <v>5763.1317756569515</v>
      </c>
      <c r="AL67" s="33">
        <f>$Q67*('Personal Ground Travel'!AL75/'Personal Ground Travel'!$Q43)*('Personal Ground Travel'!AL72/'Personal Ground Travel'!$Q72)</f>
        <v>5639.85804252872</v>
      </c>
      <c r="AM67" s="33">
        <f>$Q67*('Personal Ground Travel'!AM75/'Personal Ground Travel'!$Q43)*('Personal Ground Travel'!AM72/'Personal Ground Travel'!$Q72)</f>
        <v>5521.4293219783985</v>
      </c>
      <c r="AN67" s="33">
        <f>$Q67*('Personal Ground Travel'!AN75/'Personal Ground Travel'!$Q43)*('Personal Ground Travel'!AN72/'Personal Ground Travel'!$Q72)</f>
        <v>5407.2047068244074</v>
      </c>
      <c r="AO67" s="33">
        <f>$Q67*('Personal Ground Travel'!AO75/'Personal Ground Travel'!$Q43)*('Personal Ground Travel'!AO72/'Personal Ground Travel'!$Q72)</f>
        <v>5296.8967872220355</v>
      </c>
      <c r="AP67" s="33">
        <f>$Q67*('Personal Ground Travel'!AP75/'Personal Ground Travel'!$Q43)*('Personal Ground Travel'!AP72/'Personal Ground Travel'!$Q72)</f>
        <v>5190.2468562711238</v>
      </c>
      <c r="AQ67" s="33">
        <f>$Q67*('Personal Ground Travel'!AQ75/'Personal Ground Travel'!$Q43)*('Personal Ground Travel'!AQ72/'Personal Ground Travel'!$Q72)</f>
        <v>5137.969022179087</v>
      </c>
      <c r="AS67" s="6">
        <f>ROW()</f>
        <v>67</v>
      </c>
    </row>
    <row r="68" spans="2:45" ht="13.95" customHeight="1">
      <c r="B68" s="31" t="str">
        <f t="shared" si="47"/>
        <v>Freight (goods movement by road, rail, ship, air)</v>
      </c>
      <c r="I68" s="33">
        <f t="shared" ref="I68:Q68" si="52">I56</f>
        <v>3267.9976090272644</v>
      </c>
      <c r="J68" s="33">
        <f t="shared" si="52"/>
        <v>3368.270048232936</v>
      </c>
      <c r="K68" s="33">
        <f t="shared" si="52"/>
        <v>3561.0647093693601</v>
      </c>
      <c r="L68" s="33">
        <f t="shared" si="52"/>
        <v>3400.2957394516111</v>
      </c>
      <c r="M68" s="33">
        <f t="shared" si="52"/>
        <v>3046.8922368535309</v>
      </c>
      <c r="N68" s="33">
        <f t="shared" si="52"/>
        <v>3198.501859082739</v>
      </c>
      <c r="O68" s="33">
        <f t="shared" si="52"/>
        <v>3167.5650413654989</v>
      </c>
      <c r="P68" s="33">
        <f t="shared" si="52"/>
        <v>3085.4511690808158</v>
      </c>
      <c r="Q68" s="33">
        <f t="shared" si="52"/>
        <v>3089.3903291007132</v>
      </c>
      <c r="R68" s="33">
        <f t="shared" ref="R68:S68" si="53">R56</f>
        <v>3090.7674338231163</v>
      </c>
      <c r="S68" s="33">
        <f t="shared" si="53"/>
        <v>3074.97951080251</v>
      </c>
      <c r="T68" s="33">
        <f>$Q68*(Freight!T68/Freight!$Q37)*(Freight!T65/Freight!$Q65)</f>
        <v>2922.6782328078857</v>
      </c>
      <c r="U68" s="33">
        <f>$Q68*(Freight!U68/Freight!$Q37)*(Freight!U65/Freight!$Q65)</f>
        <v>2806.3722497314984</v>
      </c>
      <c r="V68" s="33">
        <f>$Q68*(Freight!V68/Freight!$Q37)*(Freight!V65/Freight!$Q65)</f>
        <v>2701.0514021710333</v>
      </c>
      <c r="W68" s="33">
        <f>$Q68*(Freight!W68/Freight!$Q37)*(Freight!W65/Freight!$Q65)</f>
        <v>2605.0477702496473</v>
      </c>
      <c r="X68" s="33">
        <f>$Q68*(Freight!X68/Freight!$Q37)*(Freight!X65/Freight!$Q65)</f>
        <v>2512.2963479952405</v>
      </c>
      <c r="Y68" s="33">
        <f>$Q68*(Freight!Y68/Freight!$Q37)*(Freight!Y65/Freight!$Q65)</f>
        <v>2436.4545349628752</v>
      </c>
      <c r="Z68" s="33">
        <f>$Q68*(Freight!Z68/Freight!$Q37)*(Freight!Z65/Freight!$Q65)</f>
        <v>2365.976859147609</v>
      </c>
      <c r="AA68" s="33">
        <f>$Q68*(Freight!AA68/Freight!$Q37)*(Freight!AA65/Freight!$Q65)</f>
        <v>2300.2386265044784</v>
      </c>
      <c r="AB68" s="33">
        <f>$Q68*(Freight!AB68/Freight!$Q37)*(Freight!AB65/Freight!$Q65)</f>
        <v>2238.7126457192408</v>
      </c>
      <c r="AC68" s="33">
        <f>$Q68*(Freight!AC68/Freight!$Q37)*(Freight!AC65/Freight!$Q65)</f>
        <v>2180.9504483747733</v>
      </c>
      <c r="AD68" s="33">
        <f>$Q68*(Freight!AD68/Freight!$Q37)*(Freight!AD65/Freight!$Q65)</f>
        <v>2126.5677539425301</v>
      </c>
      <c r="AE68" s="33">
        <f>$Q68*(Freight!AE68/Freight!$Q37)*(Freight!AE65/Freight!$Q65)</f>
        <v>2075.233089832619</v>
      </c>
      <c r="AF68" s="33">
        <f>$Q68*(Freight!AF68/Freight!$Q37)*(Freight!AF65/Freight!$Q65)</f>
        <v>2026.6587873948511</v>
      </c>
      <c r="AG68" s="33">
        <f>$Q68*(Freight!AG68/Freight!$Q37)*(Freight!AG65/Freight!$Q65)</f>
        <v>1980.5937887070847</v>
      </c>
      <c r="AH68" s="33">
        <f>$Q68*(Freight!AH68/Freight!$Q37)*(Freight!AH65/Freight!$Q65)</f>
        <v>1935.4889236342126</v>
      </c>
      <c r="AI68" s="33">
        <f>$Q68*(Freight!AI68/Freight!$Q37)*(Freight!AI65/Freight!$Q65)</f>
        <v>1892.9044798097455</v>
      </c>
      <c r="AJ68" s="33">
        <f>$Q68*(Freight!AJ68/Freight!$Q37)*(Freight!AJ65/Freight!$Q65)</f>
        <v>1852.2849581633795</v>
      </c>
      <c r="AK68" s="33">
        <f>$Q68*(Freight!AK68/Freight!$Q37)*(Freight!AK65/Freight!$Q65)</f>
        <v>1813.4739967555529</v>
      </c>
      <c r="AL68" s="33">
        <f>$Q68*(Freight!AL68/Freight!$Q37)*(Freight!AL65/Freight!$Q65)</f>
        <v>1776.332088620524</v>
      </c>
      <c r="AM68" s="33">
        <f>$Q68*(Freight!AM68/Freight!$Q37)*(Freight!AM65/Freight!$Q65)</f>
        <v>1740.7343096624411</v>
      </c>
      <c r="AN68" s="33">
        <f>$Q68*(Freight!AN68/Freight!$Q37)*(Freight!AN65/Freight!$Q65)</f>
        <v>1706.5684110835639</v>
      </c>
      <c r="AO68" s="33">
        <f>$Q68*(Freight!AO68/Freight!$Q37)*(Freight!AO65/Freight!$Q65)</f>
        <v>1673.733209121604</v>
      </c>
      <c r="AP68" s="33">
        <f>$Q68*(Freight!AP68/Freight!$Q37)*(Freight!AP65/Freight!$Q65)</f>
        <v>1642.1372187894385</v>
      </c>
      <c r="AQ68" s="33">
        <f>$Q68*(Freight!AQ68/Freight!$Q37)*(Freight!AQ65/Freight!$Q65)</f>
        <v>1641.3712969704375</v>
      </c>
      <c r="AS68" s="6">
        <f>ROW()</f>
        <v>68</v>
      </c>
    </row>
    <row r="69" spans="2:45" ht="13.95" customHeight="1">
      <c r="B69" s="31" t="str">
        <f t="shared" si="47"/>
        <v>Aviation (passenger only)</v>
      </c>
      <c r="I69" s="33">
        <f t="shared" ref="I69:Q69" si="54">I57</f>
        <v>1585.0508484884269</v>
      </c>
      <c r="J69" s="33">
        <f t="shared" si="54"/>
        <v>1568.0072909777989</v>
      </c>
      <c r="K69" s="33">
        <f t="shared" si="54"/>
        <v>1558.462898771847</v>
      </c>
      <c r="L69" s="33">
        <f t="shared" si="54"/>
        <v>1456.2015537080774</v>
      </c>
      <c r="M69" s="33">
        <f t="shared" si="54"/>
        <v>1317.8078667217762</v>
      </c>
      <c r="N69" s="33">
        <f t="shared" si="54"/>
        <v>1368.938539253661</v>
      </c>
      <c r="O69" s="33">
        <f t="shared" si="54"/>
        <v>1375.0742199574875</v>
      </c>
      <c r="P69" s="33">
        <f t="shared" si="54"/>
        <v>1346.4410433396315</v>
      </c>
      <c r="Q69" s="33">
        <f t="shared" si="54"/>
        <v>1389.390808266415</v>
      </c>
      <c r="R69" s="33">
        <f t="shared" ref="R69:S69" si="55">R57</f>
        <v>1391.4360351676903</v>
      </c>
      <c r="S69" s="33">
        <f t="shared" si="55"/>
        <v>1455.2364162423676</v>
      </c>
      <c r="T69" s="33">
        <f>$Q69*(Aviation!T68/Aviation!$Q37)*(Aviation!T65/Aviation!$Q65)</f>
        <v>1334.4106737053085</v>
      </c>
      <c r="U69" s="33">
        <f>$Q69*(Aviation!U68/Aviation!$Q37)*(Aviation!U65/Aviation!$Q65)</f>
        <v>1250.6044215534282</v>
      </c>
      <c r="V69" s="33">
        <f>$Q69*(Aviation!V68/Aviation!$Q37)*(Aviation!V65/Aviation!$Q65)</f>
        <v>1177.1983191197878</v>
      </c>
      <c r="W69" s="33">
        <f>$Q69*(Aviation!W68/Aviation!$Q37)*(Aviation!W65/Aviation!$Q65)</f>
        <v>1112.1973962764505</v>
      </c>
      <c r="X69" s="33">
        <f>$Q69*(Aviation!X68/Aviation!$Q37)*(Aviation!X65/Aviation!$Q65)</f>
        <v>1055.7182709551832</v>
      </c>
      <c r="Y69" s="33">
        <f>$Q69*(Aviation!Y68/Aviation!$Q37)*(Aviation!Y65/Aviation!$Q65)</f>
        <v>1020.9204335591862</v>
      </c>
      <c r="Z69" s="33">
        <f>$Q69*(Aviation!Z68/Aviation!$Q37)*(Aviation!Z65/Aviation!$Q65)</f>
        <v>988.89674416557</v>
      </c>
      <c r="AA69" s="33">
        <f>$Q69*(Aviation!AA68/Aviation!$Q37)*(Aviation!AA65/Aviation!$Q65)</f>
        <v>959.3003884983965</v>
      </c>
      <c r="AB69" s="33">
        <f>$Q69*(Aviation!AB68/Aviation!$Q37)*(Aviation!AB65/Aviation!$Q65)</f>
        <v>931.84158712485032</v>
      </c>
      <c r="AC69" s="33">
        <f>$Q69*(Aviation!AC68/Aviation!$Q37)*(Aviation!AC65/Aviation!$Q65)</f>
        <v>906.27612413455665</v>
      </c>
      <c r="AD69" s="33">
        <f>$Q69*(Aviation!AD68/Aviation!$Q37)*(Aviation!AD65/Aviation!$Q65)</f>
        <v>882.39656817882849</v>
      </c>
      <c r="AE69" s="33">
        <f>$Q69*(Aviation!AE68/Aviation!$Q37)*(Aviation!AE65/Aviation!$Q65)</f>
        <v>860.0254709440851</v>
      </c>
      <c r="AF69" s="33">
        <f>$Q69*(Aviation!AF68/Aviation!$Q37)*(Aviation!AF65/Aviation!$Q65)</f>
        <v>839.01003830973127</v>
      </c>
      <c r="AG69" s="33">
        <f>$Q69*(Aviation!AG68/Aviation!$Q37)*(Aviation!AG65/Aviation!$Q65)</f>
        <v>819.21791229616213</v>
      </c>
      <c r="AH69" s="33">
        <f>$Q69*(Aviation!AH68/Aviation!$Q37)*(Aviation!AH65/Aviation!$Q65)</f>
        <v>801.32409421230386</v>
      </c>
      <c r="AI69" s="33">
        <f>$Q69*(Aviation!AI68/Aviation!$Q37)*(Aviation!AI65/Aviation!$Q65)</f>
        <v>784.762901673285</v>
      </c>
      <c r="AJ69" s="33">
        <f>$Q69*(Aviation!AJ68/Aviation!$Q37)*(Aviation!AJ65/Aviation!$Q65)</f>
        <v>769.07150711058216</v>
      </c>
      <c r="AK69" s="33">
        <f>$Q69*(Aviation!AK68/Aviation!$Q37)*(Aviation!AK65/Aviation!$Q65)</f>
        <v>754.17536676211591</v>
      </c>
      <c r="AL69" s="33">
        <f>$Q69*(Aviation!AL68/Aviation!$Q37)*(Aviation!AL65/Aviation!$Q65)</f>
        <v>740.00832604555899</v>
      </c>
      <c r="AM69" s="33">
        <f>$Q69*(Aviation!AM68/Aviation!$Q37)*(Aviation!AM65/Aviation!$Q65)</f>
        <v>726.51144909817515</v>
      </c>
      <c r="AN69" s="33">
        <f>$Q69*(Aviation!AN68/Aviation!$Q37)*(Aviation!AN65/Aviation!$Q65)</f>
        <v>713.63204147718</v>
      </c>
      <c r="AO69" s="33">
        <f>$Q69*(Aviation!AO68/Aviation!$Q37)*(Aviation!AO65/Aviation!$Q65)</f>
        <v>701.32282952522576</v>
      </c>
      <c r="AP69" s="33">
        <f>$Q69*(Aviation!AP68/Aviation!$Q37)*(Aviation!AP65/Aviation!$Q65)</f>
        <v>689.54126762523583</v>
      </c>
      <c r="AQ69" s="33">
        <f>$Q69*(Aviation!AQ68/Aviation!$Q37)*(Aviation!AQ65/Aviation!$Q65)</f>
        <v>689.04466876884385</v>
      </c>
      <c r="AS69" s="6">
        <f>ROW()</f>
        <v>69</v>
      </c>
    </row>
    <row r="70" spans="2:45" ht="13.95" customHeight="1">
      <c r="B70" s="31" t="str">
        <f t="shared" si="47"/>
        <v>Oil Refining</v>
      </c>
      <c r="I70" s="33">
        <f>'Oil Refining'!I78*1000/(Parameters!$I$21*Parameters!$I$22)</f>
        <v>2092.3235672517594</v>
      </c>
      <c r="J70" s="33">
        <f>'Oil Refining'!J78*1000/(Parameters!$I$21*Parameters!$I$22)</f>
        <v>2083.8010601000497</v>
      </c>
      <c r="K70" s="33">
        <f>'Oil Refining'!K78*1000/(Parameters!$I$21*Parameters!$I$22)</f>
        <v>2098.2568889117597</v>
      </c>
      <c r="L70" s="33">
        <f>'Oil Refining'!L78*1000/(Parameters!$I$21*Parameters!$I$22)</f>
        <v>2004.6595524012846</v>
      </c>
      <c r="M70" s="33">
        <f>'Oil Refining'!M78*1000/(Parameters!$I$21*Parameters!$I$22)</f>
        <v>1956.6718623451613</v>
      </c>
      <c r="N70" s="33">
        <f>'Oil Refining'!N78*1000/(Parameters!$I$21*Parameters!$I$22)</f>
        <v>2028.7902067053008</v>
      </c>
      <c r="O70" s="33">
        <f>'Oil Refining'!O78*1000/(Parameters!$I$21*Parameters!$I$22)</f>
        <v>2044.9321245809231</v>
      </c>
      <c r="P70" s="33">
        <f>'Oil Refining'!P78*1000/(Parameters!$I$21*Parameters!$I$22)</f>
        <v>2064.797982700567</v>
      </c>
      <c r="Q70" s="33">
        <f>'Oil Refining'!Q78*1000/(Parameters!$I$21*Parameters!$I$22)</f>
        <v>2109.3041585224214</v>
      </c>
      <c r="R70" s="33">
        <f>'Oil Refining'!R78*1000/(Parameters!$I$21*Parameters!$I$22)</f>
        <v>2160.126602725561</v>
      </c>
      <c r="S70" s="33">
        <f>'Oil Refining'!S78*1000/(Parameters!$I$21*Parameters!$I$22)</f>
        <v>2223.7830467471713</v>
      </c>
      <c r="T70" s="33">
        <f>'Oil Refining'!T78*1000/(Parameters!$I$21*Parameters!$I$22)</f>
        <v>2183.2740285257573</v>
      </c>
      <c r="U70" s="33">
        <f>'Oil Refining'!U78*1000/(Parameters!$I$21*Parameters!$I$22)</f>
        <v>2152.223157607044</v>
      </c>
      <c r="V70" s="33">
        <f>'Oil Refining'!V78*1000/(Parameters!$I$21*Parameters!$I$22)</f>
        <v>2124.5766822735086</v>
      </c>
      <c r="W70" s="33">
        <f>'Oil Refining'!W78*1000/(Parameters!$I$21*Parameters!$I$22)</f>
        <v>2102.2943114173922</v>
      </c>
      <c r="X70" s="33">
        <f>'Oil Refining'!X78*1000/(Parameters!$I$21*Parameters!$I$22)</f>
        <v>2068.4072104420857</v>
      </c>
      <c r="Y70" s="33">
        <f>'Oil Refining'!Y78*1000/(Parameters!$I$21*Parameters!$I$22)</f>
        <v>2044.3909926177753</v>
      </c>
      <c r="Z70" s="33">
        <f>'Oil Refining'!Z78*1000/(Parameters!$I$21*Parameters!$I$22)</f>
        <v>2027.9959354856887</v>
      </c>
      <c r="AA70" s="33">
        <f>'Oil Refining'!AA78*1000/(Parameters!$I$21*Parameters!$I$22)</f>
        <v>2012.046059103689</v>
      </c>
      <c r="AB70" s="33">
        <f>'Oil Refining'!AB78*1000/(Parameters!$I$21*Parameters!$I$22)</f>
        <v>1994.6062529170126</v>
      </c>
      <c r="AC70" s="33">
        <f>'Oil Refining'!AC78*1000/(Parameters!$I$21*Parameters!$I$22)</f>
        <v>1975.6200752489463</v>
      </c>
      <c r="AD70" s="33">
        <f>'Oil Refining'!AD78*1000/(Parameters!$I$21*Parameters!$I$22)</f>
        <v>1947.809459095068</v>
      </c>
      <c r="AE70" s="33">
        <f>'Oil Refining'!AE78*1000/(Parameters!$I$21*Parameters!$I$22)</f>
        <v>1921.2223722197475</v>
      </c>
      <c r="AF70" s="33">
        <f>'Oil Refining'!AF78*1000/(Parameters!$I$21*Parameters!$I$22)</f>
        <v>1896.3501385605782</v>
      </c>
      <c r="AG70" s="33">
        <f>'Oil Refining'!AG78*1000/(Parameters!$I$21*Parameters!$I$22)</f>
        <v>1873.022299952388</v>
      </c>
      <c r="AH70" s="33">
        <f>'Oil Refining'!AH78*1000/(Parameters!$I$21*Parameters!$I$22)</f>
        <v>1849.9371625519027</v>
      </c>
      <c r="AI70" s="33">
        <f>'Oil Refining'!AI78*1000/(Parameters!$I$21*Parameters!$I$22)</f>
        <v>1827.8926886582772</v>
      </c>
      <c r="AJ70" s="33">
        <f>'Oil Refining'!AJ78*1000/(Parameters!$I$21*Parameters!$I$22)</f>
        <v>1806.9734366118896</v>
      </c>
      <c r="AK70" s="33">
        <f>'Oil Refining'!AK78*1000/(Parameters!$I$21*Parameters!$I$22)</f>
        <v>1787.0793070283632</v>
      </c>
      <c r="AL70" s="33">
        <f>'Oil Refining'!AL78*1000/(Parameters!$I$21*Parameters!$I$22)</f>
        <v>1768.1216514747732</v>
      </c>
      <c r="AM70" s="33">
        <f>'Oil Refining'!AM78*1000/(Parameters!$I$21*Parameters!$I$22)</f>
        <v>1750.1023334770377</v>
      </c>
      <c r="AN70" s="33">
        <f>'Oil Refining'!AN78*1000/(Parameters!$I$21*Parameters!$I$22)</f>
        <v>1732.8824163615047</v>
      </c>
      <c r="AO70" s="33">
        <f>'Oil Refining'!AO78*1000/(Parameters!$I$21*Parameters!$I$22)</f>
        <v>1716.3984239602121</v>
      </c>
      <c r="AP70" s="33">
        <f>'Oil Refining'!AP78*1000/(Parameters!$I$21*Parameters!$I$22)</f>
        <v>1700.5932334679442</v>
      </c>
      <c r="AQ70" s="33">
        <f>'Oil Refining'!AQ78*1000/(Parameters!$I$21*Parameters!$I$22)</f>
        <v>1706.5941952212443</v>
      </c>
      <c r="AS70" s="6">
        <f>ROW()</f>
        <v>70</v>
      </c>
    </row>
    <row r="71" spans="2:45" ht="13.95" customHeight="1">
      <c r="B71" s="31" t="str">
        <f t="shared" si="47"/>
        <v>"Other" Petroleum (heating, construxn, industry, etc.)</v>
      </c>
      <c r="I71" s="33">
        <f t="shared" ref="I71:Q71" si="56">I59</f>
        <v>1927.0542933059819</v>
      </c>
      <c r="J71" s="33">
        <f t="shared" si="56"/>
        <v>2095.5658744729494</v>
      </c>
      <c r="K71" s="33">
        <f t="shared" si="56"/>
        <v>2127.4598890553884</v>
      </c>
      <c r="L71" s="33">
        <f t="shared" si="56"/>
        <v>1919.6179311571902</v>
      </c>
      <c r="M71" s="33">
        <f t="shared" si="56"/>
        <v>2212.0256795416485</v>
      </c>
      <c r="N71" s="33">
        <f t="shared" si="56"/>
        <v>2280.9839766058421</v>
      </c>
      <c r="O71" s="33">
        <f t="shared" si="56"/>
        <v>2150.9070925365268</v>
      </c>
      <c r="P71" s="33">
        <f t="shared" si="56"/>
        <v>1970.4002067208112</v>
      </c>
      <c r="Q71" s="33">
        <f t="shared" si="56"/>
        <v>2342.0845275253664</v>
      </c>
      <c r="R71" s="33">
        <f t="shared" ref="R71:S71" si="57">R59</f>
        <v>2304.0102140516319</v>
      </c>
      <c r="S71" s="33">
        <f t="shared" si="57"/>
        <v>1926.0563211448771</v>
      </c>
      <c r="T71" s="33">
        <f>$Q71*(Other_Petrol!T71/Other_Petrol!$Q48)*(Other_Petrol!T65/Other_Petrol!$Q$65)</f>
        <v>1882.4780599659257</v>
      </c>
      <c r="U71" s="33">
        <f>$Q71*(Other_Petrol!U71/Other_Petrol!$Q48)*(Other_Petrol!U65/Other_Petrol!$Q$65)</f>
        <v>1820.0558183871319</v>
      </c>
      <c r="V71" s="33">
        <f>$Q71*(Other_Petrol!V71/Other_Petrol!$Q48)*(Other_Petrol!V65/Other_Petrol!$Q$65)</f>
        <v>1762.21765330619</v>
      </c>
      <c r="W71" s="33">
        <f>$Q71*(Other_Petrol!W71/Other_Petrol!$Q48)*(Other_Petrol!W65/Other_Petrol!$Q$65)</f>
        <v>1705.8547220909675</v>
      </c>
      <c r="X71" s="33">
        <f>$Q71*(Other_Petrol!X71/Other_Petrol!$Q48)*(Other_Petrol!X65/Other_Petrol!$Q$65)</f>
        <v>1678.0963073673065</v>
      </c>
      <c r="Y71" s="33">
        <f>$Q71*(Other_Petrol!Y71/Other_Petrol!$Q48)*(Other_Petrol!Y65/Other_Petrol!$Q$65)</f>
        <v>1642.4304355542818</v>
      </c>
      <c r="Z71" s="33">
        <f>$Q71*(Other_Petrol!Z71/Other_Petrol!$Q48)*(Other_Petrol!Z65/Other_Petrol!$Q$65)</f>
        <v>1603.0269345418028</v>
      </c>
      <c r="AA71" s="33">
        <f>$Q71*(Other_Petrol!AA71/Other_Petrol!$Q48)*(Other_Petrol!AA65/Other_Petrol!$Q$65)</f>
        <v>1566.3470097858983</v>
      </c>
      <c r="AB71" s="33">
        <f>$Q71*(Other_Petrol!AB71/Other_Petrol!$Q48)*(Other_Petrol!AB65/Other_Petrol!$Q$65)</f>
        <v>1533.7860396089966</v>
      </c>
      <c r="AC71" s="33">
        <f>$Q71*(Other_Petrol!AC71/Other_Petrol!$Q48)*(Other_Petrol!AC65/Other_Petrol!$Q$65)</f>
        <v>1505.031651604954</v>
      </c>
      <c r="AD71" s="33">
        <f>$Q71*(Other_Petrol!AD71/Other_Petrol!$Q48)*(Other_Petrol!AD65/Other_Petrol!$Q$65)</f>
        <v>1486.2618223016661</v>
      </c>
      <c r="AE71" s="33">
        <f>$Q71*(Other_Petrol!AE71/Other_Petrol!$Q48)*(Other_Petrol!AE65/Other_Petrol!$Q$65)</f>
        <v>1468.6904486107044</v>
      </c>
      <c r="AF71" s="33">
        <f>$Q71*(Other_Petrol!AF71/Other_Petrol!$Q48)*(Other_Petrol!AF65/Other_Petrol!$Q$65)</f>
        <v>1452.1972189906555</v>
      </c>
      <c r="AG71" s="33">
        <f>$Q71*(Other_Petrol!AG71/Other_Petrol!$Q48)*(Other_Petrol!AG65/Other_Petrol!$Q$65)</f>
        <v>1436.6770960956824</v>
      </c>
      <c r="AH71" s="33">
        <f>$Q71*(Other_Petrol!AH71/Other_Petrol!$Q48)*(Other_Petrol!AH65/Other_Petrol!$Q$65)</f>
        <v>1422.0053145441516</v>
      </c>
      <c r="AI71" s="33">
        <f>$Q71*(Other_Petrol!AI71/Other_Petrol!$Q48)*(Other_Petrol!AI65/Other_Petrol!$Q$65)</f>
        <v>1408.2081677437197</v>
      </c>
      <c r="AJ71" s="33">
        <f>$Q71*(Other_Petrol!AJ71/Other_Petrol!$Q48)*(Other_Petrol!AJ65/Other_Petrol!$Q$65)</f>
        <v>1395.2218770965449</v>
      </c>
      <c r="AK71" s="33">
        <f>$Q71*(Other_Petrol!AK71/Other_Petrol!$Q48)*(Other_Petrol!AK65/Other_Petrol!$Q$65)</f>
        <v>1382.9766401520592</v>
      </c>
      <c r="AL71" s="33">
        <f>$Q71*(Other_Petrol!AL71/Other_Petrol!$Q48)*(Other_Petrol!AL65/Other_Petrol!$Q$65)</f>
        <v>1371.4100623299939</v>
      </c>
      <c r="AM71" s="33">
        <f>$Q71*(Other_Petrol!AM71/Other_Petrol!$Q48)*(Other_Petrol!AM65/Other_Petrol!$Q$65)</f>
        <v>1360.4661653575024</v>
      </c>
      <c r="AN71" s="33">
        <f>$Q71*(Other_Petrol!AN71/Other_Petrol!$Q48)*(Other_Petrol!AN65/Other_Petrol!$Q$65)</f>
        <v>1350.0945531974642</v>
      </c>
      <c r="AO71" s="33">
        <f>$Q71*(Other_Petrol!AO71/Other_Petrol!$Q48)*(Other_Petrol!AO65/Other_Petrol!$Q$65)</f>
        <v>1340.2497068040775</v>
      </c>
      <c r="AP71" s="33">
        <f>$Q71*(Other_Petrol!AP71/Other_Petrol!$Q48)*(Other_Petrol!AP65/Other_Petrol!$Q$65)</f>
        <v>1330.8903848932709</v>
      </c>
      <c r="AQ71" s="33">
        <f>$Q71*(Other_Petrol!AQ71/Other_Petrol!$Q48)*(Other_Petrol!AQ65/Other_Petrol!$Q$65)</f>
        <v>1359.0323613601167</v>
      </c>
      <c r="AS71" s="6">
        <f>ROW()</f>
        <v>71</v>
      </c>
    </row>
    <row r="72" spans="2:45" ht="13.95" customHeight="1">
      <c r="B72" s="31" t="str">
        <f t="shared" si="47"/>
        <v>"Other" Natural Gas (industry, heat/hot water, etc.)</v>
      </c>
      <c r="I72" s="33">
        <v>0</v>
      </c>
      <c r="J72" s="33">
        <v>0</v>
      </c>
      <c r="K72" s="33">
        <v>0</v>
      </c>
      <c r="L72" s="33">
        <v>0</v>
      </c>
      <c r="M72" s="33">
        <v>0</v>
      </c>
      <c r="N72" s="33">
        <v>0</v>
      </c>
      <c r="O72" s="33">
        <v>0</v>
      </c>
      <c r="P72" s="33">
        <v>0</v>
      </c>
      <c r="Q72" s="33">
        <v>0</v>
      </c>
      <c r="R72" s="33">
        <v>0</v>
      </c>
      <c r="S72" s="33">
        <v>0</v>
      </c>
      <c r="T72" s="33">
        <v>0</v>
      </c>
      <c r="U72" s="33">
        <v>0</v>
      </c>
      <c r="V72" s="33">
        <v>0</v>
      </c>
      <c r="W72" s="33">
        <v>0</v>
      </c>
      <c r="X72" s="33">
        <v>0</v>
      </c>
      <c r="Y72" s="33">
        <v>0</v>
      </c>
      <c r="Z72" s="33">
        <v>0</v>
      </c>
      <c r="AA72" s="33">
        <v>0</v>
      </c>
      <c r="AB72" s="33">
        <v>0</v>
      </c>
      <c r="AC72" s="33">
        <v>0</v>
      </c>
      <c r="AD72" s="33">
        <v>0</v>
      </c>
      <c r="AE72" s="33">
        <v>0</v>
      </c>
      <c r="AF72" s="33">
        <v>0</v>
      </c>
      <c r="AG72" s="33">
        <v>0</v>
      </c>
      <c r="AH72" s="33">
        <v>0</v>
      </c>
      <c r="AI72" s="33">
        <v>0</v>
      </c>
      <c r="AJ72" s="33">
        <v>0</v>
      </c>
      <c r="AK72" s="33">
        <v>0</v>
      </c>
      <c r="AL72" s="33">
        <v>0</v>
      </c>
      <c r="AM72" s="33">
        <v>0</v>
      </c>
      <c r="AN72" s="33">
        <v>0</v>
      </c>
      <c r="AO72" s="33">
        <v>0</v>
      </c>
      <c r="AP72" s="33">
        <v>0</v>
      </c>
      <c r="AQ72" s="33">
        <v>0</v>
      </c>
      <c r="AS72" s="6">
        <f>ROW()</f>
        <v>72</v>
      </c>
    </row>
    <row r="73" spans="2:45" ht="13.95" customHeight="1">
      <c r="B73" s="31" t="str">
        <f t="shared" si="47"/>
        <v>Misc. (non-electric coal, non-energy FF's, U.S. territories)</v>
      </c>
      <c r="I73" s="33">
        <f t="shared" ref="I73:Q73" si="58">I61</f>
        <v>2545.6846714185467</v>
      </c>
      <c r="J73" s="33">
        <f t="shared" si="58"/>
        <v>2470.3223535284601</v>
      </c>
      <c r="K73" s="33">
        <f t="shared" si="58"/>
        <v>2371.0714383400455</v>
      </c>
      <c r="L73" s="33">
        <f t="shared" si="58"/>
        <v>2273.1121581380876</v>
      </c>
      <c r="M73" s="33">
        <f t="shared" si="58"/>
        <v>2085.6131798136817</v>
      </c>
      <c r="N73" s="33">
        <f t="shared" si="58"/>
        <v>2205.5113343012285</v>
      </c>
      <c r="O73" s="33">
        <f t="shared" si="58"/>
        <v>2143.7968763565564</v>
      </c>
      <c r="P73" s="33">
        <f t="shared" si="58"/>
        <v>2087.7381358771968</v>
      </c>
      <c r="Q73" s="33">
        <f t="shared" si="58"/>
        <v>2173.3803653875598</v>
      </c>
      <c r="R73" s="33">
        <f t="shared" ref="R73:S73" si="59">R61</f>
        <v>2145.638766775251</v>
      </c>
      <c r="S73" s="33">
        <f t="shared" si="59"/>
        <v>2130.6415718488183</v>
      </c>
      <c r="T73" s="33">
        <f>T61*(Miscellany!T81/Miscellany!T43)*(Miscellany!T69/Miscellany!T58)</f>
        <v>2113.7946267199641</v>
      </c>
      <c r="U73" s="33">
        <f>U61*(Miscellany!U81/Miscellany!U43)*(Miscellany!U69/Miscellany!U58)</f>
        <v>2078.1661710370499</v>
      </c>
      <c r="V73" s="33">
        <f>V61*(Miscellany!V81/Miscellany!V43)*(Miscellany!V69/Miscellany!V58)</f>
        <v>2045.0330864277926</v>
      </c>
      <c r="W73" s="33">
        <f>W61*(Miscellany!W81/Miscellany!W43)*(Miscellany!W69/Miscellany!W58)</f>
        <v>2014.0988285515166</v>
      </c>
      <c r="X73" s="33">
        <f>X61*(Miscellany!X81/Miscellany!X43)*(Miscellany!X69/Miscellany!X58)</f>
        <v>1984.126037477746</v>
      </c>
      <c r="Y73" s="33">
        <f>Y61*(Miscellany!Y81/Miscellany!Y43)*(Miscellany!Y69/Miscellany!Y58)</f>
        <v>1957.926599489299</v>
      </c>
      <c r="Z73" s="33">
        <f>Z61*(Miscellany!Z81/Miscellany!Z43)*(Miscellany!Z69/Miscellany!Z58)</f>
        <v>1933.168841392019</v>
      </c>
      <c r="AA73" s="33">
        <f>AA61*(Miscellany!AA81/Miscellany!AA43)*(Miscellany!AA69/Miscellany!AA58)</f>
        <v>1909.7151248133841</v>
      </c>
      <c r="AB73" s="33">
        <f>AB61*(Miscellany!AB81/Miscellany!AB43)*(Miscellany!AB69/Miscellany!AB58)</f>
        <v>1887.4446590321691</v>
      </c>
      <c r="AC73" s="33">
        <f>AC61*(Miscellany!AC81/Miscellany!AC43)*(Miscellany!AC69/Miscellany!AC58)</f>
        <v>1866.250928623497</v>
      </c>
      <c r="AD73" s="33">
        <f>AD61*(Miscellany!AD81/Miscellany!AD43)*(Miscellany!AD69/Miscellany!AD58)</f>
        <v>1846.0395873164268</v>
      </c>
      <c r="AE73" s="33">
        <f>AE61*(Miscellany!AE81/Miscellany!AE43)*(Miscellany!AE69/Miscellany!AE58)</f>
        <v>1826.7267212785387</v>
      </c>
      <c r="AF73" s="33">
        <f>AF61*(Miscellany!AF81/Miscellany!AF43)*(Miscellany!AF69/Miscellany!AF58)</f>
        <v>1808.2374075330988</v>
      </c>
      <c r="AG73" s="33">
        <f>AG61*(Miscellany!AG81/Miscellany!AG43)*(Miscellany!AG69/Miscellany!AG58)</f>
        <v>1790.5045099546248</v>
      </c>
      <c r="AH73" s="33">
        <f>AH61*(Miscellany!AH81/Miscellany!AH43)*(Miscellany!AH69/Miscellany!AH58)</f>
        <v>1773.0010810387148</v>
      </c>
      <c r="AI73" s="33">
        <f>AI61*(Miscellany!AI81/Miscellany!AI43)*(Miscellany!AI69/Miscellany!AI58)</f>
        <v>1755.1899809489496</v>
      </c>
      <c r="AJ73" s="33">
        <f>AJ61*(Miscellany!AJ81/Miscellany!AJ43)*(Miscellany!AJ69/Miscellany!AJ58)</f>
        <v>1738.0014061801</v>
      </c>
      <c r="AK73" s="33">
        <f>AK61*(Miscellany!AK81/Miscellany!AK43)*(Miscellany!AK69/Miscellany!AK58)</f>
        <v>1721.3887883444868</v>
      </c>
      <c r="AL73" s="33">
        <f>AL61*(Miscellany!AL81/Miscellany!AL43)*(Miscellany!AL69/Miscellany!AL58)</f>
        <v>1705.3098098916928</v>
      </c>
      <c r="AM73" s="33">
        <f>AM61*(Miscellany!AM81/Miscellany!AM43)*(Miscellany!AM69/Miscellany!AM58)</f>
        <v>1689.7259234293479</v>
      </c>
      <c r="AN73" s="33">
        <f>AN61*(Miscellany!AN81/Miscellany!AN43)*(Miscellany!AN69/Miscellany!AN58)</f>
        <v>1674.6019366745497</v>
      </c>
      <c r="AO73" s="33">
        <f>AO61*(Miscellany!AO81/Miscellany!AO43)*(Miscellany!AO69/Miscellany!AO58)</f>
        <v>1659.9056526869083</v>
      </c>
      <c r="AP73" s="33">
        <f>AP61*(Miscellany!AP81/Miscellany!AP43)*(Miscellany!AP69/Miscellany!AP58)</f>
        <v>1645.607556872571</v>
      </c>
      <c r="AQ73" s="33">
        <f>AQ61*(Miscellany!AQ81/Miscellany!AQ43)*(Miscellany!AQ69/Miscellany!AQ58)</f>
        <v>1631.6805437250332</v>
      </c>
      <c r="AS73" s="6">
        <f>ROW()</f>
        <v>73</v>
      </c>
    </row>
    <row r="74" spans="2:45" ht="13.95" customHeight="1">
      <c r="AS74" s="6">
        <f>ROW()</f>
        <v>74</v>
      </c>
    </row>
    <row r="75" spans="2:45" ht="13.95" customHeight="1">
      <c r="B75" s="8" t="s">
        <v>1187</v>
      </c>
      <c r="T75" s="24">
        <f t="shared" ref="T75" si="60">SUM(T76:T83)</f>
        <v>424.65077077727415</v>
      </c>
      <c r="U75" s="24">
        <f t="shared" ref="U75" si="61">SUM(U76:U83)</f>
        <v>865.44263952034362</v>
      </c>
      <c r="V75" s="24">
        <f t="shared" ref="V75" si="62">SUM(V76:V83)</f>
        <v>1275.8150010724016</v>
      </c>
      <c r="W75" s="24">
        <f t="shared" ref="W75" si="63">SUM(W76:W83)</f>
        <v>1661.6879340138564</v>
      </c>
      <c r="X75" s="24">
        <f t="shared" ref="X75" si="64">SUM(X76:X83)</f>
        <v>2022.8648110705606</v>
      </c>
      <c r="Y75" s="24">
        <f t="shared" ref="Y75" si="65">SUM(Y76:Y83)</f>
        <v>2385.9602672700908</v>
      </c>
      <c r="Z75" s="24">
        <f t="shared" ref="Z75" si="66">SUM(Z76:Z83)</f>
        <v>2739.6832403784783</v>
      </c>
      <c r="AA75" s="24">
        <f t="shared" ref="AA75" si="67">SUM(AA76:AA83)</f>
        <v>3082.7663824586507</v>
      </c>
      <c r="AB75" s="24">
        <f t="shared" ref="AB75" si="68">SUM(AB76:AB83)</f>
        <v>3414.8324008444233</v>
      </c>
      <c r="AC75" s="24">
        <f t="shared" ref="AC75" si="69">SUM(AC76:AC83)</f>
        <v>3736.1580133648786</v>
      </c>
      <c r="AD75" s="24">
        <f t="shared" ref="AD75" si="70">SUM(AD76:AD83)</f>
        <v>4039.715584644513</v>
      </c>
      <c r="AE75" s="24">
        <f t="shared" ref="AE75" si="71">SUM(AE76:AE83)</f>
        <v>4329.9748430017817</v>
      </c>
      <c r="AF75" s="24">
        <f t="shared" ref="AF75" si="72">SUM(AF76:AF83)</f>
        <v>4604.4757146454458</v>
      </c>
      <c r="AG75" s="24">
        <f t="shared" ref="AG75" si="73">SUM(AG76:AG83)</f>
        <v>4864.7449465045083</v>
      </c>
      <c r="AH75" s="24">
        <f t="shared" ref="AH75" si="74">SUM(AH76:AH83)</f>
        <v>5109.5575849540946</v>
      </c>
      <c r="AI75" s="24">
        <f t="shared" ref="AI75" si="75">SUM(AI76:AI83)</f>
        <v>5342.6654511999404</v>
      </c>
      <c r="AJ75" s="24">
        <f t="shared" ref="AJ75" si="76">SUM(AJ76:AJ83)</f>
        <v>5564.3749852763831</v>
      </c>
      <c r="AK75" s="24">
        <f t="shared" ref="AK75" si="77">SUM(AK76:AK83)</f>
        <v>5775.6052540448618</v>
      </c>
      <c r="AL75" s="24">
        <f t="shared" ref="AL75" si="78">SUM(AL76:AL83)</f>
        <v>5977.1735470809708</v>
      </c>
      <c r="AM75" s="24">
        <f t="shared" ref="AM75" si="79">SUM(AM76:AM83)</f>
        <v>6169.3577183767247</v>
      </c>
      <c r="AN75" s="24">
        <f t="shared" ref="AN75" si="80">SUM(AN76:AN83)</f>
        <v>6353.2045955683971</v>
      </c>
      <c r="AO75" s="24">
        <f t="shared" ref="AO75" si="81">SUM(AO76:AO83)</f>
        <v>6529.3067037131941</v>
      </c>
      <c r="AP75" s="24">
        <f t="shared" ref="AP75:AQ75" si="82">SUM(AP76:AP83)</f>
        <v>6698.1992754860648</v>
      </c>
      <c r="AQ75" s="24">
        <f t="shared" si="82"/>
        <v>6959.310674078657</v>
      </c>
      <c r="AS75" s="6">
        <f>ROW()</f>
        <v>75</v>
      </c>
    </row>
    <row r="76" spans="2:45" ht="13.95" customHeight="1">
      <c r="B76" s="31" t="str">
        <f t="shared" ref="B76:B83" si="83">B54</f>
        <v>Electricity Generation</v>
      </c>
      <c r="T76" s="33">
        <f t="shared" ref="T76" si="84">T54-T66</f>
        <v>24.505385598549765</v>
      </c>
      <c r="U76" s="33">
        <f t="shared" ref="U76:AQ76" si="85">U54-U66</f>
        <v>33.131031432666276</v>
      </c>
      <c r="V76" s="33">
        <f t="shared" si="85"/>
        <v>40.511376259926294</v>
      </c>
      <c r="W76" s="33">
        <f t="shared" si="85"/>
        <v>46.898747025364855</v>
      </c>
      <c r="X76" s="33">
        <f t="shared" si="85"/>
        <v>52.397049902072666</v>
      </c>
      <c r="Y76" s="33">
        <f t="shared" si="85"/>
        <v>57.214900544515871</v>
      </c>
      <c r="Z76" s="33">
        <f t="shared" si="85"/>
        <v>61.464049606178534</v>
      </c>
      <c r="AA76" s="33">
        <f t="shared" si="85"/>
        <v>65.232295105898899</v>
      </c>
      <c r="AB76" s="33">
        <f t="shared" si="85"/>
        <v>68.58965135667269</v>
      </c>
      <c r="AC76" s="33">
        <f t="shared" si="85"/>
        <v>71.592689889252469</v>
      </c>
      <c r="AD76" s="33">
        <f t="shared" si="85"/>
        <v>74.287658159292874</v>
      </c>
      <c r="AE76" s="33">
        <f t="shared" si="85"/>
        <v>76.712761878894099</v>
      </c>
      <c r="AF76" s="33">
        <f t="shared" si="85"/>
        <v>78.899863055845572</v>
      </c>
      <c r="AG76" s="33">
        <f t="shared" si="85"/>
        <v>80.875762214656987</v>
      </c>
      <c r="AH76" s="33">
        <f t="shared" si="85"/>
        <v>83.096344739285755</v>
      </c>
      <c r="AI76" s="33">
        <f t="shared" si="85"/>
        <v>85.158719187892018</v>
      </c>
      <c r="AJ76" s="33">
        <f t="shared" si="85"/>
        <v>87.0776385818086</v>
      </c>
      <c r="AK76" s="33">
        <f t="shared" si="85"/>
        <v>88.865945402994086</v>
      </c>
      <c r="AL76" s="33">
        <f t="shared" si="85"/>
        <v>90.534877949357394</v>
      </c>
      <c r="AM76" s="33">
        <f t="shared" si="85"/>
        <v>92.094319309011865</v>
      </c>
      <c r="AN76" s="33">
        <f t="shared" si="85"/>
        <v>93.553001197630451</v>
      </c>
      <c r="AO76" s="33">
        <f t="shared" si="85"/>
        <v>94.918671987566881</v>
      </c>
      <c r="AP76" s="33">
        <f t="shared" si="85"/>
        <v>96.198236103164675</v>
      </c>
      <c r="AQ76" s="33">
        <f t="shared" si="85"/>
        <v>98.148499419320856</v>
      </c>
      <c r="AS76" s="6">
        <f>ROW()</f>
        <v>76</v>
      </c>
    </row>
    <row r="77" spans="2:45" ht="13.95" customHeight="1">
      <c r="B77" s="31" t="str">
        <f t="shared" si="83"/>
        <v>Personal Ground Travel (driving, boating, rec vehicles, etc.)</v>
      </c>
      <c r="T77" s="33">
        <f t="shared" ref="T77" si="86">T55-T67</f>
        <v>27.425795191736142</v>
      </c>
      <c r="U77" s="33">
        <f t="shared" ref="U77:AQ77" si="87">U55-U67</f>
        <v>155.02158299785697</v>
      </c>
      <c r="V77" s="33">
        <f t="shared" si="87"/>
        <v>285.10707922232723</v>
      </c>
      <c r="W77" s="33">
        <f t="shared" si="87"/>
        <v>418.45193513421964</v>
      </c>
      <c r="X77" s="33">
        <f t="shared" si="87"/>
        <v>548.65106959119566</v>
      </c>
      <c r="Y77" s="33">
        <f t="shared" si="87"/>
        <v>682.54702347649618</v>
      </c>
      <c r="Z77" s="33">
        <f t="shared" si="87"/>
        <v>821.67085607327772</v>
      </c>
      <c r="AA77" s="33">
        <f t="shared" si="87"/>
        <v>962.23213639269761</v>
      </c>
      <c r="AB77" s="33">
        <f t="shared" si="87"/>
        <v>1102.138909401142</v>
      </c>
      <c r="AC77" s="33">
        <f t="shared" si="87"/>
        <v>1240.4382385829376</v>
      </c>
      <c r="AD77" s="33">
        <f t="shared" si="87"/>
        <v>1367.6026320599676</v>
      </c>
      <c r="AE77" s="33">
        <f t="shared" si="87"/>
        <v>1489.5847954098845</v>
      </c>
      <c r="AF77" s="33">
        <f t="shared" si="87"/>
        <v>1603.7479439283316</v>
      </c>
      <c r="AG77" s="33">
        <f t="shared" si="87"/>
        <v>1710.8654928973838</v>
      </c>
      <c r="AH77" s="33">
        <f t="shared" si="87"/>
        <v>1810.3598367458853</v>
      </c>
      <c r="AI77" s="33">
        <f t="shared" si="87"/>
        <v>1903.1157645884023</v>
      </c>
      <c r="AJ77" s="33">
        <f t="shared" si="87"/>
        <v>1989.9688838421525</v>
      </c>
      <c r="AK77" s="33">
        <f t="shared" si="87"/>
        <v>2071.3775457745542</v>
      </c>
      <c r="AL77" s="33">
        <f t="shared" si="87"/>
        <v>2147.7482751382449</v>
      </c>
      <c r="AM77" s="33">
        <f t="shared" si="87"/>
        <v>2219.0720093319524</v>
      </c>
      <c r="AN77" s="33">
        <f t="shared" si="87"/>
        <v>2285.9968578687112</v>
      </c>
      <c r="AO77" s="33">
        <f t="shared" si="87"/>
        <v>2348.8174231440125</v>
      </c>
      <c r="AP77" s="33">
        <f t="shared" si="87"/>
        <v>2407.7995930831221</v>
      </c>
      <c r="AQ77" s="33">
        <f t="shared" si="87"/>
        <v>2490.3628091159353</v>
      </c>
      <c r="AS77" s="6">
        <f>ROW()</f>
        <v>77</v>
      </c>
    </row>
    <row r="78" spans="2:45" ht="13.95" customHeight="1">
      <c r="B78" s="31" t="str">
        <f t="shared" si="83"/>
        <v>Freight (goods movement by road, rail, ship, air)</v>
      </c>
      <c r="T78" s="33">
        <f t="shared" ref="T78:T83" si="88">T56-T68</f>
        <v>152.82472366633692</v>
      </c>
      <c r="U78" s="33">
        <f t="shared" ref="U78:AQ78" si="89">U56-U68</f>
        <v>269.6542415192157</v>
      </c>
      <c r="V78" s="33">
        <f t="shared" si="89"/>
        <v>375.49871297612071</v>
      </c>
      <c r="W78" s="33">
        <f t="shared" si="89"/>
        <v>472.02605792906388</v>
      </c>
      <c r="X78" s="33">
        <f t="shared" si="89"/>
        <v>559.12351654929216</v>
      </c>
      <c r="Y78" s="33">
        <f t="shared" si="89"/>
        <v>643.90742232603861</v>
      </c>
      <c r="Z78" s="33">
        <f t="shared" si="89"/>
        <v>723.35322478081525</v>
      </c>
      <c r="AA78" s="33">
        <f t="shared" si="89"/>
        <v>798.08569375333582</v>
      </c>
      <c r="AB78" s="33">
        <f t="shared" si="89"/>
        <v>868.63209657326297</v>
      </c>
      <c r="AC78" s="33">
        <f t="shared" si="89"/>
        <v>935.44097789444731</v>
      </c>
      <c r="AD78" s="33">
        <f t="shared" si="89"/>
        <v>998.89669470412036</v>
      </c>
      <c r="AE78" s="33">
        <f t="shared" si="89"/>
        <v>1059.3307962734589</v>
      </c>
      <c r="AF78" s="33">
        <f t="shared" si="89"/>
        <v>1117.031028157186</v>
      </c>
      <c r="AG78" s="33">
        <f t="shared" si="89"/>
        <v>1172.2485254058754</v>
      </c>
      <c r="AH78" s="33">
        <f t="shared" si="89"/>
        <v>1223.921596004476</v>
      </c>
      <c r="AI78" s="33">
        <f t="shared" si="89"/>
        <v>1273.9227374168133</v>
      </c>
      <c r="AJ78" s="33">
        <f t="shared" si="89"/>
        <v>1321.9763673049574</v>
      </c>
      <c r="AK78" s="33">
        <f t="shared" si="89"/>
        <v>1368.2388884798775</v>
      </c>
      <c r="AL78" s="33">
        <f t="shared" si="89"/>
        <v>1412.8498488746675</v>
      </c>
      <c r="AM78" s="33">
        <f t="shared" si="89"/>
        <v>1455.9342136487032</v>
      </c>
      <c r="AN78" s="33">
        <f t="shared" si="89"/>
        <v>1497.6042727596453</v>
      </c>
      <c r="AO78" s="33">
        <f t="shared" si="89"/>
        <v>1537.9612512263243</v>
      </c>
      <c r="AP78" s="33">
        <f t="shared" si="89"/>
        <v>1577.0966753892544</v>
      </c>
      <c r="AQ78" s="33">
        <f t="shared" si="89"/>
        <v>1644.8298720938246</v>
      </c>
      <c r="AS78" s="6">
        <f>ROW()</f>
        <v>78</v>
      </c>
    </row>
    <row r="79" spans="2:45" ht="13.95" customHeight="1">
      <c r="B79" s="31" t="str">
        <f t="shared" si="83"/>
        <v>Aviation (passenger only)</v>
      </c>
      <c r="T79" s="33">
        <f t="shared" si="88"/>
        <v>96.669734292551311</v>
      </c>
      <c r="U79" s="33">
        <f t="shared" ref="U79:AQ79" si="90">U57-U69</f>
        <v>156.72095272735874</v>
      </c>
      <c r="V79" s="33">
        <f t="shared" si="90"/>
        <v>206.76634004667267</v>
      </c>
      <c r="W79" s="33">
        <f t="shared" si="90"/>
        <v>248.79432093790001</v>
      </c>
      <c r="X79" s="33">
        <f t="shared" si="90"/>
        <v>284.54293774210396</v>
      </c>
      <c r="Y79" s="33">
        <f t="shared" si="90"/>
        <v>325.18075930155919</v>
      </c>
      <c r="Z79" s="33">
        <f t="shared" si="90"/>
        <v>363.06987970049431</v>
      </c>
      <c r="AA79" s="33">
        <f t="shared" si="90"/>
        <v>398.55722409558609</v>
      </c>
      <c r="AB79" s="33">
        <f t="shared" si="90"/>
        <v>431.93268328353543</v>
      </c>
      <c r="AC79" s="33">
        <f t="shared" si="90"/>
        <v>463.44058502385303</v>
      </c>
      <c r="AD79" s="33">
        <f t="shared" si="90"/>
        <v>493.28847300172822</v>
      </c>
      <c r="AE79" s="33">
        <f t="shared" si="90"/>
        <v>521.65390835673247</v>
      </c>
      <c r="AF79" s="33">
        <f t="shared" si="90"/>
        <v>548.68979852707412</v>
      </c>
      <c r="AG79" s="33">
        <f t="shared" si="90"/>
        <v>574.52861530373559</v>
      </c>
      <c r="AH79" s="33">
        <f t="shared" si="90"/>
        <v>599.6513259303963</v>
      </c>
      <c r="AI79" s="33">
        <f t="shared" si="90"/>
        <v>624.43119528890873</v>
      </c>
      <c r="AJ79" s="33">
        <f t="shared" si="90"/>
        <v>648.38948068520676</v>
      </c>
      <c r="AK79" s="33">
        <f t="shared" si="90"/>
        <v>671.6010087238775</v>
      </c>
      <c r="AL79" s="33">
        <f t="shared" si="90"/>
        <v>694.13221848902094</v>
      </c>
      <c r="AM79" s="33">
        <f t="shared" si="90"/>
        <v>716.04233201414661</v>
      </c>
      <c r="AN79" s="33">
        <f t="shared" si="90"/>
        <v>737.38433159160365</v>
      </c>
      <c r="AO79" s="33">
        <f t="shared" si="90"/>
        <v>758.20578041694387</v>
      </c>
      <c r="AP79" s="33">
        <f t="shared" si="90"/>
        <v>778.54951534399333</v>
      </c>
      <c r="AQ79" s="33">
        <f t="shared" si="90"/>
        <v>811.16326565963709</v>
      </c>
      <c r="AS79" s="6">
        <f>ROW()</f>
        <v>79</v>
      </c>
    </row>
    <row r="80" spans="2:45" ht="13.95" customHeight="1">
      <c r="B80" s="31" t="str">
        <f t="shared" si="83"/>
        <v>Oil Refining</v>
      </c>
      <c r="T80" s="33">
        <f t="shared" si="88"/>
        <v>10.345207872022456</v>
      </c>
      <c r="U80" s="33">
        <f t="shared" ref="U80:AQ80" si="91">U58-U70</f>
        <v>35.094755860888654</v>
      </c>
      <c r="V80" s="33">
        <f t="shared" si="91"/>
        <v>57.788815360517219</v>
      </c>
      <c r="W80" s="33">
        <f t="shared" si="91"/>
        <v>78.915565369197338</v>
      </c>
      <c r="X80" s="33">
        <f t="shared" si="91"/>
        <v>98.264581559840735</v>
      </c>
      <c r="Y80" s="33">
        <f t="shared" si="91"/>
        <v>118.19771358612797</v>
      </c>
      <c r="Z80" s="33">
        <f t="shared" si="91"/>
        <v>137.75172625229334</v>
      </c>
      <c r="AA80" s="33">
        <f t="shared" si="91"/>
        <v>156.79840037473605</v>
      </c>
      <c r="AB80" s="33">
        <f t="shared" si="91"/>
        <v>175.27887214223256</v>
      </c>
      <c r="AC80" s="33">
        <f t="shared" si="91"/>
        <v>193.19330697922624</v>
      </c>
      <c r="AD80" s="33">
        <f t="shared" si="91"/>
        <v>209.84536129684079</v>
      </c>
      <c r="AE80" s="33">
        <f t="shared" si="91"/>
        <v>225.37829272705517</v>
      </c>
      <c r="AF80" s="33">
        <f t="shared" si="91"/>
        <v>239.29975888809486</v>
      </c>
      <c r="AG80" s="33">
        <f t="shared" si="91"/>
        <v>251.77921238423141</v>
      </c>
      <c r="AH80" s="33">
        <f t="shared" si="91"/>
        <v>262.71563797076738</v>
      </c>
      <c r="AI80" s="33">
        <f t="shared" si="91"/>
        <v>272.48854432061444</v>
      </c>
      <c r="AJ80" s="33">
        <f t="shared" si="91"/>
        <v>281.12404210639397</v>
      </c>
      <c r="AK80" s="33">
        <f t="shared" si="91"/>
        <v>288.72329669315718</v>
      </c>
      <c r="AL80" s="33">
        <f t="shared" si="91"/>
        <v>295.37602333344853</v>
      </c>
      <c r="AM80" s="33">
        <f t="shared" si="91"/>
        <v>301.08142583271206</v>
      </c>
      <c r="AN80" s="33">
        <f t="shared" si="91"/>
        <v>305.97950838304905</v>
      </c>
      <c r="AO80" s="33">
        <f t="shared" si="91"/>
        <v>310.13481453595227</v>
      </c>
      <c r="AP80" s="33">
        <f t="shared" si="91"/>
        <v>313.60553402598634</v>
      </c>
      <c r="AQ80" s="33">
        <f t="shared" si="91"/>
        <v>321.27784136748596</v>
      </c>
      <c r="AS80" s="6">
        <f>ROW()</f>
        <v>80</v>
      </c>
    </row>
    <row r="81" spans="2:45" ht="13.95" customHeight="1">
      <c r="B81" s="31" t="str">
        <f t="shared" si="83"/>
        <v>"Other" Petroleum (heating, construxn, industry, etc.)</v>
      </c>
      <c r="T81" s="33">
        <f t="shared" si="88"/>
        <v>66.039448717607002</v>
      </c>
      <c r="U81" s="33">
        <f t="shared" ref="U81:AQ81" si="92">U59-U71</f>
        <v>125.08832180187483</v>
      </c>
      <c r="V81" s="33">
        <f t="shared" si="92"/>
        <v>178.11543069892696</v>
      </c>
      <c r="W81" s="33">
        <f t="shared" si="92"/>
        <v>225.5768984597064</v>
      </c>
      <c r="X81" s="33">
        <f t="shared" si="92"/>
        <v>272.14274287051921</v>
      </c>
      <c r="Y81" s="33">
        <f t="shared" si="92"/>
        <v>315.28861610882768</v>
      </c>
      <c r="Z81" s="33">
        <f t="shared" si="92"/>
        <v>354.32642536423396</v>
      </c>
      <c r="AA81" s="33">
        <f t="shared" si="92"/>
        <v>390.71018932923607</v>
      </c>
      <c r="AB81" s="33">
        <f t="shared" si="92"/>
        <v>425.20530897944218</v>
      </c>
      <c r="AC81" s="33">
        <f t="shared" si="92"/>
        <v>458.18514223759576</v>
      </c>
      <c r="AD81" s="33">
        <f t="shared" si="92"/>
        <v>492.11321388225383</v>
      </c>
      <c r="AE81" s="33">
        <f t="shared" si="92"/>
        <v>524.73186916769646</v>
      </c>
      <c r="AF81" s="33">
        <f t="shared" si="92"/>
        <v>556.16252482555819</v>
      </c>
      <c r="AG81" s="33">
        <f t="shared" si="92"/>
        <v>586.51130943198655</v>
      </c>
      <c r="AH81" s="33">
        <f t="shared" si="92"/>
        <v>615.58482115144079</v>
      </c>
      <c r="AI81" s="33">
        <f t="shared" si="92"/>
        <v>643.91718477278141</v>
      </c>
      <c r="AJ81" s="33">
        <f t="shared" si="92"/>
        <v>671.45225210655212</v>
      </c>
      <c r="AK81" s="33">
        <f t="shared" si="92"/>
        <v>698.25867055051003</v>
      </c>
      <c r="AL81" s="33">
        <f t="shared" si="92"/>
        <v>724.39767872301195</v>
      </c>
      <c r="AM81" s="33">
        <f t="shared" si="92"/>
        <v>749.92409838047456</v>
      </c>
      <c r="AN81" s="33">
        <f t="shared" si="92"/>
        <v>774.88716884087694</v>
      </c>
      <c r="AO81" s="33">
        <f t="shared" si="92"/>
        <v>799.33125257711663</v>
      </c>
      <c r="AP81" s="33">
        <f t="shared" si="92"/>
        <v>823.29643479256174</v>
      </c>
      <c r="AQ81" s="33">
        <f t="shared" si="92"/>
        <v>870.55420338494741</v>
      </c>
      <c r="AS81" s="6">
        <f>ROW()</f>
        <v>81</v>
      </c>
    </row>
    <row r="82" spans="2:45" ht="13.95" customHeight="1">
      <c r="B82" s="31" t="str">
        <f t="shared" si="83"/>
        <v>"Other" Natural Gas (industry, heat/hot water, etc.)</v>
      </c>
      <c r="T82" s="33">
        <f t="shared" si="88"/>
        <v>0</v>
      </c>
      <c r="U82" s="33">
        <f t="shared" ref="U82:AQ82" si="93">U60-U72</f>
        <v>0</v>
      </c>
      <c r="V82" s="33">
        <f t="shared" si="93"/>
        <v>0</v>
      </c>
      <c r="W82" s="33">
        <f t="shared" si="93"/>
        <v>0</v>
      </c>
      <c r="X82" s="33">
        <f t="shared" si="93"/>
        <v>0</v>
      </c>
      <c r="Y82" s="33">
        <f t="shared" si="93"/>
        <v>0</v>
      </c>
      <c r="Z82" s="33">
        <f t="shared" si="93"/>
        <v>0</v>
      </c>
      <c r="AA82" s="33">
        <f t="shared" si="93"/>
        <v>0</v>
      </c>
      <c r="AB82" s="33">
        <f t="shared" si="93"/>
        <v>0</v>
      </c>
      <c r="AC82" s="33">
        <f t="shared" si="93"/>
        <v>0</v>
      </c>
      <c r="AD82" s="33">
        <f t="shared" si="93"/>
        <v>0</v>
      </c>
      <c r="AE82" s="33">
        <f t="shared" si="93"/>
        <v>0</v>
      </c>
      <c r="AF82" s="33">
        <f t="shared" si="93"/>
        <v>0</v>
      </c>
      <c r="AG82" s="33">
        <f t="shared" si="93"/>
        <v>0</v>
      </c>
      <c r="AH82" s="33">
        <f t="shared" si="93"/>
        <v>0</v>
      </c>
      <c r="AI82" s="33">
        <f t="shared" si="93"/>
        <v>0</v>
      </c>
      <c r="AJ82" s="33">
        <f t="shared" si="93"/>
        <v>0</v>
      </c>
      <c r="AK82" s="33">
        <f t="shared" si="93"/>
        <v>0</v>
      </c>
      <c r="AL82" s="33">
        <f t="shared" si="93"/>
        <v>0</v>
      </c>
      <c r="AM82" s="33">
        <f t="shared" si="93"/>
        <v>0</v>
      </c>
      <c r="AN82" s="33">
        <f t="shared" si="93"/>
        <v>0</v>
      </c>
      <c r="AO82" s="33">
        <f t="shared" si="93"/>
        <v>0</v>
      </c>
      <c r="AP82" s="33">
        <f t="shared" si="93"/>
        <v>0</v>
      </c>
      <c r="AQ82" s="33">
        <f t="shared" si="93"/>
        <v>0</v>
      </c>
      <c r="AS82" s="6">
        <f>ROW()</f>
        <v>82</v>
      </c>
    </row>
    <row r="83" spans="2:45" ht="13.95" customHeight="1">
      <c r="B83" s="31" t="str">
        <f t="shared" si="83"/>
        <v>Misc. (non-electric coal, non-energy FF's, U.S. territories)</v>
      </c>
      <c r="T83" s="33">
        <f t="shared" si="88"/>
        <v>46.840475438470548</v>
      </c>
      <c r="U83" s="33">
        <f t="shared" ref="U83:AQ83" si="94">U61-U73</f>
        <v>90.731753180482428</v>
      </c>
      <c r="V83" s="33">
        <f t="shared" si="94"/>
        <v>132.0272465079106</v>
      </c>
      <c r="W83" s="33">
        <f t="shared" si="94"/>
        <v>171.0244091584043</v>
      </c>
      <c r="X83" s="33">
        <f t="shared" si="94"/>
        <v>207.74291285553613</v>
      </c>
      <c r="Y83" s="33">
        <f t="shared" si="94"/>
        <v>243.62383192652533</v>
      </c>
      <c r="Z83" s="33">
        <f t="shared" si="94"/>
        <v>278.04707860118538</v>
      </c>
      <c r="AA83" s="33">
        <f t="shared" si="94"/>
        <v>311.15044340716031</v>
      </c>
      <c r="AB83" s="33">
        <f t="shared" si="94"/>
        <v>343.05487910813554</v>
      </c>
      <c r="AC83" s="33">
        <f t="shared" si="94"/>
        <v>373.86707275756612</v>
      </c>
      <c r="AD83" s="33">
        <f t="shared" si="94"/>
        <v>403.68155154030887</v>
      </c>
      <c r="AE83" s="33">
        <f t="shared" si="94"/>
        <v>432.58241918806016</v>
      </c>
      <c r="AF83" s="33">
        <f t="shared" si="94"/>
        <v>460.64479726335526</v>
      </c>
      <c r="AG83" s="33">
        <f t="shared" si="94"/>
        <v>487.93602886663825</v>
      </c>
      <c r="AH83" s="33">
        <f t="shared" si="94"/>
        <v>514.22802241184218</v>
      </c>
      <c r="AI83" s="33">
        <f t="shared" si="94"/>
        <v>539.63130562452852</v>
      </c>
      <c r="AJ83" s="33">
        <f t="shared" si="94"/>
        <v>564.3863206493113</v>
      </c>
      <c r="AK83" s="33">
        <f t="shared" si="94"/>
        <v>588.53989841989141</v>
      </c>
      <c r="AL83" s="33">
        <f t="shared" si="94"/>
        <v>612.13462457321907</v>
      </c>
      <c r="AM83" s="33">
        <f t="shared" si="94"/>
        <v>635.20931985972356</v>
      </c>
      <c r="AN83" s="33">
        <f t="shared" si="94"/>
        <v>657.79945492687943</v>
      </c>
      <c r="AO83" s="33">
        <f t="shared" si="94"/>
        <v>679.93750982527786</v>
      </c>
      <c r="AP83" s="33">
        <f t="shared" si="94"/>
        <v>701.65328674798184</v>
      </c>
      <c r="AQ83" s="33">
        <f t="shared" si="94"/>
        <v>722.97418303750646</v>
      </c>
      <c r="AS83" s="6">
        <f>ROW()</f>
        <v>83</v>
      </c>
    </row>
    <row r="84" spans="2:45" ht="13.95" customHeight="1">
      <c r="AS84" s="6">
        <f>ROW()</f>
        <v>84</v>
      </c>
    </row>
    <row r="85" spans="2:45" ht="13.95" customHeight="1">
      <c r="AA85" s="695"/>
      <c r="AS85" s="6">
        <f>ROW()</f>
        <v>85</v>
      </c>
    </row>
    <row r="86" spans="2:45" ht="13.95" customHeight="1">
      <c r="AS86" s="6">
        <f>ROW()</f>
        <v>86</v>
      </c>
    </row>
    <row r="87" spans="2:45" ht="13.95" customHeight="1">
      <c r="AS87" s="6">
        <f>ROW()</f>
        <v>87</v>
      </c>
    </row>
    <row r="88" spans="2:45" ht="13.95" customHeight="1">
      <c r="AS88" s="6">
        <f>ROW()</f>
        <v>88</v>
      </c>
    </row>
    <row r="89" spans="2:45" ht="13.95" customHeight="1">
      <c r="AS89" s="6">
        <f>ROW()</f>
        <v>89</v>
      </c>
    </row>
    <row r="90" spans="2:45" ht="13.95" customHeight="1">
      <c r="AS90" s="6">
        <f>ROW()</f>
        <v>90</v>
      </c>
    </row>
    <row r="91" spans="2:45" ht="13.95" customHeight="1">
      <c r="AS91" s="6">
        <f>ROW()</f>
        <v>91</v>
      </c>
    </row>
    <row r="92" spans="2:45" ht="13.95" customHeight="1">
      <c r="AS92" s="6">
        <f>ROW()</f>
        <v>92</v>
      </c>
    </row>
    <row r="93" spans="2:45" ht="13.95" customHeight="1">
      <c r="AS93" s="6">
        <f>ROW()</f>
        <v>93</v>
      </c>
    </row>
    <row r="94" spans="2:45" ht="13.95" customHeight="1">
      <c r="AS94" s="6">
        <f>ROW()</f>
        <v>94</v>
      </c>
    </row>
    <row r="95" spans="2:45" ht="13.95" customHeight="1">
      <c r="AS95" s="6">
        <f>ROW()</f>
        <v>95</v>
      </c>
    </row>
    <row r="96" spans="2:45" ht="13.95" customHeight="1">
      <c r="AS96" s="6">
        <f>ROW()</f>
        <v>96</v>
      </c>
    </row>
    <row r="97" spans="45:45" ht="13.95" customHeight="1">
      <c r="AS97" s="6">
        <f>ROW()</f>
        <v>97</v>
      </c>
    </row>
    <row r="98" spans="45:45" ht="13.95" customHeight="1">
      <c r="AS98" s="6">
        <f>ROW()</f>
        <v>98</v>
      </c>
    </row>
    <row r="99" spans="45:45" ht="13.95" customHeight="1">
      <c r="AS99" s="6">
        <f>ROW()</f>
        <v>99</v>
      </c>
    </row>
    <row r="100" spans="45:45" ht="13.95" customHeight="1">
      <c r="AS100" s="6">
        <f>ROW()</f>
        <v>100</v>
      </c>
    </row>
    <row r="101" spans="45:45" ht="13.95" customHeight="1">
      <c r="AS101" s="6">
        <f>ROW()</f>
        <v>101</v>
      </c>
    </row>
    <row r="102" spans="45:45" ht="13.95" customHeight="1">
      <c r="AS102" s="6">
        <f>ROW()</f>
        <v>102</v>
      </c>
    </row>
    <row r="103" spans="45:45" ht="13.95" customHeight="1">
      <c r="AS103" s="6">
        <f>ROW()</f>
        <v>103</v>
      </c>
    </row>
    <row r="104" spans="45:45" ht="13.95" customHeight="1">
      <c r="AS104" s="6">
        <f>ROW()</f>
        <v>104</v>
      </c>
    </row>
    <row r="105" spans="45:45" ht="13.95" customHeight="1">
      <c r="AS105" s="6">
        <f>ROW()</f>
        <v>105</v>
      </c>
    </row>
    <row r="106" spans="45:45" ht="13.95" customHeight="1">
      <c r="AS106" s="6">
        <f>ROW()</f>
        <v>106</v>
      </c>
    </row>
    <row r="107" spans="45:45" ht="13.95" customHeight="1">
      <c r="AS107" s="6">
        <f>ROW()</f>
        <v>107</v>
      </c>
    </row>
    <row r="108" spans="45:45" ht="13.95" customHeight="1">
      <c r="AS108" s="6">
        <f>ROW()</f>
        <v>108</v>
      </c>
    </row>
    <row r="109" spans="45:45" ht="13.95" customHeight="1">
      <c r="AS109" s="6">
        <f>ROW()</f>
        <v>109</v>
      </c>
    </row>
    <row r="110" spans="45:45" ht="13.95" customHeight="1">
      <c r="AS110" s="6">
        <f>ROW()</f>
        <v>110</v>
      </c>
    </row>
    <row r="111" spans="45:45" ht="13.95" customHeight="1">
      <c r="AS111" s="6">
        <f>ROW()</f>
        <v>111</v>
      </c>
    </row>
    <row r="112" spans="45:45" ht="13.95" customHeight="1">
      <c r="AS112" s="6">
        <f>ROW()</f>
        <v>112</v>
      </c>
    </row>
    <row r="113" spans="45:45" ht="13.95" customHeight="1">
      <c r="AS113" s="6">
        <f>ROW()</f>
        <v>113</v>
      </c>
    </row>
    <row r="114" spans="45:45" ht="13.95" customHeight="1">
      <c r="AS114" s="6">
        <f>ROW()</f>
        <v>114</v>
      </c>
    </row>
    <row r="115" spans="45:45" ht="13.95" customHeight="1">
      <c r="AS115" s="6">
        <f>ROW()</f>
        <v>115</v>
      </c>
    </row>
    <row r="116" spans="45:45" ht="13.95" customHeight="1">
      <c r="AS116" s="6">
        <f>ROW()</f>
        <v>116</v>
      </c>
    </row>
    <row r="117" spans="45:45" ht="13.95" customHeight="1">
      <c r="AS117" s="6">
        <f>ROW()</f>
        <v>117</v>
      </c>
    </row>
    <row r="118" spans="45:45" ht="13.95" customHeight="1">
      <c r="AS118" s="6">
        <f>ROW()</f>
        <v>118</v>
      </c>
    </row>
    <row r="119" spans="45:45" ht="13.95" customHeight="1">
      <c r="AS119" s="6">
        <f>ROW()</f>
        <v>119</v>
      </c>
    </row>
    <row r="120" spans="45:45" ht="13.95" customHeight="1">
      <c r="AS120" s="6">
        <f>ROW()</f>
        <v>120</v>
      </c>
    </row>
    <row r="121" spans="45:45" ht="13.95" customHeight="1">
      <c r="AS121" s="6">
        <f>ROW()</f>
        <v>121</v>
      </c>
    </row>
    <row r="122" spans="45:45" ht="13.95" customHeight="1">
      <c r="AS122" s="6">
        <f>ROW()</f>
        <v>122</v>
      </c>
    </row>
    <row r="123" spans="45:45" ht="13.95" customHeight="1">
      <c r="AS123" s="6">
        <f>ROW()</f>
        <v>123</v>
      </c>
    </row>
    <row r="124" spans="45:45" ht="13.95" customHeight="1">
      <c r="AS124" s="6">
        <f>ROW()</f>
        <v>124</v>
      </c>
    </row>
    <row r="125" spans="45:45" ht="13.95" customHeight="1">
      <c r="AS125" s="6">
        <f>ROW()</f>
        <v>125</v>
      </c>
    </row>
    <row r="126" spans="45:45" ht="13.95" customHeight="1">
      <c r="AS126" s="6">
        <f>ROW()</f>
        <v>126</v>
      </c>
    </row>
    <row r="127" spans="45:45" ht="13.95" customHeight="1">
      <c r="AS127" s="6">
        <f>ROW()</f>
        <v>127</v>
      </c>
    </row>
    <row r="128" spans="45:45" ht="13.95" customHeight="1">
      <c r="AS128" s="6">
        <f>ROW()</f>
        <v>128</v>
      </c>
    </row>
    <row r="129" spans="45:45" ht="13.95" customHeight="1">
      <c r="AS129" s="6">
        <f>ROW()</f>
        <v>129</v>
      </c>
    </row>
    <row r="130" spans="45:45" ht="13.95" customHeight="1">
      <c r="AS130" s="6">
        <f>ROW()</f>
        <v>130</v>
      </c>
    </row>
    <row r="131" spans="45:45" ht="13.95" customHeight="1">
      <c r="AS131" s="6">
        <f>ROW()</f>
        <v>131</v>
      </c>
    </row>
    <row r="132" spans="45:45" ht="13.95" customHeight="1">
      <c r="AS132" s="6">
        <f>ROW()</f>
        <v>132</v>
      </c>
    </row>
    <row r="133" spans="45:45" ht="13.95" customHeight="1">
      <c r="AS133" s="6">
        <f>ROW()</f>
        <v>133</v>
      </c>
    </row>
    <row r="134" spans="45:45" ht="13.95" customHeight="1">
      <c r="AS134" s="6">
        <f>ROW()</f>
        <v>134</v>
      </c>
    </row>
    <row r="135" spans="45:45" ht="13.95" customHeight="1">
      <c r="AS135" s="6">
        <f>ROW()</f>
        <v>135</v>
      </c>
    </row>
    <row r="136" spans="45:45" ht="13.95" customHeight="1">
      <c r="AS136" s="6">
        <f>ROW()</f>
        <v>136</v>
      </c>
    </row>
    <row r="137" spans="45:45" ht="13.95" customHeight="1">
      <c r="AS137" s="6">
        <f>ROW()</f>
        <v>137</v>
      </c>
    </row>
    <row r="138" spans="45:45" ht="13.95" customHeight="1">
      <c r="AS138" s="6">
        <f>ROW()</f>
        <v>138</v>
      </c>
    </row>
    <row r="139" spans="45:45" ht="13.95" customHeight="1">
      <c r="AS139" s="6">
        <f>ROW()</f>
        <v>139</v>
      </c>
    </row>
    <row r="140" spans="45:45" ht="13.95" customHeight="1">
      <c r="AS140" s="6">
        <f>ROW()</f>
        <v>140</v>
      </c>
    </row>
    <row r="141" spans="45:45" ht="13.95" customHeight="1">
      <c r="AS141" s="6">
        <f>ROW()</f>
        <v>141</v>
      </c>
    </row>
    <row r="142" spans="45:45" ht="13.95" customHeight="1">
      <c r="AS142" s="6">
        <f>ROW()</f>
        <v>142</v>
      </c>
    </row>
    <row r="143" spans="45:45" ht="13.95" customHeight="1">
      <c r="AS143" s="6">
        <f>ROW()</f>
        <v>143</v>
      </c>
    </row>
    <row r="144" spans="45:45" ht="13.95" customHeight="1">
      <c r="AS144" s="6">
        <f>ROW()</f>
        <v>144</v>
      </c>
    </row>
    <row r="145" spans="45:45" ht="13.95" customHeight="1">
      <c r="AS145" s="6">
        <f>ROW()</f>
        <v>145</v>
      </c>
    </row>
    <row r="146" spans="45:45" ht="13.95" customHeight="1">
      <c r="AS146" s="6">
        <f>ROW()</f>
        <v>146</v>
      </c>
    </row>
    <row r="147" spans="45:45" ht="13.95" customHeight="1">
      <c r="AS147" s="6">
        <f>ROW()</f>
        <v>147</v>
      </c>
    </row>
    <row r="148" spans="45:45" ht="13.95" customHeight="1">
      <c r="AS148" s="6">
        <f>ROW()</f>
        <v>148</v>
      </c>
    </row>
    <row r="149" spans="45:45" ht="13.95" customHeight="1">
      <c r="AS149" s="6">
        <f>ROW()</f>
        <v>149</v>
      </c>
    </row>
    <row r="150" spans="45:45" ht="13.95" customHeight="1">
      <c r="AS150" s="6">
        <f>ROW()</f>
        <v>150</v>
      </c>
    </row>
    <row r="151" spans="45:45" ht="13.95" customHeight="1">
      <c r="AS151" s="6">
        <f>ROW()</f>
        <v>151</v>
      </c>
    </row>
    <row r="152" spans="45:45" ht="13.95" customHeight="1">
      <c r="AS152" s="6">
        <f>ROW()</f>
        <v>152</v>
      </c>
    </row>
    <row r="153" spans="45:45" ht="13.95" customHeight="1">
      <c r="AS153" s="6">
        <f>ROW()</f>
        <v>153</v>
      </c>
    </row>
  </sheetData>
  <mergeCells count="2">
    <mergeCell ref="G54:H56"/>
    <mergeCell ref="I50:S50"/>
  </mergeCells>
  <conditionalFormatting sqref="F8 F11:F12">
    <cfRule type="cellIs" dxfId="5" priority="1" stopIfTrue="1" operator="lessThan">
      <formula>$H$1</formula>
    </cfRule>
    <cfRule type="cellIs" dxfId="4" priority="2" stopIfTrue="1" operator="greaterThan">
      <formula>$G$1</formula>
    </cfRule>
  </conditionalFormatting>
  <pageMargins left="0.2" right="0.2"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dimension ref="B1:AH46"/>
  <sheetViews>
    <sheetView workbookViewId="0"/>
  </sheetViews>
  <sheetFormatPr defaultColWidth="10.25" defaultRowHeight="13.95" customHeight="1"/>
  <cols>
    <col min="1" max="1" width="2.625" customWidth="1"/>
  </cols>
  <sheetData>
    <row r="1" spans="2:34" ht="13.95" customHeight="1">
      <c r="B1" s="57" t="s">
        <v>509</v>
      </c>
      <c r="L1" s="214">
        <f>Summary!I1</f>
        <v>42552</v>
      </c>
    </row>
    <row r="3" spans="2:34" ht="13.95" customHeight="1">
      <c r="B3" s="144"/>
      <c r="D3" s="73"/>
      <c r="E3" s="73"/>
      <c r="F3" s="73"/>
      <c r="G3" s="73"/>
      <c r="H3" s="73"/>
      <c r="I3" s="73"/>
    </row>
    <row r="4" spans="2:34" ht="13.95" customHeight="1">
      <c r="B4" s="144"/>
      <c r="D4" s="73"/>
      <c r="E4" s="73"/>
      <c r="F4" s="73"/>
      <c r="G4" s="73"/>
      <c r="H4" s="73"/>
      <c r="I4" s="73"/>
    </row>
    <row r="5" spans="2:34" s="13" customFormat="1" ht="13.95" customHeight="1">
      <c r="B5" s="76" t="s">
        <v>507</v>
      </c>
      <c r="H5" s="95" t="str">
        <f>CONCATENATE("Figures are copied from Summary tab, Rows ",Summary!AR212, " and ",Summary!AR233, ".")</f>
        <v>Figures are copied from Summary tab, Rows 212 and 233.</v>
      </c>
      <c r="I5" s="75">
        <f>Summary!T110</f>
        <v>2017</v>
      </c>
      <c r="J5" s="75">
        <f>Summary!U110</f>
        <v>2018</v>
      </c>
      <c r="K5" s="75">
        <f>Summary!V110</f>
        <v>2019</v>
      </c>
      <c r="L5" s="75">
        <f>Summary!W110</f>
        <v>2020</v>
      </c>
      <c r="M5" s="75">
        <f>Summary!X110</f>
        <v>2021</v>
      </c>
      <c r="N5" s="75">
        <f>Summary!Y110</f>
        <v>2022</v>
      </c>
      <c r="O5" s="75">
        <f>Summary!Z110</f>
        <v>2023</v>
      </c>
      <c r="P5" s="75">
        <f>Summary!AA110</f>
        <v>2024</v>
      </c>
      <c r="Q5" s="75">
        <f>Summary!AB110</f>
        <v>2025</v>
      </c>
      <c r="R5" s="75">
        <f>Summary!AC110</f>
        <v>2026</v>
      </c>
      <c r="S5" s="75">
        <f>Summary!AD110</f>
        <v>2027</v>
      </c>
      <c r="T5" s="75">
        <f>Summary!AE110</f>
        <v>2028</v>
      </c>
      <c r="U5" s="75">
        <f>Summary!AF110</f>
        <v>2029</v>
      </c>
      <c r="V5" s="75">
        <f>Summary!AG110</f>
        <v>2030</v>
      </c>
      <c r="W5" s="75">
        <f>Summary!AH110</f>
        <v>2031</v>
      </c>
      <c r="X5" s="75">
        <f>Summary!AI110</f>
        <v>2032</v>
      </c>
      <c r="Y5" s="75">
        <f>Summary!AJ110</f>
        <v>2033</v>
      </c>
      <c r="Z5" s="75">
        <f>Summary!AK110</f>
        <v>2034</v>
      </c>
      <c r="AA5" s="75">
        <f>Summary!AL110</f>
        <v>2035</v>
      </c>
      <c r="AB5" s="75">
        <f>Summary!AM110</f>
        <v>2036</v>
      </c>
      <c r="AC5" s="75">
        <f>Summary!AN110</f>
        <v>2037</v>
      </c>
      <c r="AD5" s="75">
        <f>Summary!AO110</f>
        <v>2038</v>
      </c>
      <c r="AE5" s="75">
        <f>Summary!AP110</f>
        <v>2039</v>
      </c>
      <c r="AF5" s="75">
        <f>Summary!AQ110</f>
        <v>2040</v>
      </c>
      <c r="AG5"/>
      <c r="AH5"/>
    </row>
    <row r="6" spans="2:34" s="13" customFormat="1" ht="13.95" customHeight="1">
      <c r="B6" s="76"/>
      <c r="H6" s="95"/>
      <c r="I6" s="75"/>
      <c r="J6" s="75"/>
      <c r="K6" s="75"/>
      <c r="L6" s="75"/>
      <c r="M6" s="75"/>
      <c r="N6" s="75"/>
      <c r="O6" s="75"/>
      <c r="P6" s="75"/>
      <c r="Q6" s="75"/>
      <c r="R6" s="75"/>
      <c r="S6" s="75"/>
      <c r="T6" s="75"/>
      <c r="U6" s="75"/>
      <c r="V6" s="75"/>
      <c r="W6" s="75"/>
      <c r="X6" s="75"/>
      <c r="Y6" s="75"/>
      <c r="Z6" s="75"/>
      <c r="AA6" s="75"/>
      <c r="AB6" s="75"/>
      <c r="AC6" s="75"/>
      <c r="AD6" s="75"/>
      <c r="AE6" s="75"/>
      <c r="AF6" s="75"/>
      <c r="AG6"/>
      <c r="AH6"/>
    </row>
    <row r="7" spans="2:34" ht="13.95" customHeight="1">
      <c r="B7" s="8" t="s">
        <v>510</v>
      </c>
      <c r="I7" s="407">
        <f>Summary!T212</f>
        <v>59.996132853372941</v>
      </c>
      <c r="J7" s="407">
        <f>Summary!U212</f>
        <v>116.75998131258092</v>
      </c>
      <c r="K7" s="407">
        <f>Summary!V212</f>
        <v>170.82843867265058</v>
      </c>
      <c r="L7" s="407">
        <f>Summary!W212</f>
        <v>222.7906789024224</v>
      </c>
      <c r="M7" s="407">
        <f>Summary!X212</f>
        <v>273.09212622721429</v>
      </c>
      <c r="N7" s="407">
        <f>Summary!Y212</f>
        <v>322.57248738535253</v>
      </c>
      <c r="O7" s="407">
        <f>Summary!Z212</f>
        <v>371.29547672226118</v>
      </c>
      <c r="P7" s="407">
        <f>Summary!AA212</f>
        <v>419.60012416608771</v>
      </c>
      <c r="Q7" s="407">
        <f>Summary!AB212</f>
        <v>466.99795493506213</v>
      </c>
      <c r="R7" s="407">
        <f>Summary!AC212</f>
        <v>513.77963688741124</v>
      </c>
      <c r="S7" s="407">
        <f>Summary!AD212</f>
        <v>558.91978723207546</v>
      </c>
      <c r="T7" s="407">
        <f>Summary!AE212</f>
        <v>603.68051331492813</v>
      </c>
      <c r="U7" s="407">
        <f>Summary!AF212</f>
        <v>648.41406438622255</v>
      </c>
      <c r="V7" s="407">
        <f>Summary!AG212</f>
        <v>692.96484719041143</v>
      </c>
      <c r="W7" s="407">
        <f>Summary!AH212</f>
        <v>737.92214924942868</v>
      </c>
      <c r="X7" s="407">
        <f>Summary!AI212</f>
        <v>782.77669010037948</v>
      </c>
      <c r="Y7" s="407">
        <f>Summary!AJ212</f>
        <v>827.87755177920371</v>
      </c>
      <c r="Z7" s="407">
        <f>Summary!AK212</f>
        <v>872.94823231278428</v>
      </c>
      <c r="AA7" s="407">
        <f>Summary!AL212</f>
        <v>918.10957557551615</v>
      </c>
      <c r="AB7" s="407">
        <f>Summary!AM212</f>
        <v>963.78021025388421</v>
      </c>
      <c r="AC7" s="407">
        <f>Summary!AN212</f>
        <v>1009.6769106526688</v>
      </c>
      <c r="AD7" s="407">
        <f>Summary!AO212</f>
        <v>1055.8148949774481</v>
      </c>
      <c r="AE7" s="407">
        <f>Summary!AP212</f>
        <v>1102.4080731622867</v>
      </c>
      <c r="AF7" s="407">
        <f>Summary!AQ212</f>
        <v>1161.3853615987346</v>
      </c>
    </row>
    <row r="8" spans="2:34" ht="13.95" customHeight="1">
      <c r="B8" s="84" t="str">
        <f>CONCATENATE("Figures are copied from Summary tab, Row ",Summary!AR212, ".")</f>
        <v>Figures are copied from Summary tab, Row 212.</v>
      </c>
      <c r="I8" s="407"/>
      <c r="J8" s="407"/>
      <c r="K8" s="407"/>
      <c r="L8" s="407"/>
      <c r="M8" s="407"/>
      <c r="N8" s="407"/>
      <c r="O8" s="407"/>
      <c r="P8" s="407"/>
      <c r="Q8" s="407"/>
      <c r="R8" s="407"/>
      <c r="S8" s="407"/>
      <c r="T8" s="407"/>
      <c r="U8" s="407"/>
      <c r="V8" s="407"/>
      <c r="W8" s="407"/>
      <c r="X8" s="407"/>
      <c r="Y8" s="407"/>
      <c r="Z8" s="407"/>
      <c r="AA8" s="407"/>
      <c r="AB8" s="407"/>
      <c r="AC8" s="407"/>
      <c r="AD8" s="407"/>
      <c r="AE8" s="407"/>
      <c r="AF8" s="407"/>
    </row>
    <row r="9" spans="2:34" ht="13.95" customHeight="1">
      <c r="B9" s="8" t="s">
        <v>508</v>
      </c>
      <c r="I9" s="407">
        <f>Summary!T231</f>
        <v>481.45639272944624</v>
      </c>
      <c r="J9" s="407">
        <f>Summary!U231</f>
        <v>929.42984150897473</v>
      </c>
      <c r="K9" s="407">
        <f>Summary!V231</f>
        <v>1348.9623288532071</v>
      </c>
      <c r="L9" s="407">
        <f>Summary!W231</f>
        <v>1745.3561037781219</v>
      </c>
      <c r="M9" s="407">
        <f>Summary!X231</f>
        <v>2122.670135068317</v>
      </c>
      <c r="N9" s="407">
        <f>Summary!Y231</f>
        <v>2487.8851267747723</v>
      </c>
      <c r="O9" s="407">
        <f>Summary!Z231</f>
        <v>2841.8425762821066</v>
      </c>
      <c r="P9" s="407">
        <f>Summary!AA231</f>
        <v>3187.4540134802014</v>
      </c>
      <c r="Q9" s="407">
        <f>Summary!AB231</f>
        <v>3521.3033195611588</v>
      </c>
      <c r="R9" s="407">
        <f>Summary!AC231</f>
        <v>3845.9327620518211</v>
      </c>
      <c r="S9" s="407">
        <f>Summary!AD231</f>
        <v>4154.0407139646459</v>
      </c>
      <c r="T9" s="407">
        <f>Summary!AE231</f>
        <v>4455.4470284199633</v>
      </c>
      <c r="U9" s="407">
        <f>Summary!AF231</f>
        <v>4752.9914671190099</v>
      </c>
      <c r="V9" s="407">
        <f>Summary!AG231</f>
        <v>5045.7710403616902</v>
      </c>
      <c r="W9" s="407">
        <f>Summary!AH231</f>
        <v>5338.3052627656898</v>
      </c>
      <c r="X9" s="407">
        <f>Summary!AI231</f>
        <v>5627.0494885355683</v>
      </c>
      <c r="Y9" s="407">
        <f>Summary!AJ231</f>
        <v>5914.7110206252182</v>
      </c>
      <c r="Z9" s="407">
        <f>Summary!AK231</f>
        <v>6199.476118974394</v>
      </c>
      <c r="AA9" s="407">
        <f>Summary!AL231</f>
        <v>6482.3104568585723</v>
      </c>
      <c r="AB9" s="407">
        <f>Summary!AM231</f>
        <v>6766.328453089066</v>
      </c>
      <c r="AC9" s="407">
        <f>Summary!AN231</f>
        <v>7049.4910381506998</v>
      </c>
      <c r="AD9" s="407">
        <f>Summary!AO231</f>
        <v>7332.0282983789175</v>
      </c>
      <c r="AE9" s="407">
        <f>Summary!AP231</f>
        <v>7615.4393629277856</v>
      </c>
      <c r="AF9" s="407">
        <f>Summary!AQ231</f>
        <v>7981.7556894865102</v>
      </c>
    </row>
    <row r="10" spans="2:34" ht="13.95" customHeight="1">
      <c r="B10" s="84" t="str">
        <f>CONCATENATE("Figures are copied from Summary tab, Row ",Summary!AR231, " and reflect any deductions per percentages in Summary tab, Rows ",Summary!AR216, "-",Summary!AR218, ".")</f>
        <v>Figures are copied from Summary tab, Row 231 and reflect any deductions per percentages in Summary tab, Rows 216-218.</v>
      </c>
      <c r="I10" s="48"/>
      <c r="J10" s="48"/>
      <c r="K10" s="48"/>
      <c r="L10" s="48"/>
      <c r="M10" s="48"/>
      <c r="N10" s="48"/>
      <c r="O10" s="48"/>
      <c r="P10" s="48"/>
      <c r="Q10" s="48"/>
    </row>
    <row r="11" spans="2:34" ht="13.95" customHeight="1">
      <c r="B11" s="8"/>
      <c r="I11" s="48"/>
      <c r="J11" s="48"/>
      <c r="K11" s="48"/>
      <c r="L11" s="48"/>
      <c r="M11" s="48"/>
      <c r="N11" s="48"/>
      <c r="O11" s="48"/>
      <c r="P11" s="48"/>
      <c r="Q11" s="48"/>
    </row>
    <row r="12" spans="2:34" ht="13.95" customHeight="1">
      <c r="B12" s="825" t="s">
        <v>526</v>
      </c>
      <c r="C12" s="826"/>
      <c r="D12" s="826"/>
      <c r="E12" s="826"/>
      <c r="F12" s="826"/>
      <c r="G12" s="826"/>
      <c r="H12" s="827"/>
      <c r="I12" s="48"/>
      <c r="J12" s="48"/>
      <c r="K12" s="48"/>
      <c r="L12" s="48"/>
      <c r="M12" s="48"/>
      <c r="N12" s="48"/>
      <c r="O12" s="48"/>
      <c r="P12" s="48"/>
      <c r="Q12" s="48"/>
    </row>
    <row r="13" spans="2:34" ht="13.95" customHeight="1">
      <c r="B13" s="828" t="s">
        <v>524</v>
      </c>
      <c r="C13" s="820"/>
      <c r="D13" s="820"/>
      <c r="E13" s="820"/>
      <c r="F13" s="821">
        <f>Summary!$I$56</f>
        <v>11.337868480725623</v>
      </c>
      <c r="G13" s="820"/>
      <c r="H13" s="829"/>
      <c r="I13" s="48"/>
      <c r="J13" s="48"/>
      <c r="K13" s="48"/>
      <c r="L13" s="48"/>
      <c r="M13" s="48"/>
      <c r="N13" s="48"/>
      <c r="O13" s="48"/>
      <c r="P13" s="48"/>
      <c r="Q13" s="48"/>
    </row>
    <row r="14" spans="2:34" ht="13.95" customHeight="1">
      <c r="B14" s="828" t="s">
        <v>528</v>
      </c>
      <c r="C14" s="820"/>
      <c r="D14" s="820"/>
      <c r="E14" s="820"/>
      <c r="F14" s="822" t="str">
        <f>IF(Summary!$I$58=1,CONCATENATE("$",ROUND(Summary!$I$60,2),""),CONCATENATE("",Summary!$I$64*100,"%"))</f>
        <v>$11.34</v>
      </c>
      <c r="G14" s="820"/>
      <c r="H14" s="829"/>
      <c r="I14" s="48"/>
      <c r="J14" s="48"/>
      <c r="K14" s="48"/>
      <c r="L14" s="48"/>
      <c r="M14" s="48"/>
      <c r="N14" s="48"/>
      <c r="O14" s="48"/>
      <c r="P14" s="48"/>
      <c r="Q14" s="48"/>
    </row>
    <row r="15" spans="2:34" ht="13.95" customHeight="1">
      <c r="B15" s="828" t="s">
        <v>525</v>
      </c>
      <c r="C15" s="823"/>
      <c r="D15" s="820"/>
      <c r="E15" s="820"/>
      <c r="F15" s="820" t="str">
        <f>IF(Summary!$I$69="Nominal","No inflation indexing","Carbon tax is indexed to inflation")</f>
        <v>Carbon tax is indexed to inflation</v>
      </c>
      <c r="G15" s="820"/>
      <c r="H15" s="829"/>
      <c r="I15" s="48"/>
      <c r="J15" s="48"/>
      <c r="K15" s="48"/>
      <c r="L15" s="48"/>
      <c r="M15" s="48"/>
      <c r="N15" s="48"/>
      <c r="O15" s="48"/>
      <c r="P15" s="48"/>
      <c r="Q15" s="48"/>
    </row>
    <row r="16" spans="2:34" ht="13.95" customHeight="1">
      <c r="B16" s="828" t="s">
        <v>527</v>
      </c>
      <c r="C16" s="823"/>
      <c r="D16" s="820"/>
      <c r="E16" s="820"/>
      <c r="F16" s="824">
        <f>Summary!$I$53</f>
        <v>2017</v>
      </c>
      <c r="G16" s="820"/>
      <c r="H16" s="829"/>
      <c r="I16" s="48"/>
      <c r="J16" s="48"/>
      <c r="K16" s="48"/>
      <c r="L16" s="48"/>
      <c r="M16" s="48"/>
      <c r="N16" s="48"/>
      <c r="O16" s="48"/>
      <c r="P16" s="48"/>
      <c r="Q16" s="48"/>
    </row>
    <row r="17" spans="2:17" ht="13.95" customHeight="1">
      <c r="B17" s="830" t="s">
        <v>884</v>
      </c>
      <c r="C17" s="831"/>
      <c r="D17" s="831"/>
      <c r="E17" s="831"/>
      <c r="F17" s="832">
        <f>Summary!$I$73</f>
        <v>12.5</v>
      </c>
      <c r="G17" s="831"/>
      <c r="H17" s="833"/>
      <c r="I17" s="48"/>
      <c r="J17" s="48"/>
      <c r="K17" s="48"/>
      <c r="L17" s="48"/>
      <c r="M17" s="48"/>
      <c r="N17" s="48"/>
      <c r="O17" s="48"/>
      <c r="P17" s="48"/>
      <c r="Q17" s="48"/>
    </row>
    <row r="18" spans="2:17" ht="13.95" customHeight="1">
      <c r="B18" s="8"/>
      <c r="I18" s="48"/>
      <c r="J18" s="48"/>
      <c r="K18" s="48"/>
      <c r="L18" s="48"/>
      <c r="M18" s="48"/>
      <c r="N18" s="48"/>
      <c r="O18" s="48"/>
      <c r="P18" s="48"/>
      <c r="Q18" s="48"/>
    </row>
    <row r="20" spans="2:17" ht="13.95" customHeight="1">
      <c r="C20" s="8"/>
      <c r="N20" s="8"/>
    </row>
    <row r="46" spans="2:2" ht="13.95" customHeight="1">
      <c r="B46" s="8"/>
    </row>
  </sheetData>
  <conditionalFormatting sqref="F14">
    <cfRule type="cellIs" dxfId="3" priority="3" stopIfTrue="1" operator="lessThan">
      <formula>$H$1</formula>
    </cfRule>
    <cfRule type="cellIs" dxfId="2" priority="4" stopIfTrue="1" operator="greaterThan">
      <formula>$G$1</formula>
    </cfRule>
  </conditionalFormatting>
  <conditionalFormatting sqref="F14 F17">
    <cfRule type="cellIs" dxfId="1" priority="1" stopIfTrue="1" operator="lessThan">
      <formula>$H$1</formula>
    </cfRule>
    <cfRule type="cellIs" dxfId="0" priority="2" stopIfTrue="1" operator="greaterThan">
      <formula>$G$1</formula>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dimension ref="A1:V300"/>
  <sheetViews>
    <sheetView workbookViewId="0"/>
  </sheetViews>
  <sheetFormatPr defaultColWidth="10.75" defaultRowHeight="13.95" customHeight="1"/>
  <cols>
    <col min="1" max="1" width="2.75" customWidth="1"/>
  </cols>
  <sheetData>
    <row r="1" spans="2:10" ht="13.95" customHeight="1">
      <c r="B1" s="57" t="s">
        <v>564</v>
      </c>
      <c r="D1" s="14"/>
      <c r="J1" s="216">
        <f>Summary!I1</f>
        <v>42552</v>
      </c>
    </row>
    <row r="3" spans="2:10" ht="13.95" customHeight="1">
      <c r="B3" s="1" t="s">
        <v>1261</v>
      </c>
    </row>
    <row r="5" spans="2:10" ht="13.95" customHeight="1">
      <c r="B5" s="1" t="s">
        <v>1051</v>
      </c>
    </row>
    <row r="7" spans="2:10" ht="13.95" customHeight="1">
      <c r="B7" t="s">
        <v>92</v>
      </c>
      <c r="E7" s="21">
        <f>Summary!S116</f>
        <v>1895.3696778233411</v>
      </c>
      <c r="F7" s="5">
        <f t="shared" ref="F7:F14" si="0">E7/E$15</f>
        <v>0.37131066436558097</v>
      </c>
    </row>
    <row r="8" spans="2:10" ht="13.95" customHeight="1">
      <c r="B8" t="s">
        <v>134</v>
      </c>
      <c r="E8" s="21">
        <f>Summary!S117</f>
        <v>1098.7398093222546</v>
      </c>
      <c r="F8" s="5">
        <f t="shared" si="0"/>
        <v>0.21524761809679194</v>
      </c>
    </row>
    <row r="9" spans="2:10" ht="13.95" customHeight="1">
      <c r="B9" t="s">
        <v>561</v>
      </c>
      <c r="E9" s="21">
        <f>Summary!S118</f>
        <v>480.08011596161907</v>
      </c>
      <c r="F9" s="5">
        <f t="shared" si="0"/>
        <v>9.4049656324104516E-2</v>
      </c>
    </row>
    <row r="10" spans="2:10" ht="13.95" customHeight="1">
      <c r="B10" s="31" t="s">
        <v>588</v>
      </c>
      <c r="E10" s="21">
        <f>Summary!S119</f>
        <v>213.45843074940368</v>
      </c>
      <c r="F10" s="5">
        <f t="shared" si="0"/>
        <v>4.181737877489821E-2</v>
      </c>
    </row>
    <row r="11" spans="2:10" ht="13.95" customHeight="1">
      <c r="B11" s="14" t="s">
        <v>1130</v>
      </c>
      <c r="E11" s="21">
        <f>Summary!S120</f>
        <v>325.31630738964878</v>
      </c>
      <c r="F11" s="5">
        <f t="shared" si="0"/>
        <v>6.3730793859975779E-2</v>
      </c>
    </row>
    <row r="12" spans="2:10" ht="13.95" customHeight="1">
      <c r="B12" t="s">
        <v>562</v>
      </c>
      <c r="E12" s="21">
        <f>Summary!S121</f>
        <v>282.16515385959826</v>
      </c>
      <c r="F12" s="5">
        <f t="shared" si="0"/>
        <v>5.5277306567837282E-2</v>
      </c>
    </row>
    <row r="13" spans="2:10" ht="13.95" customHeight="1">
      <c r="B13" s="31" t="s">
        <v>589</v>
      </c>
      <c r="E13" s="21">
        <f>Summary!S122</f>
        <v>577.86226030945033</v>
      </c>
      <c r="F13" s="5">
        <f t="shared" si="0"/>
        <v>0.11320557793965989</v>
      </c>
    </row>
    <row r="14" spans="2:10" ht="13.95" customHeight="1">
      <c r="B14" s="14" t="s">
        <v>697</v>
      </c>
      <c r="E14" s="21">
        <f>Summary!S123</f>
        <v>231.54700342092116</v>
      </c>
      <c r="F14" s="5">
        <f t="shared" si="0"/>
        <v>4.5361004071151505E-2</v>
      </c>
    </row>
    <row r="15" spans="2:10" ht="13.95" customHeight="1">
      <c r="B15" s="8" t="s">
        <v>563</v>
      </c>
      <c r="C15" s="8"/>
      <c r="D15" s="8"/>
      <c r="E15" s="24">
        <f>SUM(E7:E14)</f>
        <v>5104.5387588362364</v>
      </c>
      <c r="F15" s="11">
        <f>SUM(F7:F14)</f>
        <v>1.0000000000000002</v>
      </c>
    </row>
    <row r="18" spans="13:22" ht="13.95" customHeight="1">
      <c r="M18" s="8"/>
      <c r="T18" s="48"/>
      <c r="U18" s="48"/>
      <c r="V18" s="48"/>
    </row>
    <row r="44" spans="2:13" ht="13.95" customHeight="1">
      <c r="M44" s="1093" t="s">
        <v>1258</v>
      </c>
    </row>
    <row r="46" spans="2:13" ht="13.95" customHeight="1">
      <c r="B46" s="1" t="s">
        <v>777</v>
      </c>
    </row>
    <row r="48" spans="2:13" ht="13.95" customHeight="1">
      <c r="E48" s="186">
        <v>2005</v>
      </c>
      <c r="F48" s="186">
        <v>2015</v>
      </c>
      <c r="G48" s="186" t="s">
        <v>776</v>
      </c>
      <c r="H48" s="186" t="s">
        <v>775</v>
      </c>
    </row>
    <row r="49" spans="2:19" ht="13.95" customHeight="1">
      <c r="B49" t="s">
        <v>92</v>
      </c>
      <c r="E49" s="21">
        <f>Summary!I116</f>
        <v>2413</v>
      </c>
      <c r="F49" s="21">
        <f>Summary!S116</f>
        <v>1895.3696778233411</v>
      </c>
      <c r="G49" s="21">
        <f>Summary!AG116</f>
        <v>1718.2987778961697</v>
      </c>
      <c r="H49" s="36">
        <f>0.68*E49</f>
        <v>1640.8400000000001</v>
      </c>
    </row>
    <row r="50" spans="2:19" ht="13.95" customHeight="1">
      <c r="B50" t="s">
        <v>134</v>
      </c>
      <c r="E50" s="21">
        <f>Summary!I117</f>
        <v>1193.0849999999996</v>
      </c>
      <c r="F50" s="21">
        <f>Summary!S117</f>
        <v>1098.7398093222546</v>
      </c>
      <c r="G50" s="21">
        <f>Summary!AG117</f>
        <v>1090.9403816097897</v>
      </c>
      <c r="H50" s="36">
        <f>G50</f>
        <v>1090.9403816097897</v>
      </c>
      <c r="R50" s="8"/>
    </row>
    <row r="51" spans="2:19" ht="13.95" customHeight="1">
      <c r="B51" t="s">
        <v>561</v>
      </c>
      <c r="E51" s="21">
        <f>Summary!I118</f>
        <v>510.21500000000003</v>
      </c>
      <c r="F51" s="21">
        <f>Summary!S118</f>
        <v>480.08011596161907</v>
      </c>
      <c r="G51" s="21">
        <f>Summary!AG118</f>
        <v>492.23641928366033</v>
      </c>
      <c r="H51" s="36">
        <f>G51</f>
        <v>492.23641928366033</v>
      </c>
      <c r="K51" t="s">
        <v>92</v>
      </c>
      <c r="L51" t="s">
        <v>134</v>
      </c>
      <c r="M51" t="s">
        <v>561</v>
      </c>
      <c r="N51" s="14" t="s">
        <v>588</v>
      </c>
      <c r="O51" s="14" t="s">
        <v>1130</v>
      </c>
      <c r="P51" t="s">
        <v>562</v>
      </c>
      <c r="Q51" s="14" t="s">
        <v>589</v>
      </c>
      <c r="R51" s="14" t="s">
        <v>697</v>
      </c>
      <c r="S51" s="8" t="s">
        <v>563</v>
      </c>
    </row>
    <row r="52" spans="2:19" ht="13.95" customHeight="1">
      <c r="B52" s="14" t="s">
        <v>588</v>
      </c>
      <c r="E52" s="21">
        <f>Summary!I119</f>
        <v>232.5</v>
      </c>
      <c r="F52" s="21">
        <f>Summary!S119</f>
        <v>213.45843074940368</v>
      </c>
      <c r="G52" s="21">
        <f>Summary!AG119</f>
        <v>204.43890994159619</v>
      </c>
      <c r="H52" s="36">
        <f>G52</f>
        <v>204.43890994159619</v>
      </c>
      <c r="J52" s="12">
        <v>2005</v>
      </c>
      <c r="K52" s="765">
        <f>E49</f>
        <v>2413</v>
      </c>
      <c r="L52" s="765">
        <f>E50</f>
        <v>1193.0849999999996</v>
      </c>
      <c r="M52" s="766">
        <f>E51</f>
        <v>510.21500000000003</v>
      </c>
      <c r="N52" s="766">
        <f>E52</f>
        <v>232.5</v>
      </c>
      <c r="O52" s="766">
        <f>E53</f>
        <v>306.0851541962794</v>
      </c>
      <c r="P52" s="766">
        <f>E54</f>
        <v>282.31135569455722</v>
      </c>
      <c r="Q52" s="765">
        <f>E55</f>
        <v>559.00938167437994</v>
      </c>
      <c r="R52" s="765">
        <f>E56</f>
        <v>315.5</v>
      </c>
      <c r="S52" s="767">
        <f>SUM(K52:R52)</f>
        <v>5811.705891565216</v>
      </c>
    </row>
    <row r="53" spans="2:19" ht="13.95" customHeight="1">
      <c r="B53" s="14" t="s">
        <v>1130</v>
      </c>
      <c r="E53" s="21">
        <f>Summary!I120</f>
        <v>306.0851541962794</v>
      </c>
      <c r="F53" s="21">
        <f>Summary!S120</f>
        <v>325.31630738964878</v>
      </c>
      <c r="G53" s="21">
        <f>Summary!AG120</f>
        <v>310.83633942636078</v>
      </c>
      <c r="H53" s="36">
        <f>G53</f>
        <v>310.83633942636078</v>
      </c>
      <c r="J53" s="12">
        <v>2015</v>
      </c>
      <c r="K53" s="765">
        <f>F49</f>
        <v>1895.3696778233411</v>
      </c>
      <c r="L53" s="765">
        <f>F50</f>
        <v>1098.7398093222546</v>
      </c>
      <c r="M53" s="765">
        <f>F51</f>
        <v>480.08011596161907</v>
      </c>
      <c r="N53" s="765">
        <f>F52</f>
        <v>213.45843074940368</v>
      </c>
      <c r="O53" s="765">
        <f>F53</f>
        <v>325.31630738964878</v>
      </c>
      <c r="P53" s="765">
        <f>F54</f>
        <v>282.16515385959826</v>
      </c>
      <c r="Q53" s="765">
        <f>F55</f>
        <v>577.86226030945033</v>
      </c>
      <c r="R53" s="765">
        <f>F56</f>
        <v>231.54700342092116</v>
      </c>
      <c r="S53" s="767">
        <f>SUM(K53:R53)</f>
        <v>5104.5387588362364</v>
      </c>
    </row>
    <row r="54" spans="2:19" ht="13.95" customHeight="1">
      <c r="B54" t="s">
        <v>562</v>
      </c>
      <c r="E54" s="21">
        <f>Summary!I121</f>
        <v>282.31135569455722</v>
      </c>
      <c r="F54" s="21">
        <f>Summary!S121</f>
        <v>282.16515385959826</v>
      </c>
      <c r="G54" s="21">
        <f>Summary!AG121</f>
        <v>296.39489845932144</v>
      </c>
      <c r="H54" s="36">
        <f t="shared" ref="H54:H56" si="1">G54</f>
        <v>296.39489845932144</v>
      </c>
      <c r="J54" s="12" t="s">
        <v>799</v>
      </c>
      <c r="K54" s="765">
        <f>G49</f>
        <v>1718.2987778961697</v>
      </c>
      <c r="L54" s="765">
        <f>G50</f>
        <v>1090.9403816097897</v>
      </c>
      <c r="M54" s="765">
        <f>G51</f>
        <v>492.23641928366033</v>
      </c>
      <c r="N54" s="765">
        <f>G52</f>
        <v>204.43890994159619</v>
      </c>
      <c r="O54" s="765">
        <f>G53</f>
        <v>310.83633942636078</v>
      </c>
      <c r="P54" s="765">
        <f>G54</f>
        <v>296.39489845932144</v>
      </c>
      <c r="Q54" s="765">
        <f>G55</f>
        <v>596.98230111625082</v>
      </c>
      <c r="R54" s="765">
        <f>G56</f>
        <v>226.44285143102002</v>
      </c>
      <c r="S54" s="767">
        <f>SUM(K54:R54)</f>
        <v>4936.5708791641691</v>
      </c>
    </row>
    <row r="55" spans="2:19" ht="13.95" customHeight="1">
      <c r="B55" s="14" t="s">
        <v>589</v>
      </c>
      <c r="E55" s="21">
        <f>Summary!I122</f>
        <v>559.00938167437994</v>
      </c>
      <c r="F55" s="21">
        <f>Summary!S122</f>
        <v>577.86226030945033</v>
      </c>
      <c r="G55" s="21">
        <f>Summary!AG122</f>
        <v>596.98230111625082</v>
      </c>
      <c r="H55" s="36">
        <f t="shared" si="1"/>
        <v>596.98230111625082</v>
      </c>
      <c r="J55" s="1096" t="s">
        <v>1283</v>
      </c>
      <c r="K55" s="765">
        <f>H49</f>
        <v>1640.8400000000001</v>
      </c>
      <c r="L55" s="766">
        <f>H50</f>
        <v>1090.9403816097897</v>
      </c>
      <c r="M55" s="766">
        <f>H51</f>
        <v>492.23641928366033</v>
      </c>
      <c r="N55" s="766">
        <f>H52</f>
        <v>204.43890994159619</v>
      </c>
      <c r="O55" s="766">
        <f>H53</f>
        <v>310.83633942636078</v>
      </c>
      <c r="P55" s="766">
        <f>H54</f>
        <v>296.39489845932144</v>
      </c>
      <c r="Q55" s="766">
        <f>H55</f>
        <v>596.98230111625082</v>
      </c>
      <c r="R55" s="766">
        <f>H56</f>
        <v>226.44285143102002</v>
      </c>
      <c r="S55" s="767">
        <f>SUM(K55:R55)</f>
        <v>4859.1121012679996</v>
      </c>
    </row>
    <row r="56" spans="2:19" ht="13.95" customHeight="1">
      <c r="B56" s="14" t="s">
        <v>697</v>
      </c>
      <c r="E56" s="21">
        <f>Summary!I123</f>
        <v>315.5</v>
      </c>
      <c r="F56" s="21">
        <f>Summary!S123</f>
        <v>231.54700342092116</v>
      </c>
      <c r="G56" s="21">
        <f>Summary!AG123</f>
        <v>226.44285143102002</v>
      </c>
      <c r="H56" s="36">
        <f t="shared" si="1"/>
        <v>226.44285143102002</v>
      </c>
      <c r="J56" s="12" t="s">
        <v>800</v>
      </c>
      <c r="K56" s="765">
        <f>Summary!AG128</f>
        <v>714.56113670244486</v>
      </c>
      <c r="L56" s="765">
        <f>Summary!AG129</f>
        <v>858.15810712319012</v>
      </c>
      <c r="M56" s="765">
        <f>Summary!AG130</f>
        <v>309.21952241145436</v>
      </c>
      <c r="N56" s="765">
        <f>Summary!AG131</f>
        <v>120.16533399574932</v>
      </c>
      <c r="O56" s="765">
        <f>Summary!AG132</f>
        <v>274.00366198953856</v>
      </c>
      <c r="P56" s="765">
        <f>Summary!AG133</f>
        <v>210.17090156199413</v>
      </c>
      <c r="Q56" s="765">
        <f>Summary!AG134</f>
        <v>354.78263129171239</v>
      </c>
      <c r="R56" s="765">
        <f>Summary!AG135</f>
        <v>177.94932096142472</v>
      </c>
      <c r="S56" s="767">
        <f>SUM(K56:R56)</f>
        <v>3019.010616037508</v>
      </c>
    </row>
    <row r="57" spans="2:19" ht="13.95" customHeight="1">
      <c r="B57" s="8" t="s">
        <v>563</v>
      </c>
      <c r="C57" s="8"/>
      <c r="D57" s="8"/>
      <c r="E57" s="24">
        <f>SUM(E49:E56)</f>
        <v>5811.705891565216</v>
      </c>
      <c r="F57" s="24">
        <f>SUM(F49:F56)</f>
        <v>5104.5387588362364</v>
      </c>
      <c r="G57" s="24">
        <f>SUM(G49:G56)</f>
        <v>4936.5708791641691</v>
      </c>
      <c r="H57" s="24">
        <f>SUM(H49:H56)</f>
        <v>4859.1121012679996</v>
      </c>
    </row>
    <row r="58" spans="2:19" ht="13.95" customHeight="1">
      <c r="B58" s="8"/>
      <c r="C58" s="8"/>
      <c r="D58" s="8"/>
      <c r="E58" s="24"/>
      <c r="F58" s="24"/>
      <c r="G58" s="24"/>
      <c r="H58" s="24"/>
    </row>
    <row r="59" spans="2:19" ht="13.95" customHeight="1">
      <c r="B59" s="8"/>
      <c r="C59" s="8"/>
      <c r="D59" s="8"/>
      <c r="E59" s="24"/>
      <c r="F59" s="24"/>
      <c r="G59" s="24"/>
      <c r="H59" s="24"/>
      <c r="J59" s="186" t="s">
        <v>780</v>
      </c>
      <c r="K59" s="36">
        <f t="shared" ref="K59:N59" si="2">K54-K56</f>
        <v>1003.7376411937248</v>
      </c>
      <c r="L59" s="36">
        <f t="shared" si="2"/>
        <v>232.78227448659959</v>
      </c>
      <c r="M59" s="36">
        <f t="shared" si="2"/>
        <v>183.01689687220596</v>
      </c>
      <c r="N59" s="36">
        <f t="shared" si="2"/>
        <v>84.273575945846872</v>
      </c>
      <c r="O59" s="36">
        <f>P54-P56</f>
        <v>86.223996897327311</v>
      </c>
      <c r="P59" s="36">
        <f>Q54-Q56</f>
        <v>242.19966982453843</v>
      </c>
      <c r="Q59" s="36">
        <f>R54-R56</f>
        <v>48.493530469595299</v>
      </c>
      <c r="R59" s="24">
        <f>SUM(K59:Q59)</f>
        <v>1880.7275856898384</v>
      </c>
    </row>
    <row r="60" spans="2:19" ht="13.95" customHeight="1">
      <c r="J60" s="186" t="s">
        <v>781</v>
      </c>
      <c r="K60" s="611">
        <f>K59/R59</f>
        <v>0.53369645281486122</v>
      </c>
    </row>
    <row r="61" spans="2:19" ht="13.95" customHeight="1">
      <c r="J61" s="186" t="s">
        <v>782</v>
      </c>
      <c r="K61" s="11">
        <f>1-K60</f>
        <v>0.46630354718513878</v>
      </c>
    </row>
    <row r="87" spans="1:18" s="847" customFormat="1" ht="24" customHeight="1">
      <c r="A87" s="845"/>
      <c r="B87" s="846" t="s">
        <v>913</v>
      </c>
      <c r="C87" s="845"/>
      <c r="D87" s="845"/>
      <c r="E87" s="845"/>
      <c r="F87" s="845"/>
      <c r="G87" s="845"/>
      <c r="H87" s="845"/>
      <c r="I87" s="845"/>
      <c r="J87" s="845"/>
      <c r="K87" s="845"/>
      <c r="L87" s="845"/>
      <c r="M87" s="845"/>
      <c r="N87" s="845"/>
      <c r="O87" s="845"/>
      <c r="P87" s="845"/>
      <c r="Q87" s="845"/>
      <c r="R87" s="845"/>
    </row>
    <row r="90" spans="1:18" ht="13.95" customHeight="1">
      <c r="E90" s="186">
        <v>2005</v>
      </c>
      <c r="F90" s="186">
        <v>2014</v>
      </c>
      <c r="G90" s="186">
        <v>2025</v>
      </c>
      <c r="H90" s="186" t="s">
        <v>775</v>
      </c>
    </row>
    <row r="91" spans="1:18" ht="13.95" customHeight="1">
      <c r="B91" t="s">
        <v>92</v>
      </c>
      <c r="E91" s="21">
        <f>Summary!I116</f>
        <v>2413</v>
      </c>
      <c r="F91" s="21">
        <f>Summary!R116</f>
        <v>2048.3000000000002</v>
      </c>
      <c r="G91" s="21">
        <f>F91+(G90-F90)/16*(H91-F91)</f>
        <v>1801.35</v>
      </c>
      <c r="H91" s="36">
        <f>0.7*E91</f>
        <v>1689.1</v>
      </c>
      <c r="R91" s="8"/>
    </row>
    <row r="92" spans="1:18" ht="13.95" customHeight="1">
      <c r="B92" t="s">
        <v>134</v>
      </c>
      <c r="E92" s="21">
        <f>Summary!I117</f>
        <v>1193.0849999999996</v>
      </c>
      <c r="F92" s="21">
        <f>Summary!R117</f>
        <v>1071.0550000000001</v>
      </c>
      <c r="G92" s="21">
        <f t="shared" ref="G92:G97" si="3">($G$98-$G$91)*F92/($F$98-$F$91)</f>
        <v>859.42084625334451</v>
      </c>
      <c r="H92" s="36">
        <f t="shared" ref="H92:H97" si="4">G92</f>
        <v>859.42084625334451</v>
      </c>
      <c r="K92" t="s">
        <v>92</v>
      </c>
      <c r="L92" t="s">
        <v>134</v>
      </c>
      <c r="M92" t="s">
        <v>561</v>
      </c>
      <c r="N92" s="14" t="s">
        <v>588</v>
      </c>
      <c r="O92" t="s">
        <v>562</v>
      </c>
      <c r="P92" s="14" t="s">
        <v>589</v>
      </c>
      <c r="Q92" s="14" t="s">
        <v>697</v>
      </c>
      <c r="R92" s="8" t="s">
        <v>563</v>
      </c>
    </row>
    <row r="93" spans="1:18" ht="13.95" customHeight="1">
      <c r="B93" t="s">
        <v>561</v>
      </c>
      <c r="E93" s="21">
        <f>Summary!I118</f>
        <v>510.21500000000003</v>
      </c>
      <c r="F93" s="21">
        <f>Summary!R118</f>
        <v>482.54500000000002</v>
      </c>
      <c r="G93" s="21">
        <f t="shared" si="3"/>
        <v>387.19695277583327</v>
      </c>
      <c r="H93" s="36">
        <f t="shared" si="4"/>
        <v>387.19695277583327</v>
      </c>
      <c r="J93" s="186" t="s">
        <v>794</v>
      </c>
      <c r="K93" s="21">
        <f t="shared" ref="K93:N94" si="5">K52</f>
        <v>2413</v>
      </c>
      <c r="L93" s="21">
        <f t="shared" si="5"/>
        <v>1193.0849999999996</v>
      </c>
      <c r="M93" s="21">
        <f t="shared" si="5"/>
        <v>510.21500000000003</v>
      </c>
      <c r="N93" s="21">
        <f t="shared" si="5"/>
        <v>232.5</v>
      </c>
      <c r="O93" s="21">
        <f t="shared" ref="O93:Q94" si="6">P52</f>
        <v>282.31135569455722</v>
      </c>
      <c r="P93" s="21">
        <f t="shared" si="6"/>
        <v>559.00938167437994</v>
      </c>
      <c r="Q93" s="21">
        <f t="shared" si="6"/>
        <v>315.5</v>
      </c>
      <c r="R93" s="24">
        <f>SUM(K93:Q93)</f>
        <v>5505.6207373689367</v>
      </c>
    </row>
    <row r="94" spans="1:18" ht="13.95" customHeight="1">
      <c r="B94" s="14" t="s">
        <v>588</v>
      </c>
      <c r="E94" s="21">
        <f>Summary!I119</f>
        <v>232.5</v>
      </c>
      <c r="F94" s="21">
        <f>Summary!R119</f>
        <v>204.1</v>
      </c>
      <c r="G94" s="21">
        <f t="shared" si="3"/>
        <v>163.77104324269771</v>
      </c>
      <c r="H94" s="36">
        <f t="shared" si="4"/>
        <v>163.77104324269771</v>
      </c>
      <c r="J94" s="186" t="s">
        <v>844</v>
      </c>
      <c r="K94" s="21">
        <f t="shared" si="5"/>
        <v>1895.3696778233411</v>
      </c>
      <c r="L94" s="21">
        <f t="shared" si="5"/>
        <v>1098.7398093222546</v>
      </c>
      <c r="M94" s="21">
        <f t="shared" si="5"/>
        <v>480.08011596161907</v>
      </c>
      <c r="N94" s="21">
        <f t="shared" si="5"/>
        <v>213.45843074940368</v>
      </c>
      <c r="O94" s="21">
        <f t="shared" si="6"/>
        <v>282.16515385959826</v>
      </c>
      <c r="P94" s="21">
        <f t="shared" si="6"/>
        <v>577.86226030945033</v>
      </c>
      <c r="Q94" s="21">
        <f t="shared" si="6"/>
        <v>231.54700342092116</v>
      </c>
      <c r="R94" s="24">
        <f>SUM(K94:Q94)</f>
        <v>4779.2224514465879</v>
      </c>
    </row>
    <row r="95" spans="1:18" ht="13.95" customHeight="1">
      <c r="B95" t="s">
        <v>562</v>
      </c>
      <c r="E95" s="21">
        <f>Summary!I121</f>
        <v>282.31135569455722</v>
      </c>
      <c r="F95" s="21">
        <f>Summary!R121</f>
        <v>337.53498763500778</v>
      </c>
      <c r="G95" s="21">
        <f t="shared" si="3"/>
        <v>270.8400639681347</v>
      </c>
      <c r="H95" s="36">
        <f t="shared" si="4"/>
        <v>270.8400639681347</v>
      </c>
      <c r="J95" s="186" t="s">
        <v>793</v>
      </c>
      <c r="K95" s="21">
        <f>G91</f>
        <v>1801.35</v>
      </c>
      <c r="L95" s="21">
        <f>G92</f>
        <v>859.42084625334451</v>
      </c>
      <c r="M95" s="21">
        <f>G93</f>
        <v>387.19695277583327</v>
      </c>
      <c r="N95" s="21">
        <f>G94</f>
        <v>163.77104324269771</v>
      </c>
      <c r="O95" s="21">
        <f>G95</f>
        <v>270.8400639681347</v>
      </c>
      <c r="P95" s="21">
        <f>G96</f>
        <v>457.99102078787666</v>
      </c>
      <c r="Q95" s="21">
        <f>G97</f>
        <v>188.64562599881546</v>
      </c>
      <c r="R95" s="24">
        <f>SUM(K95:Q95)</f>
        <v>4129.2155530267028</v>
      </c>
    </row>
    <row r="96" spans="1:18" ht="13.95" customHeight="1">
      <c r="B96" s="14" t="s">
        <v>589</v>
      </c>
      <c r="E96" s="21">
        <f>Summary!I122</f>
        <v>559.00938167437994</v>
      </c>
      <c r="F96" s="21">
        <f>Summary!R122</f>
        <v>570.77225309165624</v>
      </c>
      <c r="G96" s="21">
        <f t="shared" si="3"/>
        <v>457.99102078787666</v>
      </c>
      <c r="H96" s="36">
        <f t="shared" si="4"/>
        <v>457.99102078787666</v>
      </c>
      <c r="J96" s="186" t="s">
        <v>779</v>
      </c>
      <c r="K96" s="21">
        <f t="shared" ref="K96:N97" si="7">K55</f>
        <v>1640.8400000000001</v>
      </c>
      <c r="L96" s="21">
        <f t="shared" si="7"/>
        <v>1090.9403816097897</v>
      </c>
      <c r="M96" s="21">
        <f t="shared" si="7"/>
        <v>492.23641928366033</v>
      </c>
      <c r="N96" s="21">
        <f t="shared" si="7"/>
        <v>204.43890994159619</v>
      </c>
      <c r="O96" s="21">
        <f t="shared" ref="O96:Q97" si="8">P55</f>
        <v>296.39489845932144</v>
      </c>
      <c r="P96" s="21">
        <f t="shared" si="8"/>
        <v>596.98230111625082</v>
      </c>
      <c r="Q96" s="21">
        <f t="shared" si="8"/>
        <v>226.44285143102002</v>
      </c>
      <c r="R96" s="24">
        <f>SUM(K96:Q96)</f>
        <v>4548.275761841639</v>
      </c>
    </row>
    <row r="97" spans="2:18" ht="13.95" customHeight="1">
      <c r="B97" s="14" t="s">
        <v>697</v>
      </c>
      <c r="E97" s="21">
        <f>Summary!I123</f>
        <v>315.5</v>
      </c>
      <c r="F97" s="21">
        <f>Summary!R123</f>
        <v>235.1</v>
      </c>
      <c r="G97" s="21">
        <f t="shared" si="3"/>
        <v>188.64562599881546</v>
      </c>
      <c r="H97" s="36">
        <f t="shared" si="4"/>
        <v>188.64562599881546</v>
      </c>
      <c r="J97" s="186" t="s">
        <v>778</v>
      </c>
      <c r="K97" s="21">
        <f t="shared" si="7"/>
        <v>714.56113670244486</v>
      </c>
      <c r="L97" s="21">
        <f t="shared" si="7"/>
        <v>858.15810712319012</v>
      </c>
      <c r="M97" s="21">
        <f t="shared" si="7"/>
        <v>309.21952241145436</v>
      </c>
      <c r="N97" s="21">
        <f t="shared" si="7"/>
        <v>120.16533399574932</v>
      </c>
      <c r="O97" s="21">
        <f t="shared" si="8"/>
        <v>210.17090156199413</v>
      </c>
      <c r="P97" s="21">
        <f t="shared" si="8"/>
        <v>354.78263129171239</v>
      </c>
      <c r="Q97" s="21">
        <f t="shared" si="8"/>
        <v>177.94932096142472</v>
      </c>
      <c r="R97" s="24">
        <f>SUM(K97:Q97)</f>
        <v>2745.0069540479699</v>
      </c>
    </row>
    <row r="98" spans="2:18" ht="13.95" customHeight="1">
      <c r="B98" s="8" t="s">
        <v>563</v>
      </c>
      <c r="C98" s="8"/>
      <c r="D98" s="8"/>
      <c r="E98" s="24">
        <f>SUM(E91:E97)</f>
        <v>5505.6207373689367</v>
      </c>
      <c r="F98" s="24">
        <f>SUM(F91:F97)</f>
        <v>4949.4072407266649</v>
      </c>
      <c r="G98" s="24">
        <f>0.75*E98</f>
        <v>4129.2155530267028</v>
      </c>
      <c r="H98" s="24">
        <f>SUM(H91:H97)</f>
        <v>4016.9655530267028</v>
      </c>
      <c r="K98" s="21">
        <f>Summary!AH129</f>
        <v>838.62284291729964</v>
      </c>
    </row>
    <row r="99" spans="2:18" ht="13.95" customHeight="1">
      <c r="B99" s="8"/>
      <c r="C99" s="8"/>
      <c r="D99" s="8"/>
      <c r="E99" s="24"/>
      <c r="F99" s="24">
        <f>SUM(F92:F97)</f>
        <v>2901.1072407266638</v>
      </c>
      <c r="G99" s="24">
        <f>SUM(G92:G97)</f>
        <v>2327.8655530267024</v>
      </c>
      <c r="H99" s="24"/>
    </row>
    <row r="100" spans="2:18" ht="13.95" customHeight="1">
      <c r="B100" s="8"/>
      <c r="C100" s="8"/>
      <c r="D100" s="8"/>
      <c r="E100" s="24"/>
      <c r="F100" s="24"/>
      <c r="G100" s="24"/>
      <c r="H100" s="24"/>
      <c r="J100" s="186" t="s">
        <v>780</v>
      </c>
      <c r="K100" s="36">
        <f t="shared" ref="K100:Q100" si="9">K95-K97</f>
        <v>1086.7888632975551</v>
      </c>
      <c r="L100" s="36">
        <f>L95-L97</f>
        <v>1.2627391301543867</v>
      </c>
      <c r="M100" s="36">
        <f t="shared" si="9"/>
        <v>77.977430364378904</v>
      </c>
      <c r="N100" s="36">
        <f t="shared" si="9"/>
        <v>43.605709246948393</v>
      </c>
      <c r="O100" s="36">
        <f t="shared" si="9"/>
        <v>60.669162406140572</v>
      </c>
      <c r="P100" s="36">
        <f t="shared" si="9"/>
        <v>103.20838949616427</v>
      </c>
      <c r="Q100" s="36">
        <f t="shared" si="9"/>
        <v>10.696305037390744</v>
      </c>
      <c r="R100" s="24">
        <f>SUM(K100:Q100)</f>
        <v>1384.2085989787324</v>
      </c>
    </row>
    <row r="101" spans="2:18" ht="13.95" customHeight="1">
      <c r="J101" s="186" t="s">
        <v>781</v>
      </c>
      <c r="K101" s="611">
        <f>K100/R100</f>
        <v>0.78513373208300152</v>
      </c>
    </row>
    <row r="102" spans="2:18" ht="13.95" customHeight="1">
      <c r="J102" s="186" t="s">
        <v>782</v>
      </c>
      <c r="K102" s="11">
        <f>1-K101</f>
        <v>0.21486626791699848</v>
      </c>
    </row>
    <row r="108" spans="2:18" ht="13.95" customHeight="1">
      <c r="O108" s="20"/>
    </row>
    <row r="129" spans="2:12" ht="13.95" customHeight="1">
      <c r="B129" s="1" t="s">
        <v>565</v>
      </c>
    </row>
    <row r="131" spans="2:12" ht="13.95" customHeight="1">
      <c r="D131" s="460" t="s">
        <v>44</v>
      </c>
      <c r="E131" s="459" t="s">
        <v>556</v>
      </c>
      <c r="F131" s="459" t="s">
        <v>540</v>
      </c>
      <c r="G131" s="459" t="s">
        <v>138</v>
      </c>
      <c r="H131" s="459" t="s">
        <v>541</v>
      </c>
      <c r="I131" s="459" t="s">
        <v>542</v>
      </c>
      <c r="J131" s="459" t="s">
        <v>543</v>
      </c>
      <c r="K131" s="461" t="s">
        <v>554</v>
      </c>
    </row>
    <row r="133" spans="2:12" ht="13.95" customHeight="1">
      <c r="B133" s="465">
        <v>2013</v>
      </c>
      <c r="D133" s="199">
        <f>Electricity!D220/1000</f>
        <v>1581</v>
      </c>
      <c r="E133" s="199">
        <f>Electricity!F220/1000</f>
        <v>1125</v>
      </c>
      <c r="F133" s="199">
        <f>Electricity!G220/1000</f>
        <v>789</v>
      </c>
      <c r="G133" s="199">
        <f>(Electricity!M220+Electricity!E220+Electricity!I220+Electricity!J220)/1000</f>
        <v>125</v>
      </c>
      <c r="H133" s="199">
        <f>Electricity!H220/1000</f>
        <v>269</v>
      </c>
      <c r="I133" s="199">
        <f>Electricity!K220/1000</f>
        <v>168</v>
      </c>
      <c r="J133" s="199">
        <f>Electricity!L220/1000</f>
        <v>9.25</v>
      </c>
      <c r="K133" s="199">
        <f>Electricity!N220/1000</f>
        <v>4066</v>
      </c>
      <c r="L133" s="199">
        <f>SUM(D133:J133)</f>
        <v>4066.25</v>
      </c>
    </row>
    <row r="134" spans="2:12" ht="13.95" customHeight="1">
      <c r="B134" s="465"/>
      <c r="D134" s="5">
        <f t="shared" ref="D134:J134" si="10">D133/$K133</f>
        <v>0.38883423512051157</v>
      </c>
      <c r="E134" s="5">
        <f t="shared" si="10"/>
        <v>0.27668470241023119</v>
      </c>
      <c r="F134" s="5">
        <f t="shared" si="10"/>
        <v>0.19404820462370881</v>
      </c>
      <c r="G134" s="5">
        <f t="shared" si="10"/>
        <v>3.0742744712247909E-2</v>
      </c>
      <c r="H134" s="5">
        <f t="shared" si="10"/>
        <v>6.6158386620757501E-2</v>
      </c>
      <c r="I134" s="5">
        <f t="shared" si="10"/>
        <v>4.1318248893261189E-2</v>
      </c>
      <c r="J134" s="5">
        <f t="shared" si="10"/>
        <v>2.2749631087063452E-3</v>
      </c>
      <c r="K134" s="199"/>
      <c r="L134" s="199"/>
    </row>
    <row r="135" spans="2:12" ht="13.95" customHeight="1">
      <c r="B135" s="465"/>
      <c r="D135" s="199"/>
      <c r="E135" s="199"/>
      <c r="F135" s="199"/>
      <c r="G135" s="199"/>
      <c r="H135" s="199"/>
      <c r="I135" s="199"/>
      <c r="J135" s="199"/>
      <c r="K135" s="199"/>
      <c r="L135" s="199"/>
    </row>
    <row r="136" spans="2:12" ht="13.95" customHeight="1">
      <c r="B136" s="577" t="s">
        <v>764</v>
      </c>
      <c r="D136" s="199">
        <f>Electricity!D225/1000</f>
        <v>1320</v>
      </c>
      <c r="E136" s="199">
        <f>Electricity!F225/1000</f>
        <v>1880</v>
      </c>
      <c r="F136" s="199">
        <f>Electricity!G225/1000</f>
        <v>673</v>
      </c>
      <c r="G136" s="199">
        <f>(Electricity!M225+Electricity!E225+Electricity!I225+Electricity!J225)/1000</f>
        <v>125</v>
      </c>
      <c r="H136" s="199">
        <f>Electricity!H225/1000</f>
        <v>269</v>
      </c>
      <c r="I136" s="199">
        <f>Electricity!K225/1000</f>
        <v>287</v>
      </c>
      <c r="J136" s="199">
        <f>Electricity!L225/1000</f>
        <v>32</v>
      </c>
      <c r="K136" s="199">
        <f>Electricity!N225/1000</f>
        <v>4586</v>
      </c>
      <c r="L136" s="199">
        <f>SUM(D136:J136)</f>
        <v>4586</v>
      </c>
    </row>
    <row r="137" spans="2:12" ht="13.95" customHeight="1">
      <c r="B137" s="142"/>
      <c r="D137" s="5">
        <f t="shared" ref="D137:J137" si="11">D136/$K136</f>
        <v>0.28783253379851725</v>
      </c>
      <c r="E137" s="5">
        <f t="shared" si="11"/>
        <v>0.40994330571303966</v>
      </c>
      <c r="F137" s="5">
        <f t="shared" si="11"/>
        <v>0.14675098124727431</v>
      </c>
      <c r="G137" s="5">
        <f t="shared" si="11"/>
        <v>2.7256868730920192E-2</v>
      </c>
      <c r="H137" s="5">
        <f t="shared" si="11"/>
        <v>5.8656781508940256E-2</v>
      </c>
      <c r="I137" s="5">
        <f t="shared" si="11"/>
        <v>6.2581770606192758E-2</v>
      </c>
      <c r="J137" s="5">
        <f t="shared" si="11"/>
        <v>6.9777583951155693E-3</v>
      </c>
      <c r="K137" s="199"/>
      <c r="L137" s="199"/>
    </row>
    <row r="138" spans="2:12" ht="13.95" customHeight="1">
      <c r="B138" s="142"/>
      <c r="D138" s="199"/>
      <c r="E138" s="199"/>
      <c r="F138" s="199"/>
      <c r="G138" s="199"/>
      <c r="H138" s="199"/>
      <c r="I138" s="199"/>
      <c r="J138" s="199"/>
      <c r="K138" s="199"/>
      <c r="L138" s="199"/>
    </row>
    <row r="139" spans="2:12" ht="13.95" customHeight="1">
      <c r="B139" s="577" t="s">
        <v>765</v>
      </c>
      <c r="D139" s="199">
        <f>Electricity!D232/1000</f>
        <v>500</v>
      </c>
      <c r="E139" s="199">
        <f>Electricity!F232/1000</f>
        <v>1150</v>
      </c>
      <c r="F139" s="199">
        <f>Electricity!G232/1000</f>
        <v>673</v>
      </c>
      <c r="G139" s="199">
        <f>(Electricity!M232+Electricity!E232+Electricity!I232+Electricity!J232)/1000</f>
        <v>125</v>
      </c>
      <c r="H139" s="199">
        <f>Electricity!H232/1000</f>
        <v>269</v>
      </c>
      <c r="I139" s="199">
        <f>Electricity!K232/1000</f>
        <v>710</v>
      </c>
      <c r="J139" s="199">
        <f>Electricity!L232/1000</f>
        <v>152</v>
      </c>
      <c r="K139" s="199">
        <f>Electricity!N232/1000</f>
        <v>3579</v>
      </c>
      <c r="L139" s="199">
        <f>SUM(D139:J139)</f>
        <v>3579</v>
      </c>
    </row>
    <row r="140" spans="2:12" ht="13.95" customHeight="1">
      <c r="B140" s="142"/>
      <c r="D140" s="5">
        <f t="shared" ref="D140:J140" si="12">D139/$K139</f>
        <v>0.13970382788488406</v>
      </c>
      <c r="E140" s="5">
        <f t="shared" si="12"/>
        <v>0.32131880413523328</v>
      </c>
      <c r="F140" s="5">
        <f t="shared" si="12"/>
        <v>0.18804135233305391</v>
      </c>
      <c r="G140" s="5">
        <f t="shared" si="12"/>
        <v>3.4925956971221014E-2</v>
      </c>
      <c r="H140" s="5">
        <f t="shared" si="12"/>
        <v>7.516065940206762E-2</v>
      </c>
      <c r="I140" s="5">
        <f t="shared" si="12"/>
        <v>0.19837943559653534</v>
      </c>
      <c r="J140" s="5">
        <f t="shared" si="12"/>
        <v>4.246996367700475E-2</v>
      </c>
      <c r="K140" s="199"/>
      <c r="L140" s="199"/>
    </row>
    <row r="141" spans="2:12" ht="13.95" customHeight="1">
      <c r="B141" s="142"/>
      <c r="D141" s="199"/>
      <c r="E141" s="199"/>
      <c r="F141" s="199"/>
      <c r="G141" s="199"/>
      <c r="H141" s="199"/>
      <c r="I141" s="199"/>
      <c r="J141" s="199"/>
      <c r="K141" s="199"/>
      <c r="L141" s="199"/>
    </row>
    <row r="142" spans="2:12" ht="13.95" customHeight="1">
      <c r="B142" s="577" t="s">
        <v>766</v>
      </c>
      <c r="D142" s="199">
        <f>Electricity!D239/1000</f>
        <v>520</v>
      </c>
      <c r="E142" s="199">
        <f>Electricity!F239/1000</f>
        <v>1110</v>
      </c>
      <c r="F142" s="199">
        <f>Electricity!G239/1000</f>
        <v>673</v>
      </c>
      <c r="G142" s="199">
        <f>(Electricity!M239+Electricity!E239+Electricity!I239+Electricity!J239)/1000</f>
        <v>125</v>
      </c>
      <c r="H142" s="199">
        <f>Electricity!H239/1000</f>
        <v>269</v>
      </c>
      <c r="I142" s="199">
        <f>Electricity!K239/1000</f>
        <v>392</v>
      </c>
      <c r="J142" s="199">
        <f>Electricity!L239/1000</f>
        <v>473</v>
      </c>
      <c r="K142" s="199">
        <f>Electricity!N239/1000</f>
        <v>3562</v>
      </c>
      <c r="L142" s="199">
        <f>SUM(D142:J142)</f>
        <v>3562</v>
      </c>
    </row>
    <row r="143" spans="2:12" ht="13.95" customHeight="1">
      <c r="D143" s="5">
        <f t="shared" ref="D143:J143" si="13">D142/$K142</f>
        <v>0.145985401459854</v>
      </c>
      <c r="E143" s="5">
        <f t="shared" si="13"/>
        <v>0.31162268388545761</v>
      </c>
      <c r="F143" s="5">
        <f t="shared" si="13"/>
        <v>0.18893879842784952</v>
      </c>
      <c r="G143" s="5">
        <f t="shared" si="13"/>
        <v>3.5092644581695677E-2</v>
      </c>
      <c r="H143" s="5">
        <f t="shared" si="13"/>
        <v>7.5519371139809097E-2</v>
      </c>
      <c r="I143" s="5">
        <f t="shared" si="13"/>
        <v>0.11005053340819765</v>
      </c>
      <c r="J143" s="5">
        <f t="shared" si="13"/>
        <v>0.13279056709713644</v>
      </c>
    </row>
    <row r="144" spans="2:12" ht="13.95" customHeight="1">
      <c r="D144" s="199"/>
    </row>
    <row r="184" spans="2:8" ht="13.95" customHeight="1">
      <c r="B184" s="1" t="s">
        <v>566</v>
      </c>
    </row>
    <row r="186" spans="2:8" ht="13.95" customHeight="1">
      <c r="D186" s="12">
        <v>2013</v>
      </c>
      <c r="E186" s="12" t="s">
        <v>767</v>
      </c>
      <c r="F186" s="12" t="s">
        <v>768</v>
      </c>
      <c r="G186" s="12" t="s">
        <v>769</v>
      </c>
    </row>
    <row r="187" spans="2:8" ht="13.95" customHeight="1">
      <c r="B187" s="349" t="s">
        <v>44</v>
      </c>
      <c r="C187" s="467"/>
      <c r="D187" s="468">
        <f>D133</f>
        <v>1581</v>
      </c>
      <c r="E187" s="468">
        <f>D136</f>
        <v>1320</v>
      </c>
      <c r="F187" s="469">
        <f>D139</f>
        <v>500</v>
      </c>
      <c r="G187" s="468">
        <f>D142</f>
        <v>520</v>
      </c>
      <c r="H187" s="470"/>
    </row>
    <row r="188" spans="2:8" ht="13.95" customHeight="1">
      <c r="B188" s="349" t="s">
        <v>556</v>
      </c>
      <c r="C188" s="467"/>
      <c r="D188" s="468">
        <f>E133</f>
        <v>1125</v>
      </c>
      <c r="E188" s="468">
        <f>E136</f>
        <v>1880</v>
      </c>
      <c r="F188" s="469">
        <f>E139</f>
        <v>1150</v>
      </c>
      <c r="G188" s="468">
        <f>E142</f>
        <v>1110</v>
      </c>
      <c r="H188" s="470"/>
    </row>
    <row r="189" spans="2:8" ht="13.95" customHeight="1">
      <c r="B189" s="349" t="s">
        <v>540</v>
      </c>
      <c r="C189" s="467"/>
      <c r="D189" s="468">
        <f>F133</f>
        <v>789</v>
      </c>
      <c r="E189" s="468">
        <f>F136</f>
        <v>673</v>
      </c>
      <c r="F189" s="469">
        <f>F139</f>
        <v>673</v>
      </c>
      <c r="G189" s="468">
        <f>F142</f>
        <v>673</v>
      </c>
      <c r="H189" s="470"/>
    </row>
    <row r="190" spans="2:8" ht="13.95" customHeight="1">
      <c r="B190" s="349" t="s">
        <v>138</v>
      </c>
      <c r="C190" s="467"/>
      <c r="D190" s="468">
        <f>G133</f>
        <v>125</v>
      </c>
      <c r="E190" s="468">
        <f>G136</f>
        <v>125</v>
      </c>
      <c r="F190" s="469">
        <f>G139</f>
        <v>125</v>
      </c>
      <c r="G190" s="468">
        <f>G142</f>
        <v>125</v>
      </c>
      <c r="H190" s="470"/>
    </row>
    <row r="191" spans="2:8" ht="13.95" customHeight="1">
      <c r="B191" s="380" t="s">
        <v>541</v>
      </c>
      <c r="C191" s="467"/>
      <c r="D191" s="468">
        <f>H133</f>
        <v>269</v>
      </c>
      <c r="E191" s="468">
        <f>H136</f>
        <v>269</v>
      </c>
      <c r="F191" s="469">
        <f>H139</f>
        <v>269</v>
      </c>
      <c r="G191" s="468">
        <f>H142</f>
        <v>269</v>
      </c>
      <c r="H191" s="470"/>
    </row>
    <row r="192" spans="2:8" ht="13.95" customHeight="1">
      <c r="B192" s="380" t="s">
        <v>542</v>
      </c>
      <c r="C192" s="467"/>
      <c r="D192" s="468">
        <f>I133</f>
        <v>168</v>
      </c>
      <c r="E192" s="469">
        <f>I136</f>
        <v>287</v>
      </c>
      <c r="F192" s="469">
        <f>I139</f>
        <v>710</v>
      </c>
      <c r="G192" s="469">
        <f>I142</f>
        <v>392</v>
      </c>
      <c r="H192" s="470"/>
    </row>
    <row r="193" spans="2:8" ht="13.95" customHeight="1">
      <c r="B193" s="380" t="s">
        <v>543</v>
      </c>
      <c r="C193" s="467"/>
      <c r="D193" s="468">
        <f>J133</f>
        <v>9.25</v>
      </c>
      <c r="E193" s="469">
        <f>J136</f>
        <v>32</v>
      </c>
      <c r="F193" s="469">
        <f>J139</f>
        <v>152</v>
      </c>
      <c r="G193" s="468">
        <f>J142</f>
        <v>473</v>
      </c>
      <c r="H193" s="470"/>
    </row>
    <row r="194" spans="2:8" ht="13.95" customHeight="1">
      <c r="B194" s="380" t="s">
        <v>91</v>
      </c>
      <c r="C194" s="467"/>
      <c r="D194" s="48">
        <f>K133</f>
        <v>4066</v>
      </c>
      <c r="E194" s="469">
        <f>K136</f>
        <v>4586</v>
      </c>
      <c r="F194" s="469">
        <f>K139</f>
        <v>3579</v>
      </c>
      <c r="G194" s="468">
        <f>K142</f>
        <v>3562</v>
      </c>
      <c r="H194" s="470"/>
    </row>
    <row r="216" spans="2:5" ht="13.95" customHeight="1">
      <c r="E216" s="466"/>
    </row>
    <row r="217" spans="2:5" ht="13.95" customHeight="1">
      <c r="E217" s="466"/>
    </row>
    <row r="219" spans="2:5" ht="13.95" customHeight="1">
      <c r="B219" s="1" t="s">
        <v>579</v>
      </c>
    </row>
    <row r="245" spans="2:8" ht="13.95" customHeight="1">
      <c r="B245" s="31" t="s">
        <v>576</v>
      </c>
      <c r="E245" s="48">
        <f>Electricity!G116</f>
        <v>607.59605963981187</v>
      </c>
    </row>
    <row r="246" spans="2:8" ht="13.95" customHeight="1">
      <c r="B246" s="31" t="s">
        <v>575</v>
      </c>
      <c r="E246" s="48">
        <f>Electricity!G115</f>
        <v>253.48461280210265</v>
      </c>
    </row>
    <row r="247" spans="2:8" ht="13.95" customHeight="1">
      <c r="B247" s="31" t="s">
        <v>577</v>
      </c>
      <c r="E247" s="48">
        <f>Electricity!G102</f>
        <v>902.56768671022394</v>
      </c>
      <c r="H247" s="31" t="s">
        <v>577</v>
      </c>
    </row>
    <row r="249" spans="2:8" ht="13.95" customHeight="1">
      <c r="H249" s="31" t="s">
        <v>576</v>
      </c>
    </row>
    <row r="250" spans="2:8" ht="13.95" customHeight="1">
      <c r="B250" s="31"/>
    </row>
    <row r="251" spans="2:8" ht="13.95" customHeight="1">
      <c r="B251" s="1228" t="s">
        <v>578</v>
      </c>
      <c r="C251" s="1228"/>
      <c r="D251" s="1228"/>
      <c r="E251" s="1228"/>
    </row>
    <row r="252" spans="2:8" ht="13.95" customHeight="1">
      <c r="C252" s="12" t="s">
        <v>570</v>
      </c>
      <c r="D252" s="12" t="s">
        <v>771</v>
      </c>
      <c r="E252" s="12" t="s">
        <v>571</v>
      </c>
    </row>
    <row r="253" spans="2:8" ht="13.95" customHeight="1">
      <c r="B253" s="31" t="s">
        <v>567</v>
      </c>
      <c r="C253" s="15">
        <f>Electricity!K163</f>
        <v>8.9384462739667825E-3</v>
      </c>
      <c r="D253" s="15">
        <f>Electricity!K164</f>
        <v>-1.3342938080744271E-2</v>
      </c>
      <c r="E253" s="15">
        <f>D253-C253</f>
        <v>-2.2281384354711053E-2</v>
      </c>
    </row>
    <row r="254" spans="2:8" ht="13.95" customHeight="1">
      <c r="B254" s="31" t="s">
        <v>149</v>
      </c>
      <c r="C254" s="15">
        <f>Electricity!J181</f>
        <v>1.8552315911355199E-2</v>
      </c>
      <c r="D254" s="15">
        <f>Electricity!J182</f>
        <v>4.7594104627403766E-2</v>
      </c>
      <c r="E254" s="15">
        <f>D254-C254</f>
        <v>2.9041788716048567E-2</v>
      </c>
    </row>
    <row r="255" spans="2:8" ht="13.95" customHeight="1">
      <c r="B255" s="31" t="s">
        <v>568</v>
      </c>
      <c r="C255" s="15">
        <f>Electricity!K181</f>
        <v>-2.4824045528458738E-3</v>
      </c>
      <c r="D255" s="15">
        <f>Electricity!K182</f>
        <v>2.5959625174018397E-2</v>
      </c>
      <c r="E255" s="15">
        <f>D255-C255</f>
        <v>2.8442029726864271E-2</v>
      </c>
    </row>
    <row r="256" spans="2:8" ht="13.95" customHeight="1">
      <c r="B256" s="31" t="s">
        <v>572</v>
      </c>
      <c r="C256" s="15">
        <f>Electricity!J188</f>
        <v>2.7656591064353364E-2</v>
      </c>
      <c r="D256" s="15">
        <f>Electricity!J190</f>
        <v>3.3616121355607653E-2</v>
      </c>
      <c r="E256" s="15">
        <f>D256-C256</f>
        <v>5.9595302912542891E-3</v>
      </c>
    </row>
    <row r="257" spans="2:7" ht="13.95" customHeight="1">
      <c r="B257" s="31" t="s">
        <v>569</v>
      </c>
      <c r="C257" s="15">
        <f>Electricity!K188</f>
        <v>6.4338528813949747E-3</v>
      </c>
      <c r="D257" s="15">
        <f>Electricity!K190</f>
        <v>1.2270309421977821E-2</v>
      </c>
      <c r="E257" s="15">
        <f>D257-C257</f>
        <v>5.8364565405828461E-3</v>
      </c>
    </row>
    <row r="260" spans="2:7" ht="13.95" customHeight="1">
      <c r="B260" s="1" t="s">
        <v>566</v>
      </c>
    </row>
    <row r="262" spans="2:7" ht="13.95" customHeight="1">
      <c r="D262" s="12"/>
      <c r="E262" s="12" t="s">
        <v>570</v>
      </c>
      <c r="F262" s="12" t="s">
        <v>580</v>
      </c>
      <c r="G262" s="12" t="s">
        <v>581</v>
      </c>
    </row>
    <row r="263" spans="2:7" ht="13.95" customHeight="1">
      <c r="B263" s="349" t="s">
        <v>44</v>
      </c>
      <c r="C263" s="467"/>
      <c r="D263" s="468"/>
      <c r="E263" s="468">
        <f t="shared" ref="E263:G270" si="14">E187</f>
        <v>1320</v>
      </c>
      <c r="F263" s="468">
        <f t="shared" si="14"/>
        <v>500</v>
      </c>
      <c r="G263" s="468">
        <f t="shared" si="14"/>
        <v>520</v>
      </c>
    </row>
    <row r="264" spans="2:7" ht="13.95" customHeight="1">
      <c r="B264" s="349" t="s">
        <v>556</v>
      </c>
      <c r="C264" s="467"/>
      <c r="D264" s="468"/>
      <c r="E264" s="468">
        <f t="shared" si="14"/>
        <v>1880</v>
      </c>
      <c r="F264" s="468">
        <f t="shared" si="14"/>
        <v>1150</v>
      </c>
      <c r="G264" s="468">
        <f t="shared" si="14"/>
        <v>1110</v>
      </c>
    </row>
    <row r="265" spans="2:7" ht="13.95" customHeight="1">
      <c r="B265" s="349" t="s">
        <v>540</v>
      </c>
      <c r="C265" s="467"/>
      <c r="D265" s="468"/>
      <c r="E265" s="468">
        <f t="shared" si="14"/>
        <v>673</v>
      </c>
      <c r="F265" s="468">
        <f t="shared" si="14"/>
        <v>673</v>
      </c>
      <c r="G265" s="468">
        <f t="shared" si="14"/>
        <v>673</v>
      </c>
    </row>
    <row r="266" spans="2:7" ht="13.95" customHeight="1">
      <c r="B266" s="349" t="s">
        <v>138</v>
      </c>
      <c r="C266" s="467"/>
      <c r="D266" s="468"/>
      <c r="E266" s="468">
        <f t="shared" si="14"/>
        <v>125</v>
      </c>
      <c r="F266" s="468">
        <f t="shared" si="14"/>
        <v>125</v>
      </c>
      <c r="G266" s="468">
        <f t="shared" si="14"/>
        <v>125</v>
      </c>
    </row>
    <row r="267" spans="2:7" ht="13.95" customHeight="1">
      <c r="B267" s="380" t="s">
        <v>541</v>
      </c>
      <c r="C267" s="467"/>
      <c r="D267" s="468"/>
      <c r="E267" s="468">
        <f t="shared" si="14"/>
        <v>269</v>
      </c>
      <c r="F267" s="468">
        <f t="shared" si="14"/>
        <v>269</v>
      </c>
      <c r="G267" s="468">
        <f t="shared" si="14"/>
        <v>269</v>
      </c>
    </row>
    <row r="268" spans="2:7" ht="13.95" customHeight="1">
      <c r="B268" s="380" t="s">
        <v>542</v>
      </c>
      <c r="C268" s="467"/>
      <c r="D268" s="468"/>
      <c r="E268" s="468">
        <f t="shared" si="14"/>
        <v>287</v>
      </c>
      <c r="F268" s="468">
        <f t="shared" si="14"/>
        <v>710</v>
      </c>
      <c r="G268" s="468">
        <f t="shared" si="14"/>
        <v>392</v>
      </c>
    </row>
    <row r="269" spans="2:7" ht="13.95" customHeight="1">
      <c r="B269" s="380" t="s">
        <v>543</v>
      </c>
      <c r="C269" s="467"/>
      <c r="D269" s="468"/>
      <c r="E269" s="468">
        <f t="shared" si="14"/>
        <v>32</v>
      </c>
      <c r="F269" s="468">
        <f t="shared" si="14"/>
        <v>152</v>
      </c>
      <c r="G269" s="468">
        <f t="shared" si="14"/>
        <v>473</v>
      </c>
    </row>
    <row r="270" spans="2:7" ht="13.95" customHeight="1">
      <c r="B270" s="380" t="s">
        <v>91</v>
      </c>
      <c r="C270" s="467"/>
      <c r="D270" s="468"/>
      <c r="E270" s="468">
        <f t="shared" si="14"/>
        <v>4586</v>
      </c>
      <c r="F270" s="468">
        <f t="shared" si="14"/>
        <v>3579</v>
      </c>
      <c r="G270" s="468">
        <f t="shared" si="14"/>
        <v>3562</v>
      </c>
    </row>
    <row r="293" spans="3:5" ht="13.95" customHeight="1">
      <c r="E293" s="466"/>
    </row>
    <row r="300" spans="3:5" ht="13.95" customHeight="1">
      <c r="C300" s="8"/>
    </row>
  </sheetData>
  <mergeCells count="1">
    <mergeCell ref="B251:E251"/>
  </mergeCells>
  <pageMargins left="0.7" right="0.7" top="0.75" bottom="0.75" header="0.3" footer="0.3"/>
  <pageSetup orientation="portrait" verticalDpi="0" r:id="rId1"/>
  <drawing r:id="rId2"/>
</worksheet>
</file>

<file path=xl/worksheets/sheet7.xml><?xml version="1.0" encoding="utf-8"?>
<worksheet xmlns="http://schemas.openxmlformats.org/spreadsheetml/2006/main" xmlns:r="http://schemas.openxmlformats.org/officeDocument/2006/relationships">
  <dimension ref="B1:S135"/>
  <sheetViews>
    <sheetView workbookViewId="0"/>
  </sheetViews>
  <sheetFormatPr defaultColWidth="12.625" defaultRowHeight="15" customHeight="1"/>
  <cols>
    <col min="1" max="1" width="2.625" customWidth="1"/>
    <col min="7" max="8" width="12.625" customWidth="1"/>
    <col min="14" max="14" width="12.625" customWidth="1"/>
    <col min="15" max="15" width="1.75" customWidth="1"/>
  </cols>
  <sheetData>
    <row r="1" spans="2:15" ht="15" customHeight="1">
      <c r="B1" s="57" t="s">
        <v>924</v>
      </c>
      <c r="K1" s="214">
        <f>Summary!I1</f>
        <v>42552</v>
      </c>
      <c r="O1" s="7">
        <f>ROW()</f>
        <v>1</v>
      </c>
    </row>
    <row r="2" spans="2:15" ht="15" customHeight="1">
      <c r="O2" s="7">
        <f>ROW()</f>
        <v>2</v>
      </c>
    </row>
    <row r="3" spans="2:15" ht="15" customHeight="1">
      <c r="B3" s="881" t="str">
        <f>CONCATENATE("Page Down to Row ",O52," for calculations of increased emissions burden due to cheaper petroleum.")</f>
        <v>Page Down to Row 52 for calculations of increased emissions burden due to cheaper petroleum.</v>
      </c>
      <c r="C3" s="882"/>
      <c r="D3" s="882"/>
      <c r="E3" s="882"/>
      <c r="F3" s="882"/>
      <c r="G3" s="882"/>
      <c r="H3" s="882"/>
      <c r="O3" s="7">
        <f>ROW()</f>
        <v>3</v>
      </c>
    </row>
    <row r="4" spans="2:15" ht="15" customHeight="1">
      <c r="O4" s="7">
        <f>ROW()</f>
        <v>4</v>
      </c>
    </row>
    <row r="5" spans="2:15" ht="15" customHeight="1">
      <c r="B5" s="8" t="s">
        <v>1262</v>
      </c>
      <c r="O5" s="7">
        <f>ROW()</f>
        <v>5</v>
      </c>
    </row>
    <row r="6" spans="2:15" ht="15" customHeight="1">
      <c r="O6" s="7">
        <f>ROW()</f>
        <v>6</v>
      </c>
    </row>
    <row r="7" spans="2:15" ht="15" customHeight="1">
      <c r="B7" s="46" t="s">
        <v>974</v>
      </c>
      <c r="O7" s="7">
        <f>ROW()</f>
        <v>7</v>
      </c>
    </row>
    <row r="8" spans="2:15" ht="15" customHeight="1">
      <c r="B8" s="1235" t="str">
        <f>CONCATENATE("Bringing 2030 U.S. CO2 emissions down to the implicit target in the EPA Clean Power Plan could be accomplished instead via an economy-wide carbon of just $",K45, " per ton of CO2 starting in ",Summary!I53, " and incrementing annually at that level.")</f>
        <v>Bringing 2030 U.S. CO2 emissions down to the implicit target in the EPA Clean Power Plan could be accomplished instead via an economy-wide carbon of just $0.03 per ton of CO2 starting in 2017 and incrementing annually at that level.</v>
      </c>
      <c r="C8" s="1235"/>
      <c r="D8" s="1235"/>
      <c r="E8" s="1235"/>
      <c r="F8" s="1235"/>
      <c r="G8" s="1235"/>
      <c r="H8" s="1235"/>
      <c r="I8" s="1235"/>
      <c r="J8" s="1235"/>
      <c r="K8" s="1235"/>
      <c r="O8" s="7">
        <f>ROW()</f>
        <v>8</v>
      </c>
    </row>
    <row r="9" spans="2:15" ht="15" customHeight="1">
      <c r="B9" s="1235"/>
      <c r="C9" s="1235"/>
      <c r="D9" s="1235"/>
      <c r="E9" s="1235"/>
      <c r="F9" s="1235"/>
      <c r="G9" s="1235"/>
      <c r="H9" s="1235"/>
      <c r="I9" s="1235"/>
      <c r="J9" s="1235"/>
      <c r="K9" s="1235"/>
      <c r="O9" s="7">
        <f>ROW()</f>
        <v>9</v>
      </c>
    </row>
    <row r="10" spans="2:15" ht="15" customHeight="1">
      <c r="B10" s="1235" t="str">
        <f>CONCATENATE("Alternatively, the same 2030 goal could be reached through an *electricity-sector-only* carbon tax starting in ",Summary!I53, " at a level of just $",K47, "0 per ton of CO2 and incrementing annually at that level.")</f>
        <v>Alternatively, the same 2030 goal could be reached through an *electricity-sector-only* carbon tax starting in 2017 at a level of just $0.50 per ton of CO2 and incrementing annually at that level.</v>
      </c>
      <c r="C10" s="1235"/>
      <c r="D10" s="1235"/>
      <c r="E10" s="1235"/>
      <c r="F10" s="1235"/>
      <c r="G10" s="1235"/>
      <c r="H10" s="1235"/>
      <c r="I10" s="1235"/>
      <c r="J10" s="1235"/>
      <c r="K10" s="1235"/>
      <c r="O10" s="7">
        <f>ROW()</f>
        <v>10</v>
      </c>
    </row>
    <row r="11" spans="2:15" ht="15" customHeight="1">
      <c r="B11" s="1235"/>
      <c r="C11" s="1235"/>
      <c r="D11" s="1235"/>
      <c r="E11" s="1235"/>
      <c r="F11" s="1235"/>
      <c r="G11" s="1235"/>
      <c r="H11" s="1235"/>
      <c r="I11" s="1235"/>
      <c r="J11" s="1235"/>
      <c r="K11" s="1235"/>
      <c r="O11" s="7">
        <f>ROW()</f>
        <v>11</v>
      </c>
    </row>
    <row r="12" spans="2:15" ht="15" customHeight="1">
      <c r="B12" s="14" t="s">
        <v>1277</v>
      </c>
      <c r="O12" s="7">
        <f>ROW()</f>
        <v>12</v>
      </c>
    </row>
    <row r="13" spans="2:15" ht="15" customHeight="1">
      <c r="B13" s="14" t="s">
        <v>929</v>
      </c>
      <c r="K13" s="4">
        <v>0.32</v>
      </c>
      <c r="O13" s="7">
        <f>ROW()</f>
        <v>13</v>
      </c>
    </row>
    <row r="14" spans="2:15" ht="15" customHeight="1">
      <c r="B14" s="1145" t="s">
        <v>930</v>
      </c>
      <c r="C14" s="1155"/>
      <c r="D14" s="1155"/>
      <c r="E14" s="1155"/>
      <c r="F14" s="1155"/>
      <c r="G14" s="1155"/>
      <c r="H14" s="1155"/>
      <c r="I14" s="1155"/>
      <c r="J14" s="1155"/>
      <c r="O14" s="7">
        <f>ROW()</f>
        <v>14</v>
      </c>
    </row>
    <row r="15" spans="2:15" ht="15" customHeight="1">
      <c r="B15" s="1155"/>
      <c r="C15" s="1155"/>
      <c r="D15" s="1155"/>
      <c r="E15" s="1155"/>
      <c r="F15" s="1155"/>
      <c r="G15" s="1155"/>
      <c r="H15" s="1155"/>
      <c r="I15" s="1155"/>
      <c r="J15" s="1155"/>
      <c r="O15" s="7">
        <f>ROW()</f>
        <v>15</v>
      </c>
    </row>
    <row r="16" spans="2:15" ht="15" customHeight="1">
      <c r="B16" s="1155"/>
      <c r="C16" s="1155"/>
      <c r="D16" s="1155"/>
      <c r="E16" s="1155"/>
      <c r="F16" s="1155"/>
      <c r="G16" s="1155"/>
      <c r="H16" s="1155"/>
      <c r="I16" s="1155"/>
      <c r="J16" s="1155"/>
      <c r="O16" s="7">
        <f>ROW()</f>
        <v>16</v>
      </c>
    </row>
    <row r="17" spans="2:15" ht="15" customHeight="1">
      <c r="B17" s="14" t="s">
        <v>925</v>
      </c>
      <c r="K17" s="21">
        <f>Summary!I116</f>
        <v>2413</v>
      </c>
      <c r="O17" s="7">
        <f>ROW()</f>
        <v>17</v>
      </c>
    </row>
    <row r="18" spans="2:15" ht="15" customHeight="1">
      <c r="B18" s="84" t="str">
        <f>CONCATENATE("From 'Summary' tab, Cell I",Summary!$AR$116, ".")</f>
        <v>From 'Summary' tab, Cell I116.</v>
      </c>
      <c r="O18" s="7">
        <f>ROW()</f>
        <v>18</v>
      </c>
    </row>
    <row r="19" spans="2:15" ht="15" customHeight="1">
      <c r="B19" s="14" t="s">
        <v>932</v>
      </c>
      <c r="K19" s="21">
        <f>K13*K17</f>
        <v>772.16</v>
      </c>
      <c r="O19" s="7">
        <f>ROW()</f>
        <v>19</v>
      </c>
    </row>
    <row r="20" spans="2:15" ht="15" customHeight="1">
      <c r="B20" s="84" t="str">
        <f>CONCATENATE("Product of Rows ",O13, " and ",O17, ".")</f>
        <v>Product of Rows 13 and 17.</v>
      </c>
      <c r="O20" s="7">
        <f>ROW()</f>
        <v>20</v>
      </c>
    </row>
    <row r="21" spans="2:15" ht="15" customHeight="1">
      <c r="B21" s="14" t="s">
        <v>933</v>
      </c>
      <c r="K21" s="36">
        <f>K17-K19</f>
        <v>1640.8400000000001</v>
      </c>
      <c r="O21" s="7">
        <f>ROW()</f>
        <v>21</v>
      </c>
    </row>
    <row r="22" spans="2:15" ht="15" customHeight="1">
      <c r="B22" s="84" t="str">
        <f>CONCATENATE("Row ",O17, " less Row ",O19, ".")</f>
        <v>Row 17 less Row 19.</v>
      </c>
      <c r="O22" s="7">
        <f>ROW()</f>
        <v>22</v>
      </c>
    </row>
    <row r="23" spans="2:15" ht="15" customHeight="1">
      <c r="B23" s="743" t="s">
        <v>1263</v>
      </c>
      <c r="C23" s="744"/>
      <c r="D23" s="744"/>
      <c r="E23" s="744"/>
      <c r="F23" s="744"/>
      <c r="G23" s="744"/>
      <c r="H23" s="744"/>
      <c r="I23" s="744"/>
      <c r="J23" s="744"/>
      <c r="K23" s="883">
        <f>Summary!S116</f>
        <v>1895.3696778233411</v>
      </c>
      <c r="L23" s="1249" t="str">
        <f>CONCATENATE("These rows simply demonstrate that the required rate of decline in power-sector emissions from 2015 to 2030 to meet the Clean Power" &amp; " Plan goals is ",-(ROUND(K33*100,0)), " percent *less* than the actual average rate of decline from 2005 to 2015.")</f>
        <v>These rows simply demonstrate that the required rate of decline in power-sector emissions from 2015 to 2030 to meet the Clean Power Plan goals is 67 percent *less* than the actual average rate of decline from 2005 to 2015.</v>
      </c>
      <c r="M23" s="1250"/>
      <c r="O23" s="7">
        <f>ROW()</f>
        <v>23</v>
      </c>
    </row>
    <row r="24" spans="2:15" ht="15" customHeight="1">
      <c r="B24" s="884" t="str">
        <f>CONCATENATE("From 'Summary' tab, Cell S",Summary!$AR$116, ".")</f>
        <v>From 'Summary' tab, Cell S116.</v>
      </c>
      <c r="C24" s="746"/>
      <c r="D24" s="746"/>
      <c r="E24" s="746"/>
      <c r="F24" s="746"/>
      <c r="G24" s="746"/>
      <c r="H24" s="746"/>
      <c r="I24" s="746"/>
      <c r="J24" s="746"/>
      <c r="K24" s="749"/>
      <c r="L24" s="1251"/>
      <c r="M24" s="1252"/>
      <c r="O24" s="7">
        <f>ROW()</f>
        <v>24</v>
      </c>
    </row>
    <row r="25" spans="2:15" ht="15" customHeight="1">
      <c r="B25" s="745" t="s">
        <v>1278</v>
      </c>
      <c r="C25" s="746"/>
      <c r="D25" s="746"/>
      <c r="E25" s="746"/>
      <c r="F25" s="746"/>
      <c r="G25" s="746"/>
      <c r="H25" s="746"/>
      <c r="I25" s="746"/>
      <c r="J25" s="746"/>
      <c r="K25" s="885">
        <f>K17-K23</f>
        <v>517.63032217665886</v>
      </c>
      <c r="L25" s="1251"/>
      <c r="M25" s="1252"/>
      <c r="O25" s="7">
        <f>ROW()</f>
        <v>25</v>
      </c>
    </row>
    <row r="26" spans="2:15" ht="15" customHeight="1">
      <c r="B26" s="884" t="str">
        <f>CONCATENATE("Row ",O17, " less Row ",O23, ".")</f>
        <v>Row 17 less Row 23.</v>
      </c>
      <c r="C26" s="746"/>
      <c r="D26" s="746"/>
      <c r="E26" s="746"/>
      <c r="F26" s="746"/>
      <c r="G26" s="746"/>
      <c r="H26" s="746"/>
      <c r="I26" s="746"/>
      <c r="J26" s="746"/>
      <c r="K26" s="749"/>
      <c r="L26" s="1251"/>
      <c r="M26" s="1252"/>
      <c r="O26" s="7">
        <f>ROW()</f>
        <v>26</v>
      </c>
    </row>
    <row r="27" spans="2:15" ht="15" customHeight="1">
      <c r="B27" s="745" t="s">
        <v>1279</v>
      </c>
      <c r="C27" s="746"/>
      <c r="D27" s="746"/>
      <c r="E27" s="746"/>
      <c r="F27" s="746"/>
      <c r="G27" s="746"/>
      <c r="H27" s="746"/>
      <c r="I27" s="746"/>
      <c r="J27" s="746"/>
      <c r="K27" s="885">
        <f>K25/10</f>
        <v>51.763032217665888</v>
      </c>
      <c r="L27" s="1251"/>
      <c r="M27" s="1252"/>
      <c r="O27" s="7">
        <f>ROW()</f>
        <v>27</v>
      </c>
    </row>
    <row r="28" spans="2:15" ht="15" customHeight="1">
      <c r="B28" s="884" t="str">
        <f>CONCATENATE("Row ",O25, " divided by # years from 2005 to 2015.")</f>
        <v>Row 25 divided by # years from 2005 to 2015.</v>
      </c>
      <c r="C28" s="746"/>
      <c r="D28" s="746"/>
      <c r="E28" s="746"/>
      <c r="F28" s="746"/>
      <c r="G28" s="746"/>
      <c r="H28" s="746"/>
      <c r="I28" s="746"/>
      <c r="J28" s="746"/>
      <c r="K28" s="749"/>
      <c r="L28" s="1251"/>
      <c r="M28" s="1252"/>
      <c r="O28" s="7">
        <f>ROW()</f>
        <v>28</v>
      </c>
    </row>
    <row r="29" spans="2:15" ht="15" customHeight="1">
      <c r="B29" s="745" t="s">
        <v>1282</v>
      </c>
      <c r="C29" s="746"/>
      <c r="D29" s="746"/>
      <c r="E29" s="746"/>
      <c r="F29" s="746"/>
      <c r="G29" s="746"/>
      <c r="H29" s="746"/>
      <c r="I29" s="746"/>
      <c r="J29" s="746"/>
      <c r="K29" s="885">
        <f>K23-K21</f>
        <v>254.52967782334099</v>
      </c>
      <c r="L29" s="1251"/>
      <c r="M29" s="1252"/>
      <c r="O29" s="7">
        <f>ROW()</f>
        <v>29</v>
      </c>
    </row>
    <row r="30" spans="2:15" ht="15" customHeight="1">
      <c r="B30" s="884" t="str">
        <f>CONCATENATE("Row ",O23, " less Row ",O21, ".")</f>
        <v>Row 23 less Row 21.</v>
      </c>
      <c r="C30" s="746"/>
      <c r="D30" s="746"/>
      <c r="E30" s="746"/>
      <c r="F30" s="746"/>
      <c r="G30" s="746"/>
      <c r="H30" s="746"/>
      <c r="I30" s="746"/>
      <c r="J30" s="746"/>
      <c r="K30" s="749"/>
      <c r="L30" s="1251"/>
      <c r="M30" s="1252"/>
      <c r="O30" s="7">
        <f>ROW()</f>
        <v>30</v>
      </c>
    </row>
    <row r="31" spans="2:15" ht="15" customHeight="1">
      <c r="B31" s="745" t="s">
        <v>1264</v>
      </c>
      <c r="C31" s="746"/>
      <c r="D31" s="746"/>
      <c r="E31" s="746"/>
      <c r="F31" s="746"/>
      <c r="G31" s="746"/>
      <c r="H31" s="746"/>
      <c r="I31" s="746"/>
      <c r="J31" s="746"/>
      <c r="K31" s="885">
        <f>K29/15</f>
        <v>16.968645188222734</v>
      </c>
      <c r="L31" s="1251"/>
      <c r="M31" s="1252"/>
      <c r="O31" s="7">
        <f>ROW()</f>
        <v>31</v>
      </c>
    </row>
    <row r="32" spans="2:15" ht="15" customHeight="1">
      <c r="B32" s="884" t="str">
        <f>CONCATENATE("Row ",O29, " divided by # years from 2015 to 2030.")</f>
        <v>Row 29 divided by # years from 2015 to 2030.</v>
      </c>
      <c r="C32" s="746"/>
      <c r="D32" s="746"/>
      <c r="E32" s="746"/>
      <c r="F32" s="746"/>
      <c r="G32" s="746"/>
      <c r="H32" s="746"/>
      <c r="I32" s="746"/>
      <c r="J32" s="746"/>
      <c r="K32" s="749"/>
      <c r="L32" s="1251"/>
      <c r="M32" s="1252"/>
      <c r="O32" s="7">
        <f>ROW()</f>
        <v>32</v>
      </c>
    </row>
    <row r="33" spans="2:15" ht="15" customHeight="1">
      <c r="B33" s="745" t="s">
        <v>1265</v>
      </c>
      <c r="C33" s="746"/>
      <c r="D33" s="746"/>
      <c r="E33" s="746"/>
      <c r="F33" s="746"/>
      <c r="G33" s="746"/>
      <c r="H33" s="746"/>
      <c r="I33" s="746"/>
      <c r="J33" s="746"/>
      <c r="K33" s="747">
        <f>K31/K27-1</f>
        <v>-0.67218602811232508</v>
      </c>
      <c r="L33" s="1251"/>
      <c r="M33" s="1252"/>
      <c r="O33" s="7">
        <f>ROW()</f>
        <v>33</v>
      </c>
    </row>
    <row r="34" spans="2:15" ht="15" customHeight="1">
      <c r="B34" s="886" t="str">
        <f>CONCATENATE("Row ",O31, " divided by Row ",O27, ", less one.")</f>
        <v>Row 31 divided by Row 27, less one.</v>
      </c>
      <c r="C34" s="748"/>
      <c r="D34" s="748"/>
      <c r="E34" s="748"/>
      <c r="F34" s="748"/>
      <c r="G34" s="748"/>
      <c r="H34" s="748"/>
      <c r="I34" s="748"/>
      <c r="J34" s="748"/>
      <c r="K34" s="887"/>
      <c r="L34" s="1253"/>
      <c r="M34" s="1254"/>
      <c r="O34" s="7">
        <f>ROW()</f>
        <v>34</v>
      </c>
    </row>
    <row r="35" spans="2:15" ht="15" customHeight="1">
      <c r="B35" s="14" t="s">
        <v>926</v>
      </c>
      <c r="K35" s="21">
        <f>Summary!AG115</f>
        <v>4936.5708791641691</v>
      </c>
      <c r="O35" s="7">
        <f>ROW()</f>
        <v>35</v>
      </c>
    </row>
    <row r="36" spans="2:15" ht="15" customHeight="1">
      <c r="B36" s="84" t="str">
        <f>CONCATENATE("From 'Summary' tab, Cell AG",Summary!$AR$115, ", based on modeling by C. Komanoff for CTC.")</f>
        <v>From 'Summary' tab, Cell AG115, based on modeling by C. Komanoff for CTC.</v>
      </c>
      <c r="O36" s="7">
        <f>ROW()</f>
        <v>36</v>
      </c>
    </row>
    <row r="37" spans="2:15" ht="15" customHeight="1">
      <c r="B37" s="14" t="s">
        <v>1281</v>
      </c>
      <c r="K37" s="5">
        <f>K29/K35</f>
        <v>5.1560016872772306E-2</v>
      </c>
      <c r="O37" s="7">
        <f>ROW()</f>
        <v>37</v>
      </c>
    </row>
    <row r="38" spans="2:15" ht="15" customHeight="1">
      <c r="B38" s="84" t="str">
        <f>CONCATENATE("Row ",O29, " divided by Row ",O35, ".")</f>
        <v>Row 29 divided by Row 35.</v>
      </c>
      <c r="O38" s="7">
        <f>ROW()</f>
        <v>38</v>
      </c>
    </row>
    <row r="39" spans="2:15" ht="15" customHeight="1">
      <c r="B39" s="14" t="s">
        <v>931</v>
      </c>
      <c r="K39" s="21">
        <f>SUM(Summary!AG117:AG123)</f>
        <v>3218.2721012679995</v>
      </c>
      <c r="O39" s="7">
        <f>ROW()</f>
        <v>39</v>
      </c>
    </row>
    <row r="40" spans="2:15" ht="15" customHeight="1">
      <c r="B40" s="84" t="str">
        <f>CONCATENATE("Sum of entries from Row ",Summary!AR117, " to Row ",Summary!AR123, " (all energy sectors except Electricity) from 'Summary' tab, for column corresponding to year 2030.")</f>
        <v>Sum of entries from Row 117 to Row 123 (all energy sectors except Electricity) from 'Summary' tab, for column corresponding to year 2030.</v>
      </c>
      <c r="O40" s="7">
        <f>ROW()</f>
        <v>40</v>
      </c>
    </row>
    <row r="41" spans="2:15" ht="15" customHeight="1">
      <c r="B41" s="14" t="s">
        <v>1280</v>
      </c>
      <c r="K41" s="36">
        <f>K21</f>
        <v>1640.8400000000001</v>
      </c>
      <c r="O41" s="7">
        <f>ROW()</f>
        <v>41</v>
      </c>
    </row>
    <row r="42" spans="2:15" ht="15" customHeight="1">
      <c r="B42" s="84" t="str">
        <f>CONCATENATE("Copied from Row ",O21, ".")</f>
        <v>Copied from Row 21.</v>
      </c>
      <c r="O42" s="7">
        <f>ROW()</f>
        <v>42</v>
      </c>
    </row>
    <row r="43" spans="2:15" ht="15" customHeight="1">
      <c r="B43" s="14" t="s">
        <v>934</v>
      </c>
      <c r="K43" s="36">
        <f>K39+K41</f>
        <v>4859.1121012679996</v>
      </c>
      <c r="O43" s="7">
        <f>ROW()</f>
        <v>43</v>
      </c>
    </row>
    <row r="44" spans="2:15" ht="15" customHeight="1">
      <c r="B44" s="84" t="str">
        <f>CONCATENATE("Sum of Rows ",O39, " and ",36, ".")</f>
        <v>Sum of Rows 39 and 36.</v>
      </c>
      <c r="O44" s="7">
        <f>ROW()</f>
        <v>44</v>
      </c>
    </row>
    <row r="45" spans="2:15" ht="15" customHeight="1">
      <c r="B45" s="14" t="str">
        <f>CONCATENATE("Carbon tax level (both (i) start price in ",Summary!I53, ", and (ii) annual increment thereafter, to 2030) that wd achieve emissions level sought by CPP")</f>
        <v>Carbon tax level (both (i) start price in 2017, and (ii) annual increment thereafter, to 2030) that wd achieve emissions level sought by CPP</v>
      </c>
      <c r="K45" s="184">
        <v>0.03</v>
      </c>
      <c r="O45" s="7">
        <f>ROW()</f>
        <v>45</v>
      </c>
    </row>
    <row r="46" spans="2:15" ht="15" customHeight="1">
      <c r="B46" s="84" t="str">
        <f>CONCATENATE("Estimated by trial and error; figure shown, when inputted into Cells I",Summary!AR56, " and J",Summary!AR60, " in Summary tab, produces approx'ly same emissions as shown here in Row ",O43, ".")</f>
        <v>Estimated by trial and error; figure shown, when inputted into Cells I56 and J60 in Summary tab, produces approx'ly same emissions as shown here in Row 43.</v>
      </c>
      <c r="O46" s="7">
        <f>ROW()</f>
        <v>46</v>
      </c>
    </row>
    <row r="47" spans="2:15" ht="15" customHeight="1">
      <c r="B47" s="14" t="str">
        <f>CONCATENATE("Carbon tax applied only to electricity (both (i) ",Summary!I53, " start price and (ii) annual increment to 2030) that wd achieve CPP emissions target")</f>
        <v>Carbon tax applied only to electricity (both (i) 2017 start price and (ii) annual increment to 2030) that wd achieve CPP emissions target</v>
      </c>
      <c r="K47" s="184">
        <v>0.5</v>
      </c>
      <c r="O47" s="7">
        <f>ROW()</f>
        <v>47</v>
      </c>
    </row>
    <row r="48" spans="2:15" ht="15" customHeight="1">
      <c r="B48" s="1145" t="str">
        <f>CONCATENATE("Estimated by trial and error; figure shown, when inputted into 'Summary' tab Cells I",Summary!AR56, " and J",Summary!AR60, ", but after year-2030 projected values in ''Summary' tab Rows ",Summary!AR117, "-",Summary!AR123, " have been temporarily set to non-carbon-tax projections for those sectors in Summary tab Rows ",Summary!AR103, "-",Summary!AR109, ", produces approx'ly same emissions as shown here in Row ",O45, ".")</f>
        <v>Estimated by trial and error; figure shown, when inputted into 'Summary' tab Cells I56 and J60, but after year-2030 projected values in ''Summary' tab Rows 117-123 have been temporarily set to non-carbon-tax projections for those sectors in Summary tab Rows 103-109, produces approx'ly same emissions as shown here in Row 45.</v>
      </c>
      <c r="C48" s="1155"/>
      <c r="D48" s="1155"/>
      <c r="E48" s="1155"/>
      <c r="F48" s="1155"/>
      <c r="G48" s="1155"/>
      <c r="H48" s="1155"/>
      <c r="I48" s="1155"/>
      <c r="J48" s="1155"/>
      <c r="O48" s="7">
        <f>ROW()</f>
        <v>48</v>
      </c>
    </row>
    <row r="49" spans="2:15" ht="15" customHeight="1">
      <c r="B49" s="1155"/>
      <c r="C49" s="1155"/>
      <c r="D49" s="1155"/>
      <c r="E49" s="1155"/>
      <c r="F49" s="1155"/>
      <c r="G49" s="1155"/>
      <c r="H49" s="1155"/>
      <c r="I49" s="1155"/>
      <c r="J49" s="1155"/>
      <c r="O49" s="7">
        <f>ROW()</f>
        <v>49</v>
      </c>
    </row>
    <row r="50" spans="2:15" ht="15" customHeight="1">
      <c r="B50" s="1155"/>
      <c r="C50" s="1155"/>
      <c r="D50" s="1155"/>
      <c r="E50" s="1155"/>
      <c r="F50" s="1155"/>
      <c r="G50" s="1155"/>
      <c r="H50" s="1155"/>
      <c r="I50" s="1155"/>
      <c r="J50" s="1155"/>
      <c r="O50" s="7">
        <f>ROW()</f>
        <v>50</v>
      </c>
    </row>
    <row r="51" spans="2:15" ht="15" customHeight="1">
      <c r="O51" s="7">
        <f>ROW()</f>
        <v>51</v>
      </c>
    </row>
    <row r="52" spans="2:15" ht="15" customHeight="1">
      <c r="B52" s="8" t="s">
        <v>1266</v>
      </c>
      <c r="O52" s="7">
        <f>ROW()</f>
        <v>52</v>
      </c>
    </row>
    <row r="53" spans="2:15" ht="15" customHeight="1">
      <c r="B53" s="92" t="s">
        <v>1267</v>
      </c>
      <c r="O53" s="7">
        <f>ROW()</f>
        <v>53</v>
      </c>
    </row>
    <row r="54" spans="2:15" ht="15" customHeight="1">
      <c r="O54" s="7">
        <f>ROW()</f>
        <v>54</v>
      </c>
    </row>
    <row r="55" spans="2:15" ht="15" customHeight="1">
      <c r="B55" s="1143" t="s">
        <v>1195</v>
      </c>
      <c r="C55" s="1155"/>
      <c r="D55" s="1155"/>
      <c r="E55" s="1155"/>
      <c r="F55" s="1155"/>
      <c r="G55" s="1155"/>
      <c r="H55" s="1155"/>
      <c r="I55" s="1155"/>
      <c r="J55" s="1155"/>
      <c r="O55" s="7">
        <f>ROW()</f>
        <v>55</v>
      </c>
    </row>
    <row r="56" spans="2:15" ht="15" customHeight="1">
      <c r="B56" s="1155"/>
      <c r="C56" s="1155"/>
      <c r="D56" s="1155"/>
      <c r="E56" s="1155"/>
      <c r="F56" s="1155"/>
      <c r="G56" s="1155"/>
      <c r="H56" s="1155"/>
      <c r="I56" s="1155"/>
      <c r="J56" s="1155"/>
      <c r="O56" s="7">
        <f>ROW()</f>
        <v>56</v>
      </c>
    </row>
    <row r="57" spans="2:15" ht="15" customHeight="1">
      <c r="B57" s="1245"/>
      <c r="C57" s="1245"/>
      <c r="D57" s="1245"/>
      <c r="E57" s="1245"/>
      <c r="F57" s="1245"/>
      <c r="G57" s="1245"/>
      <c r="H57" s="1245"/>
      <c r="I57" s="1245"/>
      <c r="J57" s="1245"/>
      <c r="O57" s="7">
        <f>ROW()</f>
        <v>57</v>
      </c>
    </row>
    <row r="58" spans="2:15" ht="15" customHeight="1">
      <c r="B58" s="14"/>
      <c r="O58" s="7">
        <f>ROW()</f>
        <v>58</v>
      </c>
    </row>
    <row r="59" spans="2:15" ht="15" customHeight="1">
      <c r="B59" s="14" t="s">
        <v>935</v>
      </c>
      <c r="K59" s="269">
        <f>24.3/(1000000/'Personal Ground Travel'!$K$28)</f>
        <v>3.0392357142857143</v>
      </c>
      <c r="O59" s="7">
        <f>ROW()</f>
        <v>59</v>
      </c>
    </row>
    <row r="60" spans="2:15" ht="15" customHeight="1">
      <c r="B60" s="84" t="s">
        <v>967</v>
      </c>
      <c r="O60" s="7">
        <f>ROW()</f>
        <v>60</v>
      </c>
    </row>
    <row r="61" spans="2:15" ht="15" customHeight="1">
      <c r="B61" s="14" t="s">
        <v>936</v>
      </c>
      <c r="K61" s="269">
        <f>32.1/(1000000/'Personal Ground Travel'!$K$28)</f>
        <v>4.0147928571428571</v>
      </c>
      <c r="O61" s="7">
        <f>ROW()</f>
        <v>61</v>
      </c>
    </row>
    <row r="62" spans="2:15" ht="15" customHeight="1">
      <c r="B62" s="84" t="s">
        <v>966</v>
      </c>
      <c r="O62" s="7">
        <f>ROW()</f>
        <v>62</v>
      </c>
    </row>
    <row r="63" spans="2:15" ht="15" customHeight="1">
      <c r="B63" s="14" t="s">
        <v>937</v>
      </c>
      <c r="K63" s="20">
        <f>233/218.1</f>
        <v>1.068317285648785</v>
      </c>
      <c r="O63" s="7">
        <f>ROW()</f>
        <v>63</v>
      </c>
    </row>
    <row r="64" spans="2:15" ht="15" customHeight="1">
      <c r="B64" s="84" t="s">
        <v>938</v>
      </c>
      <c r="K64" s="865"/>
      <c r="O64" s="7">
        <f>ROW()</f>
        <v>64</v>
      </c>
    </row>
    <row r="65" spans="2:19" ht="15" customHeight="1">
      <c r="B65" s="14" t="s">
        <v>939</v>
      </c>
      <c r="K65" s="269">
        <f>K61*K63</f>
        <v>4.2890726075849877</v>
      </c>
      <c r="O65" s="7">
        <f>ROW()</f>
        <v>65</v>
      </c>
    </row>
    <row r="66" spans="2:19" ht="15" customHeight="1">
      <c r="B66" s="84" t="str">
        <f>CONCATENATE("Product of Rows ",O61, " and ",O63, ".")</f>
        <v>Product of Rows 61 and 63.</v>
      </c>
      <c r="K66" s="865"/>
      <c r="O66" s="7">
        <f>ROW()</f>
        <v>66</v>
      </c>
    </row>
    <row r="67" spans="2:19" ht="15" customHeight="1">
      <c r="B67" s="14" t="s">
        <v>940</v>
      </c>
      <c r="K67" s="20">
        <f>K59/K65</f>
        <v>0.70859973526934328</v>
      </c>
      <c r="O67" s="7">
        <f>ROW()</f>
        <v>67</v>
      </c>
    </row>
    <row r="68" spans="2:19" ht="15" customHeight="1">
      <c r="B68" s="84" t="str">
        <f>CONCATENATE("Row ",O59, " divided by Row ",O65, ".")</f>
        <v>Row 59 divided by Row 65.</v>
      </c>
      <c r="K68" s="865"/>
      <c r="O68" s="7">
        <f>ROW()</f>
        <v>68</v>
      </c>
    </row>
    <row r="69" spans="2:19" ht="15" customHeight="1">
      <c r="B69" s="14" t="s">
        <v>941</v>
      </c>
      <c r="K69" s="20">
        <f>Parameters!H10</f>
        <v>-0.35</v>
      </c>
      <c r="O69" s="7">
        <f>ROW()</f>
        <v>69</v>
      </c>
      <c r="P69" s="1229" t="s">
        <v>999</v>
      </c>
      <c r="Q69" s="1230"/>
      <c r="R69" s="1230"/>
      <c r="S69" s="1231"/>
    </row>
    <row r="70" spans="2:19" ht="15" customHeight="1">
      <c r="B70" s="84" t="str">
        <f>CONCATENATE("Copied from 'Parameters' tab, Row ",Parameters!B10, ", and derived in text box in Rows ",Parameters!B16, "-",Parameters!B45, " of that tab.")</f>
        <v>Copied from 'Parameters' tab, Row 10, and derived in text box in Rows 16-45 of that tab.</v>
      </c>
      <c r="K70" s="865"/>
      <c r="O70" s="7">
        <f>ROW()</f>
        <v>70</v>
      </c>
      <c r="P70" s="892"/>
      <c r="Q70" s="893"/>
      <c r="R70" s="893"/>
      <c r="S70" s="894"/>
    </row>
    <row r="71" spans="2:19" ht="15" customHeight="1">
      <c r="B71" s="14" t="s">
        <v>975</v>
      </c>
      <c r="K71" s="20">
        <f>K67^K69</f>
        <v>1.1281313158396455</v>
      </c>
      <c r="O71" s="7">
        <f>ROW()</f>
        <v>71</v>
      </c>
      <c r="P71" s="892"/>
      <c r="Q71" s="895" t="s">
        <v>991</v>
      </c>
      <c r="R71" s="895" t="s">
        <v>992</v>
      </c>
      <c r="S71" s="896" t="s">
        <v>985</v>
      </c>
    </row>
    <row r="72" spans="2:19" ht="15" customHeight="1">
      <c r="B72" s="84" t="str">
        <f>CONCATENATE("Row ",O67, " exponentiated to the elasticity value in Row ",O69, ".")</f>
        <v>Row 67 exponentiated to the elasticity value in Row 69.</v>
      </c>
      <c r="O72" s="7">
        <f>ROW()</f>
        <v>72</v>
      </c>
      <c r="P72" s="892"/>
      <c r="Q72" s="893"/>
      <c r="R72" s="893"/>
      <c r="S72" s="894"/>
    </row>
    <row r="73" spans="2:19" ht="15" customHeight="1">
      <c r="B73" s="14" t="s">
        <v>942</v>
      </c>
      <c r="K73" s="866">
        <f>'Personal Ground Travel'!AC49</f>
        <v>125348.5514652094</v>
      </c>
      <c r="O73" s="7">
        <f>ROW()</f>
        <v>73</v>
      </c>
      <c r="P73" s="897" t="s">
        <v>986</v>
      </c>
      <c r="Q73" s="898">
        <f>8878</f>
        <v>8878</v>
      </c>
      <c r="R73" s="898">
        <f>9128</f>
        <v>9128</v>
      </c>
      <c r="S73" s="899">
        <f>R73-Q73</f>
        <v>250</v>
      </c>
    </row>
    <row r="74" spans="2:19" ht="15" customHeight="1">
      <c r="B74" s="84" t="str">
        <f>CONCATENATE("Copied from 'Personal Ground Travel' tab, Row ",'Personal Ground Travel'!AS49, ".")</f>
        <v>Copied from 'Personal Ground Travel' tab, Row 49.</v>
      </c>
      <c r="O74" s="7">
        <f>ROW()</f>
        <v>74</v>
      </c>
      <c r="P74" s="900" t="s">
        <v>993</v>
      </c>
      <c r="Q74" s="893"/>
      <c r="R74" s="893"/>
      <c r="S74" s="894"/>
    </row>
    <row r="75" spans="2:19" ht="15" customHeight="1">
      <c r="B75" s="14" t="s">
        <v>943</v>
      </c>
      <c r="K75" s="866">
        <f>K73/K71</f>
        <v>111111.66732563839</v>
      </c>
      <c r="O75" s="7">
        <f>ROW()</f>
        <v>75</v>
      </c>
      <c r="P75" s="897" t="s">
        <v>987</v>
      </c>
      <c r="Q75" s="901">
        <f>Q73*Parameters!$I$21/1000</f>
        <v>372.87599999999998</v>
      </c>
      <c r="R75" s="901">
        <f>R73*Parameters!$I$21/1000</f>
        <v>383.37599999999998</v>
      </c>
      <c r="S75" s="902">
        <f>R75-Q75</f>
        <v>10.5</v>
      </c>
    </row>
    <row r="76" spans="2:19" ht="15" customHeight="1">
      <c r="B76" s="84" t="str">
        <f>CONCATENATE("Row ",O73, " divided by Row ",O71, ".")</f>
        <v>Row 73 divided by Row 71.</v>
      </c>
      <c r="O76" s="7">
        <f>ROW()</f>
        <v>76</v>
      </c>
      <c r="P76" s="900" t="s">
        <v>994</v>
      </c>
      <c r="Q76" s="893"/>
      <c r="R76" s="893"/>
      <c r="S76" s="894"/>
    </row>
    <row r="77" spans="2:19" ht="15" customHeight="1">
      <c r="B77" s="14" t="s">
        <v>944</v>
      </c>
      <c r="K77" s="36">
        <f>K73-K75</f>
        <v>14236.884139571004</v>
      </c>
      <c r="O77" s="7">
        <f>ROW()</f>
        <v>77</v>
      </c>
      <c r="P77" s="903" t="s">
        <v>989</v>
      </c>
      <c r="Q77" s="898">
        <f>Q75*'Personal Ground Travel'!$K$31</f>
        <v>7297.3455263367841</v>
      </c>
      <c r="R77" s="898">
        <f>R75*'Personal Ground Travel'!$K$31</f>
        <v>7502.8350939853763</v>
      </c>
      <c r="S77" s="902">
        <f>R77-Q77</f>
        <v>205.48956764859213</v>
      </c>
    </row>
    <row r="78" spans="2:19" ht="15" customHeight="1">
      <c r="B78" s="84" t="str">
        <f>CONCATENATE("Row ",O73, " less Row ",O75, ".")</f>
        <v>Row 73 less Row 75.</v>
      </c>
      <c r="O78" s="7">
        <f>ROW()</f>
        <v>78</v>
      </c>
      <c r="P78" s="900" t="s">
        <v>995</v>
      </c>
      <c r="Q78" s="893"/>
      <c r="R78" s="893"/>
      <c r="S78" s="894"/>
    </row>
    <row r="79" spans="2:19" ht="15" customHeight="1">
      <c r="B79" s="14" t="s">
        <v>945</v>
      </c>
      <c r="K79" s="20">
        <f>'Personal Ground Travel'!K31</f>
        <v>19.570435014151581</v>
      </c>
      <c r="O79" s="7">
        <f>ROW()</f>
        <v>79</v>
      </c>
      <c r="P79" s="903" t="s">
        <v>988</v>
      </c>
      <c r="Q79" s="898">
        <f>Q77*Parameters!$I$22/Parameters!$I$18</f>
        <v>1207.9506200058622</v>
      </c>
      <c r="R79" s="898">
        <f>R77*Parameters!$I$22/Parameters!$I$18</f>
        <v>1241.9658999114115</v>
      </c>
      <c r="S79" s="902">
        <f>R79-Q79</f>
        <v>34.015279905549278</v>
      </c>
    </row>
    <row r="80" spans="2:19" ht="15" customHeight="1">
      <c r="B80" s="84" t="str">
        <f>CONCATENATE("Copied from 'Personal Ground Travel' tab, Row ",'Personal Ground Travel'!AS31, ". Current factor, assumes no carbon price.")</f>
        <v>Copied from 'Personal Ground Travel' tab, Row 31. Current factor, assumes no carbon price.</v>
      </c>
      <c r="O80" s="7">
        <f>ROW()</f>
        <v>80</v>
      </c>
      <c r="P80" s="900" t="s">
        <v>996</v>
      </c>
      <c r="Q80" s="893"/>
      <c r="R80" s="893"/>
      <c r="S80" s="894"/>
    </row>
    <row r="81" spans="2:19" ht="15" customHeight="1">
      <c r="B81" s="14" t="s">
        <v>946</v>
      </c>
      <c r="K81" s="867">
        <f>K77*K79/Parameters!I19</f>
        <v>139.31100792873985</v>
      </c>
      <c r="O81" s="7">
        <f>ROW()</f>
        <v>81</v>
      </c>
      <c r="P81" s="892"/>
      <c r="Q81" s="893"/>
      <c r="R81" s="893"/>
      <c r="S81" s="894"/>
    </row>
    <row r="82" spans="2:19" ht="15" customHeight="1">
      <c r="B82" s="84" t="str">
        <f>CONCATENATE("Product of Rows ",O77, " and ",O79, ", with appropriate conversions.")</f>
        <v>Product of Rows 77 and 79, with appropriate conversions.</v>
      </c>
      <c r="O82" s="7">
        <f>ROW()</f>
        <v>82</v>
      </c>
      <c r="P82" s="892"/>
      <c r="Q82" s="893"/>
      <c r="R82" s="893"/>
      <c r="S82" s="894"/>
    </row>
    <row r="83" spans="2:19" ht="15" customHeight="1">
      <c r="B83" s="14" t="s">
        <v>947</v>
      </c>
      <c r="K83" s="867">
        <f>K81*Parameters!I19/Parameters!I18</f>
        <v>126.35919086507016</v>
      </c>
      <c r="O83" s="7">
        <f>ROW()</f>
        <v>83</v>
      </c>
      <c r="P83" s="892"/>
      <c r="Q83" s="893"/>
      <c r="R83" s="893"/>
      <c r="S83" s="894"/>
    </row>
    <row r="84" spans="2:19" ht="15" customHeight="1">
      <c r="B84" s="84" t="str">
        <f>CONCATENATE("From Row ",O81, ", with appropriate conversion.")</f>
        <v>From Row 81, with appropriate conversion.</v>
      </c>
      <c r="O84" s="7">
        <f>ROW()</f>
        <v>84</v>
      </c>
      <c r="P84" s="892"/>
      <c r="Q84" s="893"/>
      <c r="R84" s="893"/>
      <c r="S84" s="894"/>
    </row>
    <row r="85" spans="2:19" ht="15" customHeight="1">
      <c r="B85" s="14" t="s">
        <v>948</v>
      </c>
      <c r="K85" s="6">
        <f>Emissions!P27</f>
        <v>2.1892331716939264</v>
      </c>
      <c r="O85" s="7">
        <f>ROW()</f>
        <v>85</v>
      </c>
      <c r="P85" s="892"/>
      <c r="Q85" s="893"/>
      <c r="R85" s="893"/>
      <c r="S85" s="894"/>
    </row>
    <row r="86" spans="2:19" ht="15" customHeight="1">
      <c r="B86" s="84" t="str">
        <f>CONCATENATE("Copied from 'Emissions' tab, Cell P",Emissions!S27, ".")</f>
        <v>Copied from 'Emissions' tab, Cell P27.</v>
      </c>
      <c r="O86" s="7">
        <f>ROW()</f>
        <v>86</v>
      </c>
      <c r="P86" s="892"/>
      <c r="Q86" s="893"/>
      <c r="R86" s="893"/>
      <c r="S86" s="894"/>
    </row>
    <row r="87" spans="2:19" ht="15" customHeight="1">
      <c r="B87" s="14" t="s">
        <v>949</v>
      </c>
      <c r="K87" s="866">
        <f>K81*Parameters!$I$19/$K$85</f>
        <v>127269.22808404872</v>
      </c>
      <c r="O87" s="7">
        <f>ROW()</f>
        <v>87</v>
      </c>
      <c r="P87" s="897" t="s">
        <v>990</v>
      </c>
      <c r="Q87" s="904">
        <f>Q79*Parameters!$I$19/$K$85</f>
        <v>1103537.654759001</v>
      </c>
      <c r="R87" s="904">
        <f>R79*Parameters!$I$19/$K$85</f>
        <v>1134612.7182518765</v>
      </c>
      <c r="S87" s="905">
        <f>R87-Q87</f>
        <v>31075.063492875546</v>
      </c>
    </row>
    <row r="88" spans="2:19" ht="15" customHeight="1">
      <c r="B88" s="84" t="str">
        <f>CONCATENATE("Row ",O81, " divided by Row ",O85, ", with appropriate conversions.")</f>
        <v>Row 81 divided by Row 85, with appropriate conversions.</v>
      </c>
      <c r="O88" s="7">
        <f>ROW()</f>
        <v>88</v>
      </c>
      <c r="P88" s="900" t="s">
        <v>997</v>
      </c>
      <c r="Q88" s="893"/>
      <c r="R88" s="893"/>
      <c r="S88" s="894"/>
    </row>
    <row r="89" spans="2:19" ht="15" customHeight="1">
      <c r="B89" s="14" t="s">
        <v>950</v>
      </c>
      <c r="K89" s="4">
        <v>0.7</v>
      </c>
      <c r="O89" s="7">
        <f>ROW()</f>
        <v>89</v>
      </c>
      <c r="P89" s="892"/>
      <c r="Q89" s="906">
        <v>0.7</v>
      </c>
      <c r="R89" s="906">
        <v>0.7</v>
      </c>
      <c r="S89" s="907">
        <v>0.7</v>
      </c>
    </row>
    <row r="90" spans="2:19" ht="15" customHeight="1">
      <c r="B90" s="84" t="s">
        <v>951</v>
      </c>
      <c r="O90" s="7">
        <f>ROW()</f>
        <v>90</v>
      </c>
      <c r="P90" s="900" t="s">
        <v>998</v>
      </c>
      <c r="Q90" s="893"/>
      <c r="R90" s="893"/>
      <c r="S90" s="894"/>
    </row>
    <row r="91" spans="2:19" ht="15" customHeight="1">
      <c r="B91" s="14" t="s">
        <v>952</v>
      </c>
      <c r="K91" s="36">
        <f>ROUND(1000*K87/(8760*K89),-1)</f>
        <v>20750</v>
      </c>
      <c r="O91" s="7">
        <f>ROW()</f>
        <v>91</v>
      </c>
      <c r="P91" s="892"/>
      <c r="Q91" s="898">
        <f>ROUND(1000*Q87/(8760*Q89),-1)</f>
        <v>179960</v>
      </c>
      <c r="R91" s="898">
        <f>ROUND(1000*R87/(8760*R89),-1)</f>
        <v>185030</v>
      </c>
      <c r="S91" s="905">
        <f>R91-Q91</f>
        <v>5070</v>
      </c>
    </row>
    <row r="92" spans="2:19" ht="15" customHeight="1">
      <c r="B92" s="84" t="str">
        <f>CONCATENATE("Row ",O87, " divided by Row ",O89, ", with appropriate conversions.")</f>
        <v>Row 87 divided by Row 89, with appropriate conversions.</v>
      </c>
      <c r="O92" s="7">
        <f>ROW()</f>
        <v>92</v>
      </c>
      <c r="P92" s="900" t="s">
        <v>997</v>
      </c>
      <c r="Q92" s="893"/>
      <c r="R92" s="893"/>
      <c r="S92" s="894"/>
    </row>
    <row r="93" spans="2:19" ht="15" customHeight="1">
      <c r="B93" s="14" t="s">
        <v>954</v>
      </c>
      <c r="K93">
        <v>600</v>
      </c>
      <c r="O93" s="7">
        <f>ROW()</f>
        <v>93</v>
      </c>
      <c r="P93" s="892"/>
      <c r="Q93" s="893">
        <v>600</v>
      </c>
      <c r="R93" s="893">
        <v>600</v>
      </c>
      <c r="S93" s="894">
        <v>600</v>
      </c>
    </row>
    <row r="94" spans="2:19" ht="15" customHeight="1">
      <c r="B94" s="84" t="s">
        <v>953</v>
      </c>
      <c r="O94" s="7">
        <f>ROW()</f>
        <v>94</v>
      </c>
      <c r="P94" s="900" t="s">
        <v>997</v>
      </c>
      <c r="Q94" s="893"/>
      <c r="R94" s="893"/>
      <c r="S94" s="894"/>
    </row>
    <row r="95" spans="2:19" ht="15" customHeight="1">
      <c r="B95" s="8" t="s">
        <v>970</v>
      </c>
      <c r="C95" s="8"/>
      <c r="D95" s="8"/>
      <c r="E95" s="8"/>
      <c r="F95" s="8"/>
      <c r="G95" s="8"/>
      <c r="H95" s="8"/>
      <c r="I95" s="8"/>
      <c r="J95" s="8"/>
      <c r="K95" s="24">
        <f>K91/K93</f>
        <v>34.583333333333336</v>
      </c>
      <c r="O95" s="7">
        <f>ROW()</f>
        <v>95</v>
      </c>
      <c r="P95" s="908"/>
      <c r="Q95" s="909">
        <f>Q91/Q93</f>
        <v>299.93333333333334</v>
      </c>
      <c r="R95" s="909">
        <f>R91/R93</f>
        <v>308.38333333333333</v>
      </c>
      <c r="S95" s="910">
        <f>R95-Q95</f>
        <v>8.4499999999999886</v>
      </c>
    </row>
    <row r="96" spans="2:19" ht="15" customHeight="1" thickBot="1">
      <c r="B96" s="312" t="str">
        <f>CONCATENATE("Row ",O91, " divided by Row ",O93, ".")</f>
        <v>Row 91 divided by Row 93.</v>
      </c>
      <c r="C96" s="8"/>
      <c r="D96" s="8"/>
      <c r="E96" s="8"/>
      <c r="F96" s="8"/>
      <c r="G96" s="8"/>
      <c r="H96" s="8"/>
      <c r="I96" s="8"/>
      <c r="J96" s="8"/>
      <c r="K96" s="8"/>
      <c r="O96" s="7">
        <f>ROW()</f>
        <v>96</v>
      </c>
    </row>
    <row r="97" spans="2:15" ht="15" customHeight="1">
      <c r="B97" s="1236" t="s">
        <v>976</v>
      </c>
      <c r="C97" s="1237"/>
      <c r="D97" s="1237"/>
      <c r="E97" s="1237"/>
      <c r="F97" s="1237"/>
      <c r="G97" s="1237"/>
      <c r="H97" s="1237"/>
      <c r="I97" s="1237"/>
      <c r="J97" s="1237"/>
      <c r="K97" s="1237"/>
      <c r="L97" s="1246" t="s">
        <v>971</v>
      </c>
      <c r="M97" s="1246"/>
      <c r="N97" s="1247"/>
      <c r="O97" s="7">
        <f>ROW()</f>
        <v>97</v>
      </c>
    </row>
    <row r="98" spans="2:15" ht="15" customHeight="1">
      <c r="B98" s="875"/>
      <c r="C98" s="746"/>
      <c r="D98" s="746"/>
      <c r="E98" s="746"/>
      <c r="F98" s="746"/>
      <c r="G98" s="750" t="s">
        <v>93</v>
      </c>
      <c r="H98" s="750" t="s">
        <v>139</v>
      </c>
      <c r="I98" s="750" t="s">
        <v>9</v>
      </c>
      <c r="J98" s="750" t="s">
        <v>955</v>
      </c>
      <c r="K98" s="751" t="s">
        <v>91</v>
      </c>
      <c r="L98" s="1238"/>
      <c r="M98" s="1238"/>
      <c r="N98" s="1248"/>
      <c r="O98" s="7">
        <f>ROW()</f>
        <v>98</v>
      </c>
    </row>
    <row r="99" spans="2:15" ht="15" customHeight="1">
      <c r="B99" s="875"/>
      <c r="C99" s="746"/>
      <c r="D99" s="746"/>
      <c r="E99" s="746"/>
      <c r="F99" s="868" t="s">
        <v>956</v>
      </c>
      <c r="G99" s="869">
        <f>K59</f>
        <v>3.0392357142857143</v>
      </c>
      <c r="H99" s="869">
        <f>25.5/(1000000/Freight!$K$28)</f>
        <v>3.5366071428571431</v>
      </c>
      <c r="I99" s="869">
        <f>18.3/(1000000/Aviation!$K$28)</f>
        <v>2.4704999999999999</v>
      </c>
      <c r="J99" s="869">
        <f>14/(1000000/(6300000/42))</f>
        <v>2.1</v>
      </c>
      <c r="K99" s="749"/>
      <c r="L99" s="1238"/>
      <c r="M99" s="1238"/>
      <c r="N99" s="1248"/>
      <c r="O99" s="7">
        <f>ROW()</f>
        <v>99</v>
      </c>
    </row>
    <row r="100" spans="2:15" ht="15" customHeight="1">
      <c r="B100" s="875"/>
      <c r="C100" s="746"/>
      <c r="D100" s="746"/>
      <c r="E100" s="746"/>
      <c r="F100" s="868" t="s">
        <v>957</v>
      </c>
      <c r="G100" s="869">
        <f>K61</f>
        <v>4.0147928571428571</v>
      </c>
      <c r="H100" s="869">
        <f>30.42/(1000000/Freight!$K$28)</f>
        <v>4.2189642857142857</v>
      </c>
      <c r="I100" s="869">
        <f>26.45/(1000000/Aviation!$K$28)</f>
        <v>3.5707499999999999</v>
      </c>
      <c r="J100" s="869">
        <f>21.3/(1000000/(6300000/42))</f>
        <v>3.1949999999999998</v>
      </c>
      <c r="K100" s="749"/>
      <c r="L100" s="1238"/>
      <c r="M100" s="1238"/>
      <c r="N100" s="1248"/>
      <c r="O100" s="7">
        <f>ROW()</f>
        <v>100</v>
      </c>
    </row>
    <row r="101" spans="2:15" ht="15" customHeight="1">
      <c r="B101" s="875"/>
      <c r="C101" s="746"/>
      <c r="D101" s="746"/>
      <c r="E101" s="746"/>
      <c r="F101" s="868" t="s">
        <v>958</v>
      </c>
      <c r="G101" s="869">
        <f>G100*$K$63</f>
        <v>4.2890726075849877</v>
      </c>
      <c r="H101" s="869">
        <f>H100*$K$63</f>
        <v>4.5071924739634506</v>
      </c>
      <c r="I101" s="869">
        <f>I100*$K$63</f>
        <v>3.8146939477303992</v>
      </c>
      <c r="J101" s="869">
        <f>J100*$K$63</f>
        <v>3.413273727647868</v>
      </c>
      <c r="K101" s="749"/>
      <c r="L101" s="1238"/>
      <c r="M101" s="1238"/>
      <c r="N101" s="1248"/>
      <c r="O101" s="7">
        <f>ROW()</f>
        <v>101</v>
      </c>
    </row>
    <row r="102" spans="2:15" ht="15" customHeight="1">
      <c r="B102" s="875"/>
      <c r="C102" s="746"/>
      <c r="D102" s="746"/>
      <c r="E102" s="746"/>
      <c r="F102" s="868" t="s">
        <v>959</v>
      </c>
      <c r="G102" s="870">
        <f>G99/G101</f>
        <v>0.70859973526934328</v>
      </c>
      <c r="H102" s="870">
        <f>H99/H101</f>
        <v>0.78465855702567489</v>
      </c>
      <c r="I102" s="870">
        <f>I99/I101</f>
        <v>0.6476273152843246</v>
      </c>
      <c r="J102" s="870">
        <f>J99/J101</f>
        <v>0.61524511878135768</v>
      </c>
      <c r="K102" s="749"/>
      <c r="L102" s="1238" t="s">
        <v>972</v>
      </c>
      <c r="M102" s="1239"/>
      <c r="N102" s="1240"/>
      <c r="O102" s="7">
        <f>ROW()</f>
        <v>102</v>
      </c>
    </row>
    <row r="103" spans="2:15" ht="15" customHeight="1">
      <c r="B103" s="875"/>
      <c r="C103" s="746"/>
      <c r="D103" s="746"/>
      <c r="E103" s="746"/>
      <c r="F103" s="868" t="s">
        <v>960</v>
      </c>
      <c r="G103" s="870">
        <f>Parameters!H10</f>
        <v>-0.35</v>
      </c>
      <c r="H103" s="870">
        <f>Parameters!H11</f>
        <v>-0.5</v>
      </c>
      <c r="I103" s="870">
        <f>Parameters!H12</f>
        <v>-0.6</v>
      </c>
      <c r="J103" s="870">
        <f>Parameters!H13</f>
        <v>-0.5</v>
      </c>
      <c r="K103" s="749"/>
      <c r="L103" s="1239"/>
      <c r="M103" s="1239"/>
      <c r="N103" s="1240"/>
      <c r="O103" s="7">
        <f>ROW()</f>
        <v>103</v>
      </c>
    </row>
    <row r="104" spans="2:15" ht="15" customHeight="1">
      <c r="B104" s="875"/>
      <c r="C104" s="746"/>
      <c r="D104" s="746"/>
      <c r="E104" s="746"/>
      <c r="F104" s="868" t="s">
        <v>978</v>
      </c>
      <c r="G104" s="870">
        <f>G102^G103</f>
        <v>1.1281313158396455</v>
      </c>
      <c r="H104" s="870">
        <f>H102^H103</f>
        <v>1.1289108377483703</v>
      </c>
      <c r="I104" s="870">
        <f>I102^I103</f>
        <v>1.297791439848575</v>
      </c>
      <c r="J104" s="870">
        <f>J102^J103</f>
        <v>1.2748993849465455</v>
      </c>
      <c r="K104" s="749"/>
      <c r="L104" s="1239"/>
      <c r="M104" s="1239"/>
      <c r="N104" s="1240"/>
      <c r="O104" s="7">
        <f>ROW()</f>
        <v>104</v>
      </c>
    </row>
    <row r="105" spans="2:15" ht="15" customHeight="1">
      <c r="B105" s="875"/>
      <c r="C105" s="746"/>
      <c r="D105" s="746"/>
      <c r="E105" s="746"/>
      <c r="F105" s="868" t="s">
        <v>973</v>
      </c>
      <c r="G105" s="871">
        <f>K73</f>
        <v>125348.5514652094</v>
      </c>
      <c r="H105" s="871">
        <f>Freight!AC37</f>
        <v>47774.280564707151</v>
      </c>
      <c r="I105" s="871">
        <f>Aviation!AC37</f>
        <v>20997.757151398422</v>
      </c>
      <c r="J105" s="871">
        <f>Other_Petrol!AC48</f>
        <v>30096.113449606288</v>
      </c>
      <c r="K105" s="749"/>
      <c r="L105" s="1238" t="str">
        <f>CONCATENATE("The 'bottom line' result -- that the 'excess' emissions from cheaper petrol in 2025 will be the equivalent of ",ROUND(K112,0), " coal-fired generating units, is, admittedly, startling.")</f>
        <v>The 'bottom line' result -- that the 'excess' emissions from cheaper petrol in 2025 will be the equivalent of 79 coal-fired generating units, is, admittedly, startling.</v>
      </c>
      <c r="M105" s="1239"/>
      <c r="N105" s="1240"/>
      <c r="O105" s="7">
        <f>ROW()</f>
        <v>105</v>
      </c>
    </row>
    <row r="106" spans="2:15" ht="15" customHeight="1">
      <c r="B106" s="875"/>
      <c r="C106" s="746"/>
      <c r="D106" s="746"/>
      <c r="E106" s="746"/>
      <c r="F106" s="868" t="s">
        <v>964</v>
      </c>
      <c r="G106" s="871">
        <f>G105/G104</f>
        <v>111111.66732563839</v>
      </c>
      <c r="H106" s="871">
        <f>H105/H104</f>
        <v>42318.913918829654</v>
      </c>
      <c r="I106" s="871">
        <f>I105/I104</f>
        <v>16179.60829965747</v>
      </c>
      <c r="J106" s="871">
        <f>J105/J104</f>
        <v>23606.657752735657</v>
      </c>
      <c r="K106" s="749"/>
      <c r="L106" s="1239"/>
      <c r="M106" s="1239"/>
      <c r="N106" s="1240"/>
      <c r="O106" s="7">
        <f>ROW()</f>
        <v>106</v>
      </c>
    </row>
    <row r="107" spans="2:15" ht="15" customHeight="1">
      <c r="B107" s="875"/>
      <c r="C107" s="746"/>
      <c r="D107" s="746"/>
      <c r="E107" s="746"/>
      <c r="F107" s="868" t="s">
        <v>961</v>
      </c>
      <c r="G107" s="871">
        <f>G105-G106</f>
        <v>14236.884139571004</v>
      </c>
      <c r="H107" s="871">
        <f>H105-H106</f>
        <v>5455.3666458774969</v>
      </c>
      <c r="I107" s="871">
        <f>I105-I106</f>
        <v>4818.1488517409525</v>
      </c>
      <c r="J107" s="871">
        <f>J105-J106</f>
        <v>6489.4556968706311</v>
      </c>
      <c r="K107" s="872">
        <f>SUM(G107:J107)</f>
        <v>30999.855334060085</v>
      </c>
      <c r="L107" s="1239"/>
      <c r="M107" s="1239"/>
      <c r="N107" s="1240"/>
      <c r="O107" s="7">
        <f>ROW()</f>
        <v>107</v>
      </c>
    </row>
    <row r="108" spans="2:15" ht="15" customHeight="1">
      <c r="B108" s="875"/>
      <c r="C108" s="746"/>
      <c r="D108" s="746"/>
      <c r="E108" s="746"/>
      <c r="F108" s="868" t="s">
        <v>965</v>
      </c>
      <c r="G108" s="873">
        <f>K79</f>
        <v>19.570435014151581</v>
      </c>
      <c r="H108" s="873">
        <f>Freight!K31</f>
        <v>22.456286026151631</v>
      </c>
      <c r="I108" s="873">
        <f>Aviation!K31</f>
        <v>21.098238491092783</v>
      </c>
      <c r="J108" s="873">
        <f>Other_Petrol!I29</f>
        <v>21.041653177132002</v>
      </c>
      <c r="K108" s="749"/>
      <c r="L108" s="1239"/>
      <c r="M108" s="1239"/>
      <c r="N108" s="1240"/>
      <c r="O108" s="7">
        <f>ROW()</f>
        <v>108</v>
      </c>
    </row>
    <row r="109" spans="2:15" ht="15" customHeight="1">
      <c r="B109" s="875"/>
      <c r="C109" s="746"/>
      <c r="D109" s="746"/>
      <c r="E109" s="746"/>
      <c r="F109" s="868" t="s">
        <v>962</v>
      </c>
      <c r="G109" s="874">
        <f>G107*G108/Parameters!$I$19</f>
        <v>139.31100792873985</v>
      </c>
      <c r="H109" s="874">
        <f>H107*H108/Parameters!$I$19</f>
        <v>61.253636888676262</v>
      </c>
      <c r="I109" s="874">
        <f>I107*I108/Parameters!$I$19</f>
        <v>50.827226779807731</v>
      </c>
      <c r="J109" s="874">
        <f>J107*J108/Parameters!$I$19</f>
        <v>68.274438040957634</v>
      </c>
      <c r="K109" s="872">
        <f>SUM(G109:J109)</f>
        <v>319.66630963818147</v>
      </c>
      <c r="L109" s="1238" t="str">
        <f>CONCATENATE("You -- reader -- are free to vary any of the input assumptions in the array at left. For example, you could apply the figure of ",G103, " for gasoline price-elasticity, to the other fuels, and see how the result in Cell K",O112, " changes.")</f>
        <v>You -- reader -- are free to vary any of the input assumptions in the array at left. For example, you could apply the figure of -0.35 for gasoline price-elasticity, to the other fuels, and see how the result in Cell K112 changes.</v>
      </c>
      <c r="M109" s="1239"/>
      <c r="N109" s="1240"/>
      <c r="O109" s="7">
        <f>ROW()</f>
        <v>109</v>
      </c>
    </row>
    <row r="110" spans="2:15" ht="15" customHeight="1">
      <c r="B110" s="875"/>
      <c r="C110" s="746"/>
      <c r="D110" s="746"/>
      <c r="E110" s="746"/>
      <c r="F110" s="868" t="s">
        <v>963</v>
      </c>
      <c r="G110" s="871">
        <f>G109*Parameters!$I$19/Scenarios!$K$85</f>
        <v>127269.22808404872</v>
      </c>
      <c r="H110" s="871">
        <f>H109*Parameters!$I$19/Scenarios!$K$85</f>
        <v>55958.988453734295</v>
      </c>
      <c r="I110" s="871">
        <f>I109*Parameters!$I$19/Scenarios!$K$85</f>
        <v>46433.817500106663</v>
      </c>
      <c r="J110" s="871">
        <f>J109*Parameters!$I$19/Scenarios!$K$85</f>
        <v>62372.924843021698</v>
      </c>
      <c r="K110" s="872">
        <f>SUM(G110:J110)</f>
        <v>292034.95888091135</v>
      </c>
      <c r="L110" s="1239"/>
      <c r="M110" s="1239"/>
      <c r="N110" s="1240"/>
      <c r="O110" s="7">
        <f>ROW()</f>
        <v>110</v>
      </c>
    </row>
    <row r="111" spans="2:15" ht="15" customHeight="1">
      <c r="B111" s="875"/>
      <c r="C111" s="746"/>
      <c r="D111" s="746"/>
      <c r="E111" s="746"/>
      <c r="F111" s="868" t="s">
        <v>969</v>
      </c>
      <c r="G111" s="871">
        <f>ROUND(1000*G110/(8760*$K$89),-1)</f>
        <v>20750</v>
      </c>
      <c r="H111" s="871">
        <f>ROUND(1000*H110/(8760*$K$89),-1)</f>
        <v>9130</v>
      </c>
      <c r="I111" s="871">
        <f>ROUND(1000*I110/(8760*$K$89),-1)</f>
        <v>7570</v>
      </c>
      <c r="J111" s="871">
        <f>ROUND(1000*J110/(8760*$K$89),-1)</f>
        <v>10170</v>
      </c>
      <c r="K111" s="872">
        <f>SUM(G111:J111)</f>
        <v>47620</v>
      </c>
      <c r="L111" s="1239"/>
      <c r="M111" s="1239"/>
      <c r="N111" s="1240"/>
      <c r="O111" s="7">
        <f>ROW()</f>
        <v>111</v>
      </c>
    </row>
    <row r="112" spans="2:15" ht="15" customHeight="1" thickBot="1">
      <c r="B112" s="877"/>
      <c r="C112" s="878"/>
      <c r="D112" s="878"/>
      <c r="E112" s="878"/>
      <c r="F112" s="879" t="s">
        <v>968</v>
      </c>
      <c r="G112" s="880">
        <f>G111/$K$93</f>
        <v>34.583333333333336</v>
      </c>
      <c r="H112" s="880">
        <f>H111/$K$93</f>
        <v>15.216666666666667</v>
      </c>
      <c r="I112" s="880">
        <f>I111/$K$93</f>
        <v>12.616666666666667</v>
      </c>
      <c r="J112" s="880">
        <f>J111/$K$93</f>
        <v>16.95</v>
      </c>
      <c r="K112" s="876">
        <f>SUM(G112:J112)</f>
        <v>79.366666666666674</v>
      </c>
      <c r="L112" s="1243"/>
      <c r="M112" s="1243"/>
      <c r="N112" s="1244"/>
      <c r="O112" s="7">
        <f>ROW()</f>
        <v>112</v>
      </c>
    </row>
    <row r="113" spans="2:15" ht="15" customHeight="1">
      <c r="B113" s="1236" t="s">
        <v>977</v>
      </c>
      <c r="C113" s="1237"/>
      <c r="D113" s="1237"/>
      <c r="E113" s="1237"/>
      <c r="F113" s="1237"/>
      <c r="G113" s="1237"/>
      <c r="H113" s="1237"/>
      <c r="I113" s="1237"/>
      <c r="J113" s="1237"/>
      <c r="K113" s="1237"/>
      <c r="L113" s="1238" t="s">
        <v>979</v>
      </c>
      <c r="M113" s="1239"/>
      <c r="N113" s="1240"/>
      <c r="O113" s="7">
        <f>ROW()</f>
        <v>113</v>
      </c>
    </row>
    <row r="114" spans="2:15" ht="15" customHeight="1">
      <c r="B114" s="875"/>
      <c r="C114" s="746"/>
      <c r="D114" s="746"/>
      <c r="E114" s="746"/>
      <c r="F114" s="746"/>
      <c r="G114" s="750" t="s">
        <v>93</v>
      </c>
      <c r="H114" s="750" t="s">
        <v>139</v>
      </c>
      <c r="I114" s="750" t="s">
        <v>9</v>
      </c>
      <c r="J114" s="750" t="s">
        <v>955</v>
      </c>
      <c r="K114" s="751" t="s">
        <v>91</v>
      </c>
      <c r="L114" s="1239"/>
      <c r="M114" s="1239"/>
      <c r="N114" s="1240"/>
      <c r="O114" s="7">
        <f>ROW()</f>
        <v>114</v>
      </c>
    </row>
    <row r="115" spans="2:15" ht="15" customHeight="1">
      <c r="B115" s="875"/>
      <c r="C115" s="746"/>
      <c r="D115" s="746"/>
      <c r="E115" s="746"/>
      <c r="F115" s="868" t="s">
        <v>956</v>
      </c>
      <c r="G115" s="869">
        <f t="shared" ref="G115:J116" si="0">G99</f>
        <v>3.0392357142857143</v>
      </c>
      <c r="H115" s="869">
        <f t="shared" si="0"/>
        <v>3.5366071428571431</v>
      </c>
      <c r="I115" s="869">
        <f t="shared" si="0"/>
        <v>2.4704999999999999</v>
      </c>
      <c r="J115" s="869">
        <f t="shared" si="0"/>
        <v>2.1</v>
      </c>
      <c r="K115" s="749"/>
      <c r="L115" s="1239"/>
      <c r="M115" s="1239"/>
      <c r="N115" s="1240"/>
      <c r="O115" s="7">
        <f>ROW()</f>
        <v>115</v>
      </c>
    </row>
    <row r="116" spans="2:15" ht="15" customHeight="1">
      <c r="B116" s="875"/>
      <c r="C116" s="746"/>
      <c r="D116" s="746"/>
      <c r="E116" s="746"/>
      <c r="F116" s="868" t="s">
        <v>957</v>
      </c>
      <c r="G116" s="869">
        <f t="shared" si="0"/>
        <v>4.0147928571428571</v>
      </c>
      <c r="H116" s="869">
        <f t="shared" si="0"/>
        <v>4.2189642857142857</v>
      </c>
      <c r="I116" s="869">
        <f t="shared" si="0"/>
        <v>3.5707499999999999</v>
      </c>
      <c r="J116" s="869">
        <f t="shared" si="0"/>
        <v>3.1949999999999998</v>
      </c>
      <c r="K116" s="749"/>
      <c r="L116" s="1241"/>
      <c r="M116" s="1241"/>
      <c r="N116" s="1242"/>
      <c r="O116" s="7">
        <f>ROW()</f>
        <v>116</v>
      </c>
    </row>
    <row r="117" spans="2:15" ht="15" customHeight="1">
      <c r="B117" s="875"/>
      <c r="C117" s="746"/>
      <c r="D117" s="746"/>
      <c r="E117" s="746"/>
      <c r="F117" s="868" t="s">
        <v>958</v>
      </c>
      <c r="G117" s="869">
        <f>G116*$K$63</f>
        <v>4.2890726075849877</v>
      </c>
      <c r="H117" s="869">
        <f>H116*$K$63</f>
        <v>4.5071924739634506</v>
      </c>
      <c r="I117" s="869">
        <f>I116*$K$63</f>
        <v>3.8146939477303992</v>
      </c>
      <c r="J117" s="869">
        <f>J116*$K$63</f>
        <v>3.413273727647868</v>
      </c>
      <c r="K117" s="749"/>
      <c r="L117" s="1234" t="str">
        <f>CONCATENATE("The result is a reduction in the increase in CO2 emissions expressed in terms of equivalent coal-fired plants -- from ",ROUND(K112,0), " estimated with the sector-specific price-elasticities, to ",ROUND(K128,0), " estimated when the gasoline price-elasticity is applied to the other three sectors.")</f>
        <v>The result is a reduction in the increase in CO2 emissions expressed in terms of equivalent coal-fired plants -- from 79 estimated with the sector-specific price-elasticities, to 65 estimated when the gasoline price-elasticity is applied to the other three sectors.</v>
      </c>
      <c r="M117" s="1116"/>
      <c r="N117" s="1117"/>
      <c r="O117" s="7">
        <f>ROW()</f>
        <v>117</v>
      </c>
    </row>
    <row r="118" spans="2:15" ht="15" customHeight="1">
      <c r="B118" s="875"/>
      <c r="C118" s="746"/>
      <c r="D118" s="746"/>
      <c r="E118" s="746"/>
      <c r="F118" s="868" t="s">
        <v>959</v>
      </c>
      <c r="G118" s="870">
        <f>G115/G117</f>
        <v>0.70859973526934328</v>
      </c>
      <c r="H118" s="870">
        <f>H115/H117</f>
        <v>0.78465855702567489</v>
      </c>
      <c r="I118" s="870">
        <f>I115/I117</f>
        <v>0.6476273152843246</v>
      </c>
      <c r="J118" s="870">
        <f>J115/J117</f>
        <v>0.61524511878135768</v>
      </c>
      <c r="K118" s="749"/>
      <c r="L118" s="1101"/>
      <c r="M118" s="1102"/>
      <c r="N118" s="1103"/>
      <c r="O118" s="7">
        <f>ROW()</f>
        <v>118</v>
      </c>
    </row>
    <row r="119" spans="2:15" ht="15" customHeight="1">
      <c r="B119" s="875"/>
      <c r="C119" s="746"/>
      <c r="D119" s="746"/>
      <c r="E119" s="746"/>
      <c r="F119" s="868" t="s">
        <v>960</v>
      </c>
      <c r="G119" s="870">
        <f>G103</f>
        <v>-0.35</v>
      </c>
      <c r="H119" s="870">
        <f>G119</f>
        <v>-0.35</v>
      </c>
      <c r="I119" s="870">
        <f>H119</f>
        <v>-0.35</v>
      </c>
      <c r="J119" s="870">
        <f>I119</f>
        <v>-0.35</v>
      </c>
      <c r="K119" s="749"/>
      <c r="L119" s="1101"/>
      <c r="M119" s="1102"/>
      <c r="N119" s="1103"/>
      <c r="O119" s="7">
        <f>ROW()</f>
        <v>119</v>
      </c>
    </row>
    <row r="120" spans="2:15" ht="15" customHeight="1">
      <c r="B120" s="875"/>
      <c r="C120" s="746"/>
      <c r="D120" s="746"/>
      <c r="E120" s="746"/>
      <c r="F120" s="868" t="s">
        <v>978</v>
      </c>
      <c r="G120" s="870">
        <f>G118^G119</f>
        <v>1.1281313158396455</v>
      </c>
      <c r="H120" s="870">
        <f>H118^H119</f>
        <v>1.0885835059198343</v>
      </c>
      <c r="I120" s="870">
        <f>I118^I119</f>
        <v>1.1642230534020457</v>
      </c>
      <c r="J120" s="870">
        <f>J118^J119</f>
        <v>1.1853132471137304</v>
      </c>
      <c r="K120" s="749"/>
      <c r="L120" s="1101"/>
      <c r="M120" s="1102"/>
      <c r="N120" s="1103"/>
      <c r="O120" s="7">
        <f>ROW()</f>
        <v>120</v>
      </c>
    </row>
    <row r="121" spans="2:15" ht="15" customHeight="1">
      <c r="B121" s="875"/>
      <c r="C121" s="746"/>
      <c r="D121" s="746"/>
      <c r="E121" s="746"/>
      <c r="F121" s="868" t="s">
        <v>973</v>
      </c>
      <c r="G121" s="871">
        <f>G105</f>
        <v>125348.5514652094</v>
      </c>
      <c r="H121" s="871">
        <f>H105</f>
        <v>47774.280564707151</v>
      </c>
      <c r="I121" s="871">
        <f>I105</f>
        <v>20997.757151398422</v>
      </c>
      <c r="J121" s="871">
        <f>J105</f>
        <v>30096.113449606288</v>
      </c>
      <c r="K121" s="749"/>
      <c r="L121" s="1101"/>
      <c r="M121" s="1102"/>
      <c r="N121" s="1103"/>
      <c r="O121" s="7">
        <f>ROW()</f>
        <v>121</v>
      </c>
    </row>
    <row r="122" spans="2:15" ht="15" customHeight="1">
      <c r="B122" s="875"/>
      <c r="C122" s="746"/>
      <c r="D122" s="746"/>
      <c r="E122" s="746"/>
      <c r="F122" s="868" t="s">
        <v>964</v>
      </c>
      <c r="G122" s="871">
        <f>G121/G120</f>
        <v>111111.66732563839</v>
      </c>
      <c r="H122" s="871">
        <f>H121/H120</f>
        <v>43886.647468848707</v>
      </c>
      <c r="I122" s="871">
        <f>I121/I120</f>
        <v>18035.854117507486</v>
      </c>
      <c r="J122" s="871">
        <f>J121/J120</f>
        <v>25390.852184341256</v>
      </c>
      <c r="K122" s="749"/>
      <c r="L122" s="1101"/>
      <c r="M122" s="1102"/>
      <c r="N122" s="1103"/>
      <c r="O122" s="7">
        <f>ROW()</f>
        <v>122</v>
      </c>
    </row>
    <row r="123" spans="2:15" ht="15" customHeight="1">
      <c r="B123" s="875"/>
      <c r="C123" s="746"/>
      <c r="D123" s="746"/>
      <c r="E123" s="746"/>
      <c r="F123" s="868" t="s">
        <v>961</v>
      </c>
      <c r="G123" s="871">
        <f>G121-G122</f>
        <v>14236.884139571004</v>
      </c>
      <c r="H123" s="871">
        <f>H121-H122</f>
        <v>3887.633095858444</v>
      </c>
      <c r="I123" s="871">
        <f>I121-I122</f>
        <v>2961.9030338909361</v>
      </c>
      <c r="J123" s="871">
        <f>J121-J122</f>
        <v>4705.2612652650314</v>
      </c>
      <c r="K123" s="872">
        <f>SUM(G123:J123)</f>
        <v>25791.681534585416</v>
      </c>
      <c r="L123" s="1101"/>
      <c r="M123" s="1102"/>
      <c r="N123" s="1103"/>
      <c r="O123" s="7">
        <f>ROW()</f>
        <v>123</v>
      </c>
    </row>
    <row r="124" spans="2:15" ht="15" customHeight="1">
      <c r="B124" s="875"/>
      <c r="C124" s="746"/>
      <c r="D124" s="746"/>
      <c r="E124" s="746"/>
      <c r="F124" s="868" t="s">
        <v>965</v>
      </c>
      <c r="G124" s="873">
        <f>G108</f>
        <v>19.570435014151581</v>
      </c>
      <c r="H124" s="873">
        <f>H108</f>
        <v>22.456286026151631</v>
      </c>
      <c r="I124" s="873">
        <f>I108</f>
        <v>21.098238491092783</v>
      </c>
      <c r="J124" s="873">
        <f>J108</f>
        <v>21.041653177132002</v>
      </c>
      <c r="K124" s="749"/>
      <c r="L124" s="1101"/>
      <c r="M124" s="1102"/>
      <c r="N124" s="1103"/>
      <c r="O124" s="7">
        <f>ROW()</f>
        <v>124</v>
      </c>
    </row>
    <row r="125" spans="2:15" ht="15" customHeight="1">
      <c r="B125" s="875"/>
      <c r="C125" s="746"/>
      <c r="D125" s="746"/>
      <c r="E125" s="746"/>
      <c r="F125" s="868" t="s">
        <v>962</v>
      </c>
      <c r="G125" s="874">
        <f>G123*G124/Parameters!$I$19</f>
        <v>139.31100792873985</v>
      </c>
      <c r="H125" s="874">
        <f>H123*H124/Parameters!$I$19</f>
        <v>43.650900382665291</v>
      </c>
      <c r="I125" s="874">
        <f>I123*I124/Parameters!$I$19</f>
        <v>31.24546829826112</v>
      </c>
      <c r="J125" s="874">
        <f>J123*J124/Parameters!$I$19</f>
        <v>49.503237825750048</v>
      </c>
      <c r="K125" s="872">
        <f>SUM(G125:J125)</f>
        <v>263.71061443541635</v>
      </c>
      <c r="L125" s="1101"/>
      <c r="M125" s="1102"/>
      <c r="N125" s="1103"/>
      <c r="O125" s="7">
        <f>ROW()</f>
        <v>125</v>
      </c>
    </row>
    <row r="126" spans="2:15" ht="15" customHeight="1">
      <c r="B126" s="875"/>
      <c r="C126" s="746"/>
      <c r="D126" s="746"/>
      <c r="E126" s="746"/>
      <c r="F126" s="868" t="s">
        <v>963</v>
      </c>
      <c r="G126" s="871">
        <f>G125*Parameters!$I$19/Scenarios!$K$85</f>
        <v>127269.22808404872</v>
      </c>
      <c r="H126" s="871">
        <f>H125*Parameters!$I$19/Scenarios!$K$85</f>
        <v>39877.799173753854</v>
      </c>
      <c r="I126" s="871">
        <f>I125*Parameters!$I$19/Scenarios!$K$85</f>
        <v>28544.669158365468</v>
      </c>
      <c r="J126" s="871">
        <f>J125*Parameters!$I$19/Scenarios!$K$85</f>
        <v>45224.271645259927</v>
      </c>
      <c r="K126" s="872">
        <f>SUM(G126:J126)</f>
        <v>240915.96806142796</v>
      </c>
      <c r="L126" s="1101"/>
      <c r="M126" s="1102"/>
      <c r="N126" s="1103"/>
      <c r="O126" s="7">
        <f>ROW()</f>
        <v>126</v>
      </c>
    </row>
    <row r="127" spans="2:15" ht="15" customHeight="1">
      <c r="B127" s="875"/>
      <c r="C127" s="746"/>
      <c r="D127" s="746"/>
      <c r="E127" s="746"/>
      <c r="F127" s="868" t="s">
        <v>969</v>
      </c>
      <c r="G127" s="871">
        <f>ROUND(1000*G126/(8760*$K$89),-1)</f>
        <v>20750</v>
      </c>
      <c r="H127" s="871">
        <f>ROUND(1000*H126/(8760*$K$89),-1)</f>
        <v>6500</v>
      </c>
      <c r="I127" s="871">
        <f>ROUND(1000*I126/(8760*$K$89),-1)</f>
        <v>4660</v>
      </c>
      <c r="J127" s="871">
        <f>ROUND(1000*J126/(8760*$K$89),-1)</f>
        <v>7380</v>
      </c>
      <c r="K127" s="872">
        <f>SUM(G127:J127)</f>
        <v>39290</v>
      </c>
      <c r="L127" s="1101"/>
      <c r="M127" s="1102"/>
      <c r="N127" s="1103"/>
      <c r="O127" s="7">
        <f>ROW()</f>
        <v>127</v>
      </c>
    </row>
    <row r="128" spans="2:15" ht="15" customHeight="1" thickBot="1">
      <c r="B128" s="877"/>
      <c r="C128" s="878"/>
      <c r="D128" s="878"/>
      <c r="E128" s="878"/>
      <c r="F128" s="879" t="s">
        <v>968</v>
      </c>
      <c r="G128" s="880">
        <f>G127/$K$93</f>
        <v>34.583333333333336</v>
      </c>
      <c r="H128" s="880">
        <f>H127/$K$93</f>
        <v>10.833333333333334</v>
      </c>
      <c r="I128" s="880">
        <f>I127/$K$93</f>
        <v>7.7666666666666666</v>
      </c>
      <c r="J128" s="880">
        <f>J127/$K$93</f>
        <v>12.3</v>
      </c>
      <c r="K128" s="876">
        <f>SUM(G128:J128)</f>
        <v>65.483333333333334</v>
      </c>
      <c r="L128" s="1104"/>
      <c r="M128" s="1105"/>
      <c r="N128" s="1106"/>
      <c r="O128" s="7">
        <f>ROW()</f>
        <v>128</v>
      </c>
    </row>
    <row r="130" spans="5:11" ht="15" customHeight="1">
      <c r="J130" s="1232" t="s">
        <v>981</v>
      </c>
    </row>
    <row r="131" spans="5:11" ht="15" customHeight="1">
      <c r="J131" s="1233"/>
    </row>
    <row r="132" spans="5:11" ht="15" customHeight="1">
      <c r="J132" s="1233"/>
      <c r="K132" s="889"/>
    </row>
    <row r="133" spans="5:11" ht="15" customHeight="1">
      <c r="G133" s="889" t="s">
        <v>151</v>
      </c>
      <c r="H133" s="889" t="s">
        <v>980</v>
      </c>
      <c r="I133" s="889" t="s">
        <v>127</v>
      </c>
      <c r="J133" s="1233"/>
      <c r="K133" s="889"/>
    </row>
    <row r="134" spans="5:11" ht="15" customHeight="1">
      <c r="E134" s="890" t="s">
        <v>984</v>
      </c>
      <c r="F134" s="891" t="s">
        <v>982</v>
      </c>
      <c r="G134">
        <v>14.65</v>
      </c>
      <c r="H134">
        <v>9.06</v>
      </c>
      <c r="I134">
        <v>3.39</v>
      </c>
      <c r="J134">
        <f>0.65+1.1+3.96</f>
        <v>5.71</v>
      </c>
    </row>
    <row r="135" spans="5:11" ht="15" customHeight="1">
      <c r="E135" s="890" t="s">
        <v>983</v>
      </c>
      <c r="F135" s="891" t="s">
        <v>982</v>
      </c>
      <c r="G135">
        <v>15.25</v>
      </c>
      <c r="H135">
        <v>8.99</v>
      </c>
      <c r="I135">
        <v>3.19</v>
      </c>
      <c r="J135">
        <f>1.09+1.29+3.27</f>
        <v>5.65</v>
      </c>
    </row>
  </sheetData>
  <mergeCells count="16">
    <mergeCell ref="P69:S69"/>
    <mergeCell ref="J130:J133"/>
    <mergeCell ref="L117:N128"/>
    <mergeCell ref="B8:K9"/>
    <mergeCell ref="B10:K11"/>
    <mergeCell ref="B113:K113"/>
    <mergeCell ref="L113:N116"/>
    <mergeCell ref="L102:N104"/>
    <mergeCell ref="L105:N108"/>
    <mergeCell ref="L109:N112"/>
    <mergeCell ref="B14:J16"/>
    <mergeCell ref="B55:J57"/>
    <mergeCell ref="B97:K97"/>
    <mergeCell ref="L97:N101"/>
    <mergeCell ref="L23:M34"/>
    <mergeCell ref="B48:J50"/>
  </mergeCells>
  <pageMargins left="0.7" right="0.7" top="0.75" bottom="0.75" header="0.3" footer="0.3"/>
</worksheet>
</file>

<file path=xl/worksheets/sheet8.xml><?xml version="1.0" encoding="utf-8"?>
<worksheet xmlns="http://schemas.openxmlformats.org/spreadsheetml/2006/main" xmlns:r="http://schemas.openxmlformats.org/officeDocument/2006/relationships">
  <dimension ref="B1:J47"/>
  <sheetViews>
    <sheetView zoomScaleNormal="100" workbookViewId="0"/>
  </sheetViews>
  <sheetFormatPr defaultColWidth="11.625" defaultRowHeight="16.05" customHeight="1"/>
  <cols>
    <col min="1" max="1" width="2.625" customWidth="1"/>
  </cols>
  <sheetData>
    <row r="1" spans="2:10" ht="18" customHeight="1">
      <c r="B1" s="57" t="s">
        <v>434</v>
      </c>
      <c r="I1" s="188" t="s">
        <v>436</v>
      </c>
      <c r="J1" s="214">
        <f>Summary!I1</f>
        <v>42552</v>
      </c>
    </row>
    <row r="4" spans="2:10" ht="16.05" customHeight="1">
      <c r="B4" s="1143" t="s">
        <v>1274</v>
      </c>
      <c r="C4" s="1155"/>
      <c r="D4" s="1155"/>
      <c r="E4" s="1155"/>
      <c r="F4" s="1155"/>
      <c r="G4" s="1155"/>
      <c r="H4" s="1155"/>
      <c r="I4" s="1155"/>
      <c r="J4" s="1155"/>
    </row>
    <row r="5" spans="2:10" ht="16.05" customHeight="1">
      <c r="B5" s="1155"/>
      <c r="C5" s="1155"/>
      <c r="D5" s="1155"/>
      <c r="E5" s="1155"/>
      <c r="F5" s="1155"/>
      <c r="G5" s="1155"/>
      <c r="H5" s="1155"/>
      <c r="I5" s="1155"/>
      <c r="J5" s="1155"/>
    </row>
    <row r="6" spans="2:10" ht="16.05" customHeight="1">
      <c r="B6" s="1155"/>
      <c r="C6" s="1155"/>
      <c r="D6" s="1155"/>
      <c r="E6" s="1155"/>
      <c r="F6" s="1155"/>
      <c r="G6" s="1155"/>
      <c r="H6" s="1155"/>
      <c r="I6" s="1155"/>
      <c r="J6" s="1155"/>
    </row>
    <row r="7" spans="2:10" ht="16.05" customHeight="1">
      <c r="B7" s="1155"/>
      <c r="C7" s="1155"/>
      <c r="D7" s="1155"/>
      <c r="E7" s="1155"/>
      <c r="F7" s="1155"/>
      <c r="G7" s="1155"/>
      <c r="H7" s="1155"/>
      <c r="I7" s="1155"/>
      <c r="J7" s="1155"/>
    </row>
    <row r="8" spans="2:10" ht="16.05" customHeight="1">
      <c r="B8" s="124"/>
      <c r="C8" s="73"/>
      <c r="D8" s="73"/>
      <c r="E8" s="73"/>
      <c r="F8" s="73"/>
      <c r="G8" s="73"/>
      <c r="H8" s="73"/>
      <c r="I8" s="73"/>
      <c r="J8" s="73"/>
    </row>
    <row r="9" spans="2:10" ht="16.05" customHeight="1">
      <c r="B9" s="1255" t="s">
        <v>1268</v>
      </c>
      <c r="C9" s="1255"/>
      <c r="D9" s="1255"/>
      <c r="E9" s="1255"/>
      <c r="F9" s="1255"/>
      <c r="G9" s="1255"/>
      <c r="H9" s="1255"/>
      <c r="I9" s="1255"/>
      <c r="J9" s="1255"/>
    </row>
    <row r="10" spans="2:10" ht="16.05" customHeight="1">
      <c r="B10" s="1255"/>
      <c r="C10" s="1255"/>
      <c r="D10" s="1255"/>
      <c r="E10" s="1255"/>
      <c r="F10" s="1255"/>
      <c r="G10" s="1255"/>
      <c r="H10" s="1255"/>
      <c r="I10" s="1255"/>
      <c r="J10" s="1255"/>
    </row>
    <row r="11" spans="2:10" ht="16.05" customHeight="1">
      <c r="B11" s="368"/>
      <c r="C11" s="368"/>
      <c r="D11" s="368"/>
      <c r="E11" s="368"/>
      <c r="F11" s="368"/>
      <c r="G11" s="368"/>
      <c r="H11" s="368"/>
      <c r="I11" s="368"/>
      <c r="J11" s="368"/>
    </row>
    <row r="12" spans="2:10" ht="16.05" customHeight="1">
      <c r="B12" s="1143" t="s">
        <v>1270</v>
      </c>
      <c r="C12" s="1155"/>
      <c r="D12" s="1155"/>
      <c r="E12" s="1155"/>
      <c r="F12" s="1155"/>
      <c r="G12" s="1155"/>
      <c r="H12" s="1155"/>
      <c r="I12" s="1155"/>
      <c r="J12" s="1155"/>
    </row>
    <row r="13" spans="2:10" ht="16.05" customHeight="1">
      <c r="B13" s="1155" t="s">
        <v>1269</v>
      </c>
      <c r="C13" s="1155"/>
      <c r="D13" s="1155"/>
      <c r="E13" s="1155"/>
      <c r="F13" s="1155"/>
      <c r="G13" s="1155"/>
      <c r="H13" s="1155"/>
      <c r="I13" s="1155"/>
      <c r="J13" s="1155"/>
    </row>
    <row r="14" spans="2:10" ht="16.05" customHeight="1">
      <c r="B14" s="1155"/>
      <c r="C14" s="1155"/>
      <c r="D14" s="1155"/>
      <c r="E14" s="1155"/>
      <c r="F14" s="1155"/>
      <c r="G14" s="1155"/>
      <c r="H14" s="1155"/>
      <c r="I14" s="1155"/>
      <c r="J14" s="1155"/>
    </row>
    <row r="15" spans="2:10" ht="16.05" customHeight="1">
      <c r="B15" s="1094"/>
      <c r="C15" s="1094"/>
      <c r="D15" s="1094"/>
      <c r="E15" s="1094"/>
      <c r="F15" s="1094"/>
      <c r="G15" s="1094"/>
      <c r="H15" s="1094"/>
      <c r="I15" s="1094"/>
      <c r="J15" s="1094"/>
    </row>
    <row r="16" spans="2:10" ht="16.05" customHeight="1">
      <c r="B16" s="1143" t="s">
        <v>1271</v>
      </c>
      <c r="C16" s="1255"/>
      <c r="D16" s="1255"/>
      <c r="E16" s="1255"/>
      <c r="F16" s="1255"/>
      <c r="G16" s="1255"/>
      <c r="H16" s="1255"/>
      <c r="I16" s="1255"/>
      <c r="J16" s="1255"/>
    </row>
    <row r="17" spans="2:10" ht="16.05" customHeight="1">
      <c r="B17" s="1255"/>
      <c r="C17" s="1255"/>
      <c r="D17" s="1255"/>
      <c r="E17" s="1255"/>
      <c r="F17" s="1255"/>
      <c r="G17" s="1255"/>
      <c r="H17" s="1255"/>
      <c r="I17" s="1255"/>
      <c r="J17" s="1255"/>
    </row>
    <row r="18" spans="2:10" ht="16.05" customHeight="1">
      <c r="B18" s="1095"/>
      <c r="C18" s="1095"/>
      <c r="D18" s="1095"/>
      <c r="E18" s="1095"/>
      <c r="F18" s="1095"/>
      <c r="G18" s="1095"/>
      <c r="H18" s="1095"/>
      <c r="I18" s="1095"/>
      <c r="J18" s="1095"/>
    </row>
    <row r="19" spans="2:10" ht="16.05" customHeight="1">
      <c r="B19" s="1255" t="s">
        <v>435</v>
      </c>
      <c r="C19" s="1255"/>
      <c r="D19" s="1255"/>
      <c r="E19" s="1255"/>
      <c r="F19" s="1255"/>
      <c r="G19" s="1255"/>
      <c r="H19" s="1255"/>
      <c r="I19" s="1255"/>
      <c r="J19" s="1255"/>
    </row>
    <row r="20" spans="2:10" ht="16.05" customHeight="1">
      <c r="B20" s="1255"/>
      <c r="C20" s="1255"/>
      <c r="D20" s="1255"/>
      <c r="E20" s="1255"/>
      <c r="F20" s="1255"/>
      <c r="G20" s="1255"/>
      <c r="H20" s="1255"/>
      <c r="I20" s="1255"/>
      <c r="J20" s="1255"/>
    </row>
    <row r="21" spans="2:10" ht="16.05" customHeight="1">
      <c r="B21" s="1255"/>
      <c r="C21" s="1255"/>
      <c r="D21" s="1255"/>
      <c r="E21" s="1255"/>
      <c r="F21" s="1255"/>
      <c r="G21" s="1255"/>
      <c r="H21" s="1255"/>
      <c r="I21" s="1255"/>
      <c r="J21" s="1255"/>
    </row>
    <row r="22" spans="2:10" ht="16.05" customHeight="1">
      <c r="B22" s="1255"/>
      <c r="C22" s="1255"/>
      <c r="D22" s="1255"/>
      <c r="E22" s="1255"/>
      <c r="F22" s="1255"/>
      <c r="G22" s="1255"/>
      <c r="H22" s="1255"/>
      <c r="I22" s="1255"/>
      <c r="J22" s="1255"/>
    </row>
    <row r="23" spans="2:10" ht="16.05" customHeight="1">
      <c r="B23" s="1255"/>
      <c r="C23" s="1255"/>
      <c r="D23" s="1255"/>
      <c r="E23" s="1255"/>
      <c r="F23" s="1255"/>
      <c r="G23" s="1255"/>
      <c r="H23" s="1255"/>
      <c r="I23" s="1255"/>
      <c r="J23" s="1255"/>
    </row>
    <row r="25" spans="2:10" ht="16.05" customHeight="1">
      <c r="B25" s="1255" t="s">
        <v>440</v>
      </c>
      <c r="C25" s="1255"/>
      <c r="D25" s="1255"/>
      <c r="E25" s="1255"/>
      <c r="F25" s="1255"/>
      <c r="G25" s="1255"/>
      <c r="H25" s="1255"/>
      <c r="I25" s="1255"/>
      <c r="J25" s="1255"/>
    </row>
    <row r="26" spans="2:10" ht="16.05" customHeight="1">
      <c r="B26" s="1255"/>
      <c r="C26" s="1255"/>
      <c r="D26" s="1255"/>
      <c r="E26" s="1255"/>
      <c r="F26" s="1255"/>
      <c r="G26" s="1255"/>
      <c r="H26" s="1255"/>
      <c r="I26" s="1255"/>
      <c r="J26" s="1255"/>
    </row>
    <row r="27" spans="2:10" ht="16.05" customHeight="1">
      <c r="B27" s="1255"/>
      <c r="C27" s="1255"/>
      <c r="D27" s="1255"/>
      <c r="E27" s="1255"/>
      <c r="F27" s="1255"/>
      <c r="G27" s="1255"/>
      <c r="H27" s="1255"/>
      <c r="I27" s="1255"/>
      <c r="J27" s="1255"/>
    </row>
    <row r="28" spans="2:10" ht="16.05" customHeight="1">
      <c r="B28" s="1255"/>
      <c r="C28" s="1255"/>
      <c r="D28" s="1255"/>
      <c r="E28" s="1255"/>
      <c r="F28" s="1255"/>
      <c r="G28" s="1255"/>
      <c r="H28" s="1255"/>
      <c r="I28" s="1255"/>
      <c r="J28" s="1255"/>
    </row>
    <row r="29" spans="2:10" ht="16.05" customHeight="1">
      <c r="B29" s="1155"/>
      <c r="C29" s="1155"/>
      <c r="D29" s="1155"/>
      <c r="E29" s="1155"/>
      <c r="F29" s="1155"/>
      <c r="G29" s="1155"/>
      <c r="H29" s="1155"/>
      <c r="I29" s="1155"/>
      <c r="J29" s="1155"/>
    </row>
    <row r="30" spans="2:10" ht="16.05" customHeight="1">
      <c r="B30" s="1143" t="s">
        <v>1272</v>
      </c>
      <c r="C30" s="1155"/>
      <c r="D30" s="1155"/>
      <c r="E30" s="1155"/>
      <c r="F30" s="1155"/>
      <c r="G30" s="1155"/>
      <c r="H30" s="1155"/>
      <c r="I30" s="1155"/>
      <c r="J30" s="1155"/>
    </row>
    <row r="31" spans="2:10" ht="16.05" customHeight="1">
      <c r="B31" s="1155"/>
      <c r="C31" s="1155"/>
      <c r="D31" s="1155"/>
      <c r="E31" s="1155"/>
      <c r="F31" s="1155"/>
      <c r="G31" s="1155"/>
      <c r="H31" s="1155"/>
      <c r="I31" s="1155"/>
      <c r="J31" s="1155"/>
    </row>
    <row r="32" spans="2:10" ht="16.05" customHeight="1">
      <c r="B32" s="1155"/>
      <c r="C32" s="1155"/>
      <c r="D32" s="1155"/>
      <c r="E32" s="1155"/>
      <c r="F32" s="1155"/>
      <c r="G32" s="1155"/>
      <c r="H32" s="1155"/>
      <c r="I32" s="1155"/>
      <c r="J32" s="1155"/>
    </row>
    <row r="34" spans="2:10" ht="16.05" customHeight="1">
      <c r="B34" s="1143" t="s">
        <v>1273</v>
      </c>
      <c r="C34" s="1255"/>
      <c r="D34" s="1255"/>
      <c r="E34" s="1255"/>
      <c r="F34" s="1255"/>
      <c r="G34" s="1255"/>
      <c r="H34" s="1255"/>
      <c r="I34" s="1255"/>
      <c r="J34" s="1255"/>
    </row>
    <row r="35" spans="2:10" ht="16.05" customHeight="1">
      <c r="B35" s="1255"/>
      <c r="C35" s="1255"/>
      <c r="D35" s="1255"/>
      <c r="E35" s="1255"/>
      <c r="F35" s="1255"/>
      <c r="G35" s="1255"/>
      <c r="H35" s="1255"/>
      <c r="I35" s="1255"/>
      <c r="J35" s="1255"/>
    </row>
    <row r="36" spans="2:10" ht="16.05" customHeight="1">
      <c r="B36" s="1255"/>
      <c r="C36" s="1255"/>
      <c r="D36" s="1255"/>
      <c r="E36" s="1255"/>
      <c r="F36" s="1255"/>
      <c r="G36" s="1255"/>
      <c r="H36" s="1255"/>
      <c r="I36" s="1255"/>
      <c r="J36" s="1255"/>
    </row>
    <row r="37" spans="2:10" ht="16.05" customHeight="1">
      <c r="B37" s="1255"/>
      <c r="C37" s="1255"/>
      <c r="D37" s="1255"/>
      <c r="E37" s="1255"/>
      <c r="F37" s="1255"/>
      <c r="G37" s="1255"/>
      <c r="H37" s="1255"/>
      <c r="I37" s="1255"/>
      <c r="J37" s="1255"/>
    </row>
    <row r="38" spans="2:10" ht="16.05" customHeight="1">
      <c r="B38" s="1155"/>
      <c r="C38" s="1155"/>
      <c r="D38" s="1155"/>
      <c r="E38" s="1155"/>
      <c r="F38" s="1155"/>
      <c r="G38" s="1155"/>
      <c r="H38" s="1155"/>
      <c r="I38" s="1155"/>
      <c r="J38" s="1155"/>
    </row>
    <row r="40" spans="2:10" ht="16.05" customHeight="1">
      <c r="B40" s="1143" t="s">
        <v>914</v>
      </c>
      <c r="C40" s="1155"/>
      <c r="D40" s="1155"/>
      <c r="E40" s="1155"/>
      <c r="F40" s="1155"/>
      <c r="G40" s="1155"/>
      <c r="H40" s="1155"/>
      <c r="I40" s="1155"/>
      <c r="J40" s="1155"/>
    </row>
    <row r="41" spans="2:10" ht="16.05" customHeight="1">
      <c r="B41" s="1155"/>
      <c r="C41" s="1155"/>
      <c r="D41" s="1155"/>
      <c r="E41" s="1155"/>
      <c r="F41" s="1155"/>
      <c r="G41" s="1155"/>
      <c r="H41" s="1155"/>
      <c r="I41" s="1155"/>
      <c r="J41" s="1155"/>
    </row>
    <row r="42" spans="2:10" ht="16.05" customHeight="1">
      <c r="B42" s="1155"/>
      <c r="C42" s="1155"/>
      <c r="D42" s="1155"/>
      <c r="E42" s="1155"/>
      <c r="F42" s="1155"/>
      <c r="G42" s="1155"/>
      <c r="H42" s="1155"/>
      <c r="I42" s="1155"/>
      <c r="J42" s="1155"/>
    </row>
    <row r="43" spans="2:10" ht="16.05" customHeight="1">
      <c r="B43" s="1155"/>
      <c r="C43" s="1155"/>
      <c r="D43" s="1155"/>
      <c r="E43" s="1155"/>
      <c r="F43" s="1155"/>
      <c r="G43" s="1155"/>
      <c r="H43" s="1155"/>
      <c r="I43" s="1155"/>
      <c r="J43" s="1155"/>
    </row>
    <row r="45" spans="2:10" ht="16.05" customHeight="1">
      <c r="B45" s="1143" t="s">
        <v>915</v>
      </c>
      <c r="C45" s="1155"/>
      <c r="D45" s="1155"/>
      <c r="E45" s="1155"/>
      <c r="F45" s="1155"/>
      <c r="G45" s="1155"/>
      <c r="H45" s="1155"/>
      <c r="I45" s="1155"/>
      <c r="J45" s="1155"/>
    </row>
    <row r="46" spans="2:10" ht="16.05" customHeight="1">
      <c r="B46" s="1155"/>
      <c r="C46" s="1155"/>
      <c r="D46" s="1155"/>
      <c r="E46" s="1155"/>
      <c r="F46" s="1155"/>
      <c r="G46" s="1155"/>
      <c r="H46" s="1155"/>
      <c r="I46" s="1155"/>
      <c r="J46" s="1155"/>
    </row>
    <row r="47" spans="2:10" ht="16.05" customHeight="1">
      <c r="B47" s="1155"/>
      <c r="C47" s="1155"/>
      <c r="D47" s="1155"/>
      <c r="E47" s="1155"/>
      <c r="F47" s="1155"/>
      <c r="G47" s="1155"/>
      <c r="H47" s="1155"/>
      <c r="I47" s="1155"/>
      <c r="J47" s="1155"/>
    </row>
  </sheetData>
  <mergeCells count="10">
    <mergeCell ref="B4:J7"/>
    <mergeCell ref="B45:J47"/>
    <mergeCell ref="B40:J43"/>
    <mergeCell ref="B30:J32"/>
    <mergeCell ref="B25:J29"/>
    <mergeCell ref="B9:J10"/>
    <mergeCell ref="B12:J14"/>
    <mergeCell ref="B16:J17"/>
    <mergeCell ref="B19:J23"/>
    <mergeCell ref="B34:J38"/>
  </mergeCells>
  <pageMargins left="0.7" right="0.7" top="0.75" bottom="0.75" header="0.3" footer="0.3"/>
  <pageSetup orientation="portrait" verticalDpi="0" r:id="rId1"/>
</worksheet>
</file>

<file path=xl/worksheets/sheet9.xml><?xml version="1.0" encoding="utf-8"?>
<worksheet xmlns="http://schemas.openxmlformats.org/spreadsheetml/2006/main" xmlns:r="http://schemas.openxmlformats.org/officeDocument/2006/relationships">
  <dimension ref="B1:AS250"/>
  <sheetViews>
    <sheetView zoomScaleNormal="100" zoomScalePageLayoutView="130" workbookViewId="0"/>
  </sheetViews>
  <sheetFormatPr defaultColWidth="9.25" defaultRowHeight="13.95" customHeight="1"/>
  <cols>
    <col min="1" max="1" width="2.625" customWidth="1"/>
    <col min="2" max="2" width="9.25" customWidth="1"/>
    <col min="3" max="13" width="9.75" customWidth="1"/>
    <col min="14" max="14" width="9.25" customWidth="1"/>
    <col min="15" max="15" width="10" customWidth="1"/>
    <col min="16" max="23" width="9.25" customWidth="1"/>
    <col min="45" max="45" width="2.25" customWidth="1"/>
  </cols>
  <sheetData>
    <row r="1" spans="2:45" ht="13.95" customHeight="1">
      <c r="B1" s="57" t="s">
        <v>92</v>
      </c>
      <c r="E1" s="1470" t="str">
        <f>CONCATENATE("Note: graph in our July 1, 2016 blog post appears in Row ",AS85, ".")</f>
        <v>Note: graph in our July 1, 2016 blog post appears in Row 85.</v>
      </c>
      <c r="F1" s="1471"/>
      <c r="G1" s="1472"/>
      <c r="O1" s="215">
        <f>Summary!I1</f>
        <v>42552</v>
      </c>
      <c r="Q1" s="215"/>
      <c r="R1" s="215"/>
      <c r="S1" s="215"/>
      <c r="T1" s="240"/>
      <c r="AS1" s="6">
        <f>ROW()</f>
        <v>1</v>
      </c>
    </row>
    <row r="2" spans="2:45" ht="13.95" customHeight="1">
      <c r="B2" s="1"/>
      <c r="E2" s="1473"/>
      <c r="F2" s="1474"/>
      <c r="G2" s="1475"/>
      <c r="P2" s="67"/>
      <c r="Q2" s="67"/>
      <c r="R2" s="67"/>
      <c r="S2" s="67"/>
      <c r="T2" s="240"/>
      <c r="AS2" s="6">
        <f>ROW()</f>
        <v>2</v>
      </c>
    </row>
    <row r="3" spans="2:45" ht="13.95" customHeight="1">
      <c r="J3" s="3"/>
      <c r="K3" s="1257" t="str">
        <f>CONCATENATE("Tax Inputs (copied from 'Summary' Tab, Rows ",Summary!AR53,"-",Summary!AR73,")")</f>
        <v>Tax Inputs (copied from 'Summary' Tab, Rows 53-73)</v>
      </c>
      <c r="L3" s="1258"/>
      <c r="M3" s="1258"/>
      <c r="N3" s="1258"/>
      <c r="O3" s="1259"/>
      <c r="P3" s="67"/>
      <c r="Q3" s="67"/>
      <c r="R3" s="67"/>
      <c r="S3" s="67"/>
      <c r="T3" s="240"/>
      <c r="AS3" s="6">
        <f>ROW()</f>
        <v>3</v>
      </c>
    </row>
    <row r="4" spans="2:45" ht="13.95" customHeight="1">
      <c r="B4" s="1255" t="s">
        <v>144</v>
      </c>
      <c r="C4" s="1155"/>
      <c r="D4" s="1155"/>
      <c r="E4" s="1155"/>
      <c r="F4" s="1155"/>
      <c r="G4" s="472" t="s">
        <v>548</v>
      </c>
      <c r="H4" s="471" t="s">
        <v>1046</v>
      </c>
      <c r="I4" s="427"/>
      <c r="J4" s="814"/>
      <c r="K4" s="848" t="s">
        <v>360</v>
      </c>
      <c r="L4" s="849"/>
      <c r="M4" s="849"/>
      <c r="N4" s="849"/>
      <c r="O4" s="850">
        <f>Summary!I56</f>
        <v>11.337868480725623</v>
      </c>
      <c r="P4" s="67"/>
      <c r="Q4" s="67"/>
      <c r="R4" s="67"/>
      <c r="S4" s="67"/>
      <c r="T4" s="240"/>
      <c r="AS4" s="6">
        <f>ROW()</f>
        <v>4</v>
      </c>
    </row>
    <row r="5" spans="2:45" ht="13.95" customHeight="1">
      <c r="B5" s="1155"/>
      <c r="C5" s="1155"/>
      <c r="D5" s="1155"/>
      <c r="E5" s="1155"/>
      <c r="F5" s="1155"/>
      <c r="G5" s="1271" t="s">
        <v>582</v>
      </c>
      <c r="H5" s="1272"/>
      <c r="I5" s="1273"/>
      <c r="J5" s="814"/>
      <c r="K5" s="848" t="s">
        <v>361</v>
      </c>
      <c r="L5" s="849"/>
      <c r="M5" s="849"/>
      <c r="N5" s="849"/>
      <c r="O5" s="851" t="str">
        <f>IF(Summary!I58=1,"By Constant Amount","By Constant Percent")</f>
        <v>By Constant Amount</v>
      </c>
      <c r="P5" s="67"/>
      <c r="Q5" s="67"/>
      <c r="R5" s="67"/>
      <c r="S5" s="67"/>
      <c r="T5" s="240"/>
      <c r="AS5" s="6">
        <f>ROW()</f>
        <v>5</v>
      </c>
    </row>
    <row r="6" spans="2:45" ht="13.95" customHeight="1">
      <c r="B6" s="1155"/>
      <c r="C6" s="1155"/>
      <c r="D6" s="1155"/>
      <c r="E6" s="1155"/>
      <c r="F6" s="1155"/>
      <c r="G6" s="1274"/>
      <c r="H6" s="1275"/>
      <c r="I6" s="1276"/>
      <c r="K6" s="848" t="s">
        <v>362</v>
      </c>
      <c r="L6" s="849"/>
      <c r="M6" s="849"/>
      <c r="N6" s="849"/>
      <c r="O6" s="850" t="str">
        <f>IF(Summary!$I$58=1,CONCATENATE("$",ROUND(Summary!$I$60,2),""),CONCATENATE("",Summary!$I$64*100,"%"))</f>
        <v>$11.34</v>
      </c>
      <c r="P6" s="67"/>
      <c r="Q6" s="67"/>
      <c r="R6" s="67"/>
      <c r="S6" s="67"/>
      <c r="T6" s="240"/>
      <c r="AS6" s="6">
        <f>ROW()</f>
        <v>6</v>
      </c>
    </row>
    <row r="7" spans="2:45" ht="13.95" customHeight="1">
      <c r="H7" s="3"/>
      <c r="I7" s="118"/>
      <c r="K7" s="848" t="s">
        <v>363</v>
      </c>
      <c r="L7" s="849"/>
      <c r="M7" s="849"/>
      <c r="N7" s="849"/>
      <c r="O7" s="851" t="str">
        <f>Summary!I69</f>
        <v>real</v>
      </c>
      <c r="P7" s="67"/>
      <c r="Q7" s="67"/>
      <c r="R7" s="67"/>
      <c r="S7" s="67"/>
      <c r="T7" s="240"/>
      <c r="AS7" s="6">
        <f>ROW()</f>
        <v>7</v>
      </c>
    </row>
    <row r="8" spans="2:45" ht="13.95" customHeight="1">
      <c r="B8" s="312" t="str">
        <f>CONCATENATE("This worksheet is pre-formatted to print to four pages. Print area extends to ",AL14, ".")</f>
        <v>This worksheet is pre-formatted to print to four pages. Print area extends to 2035.</v>
      </c>
      <c r="H8" s="3"/>
      <c r="I8" s="118"/>
      <c r="K8" s="852" t="s">
        <v>884</v>
      </c>
      <c r="L8" s="853"/>
      <c r="M8" s="853"/>
      <c r="N8" s="853"/>
      <c r="O8" s="854">
        <f>Summary!I73</f>
        <v>12.5</v>
      </c>
      <c r="P8" s="67"/>
      <c r="Q8" s="67"/>
      <c r="R8" s="67"/>
      <c r="S8" s="67"/>
      <c r="T8" s="240"/>
      <c r="AS8" s="6"/>
    </row>
    <row r="9" spans="2:45" ht="13.95" customHeight="1">
      <c r="B9" s="13"/>
      <c r="H9" s="3"/>
      <c r="I9" s="118"/>
      <c r="J9" s="118"/>
      <c r="Q9" s="455"/>
      <c r="R9" s="67"/>
      <c r="S9" s="67"/>
      <c r="T9" s="240"/>
      <c r="V9" s="12"/>
      <c r="W9" s="12"/>
      <c r="X9" s="12"/>
      <c r="Y9" s="12"/>
      <c r="Z9" s="12"/>
      <c r="AA9" s="12"/>
      <c r="AB9" s="12"/>
      <c r="AC9" s="12"/>
      <c r="AD9" s="12"/>
      <c r="AE9" s="12"/>
      <c r="AF9" s="12"/>
      <c r="AG9" s="12"/>
      <c r="AH9" s="12"/>
      <c r="AI9" s="12"/>
      <c r="AJ9" s="12"/>
      <c r="AK9" s="12"/>
      <c r="AL9" s="12"/>
      <c r="AM9" s="12"/>
      <c r="AN9" s="12"/>
      <c r="AO9" s="12"/>
      <c r="AP9" s="12"/>
      <c r="AQ9" s="12"/>
      <c r="AS9" s="6">
        <f>ROW()</f>
        <v>9</v>
      </c>
    </row>
    <row r="10" spans="2:45" ht="13.95" customHeight="1">
      <c r="B10" s="1277" t="s">
        <v>834</v>
      </c>
      <c r="C10" s="1145"/>
      <c r="D10" s="1145"/>
      <c r="E10" s="1145"/>
      <c r="F10" s="1145"/>
      <c r="G10" s="1145"/>
      <c r="H10" s="1145"/>
      <c r="I10" s="1125" t="s">
        <v>157</v>
      </c>
      <c r="J10" s="1125" t="s">
        <v>157</v>
      </c>
      <c r="K10" s="1125" t="s">
        <v>157</v>
      </c>
      <c r="L10" s="1125" t="s">
        <v>157</v>
      </c>
      <c r="M10" s="1125" t="s">
        <v>157</v>
      </c>
      <c r="N10" s="1125" t="s">
        <v>157</v>
      </c>
      <c r="O10" s="1125" t="s">
        <v>157</v>
      </c>
      <c r="P10" s="1125" t="s">
        <v>157</v>
      </c>
      <c r="Q10" s="1125" t="s">
        <v>157</v>
      </c>
      <c r="R10" s="1107" t="s">
        <v>157</v>
      </c>
      <c r="S10" s="1109" t="s">
        <v>366</v>
      </c>
      <c r="T10" s="1112" t="s">
        <v>80</v>
      </c>
      <c r="V10" s="12"/>
      <c r="W10" s="12"/>
      <c r="X10" s="12"/>
      <c r="Y10" s="12"/>
      <c r="Z10" s="12"/>
      <c r="AA10" s="12"/>
      <c r="AB10" s="12"/>
      <c r="AC10" s="12"/>
      <c r="AD10" s="12"/>
      <c r="AE10" s="12"/>
      <c r="AF10" s="12"/>
      <c r="AG10" s="12"/>
      <c r="AH10" s="12"/>
      <c r="AI10" s="12"/>
      <c r="AJ10" s="12"/>
      <c r="AK10" s="12"/>
      <c r="AL10" s="12"/>
      <c r="AM10" s="12"/>
      <c r="AN10" s="12"/>
      <c r="AO10" s="12"/>
      <c r="AP10" s="12"/>
      <c r="AQ10" s="12"/>
      <c r="AS10" s="6">
        <f>ROW()</f>
        <v>10</v>
      </c>
    </row>
    <row r="11" spans="2:45" ht="13.95" customHeight="1">
      <c r="B11" s="1145"/>
      <c r="C11" s="1145"/>
      <c r="D11" s="1145"/>
      <c r="E11" s="1145"/>
      <c r="F11" s="1145"/>
      <c r="G11" s="1145"/>
      <c r="H11" s="1145"/>
      <c r="I11" s="1126"/>
      <c r="J11" s="1126"/>
      <c r="K11" s="1126"/>
      <c r="L11" s="1126"/>
      <c r="M11" s="1126"/>
      <c r="N11" s="1126"/>
      <c r="O11" s="1126"/>
      <c r="P11" s="1126"/>
      <c r="Q11" s="1126"/>
      <c r="R11" s="1108"/>
      <c r="S11" s="1110"/>
      <c r="T11" s="1113"/>
      <c r="V11" s="12"/>
      <c r="W11" s="12"/>
      <c r="X11" s="12"/>
      <c r="Y11" s="12"/>
      <c r="Z11" s="12"/>
      <c r="AA11" s="12"/>
      <c r="AB11" s="12"/>
      <c r="AC11" s="12"/>
      <c r="AD11" s="12"/>
      <c r="AE11" s="12"/>
      <c r="AF11" s="12"/>
      <c r="AG11" s="12"/>
      <c r="AH11" s="12"/>
      <c r="AI11" s="12"/>
      <c r="AJ11" s="12"/>
      <c r="AK11" s="12"/>
      <c r="AL11" s="12"/>
      <c r="AM11" s="12"/>
      <c r="AN11" s="12"/>
      <c r="AO11" s="12"/>
      <c r="AP11" s="12"/>
      <c r="AQ11" s="12"/>
      <c r="AS11" s="6">
        <f>ROW()</f>
        <v>11</v>
      </c>
    </row>
    <row r="12" spans="2:45" ht="13.95" customHeight="1">
      <c r="I12" s="1126"/>
      <c r="J12" s="1126"/>
      <c r="K12" s="1126"/>
      <c r="L12" s="1126"/>
      <c r="M12" s="1126"/>
      <c r="N12" s="1126"/>
      <c r="O12" s="1126"/>
      <c r="P12" s="1126"/>
      <c r="Q12" s="1126"/>
      <c r="R12" s="1108"/>
      <c r="S12" s="1110"/>
      <c r="T12" s="1113"/>
      <c r="V12" s="12"/>
      <c r="W12" s="12"/>
      <c r="X12" s="12"/>
      <c r="Y12" s="12"/>
      <c r="Z12" s="12"/>
      <c r="AA12" s="12"/>
      <c r="AB12" s="12"/>
      <c r="AC12" s="12"/>
      <c r="AD12" s="12"/>
      <c r="AE12" s="12"/>
      <c r="AF12" s="12"/>
      <c r="AG12" s="12"/>
      <c r="AH12" s="12"/>
      <c r="AI12" s="12"/>
      <c r="AJ12" s="12"/>
      <c r="AK12" s="12"/>
      <c r="AL12" s="12"/>
      <c r="AM12" s="12"/>
      <c r="AN12" s="12"/>
      <c r="AO12" s="12"/>
      <c r="AP12" s="12"/>
      <c r="AQ12" s="12"/>
      <c r="AS12" s="6">
        <f>ROW()</f>
        <v>12</v>
      </c>
    </row>
    <row r="13" spans="2:45" ht="13.95" customHeight="1">
      <c r="B13" s="52" t="s">
        <v>415</v>
      </c>
      <c r="H13" s="51"/>
      <c r="I13" s="1126"/>
      <c r="J13" s="1126"/>
      <c r="K13" s="1126"/>
      <c r="L13" s="1126"/>
      <c r="M13" s="1126"/>
      <c r="N13" s="1126"/>
      <c r="O13" s="1126"/>
      <c r="P13" s="1126"/>
      <c r="Q13" s="1126"/>
      <c r="R13" s="1108"/>
      <c r="S13" s="1111"/>
      <c r="T13" s="1114"/>
      <c r="V13" s="12"/>
      <c r="W13" s="12"/>
      <c r="X13" s="12"/>
      <c r="Y13" s="12"/>
      <c r="Z13" s="12"/>
      <c r="AA13" s="12"/>
      <c r="AB13" s="12"/>
      <c r="AC13" s="12"/>
      <c r="AD13" s="12"/>
      <c r="AE13" s="12"/>
      <c r="AF13" s="12"/>
      <c r="AG13" s="12"/>
      <c r="AH13" s="12"/>
      <c r="AI13" s="12"/>
      <c r="AJ13" s="12"/>
      <c r="AK13" s="12"/>
      <c r="AL13" s="12"/>
      <c r="AM13" s="12"/>
      <c r="AN13" s="12"/>
      <c r="AO13" s="12"/>
      <c r="AP13" s="12"/>
      <c r="AQ13" s="12"/>
      <c r="AS13" s="6">
        <f>ROW()</f>
        <v>13</v>
      </c>
    </row>
    <row r="14" spans="2:45" ht="13.95" customHeight="1">
      <c r="B14" s="58" t="s">
        <v>414</v>
      </c>
      <c r="I14" s="122">
        <f>Summary!I110</f>
        <v>2005</v>
      </c>
      <c r="J14" s="122">
        <f>Summary!J110</f>
        <v>2006</v>
      </c>
      <c r="K14" s="122">
        <f>Summary!K110</f>
        <v>2007</v>
      </c>
      <c r="L14" s="122">
        <f>Summary!L110</f>
        <v>2008</v>
      </c>
      <c r="M14" s="122">
        <f>Summary!M110</f>
        <v>2009</v>
      </c>
      <c r="N14" s="122">
        <f>Summary!N110</f>
        <v>2010</v>
      </c>
      <c r="O14" s="122">
        <f>Summary!O110</f>
        <v>2011</v>
      </c>
      <c r="P14" s="122">
        <f>Summary!P110</f>
        <v>2012</v>
      </c>
      <c r="Q14" s="122">
        <f>Summary!Q110</f>
        <v>2013</v>
      </c>
      <c r="R14" s="212">
        <f>Summary!R110</f>
        <v>2014</v>
      </c>
      <c r="S14" s="212">
        <f>Summary!S110</f>
        <v>2015</v>
      </c>
      <c r="T14" s="101">
        <f>Summary!T110</f>
        <v>2017</v>
      </c>
      <c r="U14" s="12">
        <f t="shared" ref="U14:AQ14" si="0">T14+1</f>
        <v>2018</v>
      </c>
      <c r="V14" s="12">
        <f t="shared" si="0"/>
        <v>2019</v>
      </c>
      <c r="W14" s="12">
        <f t="shared" si="0"/>
        <v>2020</v>
      </c>
      <c r="X14" s="12">
        <f t="shared" si="0"/>
        <v>2021</v>
      </c>
      <c r="Y14" s="12">
        <f t="shared" si="0"/>
        <v>2022</v>
      </c>
      <c r="Z14" s="12">
        <f t="shared" si="0"/>
        <v>2023</v>
      </c>
      <c r="AA14" s="12">
        <f t="shared" si="0"/>
        <v>2024</v>
      </c>
      <c r="AB14" s="12">
        <f t="shared" si="0"/>
        <v>2025</v>
      </c>
      <c r="AC14" s="12">
        <f t="shared" si="0"/>
        <v>2026</v>
      </c>
      <c r="AD14" s="12">
        <f t="shared" si="0"/>
        <v>2027</v>
      </c>
      <c r="AE14" s="12">
        <f t="shared" si="0"/>
        <v>2028</v>
      </c>
      <c r="AF14" s="12">
        <f t="shared" si="0"/>
        <v>2029</v>
      </c>
      <c r="AG14" s="12">
        <f t="shared" si="0"/>
        <v>2030</v>
      </c>
      <c r="AH14" s="12">
        <f t="shared" si="0"/>
        <v>2031</v>
      </c>
      <c r="AI14" s="12">
        <f t="shared" si="0"/>
        <v>2032</v>
      </c>
      <c r="AJ14" s="12">
        <f t="shared" si="0"/>
        <v>2033</v>
      </c>
      <c r="AK14" s="12">
        <f t="shared" si="0"/>
        <v>2034</v>
      </c>
      <c r="AL14" s="12">
        <f t="shared" si="0"/>
        <v>2035</v>
      </c>
      <c r="AM14" s="12">
        <f t="shared" si="0"/>
        <v>2036</v>
      </c>
      <c r="AN14" s="12">
        <f t="shared" si="0"/>
        <v>2037</v>
      </c>
      <c r="AO14" s="12">
        <f t="shared" si="0"/>
        <v>2038</v>
      </c>
      <c r="AP14" s="12">
        <f t="shared" si="0"/>
        <v>2039</v>
      </c>
      <c r="AQ14" s="12">
        <f t="shared" si="0"/>
        <v>2040</v>
      </c>
      <c r="AS14" s="6">
        <f>ROW()</f>
        <v>14</v>
      </c>
    </row>
    <row r="15" spans="2:45" ht="13.95" customHeight="1">
      <c r="B15" s="84"/>
      <c r="H15" s="49"/>
      <c r="I15" s="49"/>
      <c r="J15" s="51"/>
      <c r="K15" s="12"/>
      <c r="L15" s="12"/>
      <c r="M15" s="151"/>
      <c r="N15" s="151"/>
      <c r="O15" s="151"/>
      <c r="Q15" s="151"/>
      <c r="R15" s="151"/>
      <c r="S15" s="151"/>
      <c r="T15" s="271"/>
      <c r="W15" s="12"/>
      <c r="X15" s="12"/>
      <c r="Y15" s="12"/>
      <c r="Z15" s="12"/>
      <c r="AA15" s="12"/>
      <c r="AB15" s="12"/>
      <c r="AC15" s="12"/>
      <c r="AD15" s="12"/>
      <c r="AE15" s="12"/>
      <c r="AF15" s="12"/>
      <c r="AG15" s="12"/>
      <c r="AH15" s="12"/>
      <c r="AI15" s="12"/>
      <c r="AJ15" s="12"/>
      <c r="AK15" s="12"/>
      <c r="AL15" s="12"/>
      <c r="AM15" s="12"/>
      <c r="AN15" s="12"/>
      <c r="AO15" s="12"/>
      <c r="AP15" s="12"/>
      <c r="AQ15" s="12"/>
      <c r="AS15" s="6">
        <f>ROW()</f>
        <v>15</v>
      </c>
    </row>
    <row r="16" spans="2:45" s="8" customFormat="1" ht="13.95" customHeight="1">
      <c r="B16" s="169" t="s">
        <v>187</v>
      </c>
      <c r="M16" s="169">
        <f>Summary!$P79</f>
        <v>0</v>
      </c>
      <c r="N16" s="169">
        <f>Summary!$P79</f>
        <v>0</v>
      </c>
      <c r="O16" s="169">
        <f>Summary!$P79</f>
        <v>0</v>
      </c>
      <c r="P16" s="169">
        <f>Summary!P79</f>
        <v>0</v>
      </c>
      <c r="Q16" s="169">
        <f>Summary!Q79</f>
        <v>0</v>
      </c>
      <c r="R16" s="169">
        <f>Summary!R79</f>
        <v>0</v>
      </c>
      <c r="S16" s="809">
        <f>Summary!S79</f>
        <v>0</v>
      </c>
      <c r="T16" s="169">
        <f>Summary!T79</f>
        <v>1</v>
      </c>
      <c r="U16" s="169">
        <f>Summary!U79</f>
        <v>2</v>
      </c>
      <c r="V16" s="169">
        <f>Summary!V79</f>
        <v>3</v>
      </c>
      <c r="W16" s="169">
        <f>Summary!W79</f>
        <v>4</v>
      </c>
      <c r="X16" s="169">
        <f>Summary!X79</f>
        <v>5</v>
      </c>
      <c r="Y16" s="169">
        <f>Summary!Y79</f>
        <v>6</v>
      </c>
      <c r="Z16" s="169">
        <f>Summary!Z79</f>
        <v>7</v>
      </c>
      <c r="AA16" s="169">
        <f>Summary!AA79</f>
        <v>8</v>
      </c>
      <c r="AB16" s="169">
        <f>Summary!AB79</f>
        <v>9</v>
      </c>
      <c r="AC16" s="169">
        <f>Summary!AC79</f>
        <v>10</v>
      </c>
      <c r="AD16" s="169">
        <f>Summary!AD79</f>
        <v>11</v>
      </c>
      <c r="AE16" s="169">
        <f>Summary!AE79</f>
        <v>12</v>
      </c>
      <c r="AF16" s="169">
        <f>Summary!AF79</f>
        <v>13</v>
      </c>
      <c r="AG16" s="169">
        <f>Summary!AG79</f>
        <v>14</v>
      </c>
      <c r="AH16" s="169">
        <f>Summary!AH79</f>
        <v>15</v>
      </c>
      <c r="AI16" s="169">
        <f>Summary!AI79</f>
        <v>16</v>
      </c>
      <c r="AJ16" s="169">
        <f>Summary!AJ79</f>
        <v>17</v>
      </c>
      <c r="AK16" s="169">
        <f>Summary!AK79</f>
        <v>18</v>
      </c>
      <c r="AL16" s="169">
        <f>Summary!AL79</f>
        <v>19</v>
      </c>
      <c r="AM16" s="169">
        <f>Summary!AM79</f>
        <v>20</v>
      </c>
      <c r="AN16" s="169">
        <f>Summary!AN79</f>
        <v>21</v>
      </c>
      <c r="AO16" s="169">
        <f>Summary!AO79</f>
        <v>22</v>
      </c>
      <c r="AP16" s="169">
        <f>Summary!AP79</f>
        <v>23</v>
      </c>
      <c r="AQ16" s="169">
        <f>Summary!AQ79</f>
        <v>24</v>
      </c>
      <c r="AS16" s="810">
        <f>ROW()</f>
        <v>16</v>
      </c>
    </row>
    <row r="17" spans="2:45" s="8" customFormat="1" ht="13.95" customHeight="1">
      <c r="B17" s="802" t="s">
        <v>847</v>
      </c>
      <c r="M17" s="169"/>
      <c r="N17" s="169"/>
      <c r="O17" s="169"/>
      <c r="P17" s="169"/>
      <c r="Q17" s="169"/>
      <c r="R17" s="169"/>
      <c r="S17" s="809"/>
      <c r="T17" s="169"/>
      <c r="U17" s="169"/>
      <c r="V17" s="169"/>
      <c r="W17" s="169"/>
      <c r="X17" s="169"/>
      <c r="Y17" s="169"/>
      <c r="Z17" s="169"/>
      <c r="AA17" s="169"/>
      <c r="AB17" s="169"/>
      <c r="AC17" s="169"/>
      <c r="AD17" s="169"/>
      <c r="AE17" s="169"/>
      <c r="AF17" s="169"/>
      <c r="AG17" s="169"/>
      <c r="AH17" s="169"/>
      <c r="AI17" s="169"/>
      <c r="AJ17" s="169"/>
      <c r="AK17" s="169"/>
      <c r="AL17" s="169"/>
      <c r="AM17" s="169"/>
      <c r="AN17" s="169"/>
      <c r="AO17" s="169"/>
      <c r="AP17" s="169"/>
      <c r="AQ17" s="169"/>
      <c r="AS17" s="810"/>
    </row>
    <row r="18" spans="2:45" s="59" customFormat="1" ht="13.95" customHeight="1">
      <c r="B18" s="803" t="str">
        <f>CONCATENATE("Levied tax in year shown, in nominal $, per ton of CO2 (taken directly from 'Summary' tab, Row ",Summary!AR82, ")")</f>
        <v>Levied tax in year shown, in nominal $, per ton of CO2 (taken directly from 'Summary' tab, Row 82)</v>
      </c>
      <c r="H18" s="60"/>
      <c r="I18" s="60"/>
      <c r="J18" s="60"/>
      <c r="M18" s="363"/>
      <c r="N18" s="363"/>
      <c r="O18" s="363"/>
      <c r="P18" s="363"/>
      <c r="Q18" s="363"/>
      <c r="R18" s="363"/>
      <c r="S18" s="363"/>
      <c r="T18" s="522">
        <f>Summary!T82</f>
        <v>11.337868480725623</v>
      </c>
      <c r="U18" s="363">
        <f>Summary!U82</f>
        <v>23.153901748198756</v>
      </c>
      <c r="V18" s="363">
        <f>Summary!V82</f>
        <v>35.463224441830718</v>
      </c>
      <c r="W18" s="363">
        <f>Summary!W82</f>
        <v>48.28138644674759</v>
      </c>
      <c r="X18" s="363">
        <f>Summary!X82</f>
        <v>61.624374102771327</v>
      </c>
      <c r="Y18" s="363">
        <f>Summary!Y82</f>
        <v>75.508621697038407</v>
      </c>
      <c r="Z18" s="363">
        <f>Summary!Z82</f>
        <v>89.951023247233749</v>
      </c>
      <c r="AA18" s="363">
        <f>Summary!AA82</f>
        <v>104.96894458258619</v>
      </c>
      <c r="AB18" s="363">
        <f>Summary!AB82</f>
        <v>120.58023572994358</v>
      </c>
      <c r="AC18" s="363">
        <f>Summary!AC82</f>
        <v>136.80324361242219</v>
      </c>
      <c r="AD18" s="363">
        <f>Summary!AD82</f>
        <v>153.65682506830512</v>
      </c>
      <c r="AE18" s="363">
        <f>Summary!AE82</f>
        <v>171.1603601980494</v>
      </c>
      <c r="AF18" s="363">
        <f>Summary!AF82</f>
        <v>189.33376604745069</v>
      </c>
      <c r="AG18" s="363">
        <f>Summary!AG82</f>
        <v>208.19751063520698</v>
      </c>
      <c r="AH18" s="363">
        <f>Summary!AH82</f>
        <v>227.77262733332276</v>
      </c>
      <c r="AI18" s="363">
        <f>Summary!AI82</f>
        <v>248.08072960899591</v>
      </c>
      <c r="AJ18" s="363">
        <f>Summary!AJ82</f>
        <v>269.1440261368387</v>
      </c>
      <c r="AK18" s="363">
        <f>Summary!AK82</f>
        <v>290.98533629049541</v>
      </c>
      <c r="AL18" s="363">
        <f>Summary!AL82</f>
        <v>313.62810602293854</v>
      </c>
      <c r="AM18" s="363">
        <f>Summary!AM82</f>
        <v>337.09642414494658</v>
      </c>
      <c r="AN18" s="363">
        <f>Summary!AN82</f>
        <v>361.41503901149451</v>
      </c>
      <c r="AO18" s="363">
        <f>Summary!AO82</f>
        <v>386.60937562602271</v>
      </c>
      <c r="AP18" s="363">
        <f>Summary!AP82</f>
        <v>412.70555317278786</v>
      </c>
      <c r="AQ18" s="363">
        <f>Summary!AQ82</f>
        <v>439.73040298774407</v>
      </c>
      <c r="AS18" s="6">
        <f>ROW()</f>
        <v>18</v>
      </c>
    </row>
    <row r="19" spans="2:45" s="59" customFormat="1" ht="13.95" customHeight="1">
      <c r="B19" s="803" t="str">
        <f>CONCATENATE("Levied tax in constant ",S$14, "$, per ton of CO2 (taken directly from 'Summary' tab, Row ",Summary!AR83, ")")</f>
        <v>Levied tax in constant 2015$, per ton of CO2 (taken directly from 'Summary' tab, Row 83)</v>
      </c>
      <c r="H19" s="60"/>
      <c r="I19" s="60"/>
      <c r="J19" s="60"/>
      <c r="M19" s="399"/>
      <c r="N19" s="399"/>
      <c r="O19" s="399"/>
      <c r="P19" s="399"/>
      <c r="Q19" s="399"/>
      <c r="R19" s="399"/>
      <c r="S19" s="399"/>
      <c r="T19" s="522">
        <f>Summary!T83</f>
        <v>10.87441401983205</v>
      </c>
      <c r="U19" s="363">
        <f>Summary!U83</f>
        <v>21.748828039664104</v>
      </c>
      <c r="V19" s="363">
        <f>Summary!V83</f>
        <v>32.623242059496157</v>
      </c>
      <c r="W19" s="363">
        <f>Summary!W83</f>
        <v>43.497656079328209</v>
      </c>
      <c r="X19" s="363">
        <f>Summary!X83</f>
        <v>54.372070099160254</v>
      </c>
      <c r="Y19" s="363">
        <f>Summary!Y83</f>
        <v>65.246484118992299</v>
      </c>
      <c r="Z19" s="363">
        <f>Summary!Z83</f>
        <v>76.120898138824344</v>
      </c>
      <c r="AA19" s="363">
        <f>Summary!AA83</f>
        <v>86.995312158656404</v>
      </c>
      <c r="AB19" s="363">
        <f>Summary!AB83</f>
        <v>97.869726178488449</v>
      </c>
      <c r="AC19" s="363">
        <f>Summary!AC83</f>
        <v>108.74414019832052</v>
      </c>
      <c r="AD19" s="363">
        <f>Summary!AD83</f>
        <v>119.61855421815258</v>
      </c>
      <c r="AE19" s="363">
        <f>Summary!AE83</f>
        <v>130.4929682379846</v>
      </c>
      <c r="AF19" s="363">
        <f>Summary!AF83</f>
        <v>141.36738225781667</v>
      </c>
      <c r="AG19" s="363">
        <f>Summary!AG83</f>
        <v>152.24179627764875</v>
      </c>
      <c r="AH19" s="363">
        <f>Summary!AH83</f>
        <v>163.11621029748079</v>
      </c>
      <c r="AI19" s="363">
        <f>Summary!AI83</f>
        <v>173.99062431731281</v>
      </c>
      <c r="AJ19" s="363">
        <f>Summary!AJ83</f>
        <v>184.86503833714488</v>
      </c>
      <c r="AK19" s="363">
        <f>Summary!AK83</f>
        <v>195.73945235697698</v>
      </c>
      <c r="AL19" s="363">
        <f>Summary!AL83</f>
        <v>206.61386637680897</v>
      </c>
      <c r="AM19" s="363">
        <f>Summary!AM83</f>
        <v>217.48828039664099</v>
      </c>
      <c r="AN19" s="363">
        <f>Summary!AN83</f>
        <v>228.36269441647306</v>
      </c>
      <c r="AO19" s="363">
        <f>Summary!AO83</f>
        <v>239.23710843630516</v>
      </c>
      <c r="AP19" s="363">
        <f>Summary!AP83</f>
        <v>250.11152245613718</v>
      </c>
      <c r="AQ19" s="363">
        <f>Summary!AQ83</f>
        <v>260.9859364759692</v>
      </c>
      <c r="AS19" s="6">
        <f>ROW()</f>
        <v>19</v>
      </c>
    </row>
    <row r="20" spans="2:45" s="59" customFormat="1" ht="13.95" customHeight="1">
      <c r="B20" s="803" t="s">
        <v>850</v>
      </c>
      <c r="H20" s="60"/>
      <c r="I20" s="60"/>
      <c r="J20" s="60"/>
      <c r="M20" s="399"/>
      <c r="N20" s="399"/>
      <c r="O20" s="399"/>
      <c r="P20" s="399"/>
      <c r="Q20" s="399"/>
      <c r="R20" s="399"/>
      <c r="S20" s="364"/>
      <c r="T20" s="522">
        <f>T18*Parameters!$I$18/2000</f>
        <v>12.5</v>
      </c>
      <c r="U20" s="363">
        <f>U18*Parameters!$I$18/2000</f>
        <v>25.527176677389129</v>
      </c>
      <c r="V20" s="363">
        <f>V18*Parameters!$I$18/2000</f>
        <v>39.098204947118361</v>
      </c>
      <c r="W20" s="363">
        <f>W18*Parameters!$I$18/2000</f>
        <v>53.230228557539213</v>
      </c>
      <c r="X20" s="363">
        <f>X18*Parameters!$I$18/2000</f>
        <v>67.940872448305385</v>
      </c>
      <c r="Y20" s="363">
        <f>Y18*Parameters!$I$18/2000</f>
        <v>83.248255420984847</v>
      </c>
      <c r="Z20" s="363">
        <f>Z18*Parameters!$I$18/2000</f>
        <v>99.171003130075206</v>
      </c>
      <c r="AA20" s="363">
        <f>AA18*Parameters!$I$18/2000</f>
        <v>115.72826140230127</v>
      </c>
      <c r="AB20" s="363">
        <f>AB18*Parameters!$I$18/2000</f>
        <v>132.93970989226278</v>
      </c>
      <c r="AC20" s="363">
        <f>AC18*Parameters!$I$18/2000</f>
        <v>150.82557608269548</v>
      </c>
      <c r="AD20" s="363">
        <f>AD18*Parameters!$I$18/2000</f>
        <v>169.4066496378064</v>
      </c>
      <c r="AE20" s="363">
        <f>AE18*Parameters!$I$18/2000</f>
        <v>188.70429711834947</v>
      </c>
      <c r="AF20" s="363">
        <f>AF18*Parameters!$I$18/2000</f>
        <v>208.74047706731437</v>
      </c>
      <c r="AG20" s="363">
        <f>AG18*Parameters!$I$18/2000</f>
        <v>229.53775547531569</v>
      </c>
      <c r="AH20" s="363">
        <f>AH18*Parameters!$I$18/2000</f>
        <v>251.11932163498832</v>
      </c>
      <c r="AI20" s="363">
        <f>AI18*Parameters!$I$18/2000</f>
        <v>273.50900439391796</v>
      </c>
      <c r="AJ20" s="363">
        <f>AJ18*Parameters!$I$18/2000</f>
        <v>296.73128881586467</v>
      </c>
      <c r="AK20" s="363">
        <f>AK18*Parameters!$I$18/2000</f>
        <v>320.81133326027117</v>
      </c>
      <c r="AL20" s="363">
        <f>AL18*Parameters!$I$18/2000</f>
        <v>345.77498689028977</v>
      </c>
      <c r="AM20" s="363">
        <f>AM18*Parameters!$I$18/2000</f>
        <v>371.64880761980356</v>
      </c>
      <c r="AN20" s="363">
        <f>AN18*Parameters!$I$18/2000</f>
        <v>398.4600805101727</v>
      </c>
      <c r="AO20" s="363">
        <f>AO18*Parameters!$I$18/2000</f>
        <v>426.23683662769008</v>
      </c>
      <c r="AP20" s="363">
        <f>AP18*Parameters!$I$18/2000</f>
        <v>455.00787237299863</v>
      </c>
      <c r="AQ20" s="363">
        <f>AQ18*Parameters!$I$18/2000</f>
        <v>484.80276929398781</v>
      </c>
      <c r="AS20" s="6">
        <f>ROW()</f>
        <v>20</v>
      </c>
    </row>
    <row r="21" spans="2:45" ht="13.95" customHeight="1">
      <c r="B21" s="802" t="s">
        <v>849</v>
      </c>
      <c r="O21" s="67"/>
      <c r="P21" s="67"/>
      <c r="Q21" s="67"/>
      <c r="R21" s="67"/>
      <c r="S21" s="67"/>
      <c r="T21" s="240"/>
      <c r="AS21" s="7">
        <f>ROW()</f>
        <v>21</v>
      </c>
    </row>
    <row r="22" spans="2:45" ht="13.95" customHeight="1">
      <c r="B22" s="803" t="str">
        <f>CONCATENATE("Felt tax in constant ",S$14, "$, per ton of CO2 (taken directly from 'Summary' tab, Row ",Summary!AR86, ")")</f>
        <v>Felt tax in constant 2015$, per ton of CO2 (taken directly from 'Summary' tab, Row 86)</v>
      </c>
      <c r="O22" s="67"/>
      <c r="P22" s="67"/>
      <c r="Q22" s="67"/>
      <c r="R22" s="67"/>
      <c r="S22" s="67"/>
      <c r="T22" s="522">
        <f>Summary!T86</f>
        <v>10.87441401983205</v>
      </c>
      <c r="U22" s="363">
        <f>Summary!U86</f>
        <v>21.748828039664104</v>
      </c>
      <c r="V22" s="363">
        <f>Summary!V86</f>
        <v>32.623242059496157</v>
      </c>
      <c r="W22" s="363">
        <f>Summary!W86</f>
        <v>43.497656079328209</v>
      </c>
      <c r="X22" s="363">
        <f>Summary!X86</f>
        <v>54.372070099160254</v>
      </c>
      <c r="Y22" s="363">
        <f>Summary!Y86</f>
        <v>65.246484118992299</v>
      </c>
      <c r="Z22" s="363">
        <f>Summary!Z86</f>
        <v>76.120898138824344</v>
      </c>
      <c r="AA22" s="363">
        <f>Summary!AA86</f>
        <v>86.995312158656404</v>
      </c>
      <c r="AB22" s="363">
        <f>Summary!AB86</f>
        <v>97.869726178488449</v>
      </c>
      <c r="AC22" s="363">
        <f>Summary!AC86</f>
        <v>108.74414019832052</v>
      </c>
      <c r="AD22" s="363">
        <f>Summary!AD86</f>
        <v>119.61855421815258</v>
      </c>
      <c r="AE22" s="363">
        <f>Summary!AE86</f>
        <v>130.4929682379846</v>
      </c>
      <c r="AF22" s="363">
        <f>Summary!AF86</f>
        <v>141.36738225781667</v>
      </c>
      <c r="AG22" s="363">
        <f>Summary!AG86</f>
        <v>152.24179627764875</v>
      </c>
      <c r="AH22" s="363">
        <f>Summary!AH86</f>
        <v>163.11621029748079</v>
      </c>
      <c r="AI22" s="363">
        <f>Summary!AI86</f>
        <v>173.99062431731281</v>
      </c>
      <c r="AJ22" s="363">
        <f>Summary!AJ86</f>
        <v>184.86503833714488</v>
      </c>
      <c r="AK22" s="363">
        <f>Summary!AK86</f>
        <v>195.73945235697698</v>
      </c>
      <c r="AL22" s="363">
        <f>Summary!AL86</f>
        <v>206.61386637680897</v>
      </c>
      <c r="AM22" s="363">
        <f>Summary!AM86</f>
        <v>217.48828039664099</v>
      </c>
      <c r="AN22" s="363">
        <f>Summary!AN86</f>
        <v>228.36269441647306</v>
      </c>
      <c r="AO22" s="363">
        <f>Summary!AO86</f>
        <v>239.23710843630516</v>
      </c>
      <c r="AP22" s="363">
        <f>Summary!AP86</f>
        <v>250.11152245613718</v>
      </c>
      <c r="AQ22" s="363">
        <f>Summary!AQ86</f>
        <v>260.9859364759692</v>
      </c>
      <c r="AS22" s="7">
        <f>ROW()</f>
        <v>22</v>
      </c>
    </row>
    <row r="23" spans="2:45" ht="13.95" customHeight="1">
      <c r="B23" s="803" t="str">
        <f>CONCATENATE("Felt tax in nominal $ per ton of CO2 (taken directly from 'Summary' tab, Row ",Summary!AR88, ")")</f>
        <v>Felt tax in nominal $ per ton of CO2 (taken directly from 'Summary' tab, Row 88)</v>
      </c>
      <c r="O23" s="67"/>
      <c r="P23" s="67"/>
      <c r="Q23" s="67"/>
      <c r="R23" s="67"/>
      <c r="S23" s="67"/>
      <c r="T23" s="522">
        <f>Summary!T88</f>
        <v>11.337868480725623</v>
      </c>
      <c r="U23" s="363">
        <f>Summary!U88</f>
        <v>23.153901748198756</v>
      </c>
      <c r="V23" s="363">
        <f>Summary!V88</f>
        <v>35.463224441830718</v>
      </c>
      <c r="W23" s="363">
        <f>Summary!W88</f>
        <v>48.281386446747597</v>
      </c>
      <c r="X23" s="363">
        <f>Summary!X88</f>
        <v>61.624374102771327</v>
      </c>
      <c r="Y23" s="363">
        <f>Summary!Y88</f>
        <v>75.508621697038393</v>
      </c>
      <c r="Z23" s="363">
        <f>Summary!Z88</f>
        <v>89.951023247233749</v>
      </c>
      <c r="AA23" s="363">
        <f>Summary!AA88</f>
        <v>104.96894458258619</v>
      </c>
      <c r="AB23" s="363">
        <f>Summary!AB88</f>
        <v>120.58023572994358</v>
      </c>
      <c r="AC23" s="363">
        <f>Summary!AC88</f>
        <v>136.80324361242219</v>
      </c>
      <c r="AD23" s="363">
        <f>Summary!AD88</f>
        <v>153.65682506830512</v>
      </c>
      <c r="AE23" s="363">
        <f>Summary!AE88</f>
        <v>171.1603601980494</v>
      </c>
      <c r="AF23" s="363">
        <f>Summary!AF88</f>
        <v>189.33376604745072</v>
      </c>
      <c r="AG23" s="363">
        <f>Summary!AG88</f>
        <v>208.19751063520698</v>
      </c>
      <c r="AH23" s="363">
        <f>Summary!AH88</f>
        <v>227.77262733332276</v>
      </c>
      <c r="AI23" s="363">
        <f>Summary!AI88</f>
        <v>248.08072960899591</v>
      </c>
      <c r="AJ23" s="363">
        <f>Summary!AJ88</f>
        <v>269.1440261368387</v>
      </c>
      <c r="AK23" s="363">
        <f>Summary!AK88</f>
        <v>290.98533629049541</v>
      </c>
      <c r="AL23" s="363">
        <f>Summary!AL88</f>
        <v>313.62810602293854</v>
      </c>
      <c r="AM23" s="363">
        <f>Summary!AM88</f>
        <v>337.09642414494658</v>
      </c>
      <c r="AN23" s="363">
        <f>Summary!AN88</f>
        <v>361.41503901149451</v>
      </c>
      <c r="AO23" s="363">
        <f>Summary!AO88</f>
        <v>386.60937562602271</v>
      </c>
      <c r="AP23" s="363">
        <f>Summary!AP88</f>
        <v>412.70555317278786</v>
      </c>
      <c r="AQ23" s="363">
        <f>Summary!AQ88</f>
        <v>439.73040298774407</v>
      </c>
      <c r="AS23" s="7">
        <f>ROW()</f>
        <v>23</v>
      </c>
    </row>
    <row r="24" spans="2:45" s="59" customFormat="1" ht="13.95" customHeight="1">
      <c r="B24" s="803"/>
      <c r="H24" s="60"/>
      <c r="I24" s="60"/>
      <c r="J24" s="60"/>
      <c r="M24" s="399"/>
      <c r="N24" s="399"/>
      <c r="O24" s="399"/>
      <c r="P24" s="399"/>
      <c r="Q24" s="399"/>
      <c r="R24" s="399"/>
      <c r="S24" s="399"/>
      <c r="T24" s="522"/>
      <c r="U24" s="363"/>
      <c r="V24" s="363"/>
      <c r="W24" s="363"/>
      <c r="X24" s="363"/>
      <c r="Y24" s="363"/>
      <c r="Z24" s="363"/>
      <c r="AA24" s="363"/>
      <c r="AB24" s="363"/>
      <c r="AC24" s="363"/>
      <c r="AD24" s="363"/>
      <c r="AE24" s="363"/>
      <c r="AF24" s="363"/>
      <c r="AG24" s="363"/>
      <c r="AH24" s="363"/>
      <c r="AI24" s="363"/>
      <c r="AJ24" s="363"/>
      <c r="AK24" s="363"/>
      <c r="AL24" s="363"/>
      <c r="AM24" s="363"/>
      <c r="AN24" s="363"/>
      <c r="AO24" s="363"/>
      <c r="AP24" s="363"/>
      <c r="AQ24" s="363"/>
      <c r="AS24" s="6"/>
    </row>
    <row r="25" spans="2:45" s="59" customFormat="1" ht="13.95" customHeight="1">
      <c r="H25" s="60"/>
      <c r="I25" s="60"/>
      <c r="J25" s="60"/>
      <c r="M25" s="61"/>
      <c r="N25" s="61"/>
      <c r="O25" s="61"/>
      <c r="P25" s="503"/>
      <c r="Q25" s="503"/>
      <c r="R25" s="503"/>
      <c r="S25" s="503"/>
      <c r="T25" s="523"/>
      <c r="U25" s="61"/>
      <c r="V25" s="61"/>
      <c r="W25" s="61"/>
      <c r="X25" s="61"/>
      <c r="Y25" s="61"/>
      <c r="Z25" s="61"/>
      <c r="AA25" s="61"/>
      <c r="AB25" s="61"/>
      <c r="AC25" s="61"/>
      <c r="AD25" s="61"/>
      <c r="AE25" s="61"/>
      <c r="AF25" s="61"/>
      <c r="AG25" s="61"/>
      <c r="AH25" s="61"/>
      <c r="AI25" s="61"/>
      <c r="AJ25" s="61"/>
      <c r="AK25" s="61"/>
      <c r="AL25" s="61"/>
      <c r="AM25" s="61"/>
      <c r="AN25" s="61"/>
      <c r="AO25" s="61"/>
      <c r="AP25" s="61"/>
      <c r="AQ25" s="61"/>
      <c r="AS25" s="6">
        <f>ROW()</f>
        <v>25</v>
      </c>
    </row>
    <row r="26" spans="2:45" ht="13.95" customHeight="1">
      <c r="I26" s="13">
        <v>2005</v>
      </c>
      <c r="J26" s="13">
        <v>2006</v>
      </c>
      <c r="K26" s="13">
        <f t="shared" ref="K26:AP26" si="1">K14</f>
        <v>2007</v>
      </c>
      <c r="L26" s="13">
        <f t="shared" si="1"/>
        <v>2008</v>
      </c>
      <c r="M26" s="13">
        <f t="shared" si="1"/>
        <v>2009</v>
      </c>
      <c r="N26" s="13">
        <f t="shared" si="1"/>
        <v>2010</v>
      </c>
      <c r="O26" s="13">
        <f t="shared" si="1"/>
        <v>2011</v>
      </c>
      <c r="P26" s="155">
        <f t="shared" si="1"/>
        <v>2012</v>
      </c>
      <c r="Q26" s="155">
        <f t="shared" si="1"/>
        <v>2013</v>
      </c>
      <c r="R26" s="155">
        <f t="shared" ref="R26" si="2">R14</f>
        <v>2014</v>
      </c>
      <c r="S26" s="155">
        <f t="shared" si="1"/>
        <v>2015</v>
      </c>
      <c r="T26" s="279">
        <f t="shared" si="1"/>
        <v>2017</v>
      </c>
      <c r="U26" s="13">
        <f t="shared" si="1"/>
        <v>2018</v>
      </c>
      <c r="V26" s="13">
        <f t="shared" si="1"/>
        <v>2019</v>
      </c>
      <c r="W26" s="13">
        <f t="shared" si="1"/>
        <v>2020</v>
      </c>
      <c r="X26" s="13">
        <f t="shared" si="1"/>
        <v>2021</v>
      </c>
      <c r="Y26" s="13">
        <f t="shared" si="1"/>
        <v>2022</v>
      </c>
      <c r="Z26" s="13">
        <f t="shared" si="1"/>
        <v>2023</v>
      </c>
      <c r="AA26" s="13">
        <f t="shared" si="1"/>
        <v>2024</v>
      </c>
      <c r="AB26" s="13">
        <f t="shared" si="1"/>
        <v>2025</v>
      </c>
      <c r="AC26" s="13">
        <f t="shared" si="1"/>
        <v>2026</v>
      </c>
      <c r="AD26" s="13">
        <f t="shared" si="1"/>
        <v>2027</v>
      </c>
      <c r="AE26" s="13">
        <f t="shared" si="1"/>
        <v>2028</v>
      </c>
      <c r="AF26" s="13">
        <f t="shared" si="1"/>
        <v>2029</v>
      </c>
      <c r="AG26" s="13">
        <f t="shared" si="1"/>
        <v>2030</v>
      </c>
      <c r="AH26" s="13">
        <f t="shared" si="1"/>
        <v>2031</v>
      </c>
      <c r="AI26" s="13">
        <f t="shared" si="1"/>
        <v>2032</v>
      </c>
      <c r="AJ26" s="13">
        <f t="shared" si="1"/>
        <v>2033</v>
      </c>
      <c r="AK26" s="13">
        <f t="shared" si="1"/>
        <v>2034</v>
      </c>
      <c r="AL26" s="13">
        <f t="shared" si="1"/>
        <v>2035</v>
      </c>
      <c r="AM26" s="13">
        <f t="shared" si="1"/>
        <v>2036</v>
      </c>
      <c r="AN26" s="13">
        <f t="shared" si="1"/>
        <v>2037</v>
      </c>
      <c r="AO26" s="13">
        <f t="shared" si="1"/>
        <v>2038</v>
      </c>
      <c r="AP26" s="13">
        <f t="shared" si="1"/>
        <v>2039</v>
      </c>
      <c r="AQ26" s="13">
        <f t="shared" ref="AQ26" si="3">AQ14</f>
        <v>2040</v>
      </c>
      <c r="AS26" s="6">
        <f>ROW()</f>
        <v>26</v>
      </c>
    </row>
    <row r="27" spans="2:45" ht="13.95" customHeight="1">
      <c r="B27" s="8" t="s">
        <v>328</v>
      </c>
      <c r="I27" s="13"/>
      <c r="J27" s="13"/>
      <c r="K27" s="13"/>
      <c r="L27" s="13"/>
      <c r="M27" s="13"/>
      <c r="N27" s="13"/>
      <c r="O27" s="13"/>
      <c r="P27" s="155"/>
      <c r="Q27" s="155"/>
      <c r="R27" s="155"/>
      <c r="S27" s="155"/>
      <c r="T27" s="279"/>
      <c r="U27" s="13"/>
      <c r="V27" s="13"/>
      <c r="W27" s="13"/>
      <c r="X27" s="13"/>
      <c r="Y27" s="13"/>
      <c r="Z27" s="13"/>
      <c r="AA27" s="13"/>
      <c r="AB27" s="13"/>
      <c r="AC27" s="13"/>
      <c r="AD27" s="13"/>
      <c r="AE27" s="13"/>
      <c r="AF27" s="13"/>
      <c r="AG27" s="13"/>
      <c r="AH27" s="13"/>
      <c r="AI27" s="13"/>
      <c r="AJ27" s="13"/>
      <c r="AK27" s="13"/>
      <c r="AL27" s="13"/>
      <c r="AM27" s="13"/>
      <c r="AN27" s="13"/>
      <c r="AO27" s="13"/>
      <c r="AP27" s="13"/>
      <c r="AQ27" s="13"/>
      <c r="AS27" s="6">
        <f>ROW()</f>
        <v>27</v>
      </c>
    </row>
    <row r="28" spans="2:45" ht="13.95" customHeight="1">
      <c r="B28" s="14" t="s">
        <v>873</v>
      </c>
      <c r="I28" s="152">
        <v>8.14</v>
      </c>
      <c r="J28" s="152">
        <v>8.9</v>
      </c>
      <c r="K28" s="152">
        <v>9.1300000000000008</v>
      </c>
      <c r="L28" s="152">
        <v>9.74</v>
      </c>
      <c r="M28" s="152">
        <v>9.82</v>
      </c>
      <c r="N28" s="152">
        <v>9.83</v>
      </c>
      <c r="O28" s="152">
        <v>9.9</v>
      </c>
      <c r="P28" s="152">
        <v>9.84</v>
      </c>
      <c r="Q28" s="152">
        <v>10.07</v>
      </c>
      <c r="R28" s="152">
        <v>10.44</v>
      </c>
      <c r="S28" s="152">
        <v>10.42</v>
      </c>
      <c r="T28" s="240"/>
      <c r="U28" s="13"/>
      <c r="V28" s="13"/>
      <c r="W28" s="13"/>
      <c r="X28" s="13"/>
      <c r="Y28" s="13"/>
      <c r="Z28" s="13"/>
      <c r="AA28" s="13"/>
      <c r="AB28" s="13"/>
      <c r="AC28" s="13"/>
      <c r="AD28" s="13"/>
      <c r="AE28" s="13"/>
      <c r="AF28" s="13"/>
      <c r="AG28" s="13"/>
      <c r="AH28" s="13"/>
      <c r="AI28" s="13"/>
      <c r="AJ28" s="13"/>
      <c r="AK28" s="13"/>
      <c r="AL28" s="13"/>
      <c r="AM28" s="13"/>
      <c r="AN28" s="13"/>
      <c r="AO28" s="13"/>
      <c r="AP28" s="13"/>
      <c r="AQ28" s="13"/>
      <c r="AS28" s="6">
        <f>ROW()</f>
        <v>28</v>
      </c>
    </row>
    <row r="29" spans="2:45" ht="13.95" customHeight="1">
      <c r="B29" s="84" t="s">
        <v>1052</v>
      </c>
      <c r="F29" s="261"/>
      <c r="I29" s="13"/>
      <c r="J29" s="13"/>
      <c r="K29" s="13"/>
      <c r="L29" s="13"/>
      <c r="M29" s="152"/>
      <c r="N29" s="152"/>
      <c r="R29" s="762"/>
      <c r="S29" s="697"/>
      <c r="T29" s="240"/>
      <c r="W29" s="13"/>
      <c r="X29" s="13"/>
      <c r="Y29" s="13"/>
      <c r="Z29" s="13"/>
      <c r="AA29" s="13"/>
      <c r="AB29" s="13"/>
      <c r="AC29" s="13"/>
      <c r="AD29" s="13"/>
      <c r="AE29" s="13"/>
      <c r="AF29" s="13"/>
      <c r="AG29" s="13"/>
      <c r="AH29" s="13"/>
      <c r="AI29" s="13"/>
      <c r="AJ29" s="13"/>
      <c r="AK29" s="13"/>
      <c r="AL29" s="13"/>
      <c r="AM29" s="13"/>
      <c r="AN29" s="13"/>
      <c r="AO29" s="13"/>
      <c r="AP29" s="13"/>
      <c r="AQ29" s="13"/>
      <c r="AS29" s="6">
        <f>ROW()</f>
        <v>29</v>
      </c>
    </row>
    <row r="30" spans="2:45" ht="13.95" customHeight="1">
      <c r="B30" s="31" t="s">
        <v>344</v>
      </c>
      <c r="I30" s="84" t="str">
        <f>CONCATENATE("AEO projections, from 'AEO' tab, Row ",AEO!V15, ".")</f>
        <v>AEO projections, from 'AEO' tab, Row 15.</v>
      </c>
      <c r="J30" s="13"/>
      <c r="L30" s="13"/>
      <c r="M30" s="13"/>
      <c r="N30" s="13"/>
      <c r="Q30" s="154"/>
      <c r="R30" s="154"/>
      <c r="S30" s="154"/>
      <c r="T30" s="524">
        <f>IF(T$14&gt;=2040,AEO!$R15,IF(T$14&gt;=2031,AEO!$Q15,IF(T$14&gt;=2021,AEO!$P15,AEO!$O15)))</f>
        <v>1.0038536787838401</v>
      </c>
      <c r="U30" s="154">
        <f>IF(U$14&gt;=2040,AEO!$R15,IF(U$14&gt;=2031,AEO!$Q15,IF(U$14&gt;=2021,AEO!$P15,AEO!$O15)))</f>
        <v>1.0038536787838401</v>
      </c>
      <c r="V30" s="154">
        <f>IF(V$14&gt;=2040,AEO!$R15,IF(V$14&gt;=2031,AEO!$Q15,IF(V$14&gt;=2021,AEO!$P15,AEO!$O15)))</f>
        <v>1.0038536787838401</v>
      </c>
      <c r="W30" s="154">
        <f>IF(W$14&gt;=2040,AEO!$R15,IF(W$14&gt;=2031,AEO!$Q15,IF(W$14&gt;=2021,AEO!$P15,AEO!$O15)))</f>
        <v>1.0038536787838401</v>
      </c>
      <c r="X30" s="154">
        <f>IF(X$14&gt;=2040,AEO!$R15,IF(X$14&gt;=2031,AEO!$Q15,IF(X$14&gt;=2021,AEO!$P15,AEO!$O15)))</f>
        <v>1.0037457510633019</v>
      </c>
      <c r="Y30" s="154">
        <f>IF(Y$14&gt;=2040,AEO!$R15,IF(Y$14&gt;=2031,AEO!$Q15,IF(Y$14&gt;=2021,AEO!$P15,AEO!$O15)))</f>
        <v>1.0037457510633019</v>
      </c>
      <c r="Z30" s="154">
        <f>IF(Z$14&gt;=2040,AEO!$R15,IF(Z$14&gt;=2031,AEO!$Q15,IF(Z$14&gt;=2021,AEO!$P15,AEO!$O15)))</f>
        <v>1.0037457510633019</v>
      </c>
      <c r="AA30" s="154">
        <f>IF(AA$14&gt;=2040,AEO!$R15,IF(AA$14&gt;=2031,AEO!$Q15,IF(AA$14&gt;=2021,AEO!$P15,AEO!$O15)))</f>
        <v>1.0037457510633019</v>
      </c>
      <c r="AB30" s="154">
        <f>IF(AB$14&gt;=2040,AEO!$R15,IF(AB$14&gt;=2031,AEO!$Q15,IF(AB$14&gt;=2021,AEO!$P15,AEO!$O15)))</f>
        <v>1.0037457510633019</v>
      </c>
      <c r="AC30" s="154">
        <f>IF(AC$14&gt;=2040,AEO!$R15,IF(AC$14&gt;=2031,AEO!$Q15,IF(AC$14&gt;=2021,AEO!$P15,AEO!$O15)))</f>
        <v>1.0037457510633019</v>
      </c>
      <c r="AD30" s="154">
        <f>IF(AD$14&gt;=2040,AEO!$R15,IF(AD$14&gt;=2031,AEO!$Q15,IF(AD$14&gt;=2021,AEO!$P15,AEO!$O15)))</f>
        <v>1.0037457510633019</v>
      </c>
      <c r="AE30" s="154">
        <f>IF(AE$14&gt;=2040,AEO!$R15,IF(AE$14&gt;=2031,AEO!$Q15,IF(AE$14&gt;=2021,AEO!$P15,AEO!$O15)))</f>
        <v>1.0037457510633019</v>
      </c>
      <c r="AF30" s="154">
        <f>IF(AF$14&gt;=2040,AEO!$R15,IF(AF$14&gt;=2031,AEO!$Q15,IF(AF$14&gt;=2021,AEO!$P15,AEO!$O15)))</f>
        <v>1.0037457510633019</v>
      </c>
      <c r="AG30" s="154">
        <f>IF(AG$14&gt;=2040,AEO!$R15,IF(AG$14&gt;=2031,AEO!$Q15,IF(AG$14&gt;=2021,AEO!$P15,AEO!$O15)))</f>
        <v>1.0037457510633019</v>
      </c>
      <c r="AH30" s="154">
        <f>IF(AH$14&gt;=2040,AEO!$R15,IF(AH$14&gt;=2031,AEO!$Q15,IF(AH$14&gt;=2021,AEO!$P15,AEO!$O15)))</f>
        <v>0.99626822722852482</v>
      </c>
      <c r="AI30" s="154">
        <f>IF(AI$14&gt;=2040,AEO!$R15,IF(AI$14&gt;=2031,AEO!$Q15,IF(AI$14&gt;=2021,AEO!$P15,AEO!$O15)))</f>
        <v>0.99626822722852482</v>
      </c>
      <c r="AJ30" s="154">
        <f>IF(AJ$14&gt;=2040,AEO!$R15,IF(AJ$14&gt;=2031,AEO!$Q15,IF(AJ$14&gt;=2021,AEO!$P15,AEO!$O15)))</f>
        <v>0.99626822722852482</v>
      </c>
      <c r="AK30" s="154">
        <f>IF(AK$14&gt;=2040,AEO!$R15,IF(AK$14&gt;=2031,AEO!$Q15,IF(AK$14&gt;=2021,AEO!$P15,AEO!$O15)))</f>
        <v>0.99626822722852482</v>
      </c>
      <c r="AL30" s="154">
        <f>IF(AL$14&gt;=2040,AEO!$R15,IF(AL$14&gt;=2031,AEO!$Q15,IF(AL$14&gt;=2021,AEO!$P15,AEO!$O15)))</f>
        <v>0.99626822722852482</v>
      </c>
      <c r="AM30" s="154">
        <f>IF(AM$14&gt;=2040,AEO!$R15,IF(AM$14&gt;=2031,AEO!$Q15,IF(AM$14&gt;=2021,AEO!$P15,AEO!$O15)))</f>
        <v>0.99626822722852482</v>
      </c>
      <c r="AN30" s="154">
        <f>IF(AN$14&gt;=2040,AEO!$R15,IF(AN$14&gt;=2031,AEO!$Q15,IF(AN$14&gt;=2021,AEO!$P15,AEO!$O15)))</f>
        <v>0.99626822722852482</v>
      </c>
      <c r="AO30" s="154">
        <f>IF(AO$14&gt;=2040,AEO!$R15,IF(AO$14&gt;=2031,AEO!$Q15,IF(AO$14&gt;=2021,AEO!$P15,AEO!$O15)))</f>
        <v>0.99626822722852482</v>
      </c>
      <c r="AP30" s="154">
        <f>IF(AP$14&gt;=2040,AEO!$R15,IF(AP$14&gt;=2031,AEO!$Q15,IF(AP$14&gt;=2021,AEO!$P15,AEO!$O15)))</f>
        <v>0.99626822722852482</v>
      </c>
      <c r="AQ30" s="154">
        <f>IF(AQ$14&gt;=2040,AEO!$R15,IF(AQ$14&gt;=2031,AEO!$Q15,IF(AQ$14&gt;=2021,AEO!$P15,AEO!$O15)))</f>
        <v>0.99626822722852482</v>
      </c>
      <c r="AS30" s="6">
        <f>ROW()</f>
        <v>30</v>
      </c>
    </row>
    <row r="31" spans="2:45" ht="13.95" customHeight="1">
      <c r="B31" s="31" t="s">
        <v>345</v>
      </c>
      <c r="I31" s="84" t="str">
        <f>CONCATENATE("AEO projections, from 'AEO' tab, Row ",AEO!V28, ".")</f>
        <v>AEO projections, from 'AEO' tab, Row 28.</v>
      </c>
      <c r="J31" s="13"/>
      <c r="L31" s="13"/>
      <c r="M31" s="13"/>
      <c r="N31" s="13"/>
      <c r="O31" s="13"/>
      <c r="P31" s="152"/>
      <c r="Q31" s="154"/>
      <c r="R31" s="154"/>
      <c r="S31" s="154">
        <f>IF(S$14&gt;=2040,AEO!$R28,IF(S$14&gt;=2031,AEO!$Q28,IF(S$14&gt;=2021,AEO!$P28,AEO!$O28)))</f>
        <v>1.019615915860435</v>
      </c>
      <c r="T31" s="524">
        <f>IF(T$14&gt;=2040,AEO!$R28,IF(T$14&gt;=2031,AEO!$Q28,IF(T$14&gt;=2021,AEO!$P28,AEO!$O28)))</f>
        <v>1.019615915860435</v>
      </c>
      <c r="U31" s="154">
        <f>IF(U$14&gt;=2040,AEO!$R28,IF(U$14&gt;=2031,AEO!$Q28,IF(U$14&gt;=2021,AEO!$P28,AEO!$O28)))</f>
        <v>1.019615915860435</v>
      </c>
      <c r="V31" s="154">
        <f>IF(V$14&gt;=2040,AEO!$R28,IF(V$14&gt;=2031,AEO!$Q28,IF(V$14&gt;=2021,AEO!$P28,AEO!$O28)))</f>
        <v>1.019615915860435</v>
      </c>
      <c r="W31" s="154">
        <f>IF(W$14&gt;=2040,AEO!$R28,IF(W$14&gt;=2031,AEO!$Q28,IF(W$14&gt;=2021,AEO!$P28,AEO!$O28)))</f>
        <v>1.019615915860435</v>
      </c>
      <c r="X31" s="154">
        <f>IF(X$14&gt;=2040,AEO!$R28,IF(X$14&gt;=2031,AEO!$Q28,IF(X$14&gt;=2021,AEO!$P28,AEO!$O28)))</f>
        <v>1.0210337311834254</v>
      </c>
      <c r="Y31" s="154">
        <f>IF(Y$14&gt;=2040,AEO!$R28,IF(Y$14&gt;=2031,AEO!$Q28,IF(Y$14&gt;=2021,AEO!$P28,AEO!$O28)))</f>
        <v>1.0210337311834254</v>
      </c>
      <c r="Z31" s="154">
        <f>IF(Z$14&gt;=2040,AEO!$R28,IF(Z$14&gt;=2031,AEO!$Q28,IF(Z$14&gt;=2021,AEO!$P28,AEO!$O28)))</f>
        <v>1.0210337311834254</v>
      </c>
      <c r="AA31" s="154">
        <f>IF(AA$14&gt;=2040,AEO!$R28,IF(AA$14&gt;=2031,AEO!$Q28,IF(AA$14&gt;=2021,AEO!$P28,AEO!$O28)))</f>
        <v>1.0210337311834254</v>
      </c>
      <c r="AB31" s="154">
        <f>IF(AB$14&gt;=2040,AEO!$R28,IF(AB$14&gt;=2031,AEO!$Q28,IF(AB$14&gt;=2021,AEO!$P28,AEO!$O28)))</f>
        <v>1.0210337311834254</v>
      </c>
      <c r="AC31" s="154">
        <f>IF(AC$14&gt;=2040,AEO!$R28,IF(AC$14&gt;=2031,AEO!$Q28,IF(AC$14&gt;=2021,AEO!$P28,AEO!$O28)))</f>
        <v>1.0210337311834254</v>
      </c>
      <c r="AD31" s="154">
        <f>IF(AD$14&gt;=2040,AEO!$R28,IF(AD$14&gt;=2031,AEO!$Q28,IF(AD$14&gt;=2021,AEO!$P28,AEO!$O28)))</f>
        <v>1.0210337311834254</v>
      </c>
      <c r="AE31" s="154">
        <f>IF(AE$14&gt;=2040,AEO!$R28,IF(AE$14&gt;=2031,AEO!$Q28,IF(AE$14&gt;=2021,AEO!$P28,AEO!$O28)))</f>
        <v>1.0210337311834254</v>
      </c>
      <c r="AF31" s="154">
        <f>IF(AF$14&gt;=2040,AEO!$R28,IF(AF$14&gt;=2031,AEO!$Q28,IF(AF$14&gt;=2021,AEO!$P28,AEO!$O28)))</f>
        <v>1.0210337311834254</v>
      </c>
      <c r="AG31" s="154">
        <f>IF(AG$14&gt;=2040,AEO!$R28,IF(AG$14&gt;=2031,AEO!$Q28,IF(AG$14&gt;=2021,AEO!$P28,AEO!$O28)))</f>
        <v>1.0210337311834254</v>
      </c>
      <c r="AH31" s="154">
        <f>IF(AH$14&gt;=2040,AEO!$R28,IF(AH$14&gt;=2031,AEO!$Q28,IF(AH$14&gt;=2021,AEO!$P28,AEO!$O28)))</f>
        <v>1.0218768156791329</v>
      </c>
      <c r="AI31" s="154">
        <f>IF(AI$14&gt;=2040,AEO!$R28,IF(AI$14&gt;=2031,AEO!$Q28,IF(AI$14&gt;=2021,AEO!$P28,AEO!$O28)))</f>
        <v>1.0218768156791329</v>
      </c>
      <c r="AJ31" s="154">
        <f>IF(AJ$14&gt;=2040,AEO!$R28,IF(AJ$14&gt;=2031,AEO!$Q28,IF(AJ$14&gt;=2021,AEO!$P28,AEO!$O28)))</f>
        <v>1.0218768156791329</v>
      </c>
      <c r="AK31" s="154">
        <f>IF(AK$14&gt;=2040,AEO!$R28,IF(AK$14&gt;=2031,AEO!$Q28,IF(AK$14&gt;=2021,AEO!$P28,AEO!$O28)))</f>
        <v>1.0218768156791329</v>
      </c>
      <c r="AL31" s="154">
        <f>IF(AL$14&gt;=2040,AEO!$R28,IF(AL$14&gt;=2031,AEO!$Q28,IF(AL$14&gt;=2021,AEO!$P28,AEO!$O28)))</f>
        <v>1.0218768156791329</v>
      </c>
      <c r="AM31" s="154">
        <f>IF(AM$14&gt;=2040,AEO!$R28,IF(AM$14&gt;=2031,AEO!$Q28,IF(AM$14&gt;=2021,AEO!$P28,AEO!$O28)))</f>
        <v>1.0218768156791329</v>
      </c>
      <c r="AN31" s="154">
        <f>IF(AN$14&gt;=2040,AEO!$R28,IF(AN$14&gt;=2031,AEO!$Q28,IF(AN$14&gt;=2021,AEO!$P28,AEO!$O28)))</f>
        <v>1.0218768156791329</v>
      </c>
      <c r="AO31" s="154">
        <f>IF(AO$14&gt;=2040,AEO!$R28,IF(AO$14&gt;=2031,AEO!$Q28,IF(AO$14&gt;=2021,AEO!$P28,AEO!$O28)))</f>
        <v>1.0218768156791329</v>
      </c>
      <c r="AP31" s="154">
        <f>IF(AP$14&gt;=2040,AEO!$R28,IF(AP$14&gt;=2031,AEO!$Q28,IF(AP$14&gt;=2021,AEO!$P28,AEO!$O28)))</f>
        <v>1.0218768156791329</v>
      </c>
      <c r="AQ31" s="154">
        <f>IF(AQ$14&gt;=2040,AEO!$R28,IF(AQ$14&gt;=2031,AEO!$Q28,IF(AQ$14&gt;=2021,AEO!$P28,AEO!$O28)))</f>
        <v>1.0218768156791329</v>
      </c>
      <c r="AS31" s="6">
        <f>ROW()</f>
        <v>31</v>
      </c>
    </row>
    <row r="32" spans="2:45" ht="13.95" customHeight="1">
      <c r="B32" s="14" t="s">
        <v>874</v>
      </c>
      <c r="I32" s="84" t="str">
        <f>CONCATENATE("Previous yr's price x same yr's ratios in Rows ",AS30, "-",AS31, ", except first yr pivots off last known (estimated) yr.")</f>
        <v>Previous yr's price x same yr's ratios in Rows 30-31, except first yr pivots off last known (estimated) yr.</v>
      </c>
      <c r="K32" s="257"/>
      <c r="L32" s="13"/>
      <c r="N32" s="67"/>
      <c r="O32" s="67"/>
      <c r="P32" s="67"/>
      <c r="Q32" s="152"/>
      <c r="R32" s="152"/>
      <c r="S32" s="152"/>
      <c r="T32" s="525">
        <f>S28*T30*T31</f>
        <v>10.665340859825402</v>
      </c>
      <c r="U32" s="152">
        <f t="shared" ref="U32:AQ32" si="4">T32*U30*U31</f>
        <v>10.916458316339853</v>
      </c>
      <c r="V32" s="152">
        <f t="shared" si="4"/>
        <v>11.173488380598872</v>
      </c>
      <c r="W32" s="152">
        <f t="shared" si="4"/>
        <v>11.436570266063869</v>
      </c>
      <c r="X32" s="152">
        <f t="shared" si="4"/>
        <v>11.720863610380004</v>
      </c>
      <c r="Y32" s="152">
        <f t="shared" si="4"/>
        <v>12.012223995228585</v>
      </c>
      <c r="Z32" s="152">
        <f t="shared" si="4"/>
        <v>12.3108270950068</v>
      </c>
      <c r="AA32" s="152">
        <f t="shared" si="4"/>
        <v>12.616852951073325</v>
      </c>
      <c r="AB32" s="152">
        <f t="shared" si="4"/>
        <v>12.930486080303423</v>
      </c>
      <c r="AC32" s="152">
        <f t="shared" si="4"/>
        <v>13.25191558634255</v>
      </c>
      <c r="AD32" s="152">
        <f t="shared" si="4"/>
        <v>13.581335273625514</v>
      </c>
      <c r="AE32" s="152">
        <f t="shared" si="4"/>
        <v>13.918943764229974</v>
      </c>
      <c r="AF32" s="152">
        <f t="shared" si="4"/>
        <v>14.264944617634693</v>
      </c>
      <c r="AG32" s="152">
        <f t="shared" si="4"/>
        <v>14.619546453454792</v>
      </c>
      <c r="AH32" s="152">
        <f t="shared" si="4"/>
        <v>14.88362522153021</v>
      </c>
      <c r="AI32" s="152">
        <f t="shared" si="4"/>
        <v>15.152474150976246</v>
      </c>
      <c r="AJ32" s="152">
        <f t="shared" si="4"/>
        <v>15.426179407142987</v>
      </c>
      <c r="AK32" s="152">
        <f t="shared" si="4"/>
        <v>15.704828711820015</v>
      </c>
      <c r="AL32" s="152">
        <f t="shared" si="4"/>
        <v>15.988511371351002</v>
      </c>
      <c r="AM32" s="152">
        <f t="shared" si="4"/>
        <v>16.277318305256152</v>
      </c>
      <c r="AN32" s="152">
        <f t="shared" si="4"/>
        <v>16.571342075371653</v>
      </c>
      <c r="AO32" s="152">
        <f t="shared" si="4"/>
        <v>16.870676915515503</v>
      </c>
      <c r="AP32" s="152">
        <f t="shared" si="4"/>
        <v>17.175418761689187</v>
      </c>
      <c r="AQ32" s="152">
        <f t="shared" si="4"/>
        <v>17.4856652828249</v>
      </c>
      <c r="AS32" s="6">
        <f>ROW()</f>
        <v>32</v>
      </c>
    </row>
    <row r="33" spans="2:45" ht="13.95" customHeight="1">
      <c r="B33" s="31"/>
      <c r="I33" s="84"/>
      <c r="K33" s="257"/>
      <c r="L33" s="13"/>
      <c r="N33" s="67"/>
      <c r="O33" s="67"/>
      <c r="P33" s="67"/>
      <c r="Q33" s="67"/>
      <c r="R33" s="67"/>
      <c r="S33" s="67"/>
      <c r="T33" s="525"/>
      <c r="U33" s="154"/>
      <c r="V33" s="152"/>
      <c r="W33" s="152"/>
      <c r="X33" s="152"/>
      <c r="Y33" s="152"/>
      <c r="Z33" s="152"/>
      <c r="AA33" s="152"/>
      <c r="AB33" s="152"/>
      <c r="AC33" s="152"/>
      <c r="AD33" s="152"/>
      <c r="AE33" s="152"/>
      <c r="AF33" s="152"/>
      <c r="AG33" s="152"/>
      <c r="AH33" s="152"/>
      <c r="AI33" s="152"/>
      <c r="AJ33" s="152"/>
      <c r="AK33" s="152"/>
      <c r="AL33" s="152"/>
      <c r="AM33" s="152"/>
      <c r="AN33" s="152"/>
      <c r="AO33" s="152"/>
      <c r="AP33" s="152"/>
      <c r="AQ33" s="152"/>
      <c r="AS33" s="6">
        <f>ROW()</f>
        <v>33</v>
      </c>
    </row>
    <row r="34" spans="2:45" ht="13.95" customHeight="1">
      <c r="B34" s="31" t="s">
        <v>260</v>
      </c>
      <c r="I34" s="17">
        <f>3810984.044/1000</f>
        <v>3810.9840440000003</v>
      </c>
      <c r="J34" s="17">
        <f>3816845.452/1000</f>
        <v>3816.845452</v>
      </c>
      <c r="K34" s="17">
        <f>3890230.897/1000</f>
        <v>3890.2308969999999</v>
      </c>
      <c r="L34" s="17">
        <f>3865158.865/1000</f>
        <v>3865.1588650000003</v>
      </c>
      <c r="M34" s="119">
        <f>3723802.824/1000</f>
        <v>3723.8028239999999</v>
      </c>
      <c r="N34" s="119">
        <f>3886403.303/1000</f>
        <v>3886.4033030000001</v>
      </c>
      <c r="O34" s="119">
        <f>3882600.216/1000</f>
        <v>3882.6002159999998</v>
      </c>
      <c r="P34" s="119">
        <f>3832306.295/1000</f>
        <v>3832.3062949999999</v>
      </c>
      <c r="Q34" s="119">
        <f>3868563.408/1000</f>
        <v>3868.563408</v>
      </c>
      <c r="R34" s="119">
        <f>3903274/1000</f>
        <v>3903.2739999999999</v>
      </c>
      <c r="S34" s="119">
        <f>3863275/1000</f>
        <v>3863.2750000000001</v>
      </c>
      <c r="T34" s="277">
        <f>S34*IF(T$14&gt;=2040,AEO!$R27,(IF(T$14&gt;=2031,AEO!$Q27,(IF(T$14&gt;=2021,AEO!$P27,AEO!$O27))))^Parameters!$I$9*IF(T$14&gt;=2040,AEO!$R15,(IF(T$14&gt;=2031,AEO!$Q15,(IF(T$14&gt;=2021,AEO!$P15,AEO!$O15))))^Parameters!$H$9))</f>
        <v>3901.9644630370503</v>
      </c>
      <c r="U34" s="554">
        <f>T34*IF(U$14&gt;=2040,AEO!$R27,(IF(U$14&gt;=2031,AEO!$Q27,(IF(U$14&gt;=2021,AEO!$P27,AEO!$O27))))^Parameters!$I$9*IF(U$14&gt;=2040,AEO!$R15,(IF(U$14&gt;=2031,AEO!$Q15,(IF(U$14&gt;=2021,AEO!$P15,AEO!$O15))))^Parameters!$H$9))</f>
        <v>3941.0413886673914</v>
      </c>
      <c r="V34" s="21">
        <f>U34*IF(V$14&gt;=2040,AEO!$R27,(IF(V$14&gt;=2031,AEO!$Q27,(IF(V$14&gt;=2021,AEO!$P27,AEO!$O27))))^Parameters!$I$9*IF(V$14&gt;=2040,AEO!$R15,(IF(V$14&gt;=2031,AEO!$Q15,(IF(V$14&gt;=2021,AEO!$P15,AEO!$O15))))^Parameters!$H$9))</f>
        <v>3980.5096572049233</v>
      </c>
      <c r="W34" s="21">
        <f>V34*IF(W$14&gt;=2040,AEO!$R27,(IF(W$14&gt;=2031,AEO!$Q27,(IF(W$14&gt;=2021,AEO!$P27,AEO!$O27))))^Parameters!$I$9*IF(W$14&gt;=2040,AEO!$R15,(IF(W$14&gt;=2031,AEO!$Q15,(IF(W$14&gt;=2021,AEO!$P15,AEO!$O15))))^Parameters!$H$9))</f>
        <v>4020.3731878236476</v>
      </c>
      <c r="X34" s="21">
        <f>W34*IF(X$14&gt;=2040,AEO!$R27,(IF(X$14&gt;=2031,AEO!$Q27,(IF(X$14&gt;=2021,AEO!$P27,AEO!$O27))))^Parameters!$I$9*IF(X$14&gt;=2040,AEO!$R15,(IF(X$14&gt;=2031,AEO!$Q15,(IF(X$14&gt;=2021,AEO!$P15,AEO!$O15))))^Parameters!$H$9))</f>
        <v>4054.1473761331754</v>
      </c>
      <c r="Y34" s="21">
        <f>X34*IF(Y$14&gt;=2040,AEO!$R27,(IF(Y$14&gt;=2031,AEO!$Q27,(IF(Y$14&gt;=2021,AEO!$P27,AEO!$O27))))^Parameters!$I$9*IF(Y$14&gt;=2040,AEO!$R15,(IF(Y$14&gt;=2031,AEO!$Q15,(IF(Y$14&gt;=2021,AEO!$P15,AEO!$O15))))^Parameters!$H$9))</f>
        <v>4088.2052932764896</v>
      </c>
      <c r="Z34" s="21">
        <f>Y34*IF(Z$14&gt;=2040,AEO!$R27,(IF(Z$14&gt;=2031,AEO!$Q27,(IF(Z$14&gt;=2021,AEO!$P27,AEO!$O27))))^Parameters!$I$9*IF(Z$14&gt;=2040,AEO!$R15,(IF(Z$14&gt;=2031,AEO!$Q15,(IF(Z$14&gt;=2021,AEO!$P15,AEO!$O15))))^Parameters!$H$9))</f>
        <v>4122.5493227912903</v>
      </c>
      <c r="AA34" s="21">
        <f>Z34*IF(AA$14&gt;=2040,AEO!$R27,(IF(AA$14&gt;=2031,AEO!$Q27,(IF(AA$14&gt;=2021,AEO!$P27,AEO!$O27))))^Parameters!$I$9*IF(AA$14&gt;=2040,AEO!$R15,(IF(AA$14&gt;=2031,AEO!$Q15,(IF(AA$14&gt;=2021,AEO!$P15,AEO!$O15))))^Parameters!$H$9))</f>
        <v>4157.1818682388039</v>
      </c>
      <c r="AB34" s="21">
        <f>AA34*IF(AB$14&gt;=2040,AEO!$R27,(IF(AB$14&gt;=2031,AEO!$Q27,(IF(AB$14&gt;=2021,AEO!$P27,AEO!$O27))))^Parameters!$I$9*IF(AB$14&gt;=2040,AEO!$R15,(IF(AB$14&gt;=2031,AEO!$Q15,(IF(AB$14&gt;=2021,AEO!$P15,AEO!$O15))))^Parameters!$H$9))</f>
        <v>4192.1053533719978</v>
      </c>
      <c r="AC34" s="21">
        <f>AB34*IF(AC$14&gt;=2040,AEO!$R27,(IF(AC$14&gt;=2031,AEO!$Q27,(IF(AC$14&gt;=2021,AEO!$P27,AEO!$O27))))^Parameters!$I$9*IF(AC$14&gt;=2040,AEO!$R15,(IF(AC$14&gt;=2031,AEO!$Q15,(IF(AC$14&gt;=2021,AEO!$P15,AEO!$O15))))^Parameters!$H$9))</f>
        <v>4227.3222223052044</v>
      </c>
      <c r="AD34" s="21">
        <f>AC34*IF(AD$14&gt;=2040,AEO!$R27,(IF(AD$14&gt;=2031,AEO!$Q27,(IF(AD$14&gt;=2021,AEO!$P27,AEO!$O27))))^Parameters!$I$9*IF(AD$14&gt;=2040,AEO!$R15,(IF(AD$14&gt;=2031,AEO!$Q15,(IF(AD$14&gt;=2021,AEO!$P15,AEO!$O15))))^Parameters!$H$9))</f>
        <v>4262.8349396851736</v>
      </c>
      <c r="AE34" s="21">
        <f>AD34*IF(AE$14&gt;=2040,AEO!$R27,(IF(AE$14&gt;=2031,AEO!$Q27,(IF(AE$14&gt;=2021,AEO!$P27,AEO!$O27))))^Parameters!$I$9*IF(AE$14&gt;=2040,AEO!$R15,(IF(AE$14&gt;=2031,AEO!$Q15,(IF(AE$14&gt;=2021,AEO!$P15,AEO!$O15))))^Parameters!$H$9))</f>
        <v>4298.6459908635588</v>
      </c>
      <c r="AF34" s="21">
        <f>AE34*IF(AF$14&gt;=2040,AEO!$R27,(IF(AF$14&gt;=2031,AEO!$Q27,(IF(AF$14&gt;=2021,AEO!$P27,AEO!$O27))))^Parameters!$I$9*IF(AF$14&gt;=2040,AEO!$R15,(IF(AF$14&gt;=2031,AEO!$Q15,(IF(AF$14&gt;=2021,AEO!$P15,AEO!$O15))))^Parameters!$H$9))</f>
        <v>4334.7578820708559</v>
      </c>
      <c r="AG34" s="21">
        <f>AF34*IF(AG$14&gt;=2040,AEO!$R27,(IF(AG$14&gt;=2031,AEO!$Q27,(IF(AG$14&gt;=2021,AEO!$P27,AEO!$O27))))^Parameters!$I$9*IF(AG$14&gt;=2040,AEO!$R15,(IF(AG$14&gt;=2031,AEO!$Q15,(IF(AG$14&gt;=2021,AEO!$P15,AEO!$O15))))^Parameters!$H$9))</f>
        <v>4371.1731405917999</v>
      </c>
      <c r="AH34" s="21">
        <f>AG34*IF(AH$14&gt;=2040,AEO!$R27,(IF(AH$14&gt;=2031,AEO!$Q27,(IF(AH$14&gt;=2021,AEO!$P27,AEO!$O27))))^Parameters!$I$9*IF(AH$14&gt;=2040,AEO!$R15,(IF(AH$14&gt;=2031,AEO!$Q15,(IF(AH$14&gt;=2021,AEO!$P15,AEO!$O15))))^Parameters!$H$9))</f>
        <v>4427.9776497404782</v>
      </c>
      <c r="AI34" s="21">
        <f>AH34*IF(AI$14&gt;=2040,AEO!$R27,(IF(AI$14&gt;=2031,AEO!$Q27,(IF(AI$14&gt;=2021,AEO!$P27,AEO!$O27))))^Parameters!$I$9*IF(AI$14&gt;=2040,AEO!$R15,(IF(AI$14&gt;=2031,AEO!$Q15,(IF(AI$14&gt;=2021,AEO!$P15,AEO!$O15))))^Parameters!$H$9))</f>
        <v>4485.5203479646834</v>
      </c>
      <c r="AJ34" s="21">
        <f>AI34*IF(AJ$14&gt;=2040,AEO!$R27,(IF(AJ$14&gt;=2031,AEO!$Q27,(IF(AJ$14&gt;=2021,AEO!$P27,AEO!$O27))))^Parameters!$I$9*IF(AJ$14&gt;=2040,AEO!$R15,(IF(AJ$14&gt;=2031,AEO!$Q15,(IF(AJ$14&gt;=2021,AEO!$P15,AEO!$O15))))^Parameters!$H$9))</f>
        <v>4543.8108282196126</v>
      </c>
      <c r="AK34" s="21">
        <f>AJ34*IF(AK$14&gt;=2040,AEO!$R27,(IF(AK$14&gt;=2031,AEO!$Q27,(IF(AK$14&gt;=2021,AEO!$P27,AEO!$O27))))^Parameters!$I$9*IF(AK$14&gt;=2040,AEO!$R15,(IF(AK$14&gt;=2031,AEO!$Q15,(IF(AK$14&gt;=2021,AEO!$P15,AEO!$O15))))^Parameters!$H$9))</f>
        <v>4602.8588081233602</v>
      </c>
      <c r="AL34" s="21">
        <f>AK34*IF(AL$14&gt;=2040,AEO!$R27,(IF(AL$14&gt;=2031,AEO!$Q27,(IF(AL$14&gt;=2021,AEO!$P27,AEO!$O27))))^Parameters!$I$9*IF(AL$14&gt;=2040,AEO!$R15,(IF(AL$14&gt;=2031,AEO!$Q15,(IF(AL$14&gt;=2021,AEO!$P15,AEO!$O15))))^Parameters!$H$9))</f>
        <v>4662.6741315769441</v>
      </c>
      <c r="AM34" s="21">
        <f>AL34*IF(AM$14&gt;=2040,AEO!$R27,(IF(AM$14&gt;=2031,AEO!$Q27,(IF(AM$14&gt;=2021,AEO!$P27,AEO!$O27))))^Parameters!$I$9*IF(AM$14&gt;=2040,AEO!$R15,(IF(AM$14&gt;=2031,AEO!$Q15,(IF(AM$14&gt;=2021,AEO!$P15,AEO!$O15))))^Parameters!$H$9))</f>
        <v>4723.2667704053865</v>
      </c>
      <c r="AN34" s="21">
        <f>AM34*IF(AN$14&gt;=2040,AEO!$R27,(IF(AN$14&gt;=2031,AEO!$Q27,(IF(AN$14&gt;=2021,AEO!$P27,AEO!$O27))))^Parameters!$I$9*IF(AN$14&gt;=2040,AEO!$R15,(IF(AN$14&gt;=2031,AEO!$Q15,(IF(AN$14&gt;=2021,AEO!$P15,AEO!$O15))))^Parameters!$H$9))</f>
        <v>4784.6468260201173</v>
      </c>
      <c r="AO34" s="21">
        <f>AN34*IF(AO$14&gt;=2040,AEO!$R27,(IF(AO$14&gt;=2031,AEO!$Q27,(IF(AO$14&gt;=2021,AEO!$P27,AEO!$O27))))^Parameters!$I$9*IF(AO$14&gt;=2040,AEO!$R15,(IF(AO$14&gt;=2031,AEO!$Q15,(IF(AO$14&gt;=2021,AEO!$P15,AEO!$O15))))^Parameters!$H$9))</f>
        <v>4846.8245311029814</v>
      </c>
      <c r="AP34" s="21">
        <f>AO34*IF(AP$14&gt;=2040,AEO!$R27,(IF(AP$14&gt;=2031,AEO!$Q27,(IF(AP$14&gt;=2021,AEO!$P27,AEO!$O27))))^Parameters!$I$9*IF(AP$14&gt;=2040,AEO!$R15,(IF(AP$14&gt;=2031,AEO!$Q15,(IF(AP$14&gt;=2021,AEO!$P15,AEO!$O15))))^Parameters!$H$9))</f>
        <v>4909.8102513121339</v>
      </c>
      <c r="AQ34" s="21">
        <f>AP34*IF(AQ$14&gt;=2040,AEO!$R27,(IF(AQ$14&gt;=2031,AEO!$Q27,(IF(AQ$14&gt;=2021,AEO!$P27,AEO!$O27))))^Parameters!$I$9*IF(AQ$14&gt;=2040,AEO!$R15,(IF(AQ$14&gt;=2031,AEO!$Q15,(IF(AQ$14&gt;=2021,AEO!$P15,AEO!$O15))))^Parameters!$H$9))</f>
        <v>5011.9453006883732</v>
      </c>
      <c r="AS34" s="6">
        <f>ROW()</f>
        <v>34</v>
      </c>
    </row>
    <row r="35" spans="2:45" ht="13.95" customHeight="1">
      <c r="B35" s="1145" t="str">
        <f>CONCATENATE("Figures through 2015 are from MER, Table 7.6. Figures for ",T26, " and later apply (i) electricity income-elasticity in 'Parameters' page, Row ",Parameters!B9,", to assumed real GDP growth rate in 'AEO' tab, Row ",AEO!$V$27, "; and (ii) electricity price-elasticity in  'Parameters' page, Row ",Parameters!B9,", to assumed real electricity price changes in 'AEO' tab, Row ",AEO!$V$15, ". IF statement selects applicable rate for both income and price.")</f>
        <v>Figures through 2015 are from MER, Table 7.6. Figures for 2017 and later apply (i) electricity income-elasticity in 'Parameters' page, Row 9, to assumed real GDP growth rate in 'AEO' tab, Row 27; and (ii) electricity price-elasticity in  'Parameters' page, Row 9, to assumed real electricity price changes in 'AEO' tab, Row 15. IF statement selects applicable rate for both income and price.</v>
      </c>
      <c r="C35" s="1145"/>
      <c r="D35" s="1145"/>
      <c r="E35" s="1145"/>
      <c r="F35" s="1145"/>
      <c r="G35" s="1145"/>
      <c r="H35" s="1145"/>
      <c r="I35" s="1145"/>
      <c r="J35" s="1145"/>
      <c r="K35" s="1145"/>
      <c r="L35" s="1145"/>
      <c r="M35" s="1145"/>
      <c r="N35" s="1145"/>
      <c r="O35" s="1145"/>
      <c r="P35" s="1145"/>
      <c r="Q35" s="497"/>
      <c r="R35" s="762"/>
      <c r="S35" s="697"/>
      <c r="T35" s="277"/>
      <c r="U35" s="21"/>
      <c r="V35" s="21"/>
      <c r="W35" s="21"/>
      <c r="X35" s="21"/>
      <c r="Y35" s="21"/>
      <c r="Z35" s="21"/>
      <c r="AA35" s="21"/>
      <c r="AB35" s="21"/>
      <c r="AC35" s="21"/>
      <c r="AD35" s="21"/>
      <c r="AE35" s="21"/>
      <c r="AF35" s="21"/>
      <c r="AG35" s="21"/>
      <c r="AH35" s="21"/>
      <c r="AI35" s="21"/>
      <c r="AJ35" s="21"/>
      <c r="AK35" s="21"/>
      <c r="AL35" s="21"/>
      <c r="AM35" s="21"/>
      <c r="AN35" s="21"/>
      <c r="AO35" s="21"/>
      <c r="AP35" s="21"/>
      <c r="AQ35" s="21"/>
      <c r="AS35" s="6">
        <f>ROW()</f>
        <v>35</v>
      </c>
    </row>
    <row r="36" spans="2:45" ht="13.95" customHeight="1" thickBot="1">
      <c r="B36" s="1145"/>
      <c r="C36" s="1145"/>
      <c r="D36" s="1145"/>
      <c r="E36" s="1145"/>
      <c r="F36" s="1145"/>
      <c r="G36" s="1145"/>
      <c r="H36" s="1145"/>
      <c r="I36" s="1145"/>
      <c r="J36" s="1145"/>
      <c r="K36" s="1145"/>
      <c r="L36" s="1145"/>
      <c r="M36" s="1145"/>
      <c r="N36" s="1145"/>
      <c r="O36" s="1145"/>
      <c r="P36" s="1145"/>
      <c r="Q36" s="497"/>
      <c r="R36" s="762"/>
      <c r="S36" s="697"/>
      <c r="T36" s="240"/>
      <c r="AS36" s="6">
        <f>ROW()</f>
        <v>36</v>
      </c>
    </row>
    <row r="37" spans="2:45" ht="13.95" customHeight="1" thickBot="1">
      <c r="B37" s="14" t="s">
        <v>1057</v>
      </c>
      <c r="K37" s="507">
        <f>Emissions!Q45</f>
        <v>0.9753866568271935</v>
      </c>
      <c r="M37" s="67"/>
      <c r="N37" s="67"/>
      <c r="O37" s="67"/>
      <c r="T37" s="240"/>
      <c r="AS37" s="6">
        <f>ROW()</f>
        <v>37</v>
      </c>
    </row>
    <row r="38" spans="2:45" ht="13.95" customHeight="1">
      <c r="B38" s="84" t="str">
        <f>CONCATENATE("Derived in, and copied from, 'Emissions', Cell P",Emissions!S45, ".")</f>
        <v>Derived in, and copied from, 'Emissions', Cell P45.</v>
      </c>
      <c r="I38" s="371"/>
      <c r="J38" s="372"/>
      <c r="K38" s="369"/>
      <c r="M38" s="67"/>
      <c r="N38" s="67"/>
      <c r="O38" s="67"/>
      <c r="P38" s="67"/>
      <c r="Q38" s="67"/>
      <c r="R38" s="67"/>
      <c r="S38" s="67"/>
      <c r="T38" s="526"/>
      <c r="U38" s="67"/>
      <c r="V38" s="67"/>
      <c r="W38" s="152"/>
      <c r="X38" s="152"/>
      <c r="Y38" s="152"/>
      <c r="Z38" s="370"/>
      <c r="AS38" s="6">
        <f>ROW()</f>
        <v>38</v>
      </c>
    </row>
    <row r="39" spans="2:45" ht="13.95" customHeight="1">
      <c r="B39" s="31" t="s">
        <v>329</v>
      </c>
      <c r="I39" s="47"/>
      <c r="K39" s="373">
        <v>0.6</v>
      </c>
      <c r="N39" s="67"/>
      <c r="O39" s="67"/>
      <c r="P39" s="67"/>
      <c r="Q39" s="67"/>
      <c r="R39" s="67"/>
      <c r="S39" s="67"/>
      <c r="T39" s="240"/>
      <c r="AS39" s="6">
        <f>ROW()</f>
        <v>39</v>
      </c>
    </row>
    <row r="40" spans="2:45" ht="13.95" customHeight="1">
      <c r="B40" s="84" t="s">
        <v>1053</v>
      </c>
      <c r="O40" s="67"/>
      <c r="P40" s="67"/>
      <c r="Q40" s="67"/>
      <c r="R40" s="67"/>
      <c r="S40" s="67"/>
      <c r="T40" s="240"/>
      <c r="U40" s="3"/>
      <c r="V40" s="3"/>
      <c r="AS40" s="6">
        <f>ROW()</f>
        <v>40</v>
      </c>
    </row>
    <row r="41" spans="2:45" ht="13.95" customHeight="1">
      <c r="B41" s="31" t="s">
        <v>331</v>
      </c>
      <c r="K41" s="260">
        <f>1-K39*(1-K37)</f>
        <v>0.98523199409631612</v>
      </c>
      <c r="O41" s="67"/>
      <c r="P41" s="67"/>
      <c r="Q41" s="67"/>
      <c r="R41" s="67"/>
      <c r="S41" s="67"/>
      <c r="T41" s="240"/>
      <c r="U41" s="3"/>
      <c r="V41" s="3"/>
      <c r="AS41" s="6">
        <f>ROW()</f>
        <v>41</v>
      </c>
    </row>
    <row r="42" spans="2:45" ht="13.95" customHeight="1">
      <c r="B42" s="84" t="str">
        <f>CONCATENATE("Complement of product of Cell K",AS39, " and complement of Cell K",AS37, ".")</f>
        <v>Complement of product of Cell K39 and complement of Cell K37.</v>
      </c>
      <c r="O42" s="67"/>
      <c r="P42" s="67"/>
      <c r="Q42" s="67"/>
      <c r="R42" s="67"/>
      <c r="S42" s="67"/>
      <c r="T42" s="526"/>
      <c r="U42" s="3"/>
      <c r="V42" s="3"/>
      <c r="AS42" s="6">
        <f>ROW()</f>
        <v>42</v>
      </c>
    </row>
    <row r="43" spans="2:45" ht="13.95" customHeight="1">
      <c r="B43" s="31" t="s">
        <v>335</v>
      </c>
      <c r="C43" s="153"/>
      <c r="D43" s="153"/>
      <c r="E43" s="153"/>
      <c r="K43" s="374">
        <f>1-K41</f>
        <v>1.4768005903683878E-2</v>
      </c>
      <c r="L43" s="84"/>
      <c r="M43" s="153"/>
      <c r="N43" s="153"/>
      <c r="O43" s="153"/>
      <c r="P43" s="67"/>
      <c r="Q43" s="67"/>
      <c r="R43" s="67"/>
      <c r="S43" s="67"/>
      <c r="T43" s="240"/>
      <c r="U43" s="3"/>
      <c r="V43" s="3"/>
      <c r="AS43" s="6">
        <f>ROW()</f>
        <v>43</v>
      </c>
    </row>
    <row r="44" spans="2:45" ht="13.95" customHeight="1">
      <c r="B44" s="84" t="str">
        <f>CONCATENATE("Complement of Cell K",AS41, ".")</f>
        <v>Complement of Cell K41.</v>
      </c>
      <c r="O44" s="67"/>
      <c r="P44" s="67"/>
      <c r="Q44" s="67"/>
      <c r="R44" s="67"/>
      <c r="S44" s="67"/>
      <c r="T44" s="240"/>
      <c r="AS44" s="6">
        <f>ROW()</f>
        <v>44</v>
      </c>
    </row>
    <row r="45" spans="2:45" ht="13.95" customHeight="1">
      <c r="B45" s="31" t="s">
        <v>330</v>
      </c>
      <c r="I45" s="161">
        <f>Emissions!G43</f>
        <v>1.3119877576265015</v>
      </c>
      <c r="J45" s="161">
        <f>Emissions!H43</f>
        <v>1.2794819173159859</v>
      </c>
      <c r="K45" s="161">
        <f>Emissions!I43</f>
        <v>1.2864792897010242</v>
      </c>
      <c r="L45" s="161">
        <f>Emissions!J43</f>
        <v>1.2698833673283527</v>
      </c>
      <c r="M45" s="162">
        <f>Emissions!K43</f>
        <v>1.2039965987386247</v>
      </c>
      <c r="N45" s="176">
        <f>Emissions!L43</f>
        <v>1.212866024078826</v>
      </c>
      <c r="O45" s="176">
        <f>Emissions!M43</f>
        <v>1.1658133427861075</v>
      </c>
      <c r="P45" s="176">
        <f>Emissions!N43</f>
        <v>1.1069763714509471</v>
      </c>
      <c r="Q45" s="176">
        <f>Emissions!O43</f>
        <v>1.1110239599884237</v>
      </c>
      <c r="R45" s="176">
        <f>Emissions!P43</f>
        <v>1.1034873116416684</v>
      </c>
      <c r="S45" s="176">
        <f>Emissions!Q43</f>
        <v>1.0225813896746923</v>
      </c>
      <c r="T45" s="527">
        <f>S45*$K$41^(T14-S14)</f>
        <v>0.99260143253920019</v>
      </c>
      <c r="U45" s="162">
        <f t="shared" ref="U45:AQ45" si="5">T45*$K$41</f>
        <v>0.97794268872345624</v>
      </c>
      <c r="V45" s="162">
        <f t="shared" si="5"/>
        <v>0.96350042532292379</v>
      </c>
      <c r="W45" s="162">
        <f t="shared" si="5"/>
        <v>0.9492714453535529</v>
      </c>
      <c r="X45" s="162">
        <f t="shared" si="5"/>
        <v>0.93525259904437308</v>
      </c>
      <c r="Y45" s="162">
        <f t="shared" si="5"/>
        <v>0.92144078314025013</v>
      </c>
      <c r="Z45" s="162">
        <f t="shared" si="5"/>
        <v>0.90783294021493977</v>
      </c>
      <c r="AA45" s="162">
        <f t="shared" si="5"/>
        <v>0.89442605799428687</v>
      </c>
      <c r="AB45" s="162">
        <f t="shared" si="5"/>
        <v>0.88121716868941857</v>
      </c>
      <c r="AC45" s="162">
        <f t="shared" si="5"/>
        <v>0.86820334833978563</v>
      </c>
      <c r="AD45" s="162">
        <f t="shared" si="5"/>
        <v>0.85538171616590553</v>
      </c>
      <c r="AE45" s="162">
        <f t="shared" si="5"/>
        <v>0.84274943393166424</v>
      </c>
      <c r="AF45" s="162">
        <f t="shared" si="5"/>
        <v>0.83030370531603515</v>
      </c>
      <c r="AG45" s="162">
        <f t="shared" si="5"/>
        <v>0.81804177529407729</v>
      </c>
      <c r="AH45" s="162">
        <f t="shared" si="5"/>
        <v>0.80596092952707432</v>
      </c>
      <c r="AI45" s="162">
        <f t="shared" si="5"/>
        <v>0.79405849376167992</v>
      </c>
      <c r="AJ45" s="162">
        <f t="shared" si="5"/>
        <v>0.78233183323793709</v>
      </c>
      <c r="AK45" s="162">
        <f t="shared" si="5"/>
        <v>0.7707783521060394</v>
      </c>
      <c r="AL45" s="162">
        <f t="shared" si="5"/>
        <v>0.75939549285170571</v>
      </c>
      <c r="AM45" s="162">
        <f t="shared" si="5"/>
        <v>0.74818073573004085</v>
      </c>
      <c r="AN45" s="162">
        <f t="shared" si="5"/>
        <v>0.73713159820775709</v>
      </c>
      <c r="AO45" s="162">
        <f t="shared" si="5"/>
        <v>0.72624563441363299</v>
      </c>
      <c r="AP45" s="162">
        <f t="shared" si="5"/>
        <v>0.71552043459708781</v>
      </c>
      <c r="AQ45" s="162">
        <f t="shared" si="5"/>
        <v>0.70495362459475153</v>
      </c>
      <c r="AS45" s="6">
        <f>ROW()</f>
        <v>45</v>
      </c>
    </row>
    <row r="46" spans="2:45" ht="13.95" customHeight="1">
      <c r="B46" s="84" t="str">
        <f>CONCATENATE("Figures through ",S26, " are calc'd in 'Emissions' worksheet, Row ",Emissions!S43, ". Subsequent figures are previous year's figure times ratio in Cell K",AS41, ".")</f>
        <v>Figures through 2015 are calc'd in 'Emissions' worksheet, Row 43. Subsequent figures are previous year's figure times ratio in Cell K41.</v>
      </c>
      <c r="M46" s="67"/>
      <c r="N46" s="67"/>
      <c r="O46" s="67"/>
      <c r="P46" s="67"/>
      <c r="Q46" s="67"/>
      <c r="R46" s="372"/>
      <c r="S46" s="957"/>
      <c r="T46" s="67"/>
      <c r="AS46" s="6">
        <f>ROW()</f>
        <v>46</v>
      </c>
    </row>
    <row r="47" spans="2:45" ht="13.95" customHeight="1">
      <c r="B47" s="14" t="s">
        <v>95</v>
      </c>
      <c r="E47" s="117"/>
      <c r="F47" s="508" t="s">
        <v>1058</v>
      </c>
      <c r="G47" s="521">
        <f>AVERAGE(I47:S47)</f>
        <v>1.0595800760640055</v>
      </c>
      <c r="I47" s="22">
        <f t="shared" ref="I47:Q47" si="6">I48/I34</f>
        <v>1.0641405745019696</v>
      </c>
      <c r="J47" s="22">
        <f t="shared" si="6"/>
        <v>1.0649375981073912</v>
      </c>
      <c r="K47" s="22">
        <f t="shared" si="6"/>
        <v>1.0685084855003146</v>
      </c>
      <c r="L47" s="22">
        <f t="shared" si="6"/>
        <v>1.0657745008367203</v>
      </c>
      <c r="M47" s="154">
        <f t="shared" si="6"/>
        <v>1.0608324644742253</v>
      </c>
      <c r="N47" s="154">
        <f t="shared" si="6"/>
        <v>1.0614080882485295</v>
      </c>
      <c r="O47" s="22">
        <f t="shared" si="6"/>
        <v>1.0560296447992574</v>
      </c>
      <c r="P47" s="22">
        <f t="shared" si="6"/>
        <v>1.0562217496240081</v>
      </c>
      <c r="Q47" s="22">
        <f t="shared" si="6"/>
        <v>1.0510268642855343</v>
      </c>
      <c r="R47" s="956">
        <f t="shared" ref="R47:S47" si="7">R48/R34</f>
        <v>1.048590155853778</v>
      </c>
      <c r="S47" s="958">
        <f t="shared" si="7"/>
        <v>1.0579107104723324</v>
      </c>
      <c r="T47" s="67"/>
      <c r="AS47" s="6">
        <f>ROW()</f>
        <v>47</v>
      </c>
    </row>
    <row r="48" spans="2:45" ht="13.95" customHeight="1">
      <c r="B48" s="14" t="s">
        <v>649</v>
      </c>
      <c r="G48" s="164"/>
      <c r="H48" s="165"/>
      <c r="I48" s="166">
        <f>Energy!G7</f>
        <v>4055.4227500000002</v>
      </c>
      <c r="J48" s="166">
        <f>Energy!H7</f>
        <v>4064.7022280000001</v>
      </c>
      <c r="K48" s="166">
        <f>Energy!I7</f>
        <v>4156.7447240000001</v>
      </c>
      <c r="L48" s="166">
        <f>Energy!J7</f>
        <v>4119.3877599999996</v>
      </c>
      <c r="M48" s="166">
        <f>Energy!K7</f>
        <v>3950.330927</v>
      </c>
      <c r="N48" s="166">
        <f>Energy!L7</f>
        <v>4125.0599000000002</v>
      </c>
      <c r="O48" s="166">
        <f>Energy!M7</f>
        <v>4100.1409270000004</v>
      </c>
      <c r="P48" s="166">
        <f>Energy!N7</f>
        <v>4047.7652600000001</v>
      </c>
      <c r="Q48" s="166">
        <f>Energy!O7</f>
        <v>4065.9640680000002</v>
      </c>
      <c r="R48" s="781">
        <f>Energy!P7</f>
        <v>4092.9346919999998</v>
      </c>
      <c r="S48" s="959">
        <f>Energy!Q7</f>
        <v>4087</v>
      </c>
      <c r="T48" s="167">
        <f t="shared" ref="T48:AP48" si="8">T34*$G$47</f>
        <v>4134.443802543844</v>
      </c>
      <c r="U48" s="167">
        <f>U34*$G$47</f>
        <v>4175.8489343755882</v>
      </c>
      <c r="V48" s="167">
        <f t="shared" si="8"/>
        <v>4217.6687253547016</v>
      </c>
      <c r="W48" s="167">
        <f t="shared" si="8"/>
        <v>4259.9073281598685</v>
      </c>
      <c r="X48" s="167">
        <f t="shared" si="8"/>
        <v>4295.6937851778785</v>
      </c>
      <c r="Y48" s="167">
        <f t="shared" si="8"/>
        <v>4331.7808756151726</v>
      </c>
      <c r="Z48" s="167">
        <f t="shared" si="8"/>
        <v>4368.17112502081</v>
      </c>
      <c r="AA48" s="167">
        <f t="shared" si="8"/>
        <v>4404.8670801603766</v>
      </c>
      <c r="AB48" s="167">
        <f t="shared" si="8"/>
        <v>4441.8713091942263</v>
      </c>
      <c r="AC48" s="167">
        <f t="shared" si="8"/>
        <v>4479.1864018572096</v>
      </c>
      <c r="AD48" s="167">
        <f t="shared" si="8"/>
        <v>4516.8149696399169</v>
      </c>
      <c r="AE48" s="167">
        <f t="shared" si="8"/>
        <v>4554.7596459714423</v>
      </c>
      <c r="AF48" s="167">
        <f t="shared" si="8"/>
        <v>4593.0230864036848</v>
      </c>
      <c r="AG48" s="167">
        <f t="shared" si="8"/>
        <v>4631.6079687971969</v>
      </c>
      <c r="AH48" s="167">
        <f t="shared" si="8"/>
        <v>4691.796894921732</v>
      </c>
      <c r="AI48" s="167">
        <f t="shared" si="8"/>
        <v>4752.7679914830633</v>
      </c>
      <c r="AJ48" s="167">
        <f t="shared" si="8"/>
        <v>4814.5314229853893</v>
      </c>
      <c r="AK48" s="167">
        <f t="shared" si="8"/>
        <v>4877.0974860232272</v>
      </c>
      <c r="AL48" s="167">
        <f t="shared" si="8"/>
        <v>4940.4766109979691</v>
      </c>
      <c r="AM48" s="167">
        <f t="shared" si="8"/>
        <v>5004.6793638567287</v>
      </c>
      <c r="AN48" s="167">
        <f t="shared" si="8"/>
        <v>5069.7164478537979</v>
      </c>
      <c r="AO48" s="167">
        <f t="shared" si="8"/>
        <v>5135.5987053349845</v>
      </c>
      <c r="AP48" s="167">
        <f t="shared" si="8"/>
        <v>5202.3371195451446</v>
      </c>
      <c r="AQ48" s="167">
        <f t="shared" ref="AQ48" si="9">AQ34*$G$47</f>
        <v>5310.557382932021</v>
      </c>
      <c r="AS48" s="6">
        <f>ROW()</f>
        <v>48</v>
      </c>
    </row>
    <row r="49" spans="2:45" ht="13.95" customHeight="1">
      <c r="B49" s="84" t="str">
        <f>CONCATENATE("Figures through ",S26, " are from Energy worksheet, Row ",Energy!R7, ". From ",T26, ", each figure is product of projected end-use TWh in Row ",AS34, " and empirical ratio of generation to sales in Cell G",AS47, ".")</f>
        <v>Figures through 2015 are from Energy worksheet, Row 7. From 2017, each figure is product of projected end-use TWh in Row 34 and empirical ratio of generation to sales in Cell G47.</v>
      </c>
      <c r="M49" s="67"/>
      <c r="N49" s="67"/>
      <c r="O49" s="67"/>
      <c r="P49" s="67"/>
      <c r="Q49" s="67"/>
      <c r="R49" s="67"/>
      <c r="S49" s="67"/>
      <c r="T49" s="240"/>
      <c r="AS49" s="6">
        <f>ROW()</f>
        <v>49</v>
      </c>
    </row>
    <row r="50" spans="2:45" ht="13.95" customHeight="1">
      <c r="B50" t="s">
        <v>90</v>
      </c>
      <c r="I50" s="17">
        <f>Emissions!G40</f>
        <v>2413</v>
      </c>
      <c r="J50" s="17">
        <f>Emissions!H40</f>
        <v>2358.6</v>
      </c>
      <c r="K50" s="17">
        <f>Emissions!I40</f>
        <v>2425.1999999999998</v>
      </c>
      <c r="L50" s="17">
        <f>Emissions!J40</f>
        <v>2372.4</v>
      </c>
      <c r="M50" s="17">
        <f>Emissions!K40</f>
        <v>2156.9999999999995</v>
      </c>
      <c r="N50" s="17">
        <f>Emissions!L40</f>
        <v>2269</v>
      </c>
      <c r="O50" s="17">
        <f>Emissions!M40</f>
        <v>2167.8000000000002</v>
      </c>
      <c r="P50" s="504">
        <f>Emissions!N40</f>
        <v>2032.1000000000001</v>
      </c>
      <c r="Q50" s="504">
        <f>Emissions!O40</f>
        <v>2048.7000000000003</v>
      </c>
      <c r="R50" s="504">
        <f>Emissions!P40</f>
        <v>2048.3000000000002</v>
      </c>
      <c r="S50" s="504">
        <f>S48*S45/Parameters!$I$18*1000</f>
        <v>1895.3696778233411</v>
      </c>
      <c r="T50" s="528">
        <f>T48*T45/Parameters!$I$18*1000</f>
        <v>1861.1586581214683</v>
      </c>
      <c r="U50" s="17">
        <f>U48*U45/Parameters!$I$18*1000</f>
        <v>1852.0367050277744</v>
      </c>
      <c r="V50" s="17">
        <f>V48*V45/Parameters!$I$18*1000</f>
        <v>1842.9594606577998</v>
      </c>
      <c r="W50" s="17">
        <f>W48*W45/Parameters!$I$18*1000</f>
        <v>1833.9267058841315</v>
      </c>
      <c r="X50" s="17">
        <f>X48*X45/Parameters!$I$18*1000</f>
        <v>1822.0221212183092</v>
      </c>
      <c r="Y50" s="17">
        <f>Y48*Y45/Parameters!$I$18*1000</f>
        <v>1810.194812888346</v>
      </c>
      <c r="Z50" s="17">
        <f>Z48*Z45/Parameters!$I$18*1000</f>
        <v>1798.4442792696796</v>
      </c>
      <c r="AA50" s="17">
        <f>AA48*AA45/Parameters!$I$18*1000</f>
        <v>1786.7700219939454</v>
      </c>
      <c r="AB50" s="17">
        <f>AB48*AB45/Parameters!$I$18*1000</f>
        <v>1775.1715459278446</v>
      </c>
      <c r="AC50" s="17">
        <f>AC48*AC45/Parameters!$I$18*1000</f>
        <v>1763.6483591521385</v>
      </c>
      <c r="AD50" s="17">
        <f>AD48*AD45/Parameters!$I$18*1000</f>
        <v>1752.1999729407914</v>
      </c>
      <c r="AE50" s="17">
        <f>AE48*AE45/Parameters!$I$18*1000</f>
        <v>1740.8259017402361</v>
      </c>
      <c r="AF50" s="17">
        <f>AF48*AF45/Parameters!$I$18*1000</f>
        <v>1729.5256631487853</v>
      </c>
      <c r="AG50" s="17">
        <f>AG48*AG45/Parameters!$I$18*1000</f>
        <v>1718.2987778961697</v>
      </c>
      <c r="AH50" s="17">
        <f>AH48*AH45/Parameters!$I$18*1000</f>
        <v>1714.9228964096872</v>
      </c>
      <c r="AI50" s="17">
        <f>AI48*AI45/Parameters!$I$18*1000</f>
        <v>1711.5536473994405</v>
      </c>
      <c r="AJ50" s="17">
        <f>AJ48*AJ45/Parameters!$I$18*1000</f>
        <v>1708.191017834836</v>
      </c>
      <c r="AK50" s="17">
        <f>AK48*AK45/Parameters!$I$18*1000</f>
        <v>1704.83499471088</v>
      </c>
      <c r="AL50" s="17">
        <f>AL48*AL45/Parameters!$I$18*1000</f>
        <v>1701.4855650481304</v>
      </c>
      <c r="AM50" s="17">
        <f>AM48*AM45/Parameters!$I$18*1000</f>
        <v>1698.1427158926438</v>
      </c>
      <c r="AN50" s="17">
        <f>AN48*AN45/Parameters!$I$18*1000</f>
        <v>1694.8064343159288</v>
      </c>
      <c r="AO50" s="17">
        <f>AO48*AO45/Parameters!$I$18*1000</f>
        <v>1691.4767074148926</v>
      </c>
      <c r="AP50" s="17">
        <f>AP48*AP45/Parameters!$I$18*1000</f>
        <v>1688.1535223117933</v>
      </c>
      <c r="AQ50" s="17">
        <f>AQ48*AQ45/Parameters!$I$18*1000</f>
        <v>1697.821621640066</v>
      </c>
      <c r="AS50" s="6">
        <f>ROW()</f>
        <v>50</v>
      </c>
    </row>
    <row r="51" spans="2:45" ht="13.95" customHeight="1">
      <c r="B51" s="84" t="str">
        <f>CONCATENATE("Figures through ",S26, " are from Emissions worksheet, Row ",Emissions!S40, ". From ",T26, ", each figure is product of projected electricity generation TWh in Row ",AS48, " and projected ratio of CO2/kWh generated in Cell G",AS45, ".")</f>
        <v>Figures through 2015 are from Emissions worksheet, Row 40. From 2017, each figure is product of projected electricity generation TWh in Row 48 and projected ratio of CO2/kWh generated in Cell G45.</v>
      </c>
      <c r="I51" s="17"/>
      <c r="J51" s="17"/>
      <c r="K51" s="17"/>
      <c r="L51" s="17"/>
      <c r="M51" s="17"/>
      <c r="N51" s="17"/>
      <c r="O51" s="17"/>
      <c r="P51" s="504"/>
      <c r="Q51" s="504"/>
      <c r="R51" s="504"/>
      <c r="S51" s="504"/>
      <c r="T51" s="528"/>
      <c r="U51" s="17"/>
      <c r="V51" s="17"/>
      <c r="W51" s="17"/>
      <c r="X51" s="17"/>
      <c r="Y51" s="17"/>
      <c r="Z51" s="17"/>
      <c r="AA51" s="17"/>
      <c r="AB51" s="17"/>
      <c r="AC51" s="17"/>
      <c r="AD51" s="17"/>
      <c r="AE51" s="17"/>
      <c r="AF51" s="17"/>
      <c r="AG51" s="17"/>
      <c r="AH51" s="17"/>
      <c r="AI51" s="17"/>
      <c r="AJ51" s="17"/>
      <c r="AK51" s="17"/>
      <c r="AL51" s="17"/>
      <c r="AM51" s="17"/>
      <c r="AN51" s="17"/>
      <c r="AO51" s="17"/>
      <c r="AP51" s="17"/>
      <c r="AQ51" s="17"/>
      <c r="AS51" s="6">
        <f>ROW()</f>
        <v>51</v>
      </c>
    </row>
    <row r="52" spans="2:45" ht="13.95" customHeight="1">
      <c r="B52" s="84"/>
      <c r="I52" s="17"/>
      <c r="J52" s="17"/>
      <c r="K52" s="17"/>
      <c r="L52" s="17"/>
      <c r="M52" s="17"/>
      <c r="N52" s="17"/>
      <c r="O52" s="17"/>
      <c r="P52" s="17"/>
      <c r="Q52" s="504"/>
      <c r="R52" s="504"/>
      <c r="S52" s="504"/>
      <c r="T52" s="528"/>
      <c r="U52" s="17"/>
      <c r="V52" s="17"/>
      <c r="W52" s="17"/>
      <c r="X52" s="17"/>
      <c r="Y52" s="17"/>
      <c r="Z52" s="17"/>
      <c r="AA52" s="17"/>
      <c r="AB52" s="17"/>
      <c r="AC52" s="17"/>
      <c r="AD52" s="17"/>
      <c r="AE52" s="17"/>
      <c r="AF52" s="17"/>
      <c r="AG52" s="17"/>
      <c r="AH52" s="17"/>
      <c r="AI52" s="17"/>
      <c r="AJ52" s="17"/>
      <c r="AK52" s="17"/>
      <c r="AL52" s="17"/>
      <c r="AM52" s="17"/>
      <c r="AN52" s="17"/>
      <c r="AO52" s="17"/>
      <c r="AP52" s="17"/>
      <c r="AQ52" s="17"/>
      <c r="AS52" s="6">
        <f>ROW()</f>
        <v>52</v>
      </c>
    </row>
    <row r="53" spans="2:45" ht="13.95" customHeight="1" thickBot="1">
      <c r="B53" s="3"/>
      <c r="H53" s="18"/>
      <c r="I53" s="175">
        <v>2005</v>
      </c>
      <c r="J53" s="175">
        <v>2006</v>
      </c>
      <c r="K53" s="175">
        <f t="shared" ref="K53:AP53" si="10">K14</f>
        <v>2007</v>
      </c>
      <c r="L53" s="122">
        <f t="shared" si="10"/>
        <v>2008</v>
      </c>
      <c r="M53" s="122">
        <f t="shared" si="10"/>
        <v>2009</v>
      </c>
      <c r="N53" s="122">
        <f t="shared" si="10"/>
        <v>2010</v>
      </c>
      <c r="O53" s="122">
        <f t="shared" si="10"/>
        <v>2011</v>
      </c>
      <c r="P53" s="122">
        <f t="shared" si="10"/>
        <v>2012</v>
      </c>
      <c r="Q53" s="212">
        <f t="shared" si="10"/>
        <v>2013</v>
      </c>
      <c r="R53" s="212">
        <f t="shared" ref="R53" si="11">R14</f>
        <v>2014</v>
      </c>
      <c r="S53" s="212">
        <f t="shared" si="10"/>
        <v>2015</v>
      </c>
      <c r="T53" s="101">
        <f t="shared" si="10"/>
        <v>2017</v>
      </c>
      <c r="U53" s="249">
        <f t="shared" si="10"/>
        <v>2018</v>
      </c>
      <c r="V53" s="249">
        <f t="shared" si="10"/>
        <v>2019</v>
      </c>
      <c r="W53" s="249">
        <f t="shared" si="10"/>
        <v>2020</v>
      </c>
      <c r="X53" s="249">
        <f t="shared" si="10"/>
        <v>2021</v>
      </c>
      <c r="Y53" s="249">
        <f t="shared" si="10"/>
        <v>2022</v>
      </c>
      <c r="Z53" s="249">
        <f t="shared" si="10"/>
        <v>2023</v>
      </c>
      <c r="AA53" s="249">
        <f t="shared" si="10"/>
        <v>2024</v>
      </c>
      <c r="AB53" s="249">
        <f t="shared" si="10"/>
        <v>2025</v>
      </c>
      <c r="AC53" s="249">
        <f t="shared" si="10"/>
        <v>2026</v>
      </c>
      <c r="AD53" s="249">
        <f t="shared" si="10"/>
        <v>2027</v>
      </c>
      <c r="AE53" s="249">
        <f t="shared" si="10"/>
        <v>2028</v>
      </c>
      <c r="AF53" s="249">
        <f t="shared" si="10"/>
        <v>2029</v>
      </c>
      <c r="AG53" s="249">
        <f t="shared" si="10"/>
        <v>2030</v>
      </c>
      <c r="AH53" s="249">
        <f t="shared" si="10"/>
        <v>2031</v>
      </c>
      <c r="AI53" s="249">
        <f t="shared" si="10"/>
        <v>2032</v>
      </c>
      <c r="AJ53" s="249">
        <f t="shared" si="10"/>
        <v>2033</v>
      </c>
      <c r="AK53" s="249">
        <f t="shared" si="10"/>
        <v>2034</v>
      </c>
      <c r="AL53" s="249">
        <f t="shared" si="10"/>
        <v>2035</v>
      </c>
      <c r="AM53" s="249">
        <f t="shared" si="10"/>
        <v>2036</v>
      </c>
      <c r="AN53" s="249">
        <f t="shared" si="10"/>
        <v>2037</v>
      </c>
      <c r="AO53" s="249">
        <f t="shared" si="10"/>
        <v>2038</v>
      </c>
      <c r="AP53" s="249">
        <f t="shared" si="10"/>
        <v>2039</v>
      </c>
      <c r="AQ53" s="249">
        <f t="shared" ref="AQ53" si="12">AQ14</f>
        <v>2040</v>
      </c>
      <c r="AS53" s="6">
        <f>ROW()</f>
        <v>53</v>
      </c>
    </row>
    <row r="54" spans="2:45" ht="13.95" customHeight="1">
      <c r="B54" s="1265" t="str">
        <f>CONCATENATE("Assumed rate at which each $",N54, "/ton CO2 charge (expressed in ",R53, "$) magnifies baseline factor in Cell K",AS43, " by which CO2/kWh ratio changes each year absent a carbon charge.")</f>
        <v>Assumed rate at which each $10/ton CO2 charge (expressed in 2014$) magnifies baseline factor in Cell K43 by which CO2/kWh ratio changes each year absent a carbon charge.</v>
      </c>
      <c r="C54" s="1266"/>
      <c r="D54" s="1266"/>
      <c r="E54" s="1266"/>
      <c r="F54" s="1266"/>
      <c r="G54" s="1266"/>
      <c r="H54" s="1266"/>
      <c r="I54" s="1266"/>
      <c r="J54" s="1267"/>
      <c r="K54" s="1260">
        <v>3</v>
      </c>
      <c r="N54" s="258">
        <v>10</v>
      </c>
      <c r="O54" s="259" t="s">
        <v>22</v>
      </c>
      <c r="Q54" s="67"/>
      <c r="R54" s="67"/>
      <c r="S54" s="67"/>
      <c r="T54" s="529"/>
      <c r="V54" s="19"/>
      <c r="W54" s="19"/>
      <c r="X54" s="19"/>
      <c r="Y54" s="19"/>
      <c r="Z54" s="19"/>
      <c r="AA54" s="19"/>
      <c r="AB54" s="19"/>
      <c r="AC54" s="19"/>
      <c r="AD54" s="19"/>
      <c r="AE54" s="19"/>
      <c r="AF54" s="19"/>
      <c r="AG54" s="19"/>
      <c r="AH54" s="19"/>
      <c r="AI54" s="19"/>
      <c r="AJ54" s="19"/>
      <c r="AK54" s="19"/>
      <c r="AL54" s="19"/>
      <c r="AM54" s="19"/>
      <c r="AN54" s="19"/>
      <c r="AO54" s="19"/>
      <c r="AP54" s="19"/>
      <c r="AQ54" s="19"/>
      <c r="AS54" s="6">
        <f>ROW()</f>
        <v>54</v>
      </c>
    </row>
    <row r="55" spans="2:45" ht="13.95" customHeight="1">
      <c r="B55" s="1268"/>
      <c r="C55" s="1269"/>
      <c r="D55" s="1269"/>
      <c r="E55" s="1269"/>
      <c r="F55" s="1269"/>
      <c r="G55" s="1269"/>
      <c r="H55" s="1269"/>
      <c r="I55" s="1269"/>
      <c r="J55" s="1270"/>
      <c r="K55" s="1261"/>
      <c r="N55" s="67"/>
      <c r="O55" s="67"/>
      <c r="P55" s="67"/>
      <c r="Q55" s="67"/>
      <c r="R55" s="67"/>
      <c r="S55" s="67"/>
      <c r="T55" s="529"/>
      <c r="V55" s="19"/>
      <c r="W55" s="19"/>
      <c r="X55" s="19"/>
      <c r="Y55" s="19"/>
      <c r="Z55" s="19"/>
      <c r="AA55" s="19"/>
      <c r="AB55" s="19"/>
      <c r="AC55" s="19"/>
      <c r="AD55" s="19"/>
      <c r="AE55" s="19"/>
      <c r="AF55" s="19"/>
      <c r="AG55" s="19"/>
      <c r="AH55" s="19"/>
      <c r="AI55" s="19"/>
      <c r="AJ55" s="19"/>
      <c r="AK55" s="19"/>
      <c r="AL55" s="19"/>
      <c r="AM55" s="19"/>
      <c r="AN55" s="19"/>
      <c r="AO55" s="19"/>
      <c r="AP55" s="19"/>
      <c r="AQ55" s="19"/>
      <c r="AS55" s="6">
        <f>ROW()</f>
        <v>55</v>
      </c>
    </row>
    <row r="56" spans="2:45" ht="13.95" customHeight="1">
      <c r="B56" s="1264" t="s">
        <v>898</v>
      </c>
      <c r="C56" s="1099"/>
      <c r="D56" s="1099"/>
      <c r="E56" s="1099"/>
      <c r="F56" s="1099"/>
      <c r="G56" s="1099"/>
      <c r="H56" s="1099"/>
      <c r="I56" s="1099"/>
      <c r="J56" s="1099"/>
      <c r="K56" s="1099"/>
      <c r="L56" s="1099"/>
      <c r="M56" s="1100"/>
      <c r="P56" s="67"/>
      <c r="Q56" s="67"/>
      <c r="R56" s="67"/>
      <c r="S56" s="67"/>
      <c r="T56" s="240"/>
      <c r="V56" s="84"/>
      <c r="W56" s="84"/>
      <c r="X56" s="84"/>
      <c r="Y56" s="84"/>
      <c r="AS56" s="6">
        <f>ROW()</f>
        <v>56</v>
      </c>
    </row>
    <row r="57" spans="2:45" ht="13.95" customHeight="1">
      <c r="B57" s="1101"/>
      <c r="C57" s="1102"/>
      <c r="D57" s="1102"/>
      <c r="E57" s="1102"/>
      <c r="F57" s="1102"/>
      <c r="G57" s="1102"/>
      <c r="H57" s="1102"/>
      <c r="I57" s="1102"/>
      <c r="J57" s="1102"/>
      <c r="K57" s="1102"/>
      <c r="L57" s="1102"/>
      <c r="M57" s="1103"/>
      <c r="P57" s="67"/>
      <c r="Q57" s="67"/>
      <c r="R57" s="67"/>
      <c r="S57" s="67"/>
      <c r="T57" s="240"/>
      <c r="V57" s="84"/>
      <c r="W57" s="84"/>
      <c r="X57" s="84"/>
      <c r="Y57" s="84"/>
      <c r="AS57" s="6">
        <f>ROW()</f>
        <v>57</v>
      </c>
    </row>
    <row r="58" spans="2:45" ht="13.95" customHeight="1">
      <c r="B58" s="1104"/>
      <c r="C58" s="1105"/>
      <c r="D58" s="1105"/>
      <c r="E58" s="1105"/>
      <c r="F58" s="1105"/>
      <c r="G58" s="1105"/>
      <c r="H58" s="1105"/>
      <c r="I58" s="1105"/>
      <c r="J58" s="1105"/>
      <c r="K58" s="1105"/>
      <c r="L58" s="1105"/>
      <c r="M58" s="1106"/>
      <c r="P58" s="67"/>
      <c r="Q58" s="67"/>
      <c r="R58" s="67"/>
      <c r="S58" s="67"/>
      <c r="T58" s="240"/>
      <c r="V58" s="3"/>
      <c r="W58" s="3"/>
      <c r="X58" s="3"/>
      <c r="AS58" s="6">
        <f>ROW()</f>
        <v>58</v>
      </c>
    </row>
    <row r="59" spans="2:45" ht="13.95" customHeight="1">
      <c r="B59" s="14" t="s">
        <v>877</v>
      </c>
      <c r="G59" s="84" t="s">
        <v>332</v>
      </c>
      <c r="N59" s="152">
        <f t="shared" ref="N59:S59" si="13">N45</f>
        <v>1.212866024078826</v>
      </c>
      <c r="O59" s="152">
        <f t="shared" si="13"/>
        <v>1.1658133427861075</v>
      </c>
      <c r="P59" s="152">
        <f t="shared" si="13"/>
        <v>1.1069763714509471</v>
      </c>
      <c r="Q59" s="152">
        <f t="shared" si="13"/>
        <v>1.1110239599884237</v>
      </c>
      <c r="R59" s="152">
        <f t="shared" si="13"/>
        <v>1.1034873116416684</v>
      </c>
      <c r="S59" s="152">
        <f t="shared" si="13"/>
        <v>1.0225813896746923</v>
      </c>
      <c r="T59" s="525">
        <f t="shared" ref="T59:AQ59" si="14">T45*(1-$K$54*$K$43)^(T22/$N$54)</f>
        <v>0.94487376377857124</v>
      </c>
      <c r="U59" s="152">
        <f t="shared" si="14"/>
        <v>0.88615805436196504</v>
      </c>
      <c r="V59" s="152">
        <f t="shared" si="14"/>
        <v>0.83109101703728849</v>
      </c>
      <c r="W59" s="152">
        <f t="shared" si="14"/>
        <v>0.77944591847939371</v>
      </c>
      <c r="X59" s="152">
        <f t="shared" si="14"/>
        <v>0.73101011487280643</v>
      </c>
      <c r="Y59" s="152">
        <f t="shared" si="14"/>
        <v>0.68558417637089863</v>
      </c>
      <c r="Z59" s="152">
        <f t="shared" si="14"/>
        <v>0.64298106596233129</v>
      </c>
      <c r="AA59" s="152">
        <f t="shared" si="14"/>
        <v>0.60302536936382634</v>
      </c>
      <c r="AB59" s="152">
        <f t="shared" si="14"/>
        <v>0.56555257276842252</v>
      </c>
      <c r="AC59" s="152">
        <f t="shared" si="14"/>
        <v>0.53040838547541302</v>
      </c>
      <c r="AD59" s="152">
        <f t="shared" si="14"/>
        <v>0.49744810461295919</v>
      </c>
      <c r="AE59" s="152">
        <f t="shared" si="14"/>
        <v>0.46653601933768124</v>
      </c>
      <c r="AF59" s="152">
        <f t="shared" si="14"/>
        <v>0.43754485205807941</v>
      </c>
      <c r="AG59" s="152">
        <f t="shared" si="14"/>
        <v>0.41035523438107219</v>
      </c>
      <c r="AH59" s="152">
        <f t="shared" si="14"/>
        <v>0.38485521562391173</v>
      </c>
      <c r="AI59" s="152">
        <f t="shared" si="14"/>
        <v>0.36093980186782137</v>
      </c>
      <c r="AJ59" s="152">
        <f t="shared" si="14"/>
        <v>0.3385105236554517</v>
      </c>
      <c r="AK59" s="152">
        <f t="shared" si="14"/>
        <v>0.31747503055219023</v>
      </c>
      <c r="AL59" s="152">
        <f t="shared" si="14"/>
        <v>0.2977467109019698</v>
      </c>
      <c r="AM59" s="152">
        <f t="shared" si="14"/>
        <v>0.27924433521195413</v>
      </c>
      <c r="AN59" s="152">
        <f t="shared" si="14"/>
        <v>0.26189172169777375</v>
      </c>
      <c r="AO59" s="152">
        <f t="shared" si="14"/>
        <v>0.24561742261222433</v>
      </c>
      <c r="AP59" s="152">
        <f t="shared" si="14"/>
        <v>0.23035443006591547</v>
      </c>
      <c r="AQ59" s="152">
        <f t="shared" si="14"/>
        <v>0.21603990012861493</v>
      </c>
      <c r="AS59" s="6">
        <f>ROW()</f>
        <v>59</v>
      </c>
    </row>
    <row r="60" spans="2:45" ht="13.95" customHeight="1">
      <c r="B60" s="84" t="str">
        <f>CONCATENATE("Figures in Row ",AS59, " reduce Row ",AS45, " emission rates by a percentage calculated from felt carbon tax in Row ",AS22, " and Cells K",AS43, " and K",AS54, ", normalized by Cell N",AS54, ".")</f>
        <v>Figures in Row 59 reduce Row 45 emission rates by a percentage calculated from felt carbon tax in Row 22 and Cells K43 and K54, normalized by Cell N54.</v>
      </c>
      <c r="M60" s="67"/>
      <c r="N60" s="67"/>
      <c r="O60" s="67"/>
      <c r="P60" s="67"/>
      <c r="Q60" s="67"/>
      <c r="R60" s="67"/>
      <c r="S60" s="67"/>
      <c r="T60" s="240"/>
      <c r="AS60" s="6">
        <f>ROW()</f>
        <v>60</v>
      </c>
    </row>
    <row r="61" spans="2:45" ht="13.95" customHeight="1">
      <c r="B61" s="14" t="s">
        <v>1054</v>
      </c>
      <c r="H61" s="84" t="str">
        <f>CONCATENATE("Product of CO2 per kWh in Row ",AS59, " and felt carbon charge in 2015$ per ton of CO2 in Row ",AS22, ", adjusted for dimensions.")</f>
        <v>Product of CO2 per kWh in Row 59 and felt carbon charge in 2015$ per ton of CO2 in Row 22, adjusted for dimensions.</v>
      </c>
      <c r="M61" s="67"/>
      <c r="N61" s="67"/>
      <c r="O61" s="67"/>
      <c r="P61" s="67"/>
      <c r="Q61" s="67"/>
      <c r="R61" s="67"/>
      <c r="S61" s="67"/>
      <c r="T61" s="529">
        <f t="shared" ref="T61:AQ61" si="15">T59*T22*100/(2000)</f>
        <v>0.51374742519025862</v>
      </c>
      <c r="U61" s="19">
        <f t="shared" si="15"/>
        <v>0.9636449570140847</v>
      </c>
      <c r="V61" s="19">
        <f t="shared" si="15"/>
        <v>1.3556441711140155</v>
      </c>
      <c r="W61" s="19">
        <f t="shared" si="15"/>
        <v>1.695203524722638</v>
      </c>
      <c r="X61" s="19">
        <f t="shared" si="15"/>
        <v>1.9873266604529711</v>
      </c>
      <c r="Y61" s="19">
        <f t="shared" si="15"/>
        <v>2.2365978537908129</v>
      </c>
      <c r="Z61" s="19">
        <f t="shared" si="15"/>
        <v>2.4472148113655656</v>
      </c>
      <c r="AA61" s="19">
        <f t="shared" si="15"/>
        <v>2.6230190123697574</v>
      </c>
      <c r="AB61" s="19">
        <f t="shared" si="15"/>
        <v>2.7675237718192589</v>
      </c>
      <c r="AC61" s="19">
        <f t="shared" si="15"/>
        <v>2.883940191625157</v>
      </c>
      <c r="AD61" s="19">
        <f t="shared" si="15"/>
        <v>2.9752011536181246</v>
      </c>
      <c r="AE61" s="19">
        <f t="shared" si="15"/>
        <v>3.0439834976653901</v>
      </c>
      <c r="AF61" s="19">
        <f t="shared" si="15"/>
        <v>3.0927285177917181</v>
      </c>
      <c r="AG61" s="19">
        <f t="shared" si="15"/>
        <v>3.1236608997054995</v>
      </c>
      <c r="AH61" s="19">
        <f t="shared" si="15"/>
        <v>3.1388062142896151</v>
      </c>
      <c r="AI61" s="19">
        <f t="shared" si="15"/>
        <v>3.1400070733974719</v>
      </c>
      <c r="AJ61" s="19">
        <f t="shared" si="15"/>
        <v>3.1289380466546035</v>
      </c>
      <c r="AK61" s="19">
        <f t="shared" si="15"/>
        <v>3.1071194308650125</v>
      </c>
      <c r="AL61" s="19">
        <f t="shared" si="15"/>
        <v>3.0759299570216982</v>
      </c>
      <c r="AM61" s="19">
        <f t="shared" si="15"/>
        <v>3.0366185137875545</v>
      </c>
      <c r="AN61" s="19">
        <f t="shared" si="15"/>
        <v>2.9903149606136359</v>
      </c>
      <c r="AO61" s="19">
        <f t="shared" si="15"/>
        <v>2.9380400983663248</v>
      </c>
      <c r="AP61" s="19">
        <f t="shared" si="15"/>
        <v>2.8807148604150949</v>
      </c>
      <c r="AQ61" s="19">
        <f t="shared" si="15"/>
        <v>2.819168782562071</v>
      </c>
      <c r="AS61" s="6">
        <f>ROW()</f>
        <v>61</v>
      </c>
    </row>
    <row r="62" spans="2:45" ht="13.95" customHeight="1">
      <c r="B62" t="s">
        <v>6</v>
      </c>
      <c r="H62" s="253"/>
      <c r="I62" s="254"/>
      <c r="J62" s="255" t="str">
        <f>CONCATENATE("Complement of reciprocal of Cell G",AS47, "")</f>
        <v>Complement of reciprocal of Cell G47</v>
      </c>
      <c r="K62" s="254">
        <f>1-1/G47</f>
        <v>5.6229894662917834E-2</v>
      </c>
      <c r="M62" s="67"/>
      <c r="N62" s="67"/>
      <c r="O62" s="67"/>
      <c r="P62" s="67"/>
      <c r="Q62" s="67"/>
      <c r="R62" s="67"/>
      <c r="S62" s="67"/>
      <c r="T62" s="530"/>
      <c r="AS62" s="6">
        <f>ROW()</f>
        <v>62</v>
      </c>
    </row>
    <row r="63" spans="2:45" ht="13.95" customHeight="1">
      <c r="H63" s="67"/>
      <c r="I63" s="365"/>
      <c r="J63" s="366"/>
      <c r="K63" s="365"/>
      <c r="M63" s="67"/>
      <c r="N63" s="67"/>
      <c r="O63" s="67"/>
      <c r="P63" s="67"/>
      <c r="Q63" s="67"/>
      <c r="R63" s="67"/>
      <c r="S63" s="67"/>
      <c r="T63" s="530"/>
      <c r="AS63" s="6">
        <f>ROW()</f>
        <v>63</v>
      </c>
    </row>
    <row r="64" spans="2:45" ht="13.95" customHeight="1">
      <c r="B64" s="14" t="s">
        <v>1055</v>
      </c>
      <c r="I64" s="19"/>
      <c r="L64" s="256" t="str">
        <f>CONCATENATE("Row ",AS61, " divided by complement of Cell K",AS62, ".")</f>
        <v>Row 61 divided by complement of Cell K62.</v>
      </c>
      <c r="M64" s="67"/>
      <c r="N64" s="116"/>
      <c r="O64" s="188"/>
      <c r="P64" s="505"/>
      <c r="Q64" s="67"/>
      <c r="R64" s="67"/>
      <c r="S64" s="67"/>
      <c r="T64" s="525">
        <f t="shared" ref="T64:AP64" si="16">T61/(1-$K$62)</f>
        <v>0.54435653586078125</v>
      </c>
      <c r="U64" s="6">
        <f t="shared" si="16"/>
        <v>1.0210589968516792</v>
      </c>
      <c r="V64" s="6">
        <f t="shared" si="16"/>
        <v>1.4364135539447143</v>
      </c>
      <c r="W64" s="6">
        <f t="shared" si="16"/>
        <v>1.7962038796695829</v>
      </c>
      <c r="X64" s="6">
        <f t="shared" si="16"/>
        <v>2.1057317340467852</v>
      </c>
      <c r="Y64" s="6">
        <f t="shared" si="16"/>
        <v>2.369854524044261</v>
      </c>
      <c r="Z64" s="6">
        <f t="shared" si="16"/>
        <v>2.5930200559716869</v>
      </c>
      <c r="AA64" s="6">
        <f t="shared" si="16"/>
        <v>2.7792986846440804</v>
      </c>
      <c r="AB64" s="6">
        <f t="shared" si="16"/>
        <v>2.9324130486531939</v>
      </c>
      <c r="AC64" s="6">
        <f t="shared" si="16"/>
        <v>3.0557655676062265</v>
      </c>
      <c r="AD64" s="6">
        <f t="shared" si="16"/>
        <v>3.1524638646564096</v>
      </c>
      <c r="AE64" s="6">
        <f t="shared" si="16"/>
        <v>3.2253442659938716</v>
      </c>
      <c r="AF64" s="6">
        <f t="shared" si="16"/>
        <v>3.2769935181270675</v>
      </c>
      <c r="AG64" s="6">
        <f t="shared" si="16"/>
        <v>3.3097688537081131</v>
      </c>
      <c r="AH64" s="6">
        <f t="shared" si="16"/>
        <v>3.3258165272871634</v>
      </c>
      <c r="AI64" s="6">
        <f t="shared" si="16"/>
        <v>3.3270889336720084</v>
      </c>
      <c r="AJ64" s="6">
        <f t="shared" si="16"/>
        <v>3.3153604134738455</v>
      </c>
      <c r="AK64" s="6">
        <f t="shared" si="16"/>
        <v>3.2922418428958995</v>
      </c>
      <c r="AL64" s="6">
        <f t="shared" si="16"/>
        <v>3.2591940978286043</v>
      </c>
      <c r="AM64" s="6">
        <f t="shared" si="16"/>
        <v>3.2175404758163846</v>
      </c>
      <c r="AN64" s="6">
        <f t="shared" si="16"/>
        <v>3.1684781534223299</v>
      </c>
      <c r="AO64" s="6">
        <f t="shared" si="16"/>
        <v>3.1130887509060887</v>
      </c>
      <c r="AP64" s="6">
        <f t="shared" si="16"/>
        <v>3.0523480709173372</v>
      </c>
      <c r="AQ64" s="6">
        <f t="shared" ref="AQ64" si="17">AQ61/(1-$K$62)</f>
        <v>2.9871350730643891</v>
      </c>
      <c r="AS64" s="6">
        <f>ROW()</f>
        <v>64</v>
      </c>
    </row>
    <row r="65" spans="2:45" ht="13.95" customHeight="1">
      <c r="B65" s="14" t="s">
        <v>872</v>
      </c>
      <c r="I65" s="19"/>
      <c r="L65" s="256" t="str">
        <f>CONCATENATE("Row ",AS64, " times product of annual price indices in Row ",AS31, ".")</f>
        <v>Row 64 times product of annual price indices in Row 31.</v>
      </c>
      <c r="M65" s="67"/>
      <c r="N65" s="116"/>
      <c r="O65" s="188"/>
      <c r="P65" s="505"/>
      <c r="Q65" s="67"/>
      <c r="R65" s="67"/>
      <c r="S65" s="67"/>
      <c r="T65" s="525">
        <f>T64*PRODUCT($S31:T31)</f>
        <v>0.56592209964152085</v>
      </c>
      <c r="U65" s="152">
        <f>U64*PRODUCT($S31:U31)</f>
        <v>1.0823323877787649</v>
      </c>
      <c r="V65" s="152">
        <f>V64*PRODUCT($S31:V31)</f>
        <v>1.5524796589189458</v>
      </c>
      <c r="W65" s="152">
        <f>W64*PRODUCT($S31:W31)</f>
        <v>1.9794232189437109</v>
      </c>
      <c r="X65" s="152">
        <f>X64*PRODUCT($S31:X31)</f>
        <v>2.3693333209790621</v>
      </c>
      <c r="Y65" s="152">
        <f>Y64*PRODUCT($S31:Y31)</f>
        <v>2.7226066254499464</v>
      </c>
      <c r="Z65" s="152">
        <f>Z64*PRODUCT($S31:Z31)</f>
        <v>3.0416495573745896</v>
      </c>
      <c r="AA65" s="152">
        <f>AA64*PRODUCT($S31:AA31)</f>
        <v>3.3287303160966286</v>
      </c>
      <c r="AB65" s="152">
        <f>AB64*PRODUCT($S31:AB31)</f>
        <v>3.5859862717083102</v>
      </c>
      <c r="AC65" s="152">
        <f>AC64*PRODUCT($S31:AC31)</f>
        <v>3.8154309827086106</v>
      </c>
      <c r="AD65" s="152">
        <f>AD64*PRODUCT($S31:AD31)</f>
        <v>4.0189608537204586</v>
      </c>
      <c r="AE65" s="152">
        <f>AE64*PRODUCT($S31:AE31)</f>
        <v>4.1983614511757894</v>
      </c>
      <c r="AF65" s="152">
        <f>AF64*PRODUCT($S31:AF31)</f>
        <v>4.3553134940055784</v>
      </c>
      <c r="AG65" s="152">
        <f>AG64*PRODUCT($S31:AG31)</f>
        <v>4.4913985355419692</v>
      </c>
      <c r="AH65" s="152">
        <f>AH64*PRODUCT($S31:AH31)</f>
        <v>4.6119093402836784</v>
      </c>
      <c r="AI65" s="152">
        <f>AI64*PRODUCT($S31:AI31)</f>
        <v>4.7146062770709927</v>
      </c>
      <c r="AJ65" s="152">
        <f>AJ64*PRODUCT($S31:AJ31)</f>
        <v>4.8007635220181379</v>
      </c>
      <c r="AK65" s="152">
        <f>AK64*PRODUCT($S31:AK31)</f>
        <v>4.8715800422112006</v>
      </c>
      <c r="AL65" s="152">
        <f>AL64*PRODUCT($S31:AL31)</f>
        <v>4.928183649124545</v>
      </c>
      <c r="AM65" s="152">
        <f>AM64*PRODUCT($S31:AM31)</f>
        <v>4.971634844902451</v>
      </c>
      <c r="AN65" s="152">
        <f>AN64*PRODUCT($S31:AN31)</f>
        <v>5.0029304717267236</v>
      </c>
      <c r="AO65" s="152">
        <f>AO64*PRODUCT($S31:AO31)</f>
        <v>5.0230071739991047</v>
      </c>
      <c r="AP65" s="152">
        <f>AP64*PRODUCT($S31:AP31)</f>
        <v>5.0327446825984969</v>
      </c>
      <c r="AQ65" s="152">
        <f>AQ64*PRODUCT($S31:AQ31)</f>
        <v>5.032968930026513</v>
      </c>
      <c r="AS65" s="6">
        <f>ROW()</f>
        <v>65</v>
      </c>
    </row>
    <row r="66" spans="2:45" ht="13.95" customHeight="1">
      <c r="B66" s="14" t="s">
        <v>875</v>
      </c>
      <c r="K66" s="62"/>
      <c r="L66" s="256" t="str">
        <f>CONCATENATE("Sum of Rows ",AS65, " and either ",AS28, " or ",AS32, ".")</f>
        <v>Sum of Rows 65 and either 28 or 32.</v>
      </c>
      <c r="M66" s="20">
        <f t="shared" ref="M66:S66" si="18">M28+M65</f>
        <v>9.82</v>
      </c>
      <c r="N66" s="20">
        <f t="shared" si="18"/>
        <v>9.83</v>
      </c>
      <c r="O66" s="20">
        <f t="shared" si="18"/>
        <v>9.9</v>
      </c>
      <c r="P66" s="116">
        <f t="shared" si="18"/>
        <v>9.84</v>
      </c>
      <c r="Q66" s="116">
        <f t="shared" si="18"/>
        <v>10.07</v>
      </c>
      <c r="R66" s="116">
        <f t="shared" si="18"/>
        <v>10.44</v>
      </c>
      <c r="S66" s="116">
        <f t="shared" si="18"/>
        <v>10.42</v>
      </c>
      <c r="T66" s="273">
        <f t="shared" ref="T66:AQ66" si="19">T32+T65</f>
        <v>11.231262959466923</v>
      </c>
      <c r="U66" s="20">
        <f t="shared" si="19"/>
        <v>11.998790704118617</v>
      </c>
      <c r="V66" s="20">
        <f t="shared" si="19"/>
        <v>12.725968039517818</v>
      </c>
      <c r="W66" s="20">
        <f t="shared" si="19"/>
        <v>13.415993485007579</v>
      </c>
      <c r="X66" s="20">
        <f t="shared" si="19"/>
        <v>14.090196931359067</v>
      </c>
      <c r="Y66" s="20">
        <f t="shared" si="19"/>
        <v>14.734830620678531</v>
      </c>
      <c r="Z66" s="20">
        <f t="shared" si="19"/>
        <v>15.352476652381391</v>
      </c>
      <c r="AA66" s="20">
        <f t="shared" si="19"/>
        <v>15.945583267169953</v>
      </c>
      <c r="AB66" s="20">
        <f t="shared" si="19"/>
        <v>16.516472352011732</v>
      </c>
      <c r="AC66" s="20">
        <f t="shared" si="19"/>
        <v>17.067346569051161</v>
      </c>
      <c r="AD66" s="20">
        <f t="shared" si="19"/>
        <v>17.600296127345974</v>
      </c>
      <c r="AE66" s="20">
        <f t="shared" si="19"/>
        <v>18.117305215405764</v>
      </c>
      <c r="AF66" s="20">
        <f t="shared" si="19"/>
        <v>18.620258111640272</v>
      </c>
      <c r="AG66" s="20">
        <f t="shared" si="19"/>
        <v>19.11094498899676</v>
      </c>
      <c r="AH66" s="20">
        <f t="shared" si="19"/>
        <v>19.495534561813887</v>
      </c>
      <c r="AI66" s="20">
        <f t="shared" si="19"/>
        <v>19.867080428047238</v>
      </c>
      <c r="AJ66" s="20">
        <f t="shared" si="19"/>
        <v>20.226942929161126</v>
      </c>
      <c r="AK66" s="20">
        <f t="shared" si="19"/>
        <v>20.576408754031217</v>
      </c>
      <c r="AL66" s="20">
        <f t="shared" si="19"/>
        <v>20.916695020475547</v>
      </c>
      <c r="AM66" s="20">
        <f t="shared" si="19"/>
        <v>21.248953150158602</v>
      </c>
      <c r="AN66" s="20">
        <f t="shared" si="19"/>
        <v>21.574272547098378</v>
      </c>
      <c r="AO66" s="20">
        <f t="shared" si="19"/>
        <v>21.893684089514608</v>
      </c>
      <c r="AP66" s="20">
        <f t="shared" si="19"/>
        <v>22.208163444287685</v>
      </c>
      <c r="AQ66" s="20">
        <f t="shared" si="19"/>
        <v>22.518634212851413</v>
      </c>
      <c r="AS66" s="6">
        <f>ROW()</f>
        <v>66</v>
      </c>
    </row>
    <row r="67" spans="2:45" ht="13.95" customHeight="1">
      <c r="B67" s="14" t="s">
        <v>876</v>
      </c>
      <c r="K67" s="15"/>
      <c r="L67" s="84" t="str">
        <f>CONCATENATE("Calculated as excess of Row ",AS66, " over Row ",AS32, ".")</f>
        <v>Calculated as excess of Row 66 over Row 32.</v>
      </c>
      <c r="M67" s="67"/>
      <c r="N67" s="67"/>
      <c r="O67" s="67"/>
      <c r="P67" s="67"/>
      <c r="Q67" s="67"/>
      <c r="R67" s="67"/>
      <c r="S67" s="67"/>
      <c r="T67" s="281">
        <f t="shared" ref="T67:AQ67" si="20">T66/T32-1</f>
        <v>5.3061792124549534E-2</v>
      </c>
      <c r="U67" s="206">
        <f t="shared" si="20"/>
        <v>9.914684382193073E-2</v>
      </c>
      <c r="V67" s="206">
        <f t="shared" si="20"/>
        <v>0.13894314882132952</v>
      </c>
      <c r="W67" s="206">
        <f t="shared" si="20"/>
        <v>0.17307839438693629</v>
      </c>
      <c r="X67" s="206">
        <f t="shared" si="20"/>
        <v>0.20214665060011283</v>
      </c>
      <c r="Y67" s="206">
        <f t="shared" si="20"/>
        <v>0.22665300168656555</v>
      </c>
      <c r="Z67" s="206">
        <f t="shared" si="20"/>
        <v>0.24707109716521525</v>
      </c>
      <c r="AA67" s="206">
        <f t="shared" si="20"/>
        <v>0.26383206089545896</v>
      </c>
      <c r="AB67" s="206">
        <f t="shared" si="20"/>
        <v>0.27732803310238441</v>
      </c>
      <c r="AC67" s="206">
        <f t="shared" si="20"/>
        <v>0.28791543062957636</v>
      </c>
      <c r="AD67" s="206">
        <f t="shared" si="20"/>
        <v>0.2959179471495077</v>
      </c>
      <c r="AE67" s="206">
        <f t="shared" si="20"/>
        <v>0.30162931342283872</v>
      </c>
      <c r="AF67" s="206">
        <f t="shared" si="20"/>
        <v>0.30531583618077485</v>
      </c>
      <c r="AG67" s="206">
        <f t="shared" si="20"/>
        <v>0.3072187328000584</v>
      </c>
      <c r="AH67" s="206">
        <f t="shared" si="20"/>
        <v>0.30986465136277586</v>
      </c>
      <c r="AI67" s="206">
        <f t="shared" si="20"/>
        <v>0.31114432072911602</v>
      </c>
      <c r="AJ67" s="206">
        <f t="shared" si="20"/>
        <v>0.31120884797924608</v>
      </c>
      <c r="AK67" s="206">
        <f t="shared" si="20"/>
        <v>0.31019631806265258</v>
      </c>
      <c r="AL67" s="206">
        <f t="shared" si="20"/>
        <v>0.30823280133228081</v>
      </c>
      <c r="AM67" s="206">
        <f t="shared" si="20"/>
        <v>0.305433287699304</v>
      </c>
      <c r="AN67" s="206">
        <f t="shared" si="20"/>
        <v>0.30190255254956599</v>
      </c>
      <c r="AO67" s="206">
        <f t="shared" si="20"/>
        <v>0.29773595921213936</v>
      </c>
      <c r="AP67" s="206">
        <f t="shared" si="20"/>
        <v>0.29302020244329308</v>
      </c>
      <c r="AQ67" s="206">
        <f t="shared" si="20"/>
        <v>0.28783399708389079</v>
      </c>
      <c r="AS67" s="7">
        <f>ROW()</f>
        <v>67</v>
      </c>
    </row>
    <row r="68" spans="2:45" ht="13.95" customHeight="1">
      <c r="B68" s="31"/>
      <c r="K68" s="15"/>
      <c r="L68" s="84"/>
      <c r="M68" s="67"/>
      <c r="N68" s="67"/>
      <c r="O68" s="67"/>
      <c r="P68" s="67"/>
      <c r="Q68" s="67"/>
      <c r="R68" s="67"/>
      <c r="S68" s="67"/>
      <c r="T68" s="281"/>
      <c r="U68" s="206"/>
      <c r="V68" s="206"/>
      <c r="W68" s="206"/>
      <c r="X68" s="206"/>
      <c r="Y68" s="206"/>
      <c r="Z68" s="206"/>
      <c r="AA68" s="206"/>
      <c r="AB68" s="206"/>
      <c r="AC68" s="206"/>
      <c r="AD68" s="206"/>
      <c r="AE68" s="206"/>
      <c r="AF68" s="206"/>
      <c r="AG68" s="206"/>
      <c r="AH68" s="206"/>
      <c r="AI68" s="206"/>
      <c r="AJ68" s="206"/>
      <c r="AK68" s="206"/>
      <c r="AL68" s="206"/>
      <c r="AM68" s="206"/>
      <c r="AN68" s="206"/>
      <c r="AO68" s="206"/>
      <c r="AP68" s="206"/>
      <c r="AQ68" s="206"/>
      <c r="AS68" s="7">
        <f>ROW()</f>
        <v>68</v>
      </c>
    </row>
    <row r="69" spans="2:45" s="8" customFormat="1" ht="13.95" customHeight="1">
      <c r="I69" s="13">
        <f t="shared" ref="I69:AP69" si="21">I53</f>
        <v>2005</v>
      </c>
      <c r="J69" s="13">
        <f t="shared" si="21"/>
        <v>2006</v>
      </c>
      <c r="K69" s="13">
        <f t="shared" si="21"/>
        <v>2007</v>
      </c>
      <c r="L69" s="13">
        <f t="shared" si="21"/>
        <v>2008</v>
      </c>
      <c r="M69" s="13">
        <f t="shared" si="21"/>
        <v>2009</v>
      </c>
      <c r="N69" s="13">
        <f t="shared" si="21"/>
        <v>2010</v>
      </c>
      <c r="O69" s="13">
        <f t="shared" si="21"/>
        <v>2011</v>
      </c>
      <c r="P69" s="13">
        <f t="shared" si="21"/>
        <v>2012</v>
      </c>
      <c r="Q69" s="155">
        <f t="shared" si="21"/>
        <v>2013</v>
      </c>
      <c r="R69" s="251">
        <f>R26</f>
        <v>2014</v>
      </c>
      <c r="S69" s="251">
        <f>S26</f>
        <v>2015</v>
      </c>
      <c r="T69" s="13">
        <f t="shared" si="21"/>
        <v>2017</v>
      </c>
      <c r="U69" s="13">
        <f t="shared" si="21"/>
        <v>2018</v>
      </c>
      <c r="V69" s="13">
        <f t="shared" si="21"/>
        <v>2019</v>
      </c>
      <c r="W69" s="13">
        <f t="shared" si="21"/>
        <v>2020</v>
      </c>
      <c r="X69" s="13">
        <f t="shared" si="21"/>
        <v>2021</v>
      </c>
      <c r="Y69" s="13">
        <f t="shared" si="21"/>
        <v>2022</v>
      </c>
      <c r="Z69" s="13">
        <f t="shared" si="21"/>
        <v>2023</v>
      </c>
      <c r="AA69" s="13">
        <f t="shared" si="21"/>
        <v>2024</v>
      </c>
      <c r="AB69" s="13">
        <f t="shared" si="21"/>
        <v>2025</v>
      </c>
      <c r="AC69" s="13">
        <f t="shared" si="21"/>
        <v>2026</v>
      </c>
      <c r="AD69" s="13">
        <f t="shared" si="21"/>
        <v>2027</v>
      </c>
      <c r="AE69" s="13">
        <f t="shared" si="21"/>
        <v>2028</v>
      </c>
      <c r="AF69" s="13">
        <f t="shared" si="21"/>
        <v>2029</v>
      </c>
      <c r="AG69" s="13">
        <f t="shared" si="21"/>
        <v>2030</v>
      </c>
      <c r="AH69" s="13">
        <f t="shared" si="21"/>
        <v>2031</v>
      </c>
      <c r="AI69" s="13">
        <f t="shared" si="21"/>
        <v>2032</v>
      </c>
      <c r="AJ69" s="13">
        <f t="shared" si="21"/>
        <v>2033</v>
      </c>
      <c r="AK69" s="13">
        <f t="shared" si="21"/>
        <v>2034</v>
      </c>
      <c r="AL69" s="13">
        <f t="shared" si="21"/>
        <v>2035</v>
      </c>
      <c r="AM69" s="13">
        <f t="shared" si="21"/>
        <v>2036</v>
      </c>
      <c r="AN69" s="13">
        <f t="shared" si="21"/>
        <v>2037</v>
      </c>
      <c r="AO69" s="13">
        <f t="shared" si="21"/>
        <v>2038</v>
      </c>
      <c r="AP69" s="13">
        <f t="shared" si="21"/>
        <v>2039</v>
      </c>
      <c r="AQ69" s="13">
        <f t="shared" ref="AQ69" si="22">AQ53</f>
        <v>2040</v>
      </c>
      <c r="AS69" s="7">
        <f>ROW()</f>
        <v>69</v>
      </c>
    </row>
    <row r="70" spans="2:45" s="8" customFormat="1" ht="13.95" customHeight="1">
      <c r="I70" s="23"/>
      <c r="J70" s="13"/>
      <c r="K70" s="13"/>
      <c r="L70" s="13"/>
      <c r="M70" s="13"/>
      <c r="N70" s="13"/>
      <c r="O70" s="13"/>
      <c r="P70" s="67"/>
      <c r="Q70" s="67"/>
      <c r="R70" s="67"/>
      <c r="S70" s="67"/>
      <c r="T70" s="281"/>
      <c r="U70" s="13"/>
      <c r="V70" s="13"/>
      <c r="W70" s="13"/>
      <c r="X70" s="13"/>
      <c r="Y70" s="13"/>
      <c r="Z70" s="13"/>
      <c r="AA70" s="13"/>
      <c r="AB70" s="13"/>
      <c r="AC70" s="13"/>
      <c r="AD70" s="13"/>
      <c r="AE70" s="13"/>
      <c r="AF70" s="13"/>
      <c r="AG70" s="13"/>
      <c r="AH70" s="13"/>
      <c r="AI70" s="13"/>
      <c r="AJ70" s="13"/>
      <c r="AK70" s="13"/>
      <c r="AL70" s="13"/>
      <c r="AM70" s="13"/>
      <c r="AN70" s="13"/>
      <c r="AO70" s="13"/>
      <c r="AP70" s="13"/>
      <c r="AQ70" s="13"/>
      <c r="AS70" s="7">
        <f>ROW()</f>
        <v>70</v>
      </c>
    </row>
    <row r="71" spans="2:45" s="8" customFormat="1" ht="13.95" customHeight="1">
      <c r="B71" s="8" t="s">
        <v>659</v>
      </c>
      <c r="I71" s="23"/>
      <c r="J71" s="1145" t="str">
        <f>CONCATENATE("Calculated as one plus % increase in electricity price in Row ",AS67,", raised to the (negative) price-elasticity given in Cell G",Parameters!B9, " of the 'Parameters' tab; less one.")</f>
        <v>Calculated as one plus % increase in electricity price in Row 67, raised to the (negative) price-elasticity given in Cell G9 of the 'Parameters' tab; less one.</v>
      </c>
      <c r="K71" s="1145"/>
      <c r="L71" s="1145"/>
      <c r="M71" s="1145"/>
      <c r="N71" s="1145"/>
      <c r="O71" s="1145"/>
      <c r="P71" s="1145"/>
      <c r="Q71" s="67"/>
      <c r="R71" s="67"/>
      <c r="S71" s="67"/>
      <c r="T71" s="531">
        <f>(1+T67)^Parameters!$H$9-1</f>
        <v>-3.5544262542155702E-2</v>
      </c>
      <c r="U71" s="285">
        <f>(1+U67)^Parameters!$H$9-1</f>
        <v>-6.4032006103064365E-2</v>
      </c>
      <c r="V71" s="285">
        <f>(1+V67)^Parameters!$H$9-1</f>
        <v>-8.7046690173366081E-2</v>
      </c>
      <c r="W71" s="285">
        <f>(1+W67)^Parameters!$H$9-1</f>
        <v>-0.10572503132650735</v>
      </c>
      <c r="X71" s="285">
        <f>(1+X67)^Parameters!$H$9-1</f>
        <v>-0.12091719659991473</v>
      </c>
      <c r="Y71" s="285">
        <f>(1+Y67)^Parameters!$H$9-1</f>
        <v>-0.13324812092545513</v>
      </c>
      <c r="Z71" s="285">
        <f>(1+Z67)^Parameters!$H$9-1</f>
        <v>-0.14320652527761812</v>
      </c>
      <c r="AA71" s="285">
        <f>(1+AA67)^Parameters!$H$9-1</f>
        <v>-0.15117640718699554</v>
      </c>
      <c r="AB71" s="285">
        <f>(1+AB67)^Parameters!$H$9-1</f>
        <v>-0.15746434349263316</v>
      </c>
      <c r="AC71" s="285">
        <f>(1+AC67)^Parameters!$H$9-1</f>
        <v>-0.16231862892718418</v>
      </c>
      <c r="AD71" s="285">
        <f>(1+AD67)^Parameters!$H$9-1</f>
        <v>-0.16594297067764685</v>
      </c>
      <c r="AE71" s="285">
        <f>(1+AE67)^Parameters!$H$9-1</f>
        <v>-0.16850646743772857</v>
      </c>
      <c r="AF71" s="285">
        <f>(1+AF67)^Parameters!$H$9-1</f>
        <v>-0.17015099969702674</v>
      </c>
      <c r="AG71" s="285">
        <f>(1+AG67)^Parameters!$H$9-1</f>
        <v>-0.17099678264640095</v>
      </c>
      <c r="AH71" s="285">
        <f>(1+AH67)^Parameters!$H$9-1</f>
        <v>-0.17216934512580595</v>
      </c>
      <c r="AI71" s="285">
        <f>(1+AI67)^Parameters!$H$9-1</f>
        <v>-0.1727349985526716</v>
      </c>
      <c r="AJ71" s="285">
        <f>(1+AJ67)^Parameters!$H$9-1</f>
        <v>-0.17276349673651803</v>
      </c>
      <c r="AK71" s="285">
        <f>(1+AK67)^Parameters!$H$9-1</f>
        <v>-0.17231604222684838</v>
      </c>
      <c r="AL71" s="285">
        <f>(1+AL67)^Parameters!$H$9-1</f>
        <v>-0.17144665265223491</v>
      </c>
      <c r="AM71" s="285">
        <f>(1+AM67)^Parameters!$H$9-1</f>
        <v>-0.17020326421265786</v>
      </c>
      <c r="AN71" s="285">
        <f>(1+AN67)^Parameters!$H$9-1</f>
        <v>-0.16862862911840948</v>
      </c>
      <c r="AO71" s="285">
        <f>(1+AO67)^Parameters!$H$9-1</f>
        <v>-0.16676105018835219</v>
      </c>
      <c r="AP71" s="285">
        <f>(1+AP67)^Parameters!$H$9-1</f>
        <v>-0.16463498580204916</v>
      </c>
      <c r="AQ71" s="285">
        <f>(1+AQ67)^Parameters!$H$9-1</f>
        <v>-0.16228155093254493</v>
      </c>
      <c r="AS71" s="7">
        <f>ROW()</f>
        <v>71</v>
      </c>
    </row>
    <row r="72" spans="2:45" s="8" customFormat="1" ht="13.95" customHeight="1">
      <c r="I72" s="23"/>
      <c r="J72" s="1145"/>
      <c r="K72" s="1145"/>
      <c r="L72" s="1145"/>
      <c r="M72" s="1145"/>
      <c r="N72" s="1145"/>
      <c r="O72" s="1145"/>
      <c r="P72" s="1145"/>
      <c r="Q72" s="67"/>
      <c r="R72" s="67"/>
      <c r="S72" s="67"/>
      <c r="T72" s="284"/>
      <c r="U72" s="285"/>
      <c r="V72" s="285"/>
      <c r="W72" s="285"/>
      <c r="X72" s="285"/>
      <c r="Y72" s="285"/>
      <c r="Z72" s="285"/>
      <c r="AA72" s="285"/>
      <c r="AB72" s="285"/>
      <c r="AC72" s="285"/>
      <c r="AD72" s="285"/>
      <c r="AE72" s="285"/>
      <c r="AF72" s="285"/>
      <c r="AG72" s="285"/>
      <c r="AH72" s="285"/>
      <c r="AI72" s="285"/>
      <c r="AJ72" s="285"/>
      <c r="AK72" s="285"/>
      <c r="AL72" s="285"/>
      <c r="AM72" s="285"/>
      <c r="AN72" s="285"/>
      <c r="AO72" s="285"/>
      <c r="AP72" s="285"/>
      <c r="AQ72" s="285"/>
      <c r="AS72" s="7">
        <f>ROW()</f>
        <v>72</v>
      </c>
    </row>
    <row r="73" spans="2:45" s="8" customFormat="1" ht="13.95" customHeight="1">
      <c r="I73" s="23"/>
      <c r="J73" s="207"/>
      <c r="K73" s="207"/>
      <c r="L73" s="207"/>
      <c r="M73" s="207"/>
      <c r="N73" s="207"/>
      <c r="O73" s="207"/>
      <c r="P73" s="506"/>
      <c r="Q73" s="67"/>
      <c r="R73" s="67"/>
      <c r="S73" s="67"/>
      <c r="T73" s="284"/>
      <c r="U73" s="285"/>
      <c r="V73" s="285"/>
      <c r="W73" s="285"/>
      <c r="X73" s="285"/>
      <c r="Y73" s="285"/>
      <c r="Z73" s="285"/>
      <c r="AA73" s="285"/>
      <c r="AB73" s="285"/>
      <c r="AC73" s="285"/>
      <c r="AD73" s="285"/>
      <c r="AE73" s="285"/>
      <c r="AF73" s="285"/>
      <c r="AG73" s="285"/>
      <c r="AH73" s="285"/>
      <c r="AI73" s="285"/>
      <c r="AJ73" s="285"/>
      <c r="AK73" s="285"/>
      <c r="AL73" s="285"/>
      <c r="AM73" s="285"/>
      <c r="AN73" s="285"/>
      <c r="AO73" s="285"/>
      <c r="AP73" s="285"/>
      <c r="AQ73" s="285"/>
      <c r="AS73" s="7">
        <f>ROW()</f>
        <v>73</v>
      </c>
    </row>
    <row r="74" spans="2:45" s="8" customFormat="1" ht="13.95" customHeight="1">
      <c r="B74" s="8" t="s">
        <v>413</v>
      </c>
      <c r="H74" s="23"/>
      <c r="I74" s="23"/>
      <c r="J74" s="84" t="str">
        <f>CONCATENATE("Product of Rows ",AS71, " and ",AS34, ".")</f>
        <v>Product of Rows 71 and 34.</v>
      </c>
      <c r="M74" s="105"/>
      <c r="N74"/>
      <c r="O74"/>
      <c r="P74" s="506"/>
      <c r="Q74" s="67"/>
      <c r="R74" s="67"/>
      <c r="S74" s="67"/>
      <c r="T74" s="280">
        <f t="shared" ref="T74:AQ74" si="23">T71*T34</f>
        <v>-138.6924493043505</v>
      </c>
      <c r="U74" s="24">
        <f t="shared" si="23"/>
        <v>-252.35278625157966</v>
      </c>
      <c r="V74" s="24">
        <f t="shared" si="23"/>
        <v>-346.49019086280856</v>
      </c>
      <c r="W74" s="24">
        <f t="shared" si="23"/>
        <v>-425.05408122690534</v>
      </c>
      <c r="X74" s="24">
        <f t="shared" si="23"/>
        <v>-490.21613532492364</v>
      </c>
      <c r="Y74" s="24">
        <f t="shared" si="23"/>
        <v>-544.74567328659145</v>
      </c>
      <c r="Z74" s="24">
        <f t="shared" si="23"/>
        <v>-590.37596380253842</v>
      </c>
      <c r="AA74" s="24">
        <f t="shared" si="23"/>
        <v>-628.46781886326426</v>
      </c>
      <c r="AB74" s="24">
        <f t="shared" si="23"/>
        <v>-660.10711732067455</v>
      </c>
      <c r="AC74" s="24">
        <f t="shared" si="23"/>
        <v>-686.17314715799807</v>
      </c>
      <c r="AD74" s="24">
        <f t="shared" si="23"/>
        <v>-707.38749339982519</v>
      </c>
      <c r="AE74" s="24">
        <f t="shared" si="23"/>
        <v>-724.34965068577276</v>
      </c>
      <c r="AF74" s="24">
        <f t="shared" si="23"/>
        <v>-737.56338707892246</v>
      </c>
      <c r="AG74" s="24">
        <f t="shared" si="23"/>
        <v>-747.45654343156184</v>
      </c>
      <c r="AH74" s="24">
        <f t="shared" si="23"/>
        <v>-762.36201218752353</v>
      </c>
      <c r="AI74" s="24">
        <f t="shared" si="23"/>
        <v>-774.80635081365858</v>
      </c>
      <c r="AJ74" s="24">
        <f t="shared" si="23"/>
        <v>-785.00464719247429</v>
      </c>
      <c r="AK74" s="24">
        <f t="shared" si="23"/>
        <v>-793.14641274480596</v>
      </c>
      <c r="AL74" s="24">
        <f t="shared" si="23"/>
        <v>-799.3998722670334</v>
      </c>
      <c r="AM74" s="24">
        <f t="shared" si="23"/>
        <v>-803.91542207017517</v>
      </c>
      <c r="AN74" s="24">
        <f t="shared" si="23"/>
        <v>-806.82843508752148</v>
      </c>
      <c r="AO74" s="24">
        <f t="shared" si="23"/>
        <v>-808.26154888540088</v>
      </c>
      <c r="AP74" s="24">
        <f t="shared" si="23"/>
        <v>-808.32654101552862</v>
      </c>
      <c r="AQ74" s="24">
        <f t="shared" si="23"/>
        <v>-813.34625658478944</v>
      </c>
      <c r="AS74" s="6">
        <f>ROW()</f>
        <v>74</v>
      </c>
    </row>
    <row r="75" spans="2:45" s="8" customFormat="1" ht="13.95" customHeight="1">
      <c r="B75" s="8" t="s">
        <v>411</v>
      </c>
      <c r="J75" s="84" t="str">
        <f>CONCATENATE("Sum of Rows ",AS34, " and ",AS74, ".")</f>
        <v>Sum of Rows 34 and 74.</v>
      </c>
      <c r="M75"/>
      <c r="N75"/>
      <c r="O75"/>
      <c r="P75" s="506"/>
      <c r="Q75" s="67"/>
      <c r="R75" s="67"/>
      <c r="S75" s="67"/>
      <c r="T75" s="280">
        <f t="shared" ref="T75:AQ75" si="24">T34+T74</f>
        <v>3763.2720137326996</v>
      </c>
      <c r="U75" s="24">
        <f t="shared" si="24"/>
        <v>3688.6886024158116</v>
      </c>
      <c r="V75" s="24">
        <f t="shared" si="24"/>
        <v>3634.0194663421148</v>
      </c>
      <c r="W75" s="24">
        <f t="shared" si="24"/>
        <v>3595.3191065967421</v>
      </c>
      <c r="X75" s="24">
        <f t="shared" si="24"/>
        <v>3563.9312408082519</v>
      </c>
      <c r="Y75" s="24">
        <f t="shared" si="24"/>
        <v>3543.4596199898979</v>
      </c>
      <c r="Z75" s="24">
        <f t="shared" si="24"/>
        <v>3532.1733589887517</v>
      </c>
      <c r="AA75" s="24">
        <f t="shared" si="24"/>
        <v>3528.7140493755396</v>
      </c>
      <c r="AB75" s="24">
        <f t="shared" si="24"/>
        <v>3531.9982360513231</v>
      </c>
      <c r="AC75" s="24">
        <f t="shared" si="24"/>
        <v>3541.1490751472065</v>
      </c>
      <c r="AD75" s="24">
        <f t="shared" si="24"/>
        <v>3555.4474462853486</v>
      </c>
      <c r="AE75" s="24">
        <f t="shared" si="24"/>
        <v>3574.2963401777861</v>
      </c>
      <c r="AF75" s="24">
        <f t="shared" si="24"/>
        <v>3597.1944949919334</v>
      </c>
      <c r="AG75" s="24">
        <f t="shared" si="24"/>
        <v>3623.7165971602381</v>
      </c>
      <c r="AH75" s="24">
        <f t="shared" si="24"/>
        <v>3665.6156375529545</v>
      </c>
      <c r="AI75" s="24">
        <f t="shared" si="24"/>
        <v>3710.7139971510251</v>
      </c>
      <c r="AJ75" s="24">
        <f t="shared" si="24"/>
        <v>3758.8061810271383</v>
      </c>
      <c r="AK75" s="24">
        <f t="shared" si="24"/>
        <v>3809.712395378554</v>
      </c>
      <c r="AL75" s="24">
        <f t="shared" si="24"/>
        <v>3863.2742593099106</v>
      </c>
      <c r="AM75" s="24">
        <f t="shared" si="24"/>
        <v>3919.3513483352112</v>
      </c>
      <c r="AN75" s="24">
        <f t="shared" si="24"/>
        <v>3977.8183909325958</v>
      </c>
      <c r="AO75" s="24">
        <f t="shared" si="24"/>
        <v>4038.5629822175806</v>
      </c>
      <c r="AP75" s="24">
        <f t="shared" si="24"/>
        <v>4101.4837102966048</v>
      </c>
      <c r="AQ75" s="24">
        <f t="shared" si="24"/>
        <v>4198.5990441035838</v>
      </c>
      <c r="AS75" s="6">
        <f>ROW()</f>
        <v>75</v>
      </c>
    </row>
    <row r="76" spans="2:45" s="8" customFormat="1" ht="13.95" customHeight="1">
      <c r="B76" s="8" t="s">
        <v>412</v>
      </c>
      <c r="J76" s="84" t="str">
        <f>CONCATENATE("Product of Row ",AS75, " and Cell G",AS47, ".")</f>
        <v>Product of Row 75 and Cell G47.</v>
      </c>
      <c r="M76"/>
      <c r="N76"/>
      <c r="O76"/>
      <c r="P76" s="506"/>
      <c r="Q76" s="67"/>
      <c r="R76" s="67"/>
      <c r="S76" s="67"/>
      <c r="T76" s="280">
        <f t="shared" ref="T76:AP76" si="25">T75*$G$47</f>
        <v>3987.4880465604369</v>
      </c>
      <c r="U76" s="24">
        <f t="shared" si="25"/>
        <v>3908.460949924176</v>
      </c>
      <c r="V76" s="24">
        <f t="shared" si="25"/>
        <v>3850.5346225648545</v>
      </c>
      <c r="W76" s="24">
        <f t="shared" si="25"/>
        <v>3809.5284924421485</v>
      </c>
      <c r="X76" s="24">
        <f t="shared" si="25"/>
        <v>3776.270535222493</v>
      </c>
      <c r="Y76" s="24">
        <f t="shared" si="25"/>
        <v>3754.5792136786281</v>
      </c>
      <c r="Z76" s="24">
        <f t="shared" si="25"/>
        <v>3742.6205163885552</v>
      </c>
      <c r="AA76" s="24">
        <f t="shared" si="25"/>
        <v>3738.9551008454591</v>
      </c>
      <c r="AB76" s="24">
        <f t="shared" si="25"/>
        <v>3742.4349596131942</v>
      </c>
      <c r="AC76" s="24">
        <f t="shared" si="25"/>
        <v>3752.1310063984597</v>
      </c>
      <c r="AD76" s="24">
        <f t="shared" si="25"/>
        <v>3767.281275576604</v>
      </c>
      <c r="AE76" s="24">
        <f t="shared" si="25"/>
        <v>3787.2531880008751</v>
      </c>
      <c r="AF76" s="24">
        <f t="shared" si="25"/>
        <v>3811.5156166205747</v>
      </c>
      <c r="AG76" s="24">
        <f t="shared" si="25"/>
        <v>3839.617907653444</v>
      </c>
      <c r="AH76" s="24">
        <f t="shared" si="25"/>
        <v>3884.0132960597675</v>
      </c>
      <c r="AI76" s="24">
        <f t="shared" si="25"/>
        <v>3931.7986193530533</v>
      </c>
      <c r="AJ76" s="24">
        <f t="shared" si="25"/>
        <v>3982.7561392025891</v>
      </c>
      <c r="AK76" s="24">
        <f t="shared" si="25"/>
        <v>4036.695349677193</v>
      </c>
      <c r="AL76" s="24">
        <f t="shared" si="25"/>
        <v>4093.4484335357097</v>
      </c>
      <c r="AM76" s="24">
        <f t="shared" si="25"/>
        <v>4152.8665997905855</v>
      </c>
      <c r="AN76" s="24">
        <f t="shared" si="25"/>
        <v>4214.8171132331599</v>
      </c>
      <c r="AO76" s="24">
        <f t="shared" si="25"/>
        <v>4279.1808718873808</v>
      </c>
      <c r="AP76" s="24">
        <f t="shared" si="25"/>
        <v>4345.8504217313557</v>
      </c>
      <c r="AQ76" s="24">
        <f t="shared" ref="AQ76" si="26">AQ75*$G$47</f>
        <v>4448.7518945135362</v>
      </c>
      <c r="AS76" s="6">
        <f>ROW()</f>
        <v>76</v>
      </c>
    </row>
    <row r="77" spans="2:45" s="8" customFormat="1" ht="13.95" customHeight="1">
      <c r="B77" s="8" t="s">
        <v>97</v>
      </c>
      <c r="H77" s="23"/>
      <c r="I77" s="23"/>
      <c r="J77" s="84" t="str">
        <f>CONCATENATE("Product of Rows ",AS76, " and ",AS59, ", with appropriate conversion factors.")</f>
        <v>Product of Rows 76 and 59, with appropriate conversion factors.</v>
      </c>
      <c r="M77"/>
      <c r="N77"/>
      <c r="O77"/>
      <c r="P77" s="506"/>
      <c r="Q77" s="67"/>
      <c r="R77" s="67"/>
      <c r="S77" s="67"/>
      <c r="T77" s="280">
        <f>T76*T59*1000000/(Parameters!$I$18*1000)</f>
        <v>1708.6951648869037</v>
      </c>
      <c r="U77" s="24">
        <f>U76*U59*1000000/(Parameters!$I$18*1000)</f>
        <v>1570.754716977109</v>
      </c>
      <c r="V77" s="24">
        <f>V76*V59*1000000/(Parameters!$I$18*1000)</f>
        <v>1451.3128052629102</v>
      </c>
      <c r="W77" s="24">
        <f>W76*W59*1000000/(Parameters!$I$18*1000)</f>
        <v>1346.6310361745989</v>
      </c>
      <c r="X77" s="24">
        <f>X76*X59*1000000/(Parameters!$I$18*1000)</f>
        <v>1251.9237903599949</v>
      </c>
      <c r="Y77" s="24">
        <f>Y76*Y59*1000000/(Parameters!$I$18*1000)</f>
        <v>1167.383264321614</v>
      </c>
      <c r="Z77" s="24">
        <f>Z76*Z59*1000000/(Parameters!$I$18*1000)</f>
        <v>1091.3533465396845</v>
      </c>
      <c r="AA77" s="24">
        <f>AA76*AA59*1000000/(Parameters!$I$18*1000)</f>
        <v>1022.5327803728325</v>
      </c>
      <c r="AB77" s="24">
        <f>AB76*AB59*1000000/(Parameters!$I$18*1000)</f>
        <v>959.88377316450317</v>
      </c>
      <c r="AC77" s="24">
        <f>AC76*AC59*1000000/(Parameters!$I$18*1000)</f>
        <v>902.56768671022394</v>
      </c>
      <c r="AD77" s="24">
        <f>AD76*AD59*1000000/(Parameters!$I$18*1000)</f>
        <v>849.89883450316222</v>
      </c>
      <c r="AE77" s="24">
        <f>AE76*AE59*1000000/(Parameters!$I$18*1000)</f>
        <v>801.31066963894386</v>
      </c>
      <c r="AF77" s="24">
        <f>AF76*AF59*1000000/(Parameters!$I$18*1000)</f>
        <v>756.33062883959576</v>
      </c>
      <c r="AG77" s="24">
        <f>AG76*AG59*1000000/(Parameters!$I$18*1000)</f>
        <v>714.56113670244486</v>
      </c>
      <c r="AH77" s="24">
        <f>AH76*AH59*1000000/(Parameters!$I$18*1000)</f>
        <v>677.90602020010067</v>
      </c>
      <c r="AI77" s="24">
        <f>AI76*AI59*1000000/(Parameters!$I$18*1000)</f>
        <v>643.60209281336267</v>
      </c>
      <c r="AJ77" s="24">
        <f>AJ76*AJ59*1000000/(Parameters!$I$18*1000)</f>
        <v>611.43077835529857</v>
      </c>
      <c r="AK77" s="24">
        <f>AK76*AK59*1000000/(Parameters!$I$18*1000)</f>
        <v>581.20180474768756</v>
      </c>
      <c r="AL77" s="24">
        <f>AL76*AL59*1000000/(Parameters!$I$18*1000)</f>
        <v>552.74866545672478</v>
      </c>
      <c r="AM77" s="24">
        <f>AM76*AM59*1000000/(Parameters!$I$18*1000)</f>
        <v>525.92493101244918</v>
      </c>
      <c r="AN77" s="24">
        <f>AN76*AN59*1000000/(Parameters!$I$18*1000)</f>
        <v>500.60122921808289</v>
      </c>
      <c r="AO77" s="24">
        <f>AO76*AO59*1000000/(Parameters!$I$18*1000)</f>
        <v>476.66275584785006</v>
      </c>
      <c r="AP77" s="24">
        <f>AP76*AP59*1000000/(Parameters!$I$18*1000)</f>
        <v>454.00720954632419</v>
      </c>
      <c r="AQ77" s="24">
        <f>AQ76*AQ59*1000000/(Parameters!$I$18*1000)</f>
        <v>435.87660543659445</v>
      </c>
      <c r="AS77" s="6">
        <f>ROW()</f>
        <v>77</v>
      </c>
    </row>
    <row r="78" spans="2:45" s="8" customFormat="1" ht="13.95" customHeight="1">
      <c r="B78" s="8" t="s">
        <v>280</v>
      </c>
      <c r="H78" s="23"/>
      <c r="I78" s="23"/>
      <c r="J78" s="84" t="str">
        <f>CONCATENATE("Row ",AS77, " less Row ",AS50, ".")</f>
        <v>Row 77 less Row 50.</v>
      </c>
      <c r="M78"/>
      <c r="N78"/>
      <c r="O78"/>
      <c r="P78" s="506"/>
      <c r="Q78" s="67"/>
      <c r="R78" s="67"/>
      <c r="S78" s="67"/>
      <c r="T78" s="280">
        <f t="shared" ref="T78:AQ78" si="27">T77-T50</f>
        <v>-152.46349323456457</v>
      </c>
      <c r="U78" s="107">
        <f t="shared" si="27"/>
        <v>-281.2819880506654</v>
      </c>
      <c r="V78" s="107">
        <f t="shared" si="27"/>
        <v>-391.64665539488965</v>
      </c>
      <c r="W78" s="107">
        <f t="shared" si="27"/>
        <v>-487.2956697095326</v>
      </c>
      <c r="X78" s="107">
        <f t="shared" si="27"/>
        <v>-570.09833085831428</v>
      </c>
      <c r="Y78" s="107">
        <f t="shared" si="27"/>
        <v>-642.81154856673197</v>
      </c>
      <c r="Z78" s="107">
        <f t="shared" si="27"/>
        <v>-707.09093272999507</v>
      </c>
      <c r="AA78" s="107">
        <f t="shared" si="27"/>
        <v>-764.23724162111296</v>
      </c>
      <c r="AB78" s="107">
        <f t="shared" si="27"/>
        <v>-815.28777276334142</v>
      </c>
      <c r="AC78" s="107">
        <f t="shared" si="27"/>
        <v>-861.08067244191454</v>
      </c>
      <c r="AD78" s="107">
        <f t="shared" si="27"/>
        <v>-902.30113843762922</v>
      </c>
      <c r="AE78" s="107">
        <f t="shared" si="27"/>
        <v>-939.51523210129221</v>
      </c>
      <c r="AF78" s="107">
        <f t="shared" si="27"/>
        <v>-973.19503430918951</v>
      </c>
      <c r="AG78" s="107">
        <f t="shared" si="27"/>
        <v>-1003.7376411937248</v>
      </c>
      <c r="AH78" s="107">
        <f t="shared" si="27"/>
        <v>-1037.0168762095864</v>
      </c>
      <c r="AI78" s="107">
        <f t="shared" si="27"/>
        <v>-1067.9515545860777</v>
      </c>
      <c r="AJ78" s="107">
        <f t="shared" si="27"/>
        <v>-1096.7602394795374</v>
      </c>
      <c r="AK78" s="107">
        <f t="shared" si="27"/>
        <v>-1123.6331899631923</v>
      </c>
      <c r="AL78" s="107">
        <f t="shared" si="27"/>
        <v>-1148.7368995914057</v>
      </c>
      <c r="AM78" s="107">
        <f t="shared" si="27"/>
        <v>-1172.2177848801946</v>
      </c>
      <c r="AN78" s="107">
        <f t="shared" si="27"/>
        <v>-1194.2052050978459</v>
      </c>
      <c r="AO78" s="107">
        <f t="shared" si="27"/>
        <v>-1214.8139515670425</v>
      </c>
      <c r="AP78" s="107">
        <f t="shared" si="27"/>
        <v>-1234.146312765469</v>
      </c>
      <c r="AQ78" s="107">
        <f t="shared" si="27"/>
        <v>-1261.9450162034716</v>
      </c>
      <c r="AS78" s="6">
        <f>ROW()</f>
        <v>78</v>
      </c>
    </row>
    <row r="79" spans="2:45" s="8" customFormat="1" ht="13.95" customHeight="1">
      <c r="B79" s="8" t="s">
        <v>403</v>
      </c>
      <c r="H79" s="23"/>
      <c r="I79" s="23"/>
      <c r="J79" s="84" t="str">
        <f>CONCATENATE("Row ",AS77, " less Cell I",AS50, ".")</f>
        <v>Row 77 less Cell I50.</v>
      </c>
      <c r="M79" s="129"/>
      <c r="N79"/>
      <c r="O79"/>
      <c r="P79" s="506"/>
      <c r="Q79" s="67"/>
      <c r="R79" s="67"/>
      <c r="S79" s="67"/>
      <c r="T79" s="280">
        <f t="shared" ref="T79:AP79" si="28">T77-$I$50</f>
        <v>-704.30483511309626</v>
      </c>
      <c r="U79" s="24">
        <f t="shared" si="28"/>
        <v>-842.24528302289104</v>
      </c>
      <c r="V79" s="24">
        <f t="shared" si="28"/>
        <v>-961.68719473708984</v>
      </c>
      <c r="W79" s="24">
        <f t="shared" si="28"/>
        <v>-1066.3689638254011</v>
      </c>
      <c r="X79" s="24">
        <f t="shared" si="28"/>
        <v>-1161.0762096400051</v>
      </c>
      <c r="Y79" s="24">
        <f t="shared" si="28"/>
        <v>-1245.616735678386</v>
      </c>
      <c r="Z79" s="24">
        <f t="shared" si="28"/>
        <v>-1321.6466534603155</v>
      </c>
      <c r="AA79" s="24">
        <f t="shared" si="28"/>
        <v>-1390.4672196271677</v>
      </c>
      <c r="AB79" s="24">
        <f t="shared" si="28"/>
        <v>-1453.1162268354969</v>
      </c>
      <c r="AC79" s="24">
        <f t="shared" si="28"/>
        <v>-1510.4323132897762</v>
      </c>
      <c r="AD79" s="24">
        <f t="shared" si="28"/>
        <v>-1563.1011654968379</v>
      </c>
      <c r="AE79" s="24">
        <f t="shared" si="28"/>
        <v>-1611.6893303610561</v>
      </c>
      <c r="AF79" s="24">
        <f t="shared" si="28"/>
        <v>-1656.6693711604044</v>
      </c>
      <c r="AG79" s="24">
        <f t="shared" si="28"/>
        <v>-1698.4388632975551</v>
      </c>
      <c r="AH79" s="24">
        <f t="shared" si="28"/>
        <v>-1735.0939797998994</v>
      </c>
      <c r="AI79" s="24">
        <f t="shared" si="28"/>
        <v>-1769.3979071866374</v>
      </c>
      <c r="AJ79" s="24">
        <f t="shared" si="28"/>
        <v>-1801.5692216447014</v>
      </c>
      <c r="AK79" s="24">
        <f t="shared" si="28"/>
        <v>-1831.7981952523123</v>
      </c>
      <c r="AL79" s="24">
        <f t="shared" si="28"/>
        <v>-1860.2513345432753</v>
      </c>
      <c r="AM79" s="24">
        <f t="shared" si="28"/>
        <v>-1887.0750689875508</v>
      </c>
      <c r="AN79" s="24">
        <f t="shared" si="28"/>
        <v>-1912.3987707819172</v>
      </c>
      <c r="AO79" s="24">
        <f t="shared" si="28"/>
        <v>-1936.3372441521499</v>
      </c>
      <c r="AP79" s="24">
        <f t="shared" si="28"/>
        <v>-1958.9927904536758</v>
      </c>
      <c r="AQ79" s="24">
        <f t="shared" ref="AQ79" si="29">AQ77-$I$50</f>
        <v>-1977.1233945634056</v>
      </c>
      <c r="AS79" s="6">
        <f>ROW()</f>
        <v>79</v>
      </c>
    </row>
    <row r="80" spans="2:45" s="8" customFormat="1" ht="13.95" customHeight="1">
      <c r="B80" s="8" t="s">
        <v>333</v>
      </c>
      <c r="H80" s="23"/>
      <c r="I80" s="23"/>
      <c r="J80" s="84" t="str">
        <f>CONCATENATE("Product of Rows ",AS77, " and ",AS20, ".")</f>
        <v>Product of Rows 77 and 20.</v>
      </c>
      <c r="M80" s="129"/>
      <c r="N80"/>
      <c r="O80"/>
      <c r="P80" s="268"/>
      <c r="Q80" s="67"/>
      <c r="R80" s="67"/>
      <c r="S80" s="26"/>
      <c r="T80" s="784">
        <f t="shared" ref="T80:AQ80" si="30">T77*T20/1000</f>
        <v>21.358689561086297</v>
      </c>
      <c r="U80" s="784">
        <f t="shared" si="30"/>
        <v>40.096933177117016</v>
      </c>
      <c r="V80" s="784">
        <f t="shared" si="30"/>
        <v>56.743725502546539</v>
      </c>
      <c r="W80" s="784">
        <f t="shared" si="30"/>
        <v>71.681477838249762</v>
      </c>
      <c r="X80" s="784">
        <f t="shared" si="30"/>
        <v>85.056794555847418</v>
      </c>
      <c r="Y80" s="784">
        <f t="shared" si="30"/>
        <v>97.18262016242879</v>
      </c>
      <c r="Z80" s="784">
        <f t="shared" si="30"/>
        <v>108.2306061457051</v>
      </c>
      <c r="AA80" s="784">
        <f t="shared" si="30"/>
        <v>118.33594089940907</v>
      </c>
      <c r="AB80" s="784">
        <f t="shared" si="30"/>
        <v>127.60667033477962</v>
      </c>
      <c r="AC80" s="784">
        <f t="shared" si="30"/>
        <v>136.13029130169534</v>
      </c>
      <c r="AD80" s="784">
        <f t="shared" si="30"/>
        <v>143.97851408425723</v>
      </c>
      <c r="AE80" s="784">
        <f t="shared" si="30"/>
        <v>151.21076668765085</v>
      </c>
      <c r="AF80" s="784">
        <f t="shared" si="30"/>
        <v>157.8768162845991</v>
      </c>
      <c r="AG80" s="784">
        <f t="shared" si="30"/>
        <v>164.01875946856941</v>
      </c>
      <c r="AH80" s="784">
        <f t="shared" si="30"/>
        <v>170.23529992492399</v>
      </c>
      <c r="AI80" s="784">
        <f t="shared" si="30"/>
        <v>176.0309676312248</v>
      </c>
      <c r="AJ80" s="784">
        <f t="shared" si="30"/>
        <v>181.43064288305501</v>
      </c>
      <c r="AK80" s="784">
        <f t="shared" si="30"/>
        <v>186.45612587438146</v>
      </c>
      <c r="AL80" s="784">
        <f t="shared" si="30"/>
        <v>191.12666255192417</v>
      </c>
      <c r="AM80" s="784">
        <f t="shared" si="30"/>
        <v>195.4593735083042</v>
      </c>
      <c r="AN80" s="784">
        <f t="shared" si="30"/>
        <v>199.46960609772873</v>
      </c>
      <c r="AO80" s="784">
        <f t="shared" si="30"/>
        <v>203.1712251908246</v>
      </c>
      <c r="AP80" s="784">
        <f t="shared" si="30"/>
        <v>206.57685445767513</v>
      </c>
      <c r="AQ80" s="784">
        <f t="shared" si="30"/>
        <v>211.31418538612385</v>
      </c>
      <c r="AS80" s="6">
        <f>ROW()</f>
        <v>80</v>
      </c>
    </row>
    <row r="81" spans="2:45" s="8" customFormat="1" ht="13.95" customHeight="1">
      <c r="H81" s="23"/>
      <c r="I81" s="23"/>
      <c r="J81" s="84"/>
      <c r="M81" s="129"/>
      <c r="N81" s="185"/>
      <c r="O81" s="185"/>
      <c r="P81" s="268"/>
      <c r="Q81" s="67"/>
      <c r="R81" s="67"/>
      <c r="S81" s="67"/>
      <c r="T81" s="64"/>
      <c r="U81" s="64"/>
      <c r="V81" s="64"/>
      <c r="W81" s="64"/>
      <c r="X81" s="64"/>
      <c r="Y81" s="64"/>
      <c r="Z81" s="64"/>
      <c r="AA81" s="64"/>
      <c r="AB81" s="64"/>
      <c r="AC81" s="64"/>
      <c r="AD81" s="64"/>
      <c r="AE81" s="64"/>
      <c r="AF81" s="64"/>
      <c r="AG81" s="64"/>
      <c r="AH81" s="64"/>
      <c r="AI81" s="64"/>
      <c r="AJ81" s="64"/>
      <c r="AK81" s="64"/>
      <c r="AL81" s="64"/>
      <c r="AM81" s="64"/>
      <c r="AN81" s="64"/>
      <c r="AO81" s="64"/>
      <c r="AP81" s="64"/>
      <c r="AQ81" s="64"/>
      <c r="AS81" s="6">
        <f>ROW()</f>
        <v>81</v>
      </c>
    </row>
    <row r="82" spans="2:45" ht="13.95" customHeight="1">
      <c r="B82" s="264" t="s">
        <v>334</v>
      </c>
      <c r="C82" s="8"/>
      <c r="D82" s="8"/>
      <c r="E82" s="8"/>
      <c r="F82" s="8"/>
      <c r="G82" s="8"/>
      <c r="H82" s="264">
        <f>-Parameters!H9</f>
        <v>0.7</v>
      </c>
      <c r="I82" s="264"/>
      <c r="J82" s="54"/>
      <c r="M82" s="67"/>
      <c r="N82" s="67"/>
      <c r="O82" s="67"/>
      <c r="P82" s="67"/>
      <c r="Q82" s="67"/>
      <c r="R82" s="67"/>
      <c r="S82" s="67"/>
      <c r="AS82" s="6">
        <f>ROW()</f>
        <v>82</v>
      </c>
    </row>
    <row r="83" spans="2:45" ht="13.95" customHeight="1">
      <c r="B83" s="84" t="str">
        <f>CONCATENATE("Sourced in 'Parameters' worksheet tab, Row ",Parameters!B9, ". Also see discussion in http://www.carbontax.org/issues/energy-demand-how-sensitive-to-price/.")</f>
        <v>Sourced in 'Parameters' worksheet tab, Row 9. Also see discussion in http://www.carbontax.org/issues/energy-demand-how-sensitive-to-price/.</v>
      </c>
      <c r="P83" s="67"/>
      <c r="Q83" s="67"/>
      <c r="R83" s="67"/>
      <c r="S83" s="67"/>
      <c r="AS83" s="6">
        <f>ROW()</f>
        <v>83</v>
      </c>
    </row>
    <row r="84" spans="2:45" ht="13.95" customHeight="1">
      <c r="P84" s="67"/>
      <c r="Q84" s="67"/>
      <c r="R84" s="67"/>
      <c r="S84" s="67"/>
      <c r="AS84" s="6">
        <f>ROW()</f>
        <v>84</v>
      </c>
    </row>
    <row r="85" spans="2:45" ht="13.95" customHeight="1">
      <c r="B85" s="8" t="s">
        <v>105</v>
      </c>
      <c r="D85" t="s">
        <v>82</v>
      </c>
      <c r="M85" s="67"/>
      <c r="N85" s="67"/>
      <c r="O85" s="67"/>
      <c r="P85" s="67"/>
      <c r="Q85" s="67"/>
      <c r="R85" s="67"/>
      <c r="S85" s="67"/>
      <c r="AS85" s="6">
        <f>ROW()</f>
        <v>85</v>
      </c>
    </row>
    <row r="86" spans="2:45" ht="13.95" customHeight="1">
      <c r="M86" s="67"/>
      <c r="N86" s="67"/>
      <c r="O86" s="67"/>
      <c r="P86" s="67"/>
      <c r="Q86" s="67"/>
      <c r="R86" s="67"/>
      <c r="S86" s="67"/>
      <c r="AS86" s="6">
        <f>ROW()</f>
        <v>86</v>
      </c>
    </row>
    <row r="87" spans="2:45" ht="13.95" customHeight="1">
      <c r="B87" s="1155" t="s">
        <v>486</v>
      </c>
      <c r="C87" s="1155"/>
      <c r="D87" s="1155"/>
      <c r="E87" s="1155"/>
      <c r="F87" s="1155"/>
      <c r="G87" s="1155"/>
      <c r="H87" s="1155"/>
      <c r="I87" s="56"/>
      <c r="J87" s="56"/>
      <c r="M87" s="67"/>
      <c r="N87" s="67"/>
      <c r="O87" s="67"/>
      <c r="P87" s="67"/>
      <c r="Q87" s="67"/>
      <c r="R87" s="67"/>
      <c r="S87" s="67"/>
      <c r="AS87" s="6">
        <f>ROW()</f>
        <v>87</v>
      </c>
    </row>
    <row r="88" spans="2:45" ht="13.95" customHeight="1">
      <c r="B88" s="1155"/>
      <c r="C88" s="1155"/>
      <c r="D88" s="1155"/>
      <c r="E88" s="1155"/>
      <c r="F88" s="1155"/>
      <c r="G88" s="1155"/>
      <c r="H88" s="1155"/>
      <c r="I88" s="56"/>
      <c r="J88" s="56"/>
      <c r="M88" s="67"/>
      <c r="N88" s="67"/>
      <c r="O88" s="67"/>
      <c r="P88" s="67"/>
      <c r="Q88" s="67"/>
      <c r="R88" s="67"/>
      <c r="S88" s="67"/>
      <c r="AS88" s="6">
        <f>ROW()</f>
        <v>88</v>
      </c>
    </row>
    <row r="89" spans="2:45" ht="13.95" customHeight="1">
      <c r="M89" s="67"/>
      <c r="N89" s="67"/>
      <c r="O89" s="67"/>
      <c r="P89" s="67"/>
      <c r="Q89" s="67"/>
      <c r="R89" s="67"/>
      <c r="S89" s="67"/>
      <c r="AS89" s="6">
        <f>ROW()</f>
        <v>89</v>
      </c>
    </row>
    <row r="90" spans="2:45" ht="13.95" customHeight="1">
      <c r="B90" s="13" t="s">
        <v>410</v>
      </c>
      <c r="F90" s="12"/>
      <c r="G90" s="12">
        <f>HLOOKUP(10,T16:AC26,11)</f>
        <v>2026</v>
      </c>
      <c r="M90" s="67"/>
      <c r="N90" s="67"/>
      <c r="O90" s="67"/>
      <c r="P90" s="67"/>
      <c r="Q90" s="67"/>
      <c r="R90" s="67"/>
      <c r="S90" s="67"/>
      <c r="AS90" s="6">
        <f>ROW()</f>
        <v>90</v>
      </c>
    </row>
    <row r="91" spans="2:45" ht="13.95" customHeight="1">
      <c r="M91" s="67"/>
      <c r="N91" s="67"/>
      <c r="O91" s="67"/>
      <c r="P91" s="67"/>
      <c r="Q91" s="67"/>
      <c r="R91" s="67"/>
      <c r="S91" s="67"/>
      <c r="AS91" s="6">
        <f>ROW()</f>
        <v>91</v>
      </c>
    </row>
    <row r="92" spans="2:45" ht="13.95" customHeight="1">
      <c r="B92" s="31" t="s">
        <v>420</v>
      </c>
      <c r="G92" s="36">
        <f>HLOOKUP(G90,T26:AP34,AS34-AS26+1)</f>
        <v>4227.3222223052044</v>
      </c>
      <c r="M92" s="67"/>
      <c r="N92" s="67"/>
      <c r="O92" s="67"/>
      <c r="P92" s="67"/>
      <c r="Q92" s="67"/>
      <c r="R92" s="67"/>
      <c r="S92" s="67"/>
      <c r="AS92" s="6">
        <f>ROW()</f>
        <v>92</v>
      </c>
    </row>
    <row r="93" spans="2:45" ht="13.95" customHeight="1">
      <c r="B93" s="31" t="s">
        <v>421</v>
      </c>
      <c r="G93" s="36">
        <f>HLOOKUP(G90,T69:AP75,AS75-AS69+1)</f>
        <v>3541.1490751472065</v>
      </c>
      <c r="M93" s="67"/>
      <c r="N93" s="67"/>
      <c r="O93" s="67"/>
      <c r="P93" s="67"/>
      <c r="Q93" s="67"/>
      <c r="R93" s="67"/>
      <c r="S93" s="67"/>
      <c r="AS93" s="6">
        <f>ROW()</f>
        <v>93</v>
      </c>
    </row>
    <row r="94" spans="2:45" s="13" customFormat="1" ht="13.95" customHeight="1">
      <c r="B94" s="13" t="s">
        <v>5</v>
      </c>
      <c r="G94" s="37">
        <f>G93/G92</f>
        <v>0.83768137107281582</v>
      </c>
      <c r="M94" s="155"/>
      <c r="N94" s="155"/>
      <c r="O94" s="155"/>
      <c r="P94" s="155"/>
      <c r="Q94" s="67"/>
      <c r="R94" s="67"/>
      <c r="S94" s="67"/>
      <c r="AS94" s="6">
        <f>ROW()</f>
        <v>94</v>
      </c>
    </row>
    <row r="95" spans="2:45" ht="13.95" customHeight="1">
      <c r="M95" s="67"/>
      <c r="N95" s="67"/>
      <c r="O95" s="67"/>
      <c r="P95" s="67"/>
      <c r="Q95" s="67"/>
      <c r="R95" s="67"/>
      <c r="S95" s="67"/>
      <c r="AS95" s="6">
        <f>ROW()</f>
        <v>95</v>
      </c>
    </row>
    <row r="96" spans="2:45" ht="13.95" customHeight="1">
      <c r="B96" t="s">
        <v>107</v>
      </c>
      <c r="G96" s="20">
        <f>HLOOKUP(G90,T26:AP45,AS45-AS26+1)</f>
        <v>0.86820334833978563</v>
      </c>
      <c r="M96" s="67"/>
      <c r="N96" s="67"/>
      <c r="O96" s="67"/>
      <c r="P96" s="67"/>
      <c r="Q96" s="67"/>
      <c r="R96" s="67"/>
      <c r="S96" s="67"/>
      <c r="AS96" s="6">
        <f>ROW()</f>
        <v>96</v>
      </c>
    </row>
    <row r="97" spans="2:45" ht="13.95" customHeight="1">
      <c r="B97" t="s">
        <v>108</v>
      </c>
      <c r="G97" s="20">
        <f>HLOOKUP(G90,T53:AP59,AS59-AS53+1)</f>
        <v>0.53040838547541302</v>
      </c>
      <c r="M97" s="67"/>
      <c r="N97" s="67"/>
      <c r="O97" s="67"/>
      <c r="P97" s="67"/>
      <c r="Q97" s="67"/>
      <c r="R97" s="67"/>
      <c r="S97" s="67"/>
      <c r="AS97" s="6">
        <f>ROW()</f>
        <v>97</v>
      </c>
    </row>
    <row r="98" spans="2:45" s="13" customFormat="1" ht="13.95" customHeight="1">
      <c r="B98" s="13" t="s">
        <v>5</v>
      </c>
      <c r="G98" s="37">
        <f>G97/G96</f>
        <v>0.61092644538826291</v>
      </c>
      <c r="M98" s="155"/>
      <c r="N98" s="155"/>
      <c r="O98" s="155"/>
      <c r="P98" s="155"/>
      <c r="Q98" s="67"/>
      <c r="R98" s="67"/>
      <c r="S98" s="67"/>
      <c r="AS98" s="6">
        <f>ROW()</f>
        <v>98</v>
      </c>
    </row>
    <row r="99" spans="2:45" ht="13.95" customHeight="1">
      <c r="G99" s="20"/>
      <c r="M99" s="67"/>
      <c r="N99" s="67"/>
      <c r="O99" s="67"/>
      <c r="P99" s="67"/>
      <c r="Q99" s="67"/>
      <c r="R99" s="67"/>
      <c r="S99" s="67"/>
      <c r="AS99" s="6">
        <f>ROW()</f>
        <v>99</v>
      </c>
    </row>
    <row r="100" spans="2:45" ht="13.95" customHeight="1">
      <c r="B100" s="3" t="s">
        <v>140</v>
      </c>
      <c r="G100" s="20"/>
      <c r="M100" s="67"/>
      <c r="N100" s="67"/>
      <c r="O100" s="67"/>
      <c r="P100" s="67"/>
      <c r="Q100" s="67"/>
      <c r="R100" s="67"/>
      <c r="S100" s="67"/>
      <c r="AS100" s="6">
        <f>ROW()</f>
        <v>100</v>
      </c>
    </row>
    <row r="101" spans="2:45" ht="13.95" customHeight="1">
      <c r="B101" s="31" t="s">
        <v>418</v>
      </c>
      <c r="G101" s="36">
        <f>HLOOKUP(G90,T26:AP50,AS50-AS26+1)</f>
        <v>1763.6483591521385</v>
      </c>
      <c r="M101" s="67"/>
      <c r="N101" s="67"/>
      <c r="O101" s="67"/>
      <c r="P101" s="67"/>
      <c r="Q101" s="67"/>
      <c r="R101" s="67"/>
      <c r="S101" s="67"/>
      <c r="AS101" s="6">
        <f>ROW()</f>
        <v>101</v>
      </c>
    </row>
    <row r="102" spans="2:45" ht="13.95" customHeight="1">
      <c r="B102" s="31" t="s">
        <v>419</v>
      </c>
      <c r="G102" s="36">
        <f>HLOOKUP(G90,T69:AP77,AS77-AS69+1)</f>
        <v>902.56768671022394</v>
      </c>
      <c r="M102" s="67"/>
      <c r="N102" s="67"/>
      <c r="O102" s="67"/>
      <c r="P102" s="67"/>
      <c r="Q102" s="67"/>
      <c r="R102" s="67"/>
      <c r="S102" s="67"/>
      <c r="AS102" s="6">
        <f>ROW()</f>
        <v>102</v>
      </c>
    </row>
    <row r="103" spans="2:45" s="13" customFormat="1" ht="13.95" customHeight="1">
      <c r="B103" s="13" t="s">
        <v>5</v>
      </c>
      <c r="G103" s="55">
        <f>G102/G101</f>
        <v>0.51176170239748187</v>
      </c>
      <c r="H103"/>
      <c r="I103"/>
      <c r="J103"/>
      <c r="K103"/>
      <c r="L103"/>
      <c r="M103" s="67"/>
      <c r="N103" s="67"/>
      <c r="O103" s="67"/>
      <c r="P103" s="67"/>
      <c r="Q103" s="67"/>
      <c r="R103" s="67"/>
      <c r="S103" s="67"/>
      <c r="AS103" s="6">
        <f>ROW()</f>
        <v>103</v>
      </c>
    </row>
    <row r="104" spans="2:45" s="13" customFormat="1" ht="13.95" customHeight="1">
      <c r="G104" s="37"/>
      <c r="H104"/>
      <c r="I104"/>
      <c r="J104"/>
      <c r="K104"/>
      <c r="L104"/>
      <c r="M104" s="67"/>
      <c r="N104" s="67"/>
      <c r="O104" s="67"/>
      <c r="P104" s="67"/>
      <c r="Q104" s="67"/>
      <c r="R104" s="67"/>
      <c r="S104" s="67"/>
      <c r="AS104" s="6">
        <f>ROW()</f>
        <v>104</v>
      </c>
    </row>
    <row r="105" spans="2:45" s="13" customFormat="1" ht="13.95" customHeight="1">
      <c r="B105" s="13" t="s">
        <v>4</v>
      </c>
      <c r="G105" s="55">
        <f>G98*G94</f>
        <v>0.51176170239748175</v>
      </c>
      <c r="H105"/>
      <c r="I105"/>
      <c r="J105"/>
      <c r="K105"/>
      <c r="L105"/>
      <c r="M105" s="67"/>
      <c r="N105" s="67"/>
      <c r="O105" s="67"/>
      <c r="P105" s="67"/>
      <c r="Q105" s="67"/>
      <c r="R105" s="67"/>
      <c r="S105" s="67"/>
      <c r="AS105" s="6">
        <f>ROW()</f>
        <v>105</v>
      </c>
    </row>
    <row r="106" spans="2:45" ht="13.95" customHeight="1">
      <c r="G106" s="20"/>
      <c r="M106" s="67"/>
      <c r="N106" s="67"/>
      <c r="O106" s="67"/>
      <c r="P106" s="67"/>
      <c r="Q106" s="67"/>
      <c r="R106" s="67"/>
      <c r="S106" s="67"/>
      <c r="AS106" s="6">
        <f>ROW()</f>
        <v>106</v>
      </c>
    </row>
    <row r="107" spans="2:45" s="3" customFormat="1" ht="13.95" customHeight="1">
      <c r="B107" s="3" t="s">
        <v>109</v>
      </c>
      <c r="G107" s="1097"/>
      <c r="M107" s="100"/>
      <c r="N107" s="100"/>
      <c r="O107" s="100"/>
      <c r="P107" s="100"/>
      <c r="Q107" s="100"/>
      <c r="R107" s="100"/>
      <c r="S107" s="100"/>
      <c r="AS107" s="242">
        <f>ROW()</f>
        <v>107</v>
      </c>
    </row>
    <row r="108" spans="2:45" ht="13.95" customHeight="1">
      <c r="B108" t="s">
        <v>110</v>
      </c>
      <c r="G108" s="6">
        <f>(1-G94)/(1-G98)</f>
        <v>0.41719265419919022</v>
      </c>
      <c r="J108" s="31"/>
      <c r="M108" s="67"/>
      <c r="N108" s="67"/>
      <c r="O108" s="67"/>
      <c r="P108" s="67"/>
      <c r="Q108" s="67"/>
      <c r="R108" s="67"/>
      <c r="S108" s="67"/>
      <c r="AS108" s="6">
        <f>ROW()</f>
        <v>108</v>
      </c>
    </row>
    <row r="109" spans="2:45" ht="13.95" customHeight="1">
      <c r="M109" s="67"/>
      <c r="N109" s="67"/>
      <c r="O109" s="67"/>
      <c r="P109" s="67"/>
      <c r="Q109" s="67"/>
      <c r="R109" s="67"/>
      <c r="S109" s="67"/>
      <c r="AS109" s="6">
        <f>ROW()</f>
        <v>109</v>
      </c>
    </row>
    <row r="110" spans="2:45" ht="13.95" customHeight="1">
      <c r="B110" s="38" t="s">
        <v>111</v>
      </c>
      <c r="C110" s="39"/>
      <c r="D110" s="39"/>
      <c r="E110" s="39"/>
      <c r="F110" s="39"/>
      <c r="G110" s="68">
        <f>G108/(1+G108)</f>
        <v>0.29437963354031943</v>
      </c>
      <c r="M110" s="67"/>
      <c r="N110" s="67"/>
      <c r="O110" s="67"/>
      <c r="P110" s="67"/>
      <c r="Q110" s="67"/>
      <c r="R110" s="67"/>
      <c r="S110" s="67"/>
      <c r="AS110" s="6">
        <f>ROW()</f>
        <v>110</v>
      </c>
    </row>
    <row r="111" spans="2:45" ht="13.95" customHeight="1">
      <c r="B111" s="41" t="s">
        <v>112</v>
      </c>
      <c r="C111" s="42"/>
      <c r="D111" s="42"/>
      <c r="E111" s="42"/>
      <c r="F111" s="42"/>
      <c r="G111" s="43">
        <f>1-G110</f>
        <v>0.70562036645968051</v>
      </c>
      <c r="M111" s="67"/>
      <c r="N111" s="67"/>
      <c r="O111" s="67"/>
      <c r="P111" s="67"/>
      <c r="Q111" s="67"/>
      <c r="R111" s="67"/>
      <c r="S111" s="67"/>
      <c r="AS111" s="6">
        <f>ROW()</f>
        <v>111</v>
      </c>
    </row>
    <row r="112" spans="2:45" ht="13.95" customHeight="1">
      <c r="M112" s="67"/>
      <c r="N112" s="67"/>
      <c r="O112" s="67"/>
      <c r="P112" s="67"/>
      <c r="Q112" s="67"/>
      <c r="R112" s="67"/>
      <c r="S112" s="67"/>
      <c r="AS112" s="6">
        <f>ROW()</f>
        <v>112</v>
      </c>
    </row>
    <row r="113" spans="2:45" ht="13.95" customHeight="1">
      <c r="B113" s="31" t="s">
        <v>77</v>
      </c>
      <c r="G113" s="36">
        <f>G101-G102</f>
        <v>861.08067244191454</v>
      </c>
      <c r="AS113" s="6">
        <f>ROW()</f>
        <v>113</v>
      </c>
    </row>
    <row r="114" spans="2:45" ht="13.95" customHeight="1">
      <c r="B114" s="84" t="str">
        <f>CONCATENATE("Difference between Rows ",AS101," and ",AS102, ".")</f>
        <v>Difference between Rows 101 and 102.</v>
      </c>
      <c r="M114" s="67"/>
      <c r="N114" s="67"/>
      <c r="O114" s="67"/>
      <c r="P114" s="67"/>
      <c r="Q114" s="67"/>
      <c r="R114" s="67"/>
      <c r="S114" s="67"/>
      <c r="AS114" s="6">
        <f>ROW()</f>
        <v>114</v>
      </c>
    </row>
    <row r="115" spans="2:45" ht="13.95" customHeight="1">
      <c r="B115" s="31" t="s">
        <v>573</v>
      </c>
      <c r="G115" s="36">
        <f>G110*$G$113</f>
        <v>253.48461280210265</v>
      </c>
      <c r="M115" s="67"/>
      <c r="N115" s="67"/>
      <c r="O115" s="67"/>
      <c r="P115" s="67"/>
      <c r="Q115" s="67"/>
      <c r="R115" s="67"/>
      <c r="S115" s="67"/>
      <c r="AS115" s="6">
        <f>ROW()</f>
        <v>115</v>
      </c>
    </row>
    <row r="116" spans="2:45" ht="13.95" customHeight="1">
      <c r="B116" s="31" t="s">
        <v>574</v>
      </c>
      <c r="G116" s="36">
        <f>G111*$G$113</f>
        <v>607.59605963981187</v>
      </c>
      <c r="M116" s="67"/>
      <c r="N116" s="67"/>
      <c r="O116" s="67"/>
      <c r="P116" s="67"/>
      <c r="Q116" s="67"/>
      <c r="R116" s="67"/>
      <c r="S116" s="67"/>
      <c r="AS116" s="6">
        <f>ROW()</f>
        <v>116</v>
      </c>
    </row>
    <row r="117" spans="2:45" ht="13.95" customHeight="1">
      <c r="B117" s="84" t="str">
        <f>CONCATENATE("Product of Rows ",AS113," and Rows ",AS110, " and ",AS111, ", respectively.")</f>
        <v>Product of Rows 113 and Rows 110 and 111, respectively.</v>
      </c>
      <c r="P117" s="67"/>
      <c r="Q117" s="67"/>
      <c r="R117" s="67"/>
      <c r="S117" s="67"/>
      <c r="AS117" s="6">
        <f>ROW()</f>
        <v>117</v>
      </c>
    </row>
    <row r="118" spans="2:45" ht="13.95" customHeight="1">
      <c r="P118" s="67"/>
      <c r="Q118" s="67"/>
      <c r="R118" s="67"/>
      <c r="S118" s="67"/>
      <c r="AS118" s="6">
        <f>ROW()</f>
        <v>118</v>
      </c>
    </row>
    <row r="119" spans="2:45" ht="13.95" customHeight="1">
      <c r="Q119" s="67"/>
      <c r="R119" s="67"/>
      <c r="S119" s="67"/>
      <c r="AS119" s="6">
        <f>ROW()</f>
        <v>119</v>
      </c>
    </row>
    <row r="120" spans="2:45" ht="13.95" customHeight="1">
      <c r="Q120" s="67"/>
      <c r="R120" s="67"/>
      <c r="S120" s="67"/>
      <c r="AS120" s="6"/>
    </row>
    <row r="121" spans="2:45" ht="13.95" customHeight="1">
      <c r="H121" s="13">
        <f>I69</f>
        <v>2005</v>
      </c>
      <c r="I121" s="13">
        <f>J69</f>
        <v>2006</v>
      </c>
      <c r="J121" s="13">
        <f t="shared" ref="J121:R121" si="31">K69</f>
        <v>2007</v>
      </c>
      <c r="K121" s="13">
        <f t="shared" si="31"/>
        <v>2008</v>
      </c>
      <c r="L121" s="13">
        <f t="shared" si="31"/>
        <v>2009</v>
      </c>
      <c r="M121" s="13">
        <f t="shared" si="31"/>
        <v>2010</v>
      </c>
      <c r="N121" s="13">
        <f t="shared" si="31"/>
        <v>2011</v>
      </c>
      <c r="O121" s="13">
        <f t="shared" si="31"/>
        <v>2012</v>
      </c>
      <c r="P121" s="13">
        <f t="shared" si="31"/>
        <v>2013</v>
      </c>
      <c r="Q121" s="13">
        <f t="shared" si="31"/>
        <v>2014</v>
      </c>
      <c r="R121" s="13">
        <f t="shared" si="31"/>
        <v>2015</v>
      </c>
      <c r="S121" s="13">
        <v>2016</v>
      </c>
      <c r="T121" s="13">
        <f t="shared" ref="T121:AK121" si="32">T69</f>
        <v>2017</v>
      </c>
      <c r="U121" s="13">
        <f t="shared" si="32"/>
        <v>2018</v>
      </c>
      <c r="V121" s="13">
        <f t="shared" si="32"/>
        <v>2019</v>
      </c>
      <c r="W121" s="13">
        <f t="shared" si="32"/>
        <v>2020</v>
      </c>
      <c r="X121" s="13">
        <f t="shared" si="32"/>
        <v>2021</v>
      </c>
      <c r="Y121" s="13">
        <f t="shared" si="32"/>
        <v>2022</v>
      </c>
      <c r="Z121" s="13">
        <f t="shared" si="32"/>
        <v>2023</v>
      </c>
      <c r="AA121" s="13">
        <f t="shared" si="32"/>
        <v>2024</v>
      </c>
      <c r="AB121" s="13">
        <f t="shared" si="32"/>
        <v>2025</v>
      </c>
      <c r="AC121" s="13">
        <f t="shared" si="32"/>
        <v>2026</v>
      </c>
      <c r="AD121" s="13">
        <f t="shared" si="32"/>
        <v>2027</v>
      </c>
      <c r="AE121" s="13">
        <f t="shared" si="32"/>
        <v>2028</v>
      </c>
      <c r="AF121" s="13">
        <f t="shared" si="32"/>
        <v>2029</v>
      </c>
      <c r="AG121" s="13">
        <f t="shared" si="32"/>
        <v>2030</v>
      </c>
      <c r="AH121" s="13">
        <f t="shared" si="32"/>
        <v>2031</v>
      </c>
      <c r="AI121" s="13">
        <f t="shared" si="32"/>
        <v>2032</v>
      </c>
      <c r="AJ121" s="13">
        <f t="shared" si="32"/>
        <v>2033</v>
      </c>
      <c r="AK121" s="13">
        <f t="shared" si="32"/>
        <v>2034</v>
      </c>
      <c r="AS121" s="6"/>
    </row>
    <row r="122" spans="2:45" ht="13.95" customHeight="1">
      <c r="Q122" s="67"/>
      <c r="R122" s="67"/>
      <c r="S122" s="67"/>
      <c r="AS122" s="6"/>
    </row>
    <row r="123" spans="2:45" ht="13.95" customHeight="1">
      <c r="B123" t="s">
        <v>90</v>
      </c>
      <c r="H123" s="36">
        <f t="shared" ref="H123:R123" si="33">I50</f>
        <v>2413</v>
      </c>
      <c r="I123" s="36">
        <f t="shared" si="33"/>
        <v>2358.6</v>
      </c>
      <c r="J123" s="36">
        <f t="shared" si="33"/>
        <v>2425.1999999999998</v>
      </c>
      <c r="K123" s="36">
        <f t="shared" si="33"/>
        <v>2372.4</v>
      </c>
      <c r="L123" s="36">
        <f t="shared" si="33"/>
        <v>2156.9999999999995</v>
      </c>
      <c r="M123" s="36">
        <f t="shared" si="33"/>
        <v>2269</v>
      </c>
      <c r="N123" s="36">
        <f t="shared" si="33"/>
        <v>2167.8000000000002</v>
      </c>
      <c r="O123" s="36">
        <f t="shared" si="33"/>
        <v>2032.1000000000001</v>
      </c>
      <c r="P123" s="36">
        <f t="shared" si="33"/>
        <v>2048.7000000000003</v>
      </c>
      <c r="Q123" s="36">
        <f t="shared" si="33"/>
        <v>2048.3000000000002</v>
      </c>
      <c r="R123" s="36">
        <f t="shared" si="33"/>
        <v>1895.3696778233411</v>
      </c>
      <c r="S123" s="67"/>
      <c r="AS123" s="6"/>
    </row>
    <row r="124" spans="2:45" ht="13.95" customHeight="1">
      <c r="Q124" s="67"/>
      <c r="R124" s="67"/>
      <c r="S124" s="67"/>
      <c r="AS124" s="6"/>
    </row>
    <row r="125" spans="2:45" ht="13.95" customHeight="1">
      <c r="H125" s="36">
        <f>Scenarios!K21</f>
        <v>1640.8400000000001</v>
      </c>
      <c r="I125" s="36">
        <f t="shared" ref="I125:AG125" si="34">$H$125</f>
        <v>1640.8400000000001</v>
      </c>
      <c r="J125" s="36">
        <f t="shared" si="34"/>
        <v>1640.8400000000001</v>
      </c>
      <c r="K125" s="36">
        <f t="shared" si="34"/>
        <v>1640.8400000000001</v>
      </c>
      <c r="L125" s="36">
        <f t="shared" si="34"/>
        <v>1640.8400000000001</v>
      </c>
      <c r="M125" s="36">
        <f t="shared" si="34"/>
        <v>1640.8400000000001</v>
      </c>
      <c r="N125" s="36">
        <f t="shared" si="34"/>
        <v>1640.8400000000001</v>
      </c>
      <c r="O125" s="36">
        <f t="shared" si="34"/>
        <v>1640.8400000000001</v>
      </c>
      <c r="P125" s="36">
        <f t="shared" si="34"/>
        <v>1640.8400000000001</v>
      </c>
      <c r="Q125" s="36">
        <f t="shared" si="34"/>
        <v>1640.8400000000001</v>
      </c>
      <c r="R125" s="36">
        <f t="shared" si="34"/>
        <v>1640.8400000000001</v>
      </c>
      <c r="S125" s="36">
        <f t="shared" si="34"/>
        <v>1640.8400000000001</v>
      </c>
      <c r="T125" s="36">
        <f t="shared" si="34"/>
        <v>1640.8400000000001</v>
      </c>
      <c r="U125" s="36">
        <f t="shared" si="34"/>
        <v>1640.8400000000001</v>
      </c>
      <c r="V125" s="36">
        <f t="shared" si="34"/>
        <v>1640.8400000000001</v>
      </c>
      <c r="W125" s="36">
        <f t="shared" si="34"/>
        <v>1640.8400000000001</v>
      </c>
      <c r="X125" s="36">
        <f t="shared" si="34"/>
        <v>1640.8400000000001</v>
      </c>
      <c r="Y125" s="36">
        <f t="shared" si="34"/>
        <v>1640.8400000000001</v>
      </c>
      <c r="Z125" s="36">
        <f t="shared" si="34"/>
        <v>1640.8400000000001</v>
      </c>
      <c r="AA125" s="36">
        <f t="shared" si="34"/>
        <v>1640.8400000000001</v>
      </c>
      <c r="AB125" s="36">
        <f t="shared" si="34"/>
        <v>1640.8400000000001</v>
      </c>
      <c r="AC125" s="36">
        <f t="shared" si="34"/>
        <v>1640.8400000000001</v>
      </c>
      <c r="AD125" s="36">
        <f t="shared" si="34"/>
        <v>1640.8400000000001</v>
      </c>
      <c r="AE125" s="36">
        <f t="shared" si="34"/>
        <v>1640.8400000000001</v>
      </c>
      <c r="AF125" s="36">
        <f t="shared" si="34"/>
        <v>1640.8400000000001</v>
      </c>
      <c r="AG125" s="36">
        <f t="shared" si="34"/>
        <v>1640.8400000000001</v>
      </c>
      <c r="AS125" s="6"/>
    </row>
    <row r="126" spans="2:45" ht="13.95" customHeight="1">
      <c r="Q126" s="67"/>
      <c r="R126" s="67"/>
      <c r="S126" s="67"/>
      <c r="AS126" s="6"/>
    </row>
    <row r="127" spans="2:45" ht="13.95" customHeight="1">
      <c r="Q127" s="67"/>
      <c r="R127" s="67"/>
      <c r="S127" s="67"/>
      <c r="AS127" s="6"/>
    </row>
    <row r="128" spans="2:45" ht="13.95" customHeight="1">
      <c r="Q128" s="67"/>
      <c r="R128" s="67"/>
      <c r="S128" s="67"/>
      <c r="AS128" s="6"/>
    </row>
    <row r="129" spans="2:45" ht="13.95" customHeight="1">
      <c r="Q129" s="67"/>
      <c r="R129" s="67"/>
      <c r="S129" s="67"/>
      <c r="AS129" s="6"/>
    </row>
    <row r="130" spans="2:45" ht="13.95" customHeight="1">
      <c r="Q130" s="67"/>
      <c r="R130" s="67"/>
      <c r="S130" s="67"/>
      <c r="AS130" s="6"/>
    </row>
    <row r="131" spans="2:45" ht="13.95" customHeight="1">
      <c r="Q131" s="67"/>
      <c r="R131" s="67"/>
      <c r="S131" s="67"/>
      <c r="AS131" s="6"/>
    </row>
    <row r="132" spans="2:45" ht="13.95" customHeight="1">
      <c r="Q132" s="67"/>
      <c r="R132" s="67"/>
      <c r="S132" s="67"/>
      <c r="AS132" s="6"/>
    </row>
    <row r="133" spans="2:45" ht="13.95" customHeight="1">
      <c r="Q133" s="67"/>
      <c r="R133" s="67"/>
      <c r="S133" s="67"/>
      <c r="AS133" s="6"/>
    </row>
    <row r="134" spans="2:45" ht="13.95" customHeight="1">
      <c r="Q134" s="67"/>
      <c r="R134" s="67"/>
      <c r="S134" s="67"/>
      <c r="AS134" s="6"/>
    </row>
    <row r="135" spans="2:45" ht="13.95" customHeight="1">
      <c r="Q135" s="67"/>
      <c r="R135" s="67"/>
      <c r="S135" s="67"/>
      <c r="AS135" s="6"/>
    </row>
    <row r="136" spans="2:45" ht="13.95" customHeight="1">
      <c r="Q136" s="67"/>
      <c r="R136" s="67"/>
      <c r="S136" s="67"/>
      <c r="AS136" s="6">
        <f>ROW()</f>
        <v>136</v>
      </c>
    </row>
    <row r="137" spans="2:45" ht="13.95" customHeight="1">
      <c r="B137" s="1262" t="s">
        <v>560</v>
      </c>
      <c r="C137" s="1263"/>
      <c r="D137" s="1263"/>
      <c r="E137" s="1263"/>
      <c r="F137" s="1263"/>
      <c r="G137" s="1263"/>
      <c r="H137" s="1263"/>
      <c r="I137" s="1263"/>
      <c r="J137" s="1263"/>
      <c r="K137" s="1263"/>
      <c r="Q137" s="67"/>
      <c r="R137" s="67"/>
      <c r="S137" s="67"/>
      <c r="AS137" s="6">
        <f>ROW()</f>
        <v>137</v>
      </c>
    </row>
    <row r="138" spans="2:45" ht="13.95" customHeight="1">
      <c r="B138" s="1263"/>
      <c r="C138" s="1263"/>
      <c r="D138" s="1263"/>
      <c r="E138" s="1263"/>
      <c r="F138" s="1263"/>
      <c r="G138" s="1263"/>
      <c r="H138" s="1263"/>
      <c r="I138" s="1263"/>
      <c r="J138" s="1263"/>
      <c r="K138" s="1263"/>
      <c r="Q138" s="67"/>
      <c r="R138" s="67"/>
      <c r="S138" s="67"/>
      <c r="AS138" s="6">
        <f>ROW()</f>
        <v>138</v>
      </c>
    </row>
    <row r="139" spans="2:45" ht="13.95" customHeight="1">
      <c r="B139" s="442"/>
      <c r="C139" s="442"/>
      <c r="D139" s="442"/>
      <c r="E139" s="442"/>
      <c r="F139" s="442"/>
      <c r="G139" s="442"/>
      <c r="H139" s="442"/>
      <c r="I139" s="442"/>
      <c r="J139" s="442"/>
      <c r="K139" s="442"/>
      <c r="Q139" s="67"/>
      <c r="R139" s="67"/>
      <c r="S139" s="67"/>
      <c r="AS139" s="6">
        <f>ROW()</f>
        <v>139</v>
      </c>
    </row>
    <row r="140" spans="2:45" ht="13.95" customHeight="1">
      <c r="B140" s="1255" t="str">
        <f>CONCATENATE("All forecasts/estimates are for year ",G90, " (10th year of carbon tax assumed to start in ",Summary!I53, ") and assume 'McDermott' carbon tax bill discussed and linked to in 'Summary' worksheet tab, Rows ",Summary!AR24, "-",Summary!AR28, ".")</f>
        <v>All forecasts/estimates are for year 2026 (10th year of carbon tax assumed to start in 2017) and assume 'McDermott' carbon tax bill discussed and linked to in 'Summary' worksheet tab, Rows 24-28.</v>
      </c>
      <c r="C140" s="1155"/>
      <c r="D140" s="1155"/>
      <c r="E140" s="1155"/>
      <c r="F140" s="1155"/>
      <c r="G140" s="1155"/>
      <c r="H140" s="1155"/>
      <c r="I140" s="1155"/>
      <c r="J140" s="1155"/>
      <c r="K140" s="1155"/>
      <c r="Q140" s="67"/>
      <c r="R140" s="67"/>
      <c r="S140" s="67"/>
      <c r="AS140" s="6">
        <f>ROW()</f>
        <v>140</v>
      </c>
    </row>
    <row r="141" spans="2:45" ht="13.95" customHeight="1">
      <c r="B141" s="1155"/>
      <c r="C141" s="1155"/>
      <c r="D141" s="1155"/>
      <c r="E141" s="1155"/>
      <c r="F141" s="1155"/>
      <c r="G141" s="1155"/>
      <c r="H141" s="1155"/>
      <c r="I141" s="1155"/>
      <c r="J141" s="1155"/>
      <c r="K141" s="1155"/>
      <c r="Q141" s="67"/>
      <c r="R141" s="67"/>
      <c r="S141" s="67"/>
      <c r="AS141" s="6">
        <f>ROW()</f>
        <v>141</v>
      </c>
    </row>
    <row r="142" spans="2:45" ht="13.95" customHeight="1">
      <c r="Q142" s="67"/>
      <c r="R142" s="67"/>
      <c r="S142" s="67"/>
      <c r="AS142" s="6">
        <f>ROW()</f>
        <v>142</v>
      </c>
    </row>
    <row r="143" spans="2:45" ht="13.95" customHeight="1">
      <c r="B143" s="14" t="s">
        <v>754</v>
      </c>
      <c r="K143" s="36">
        <f>G101</f>
        <v>1763.6483591521385</v>
      </c>
      <c r="Q143" s="67"/>
      <c r="R143" s="67"/>
      <c r="S143" s="67"/>
      <c r="AS143" s="6">
        <f>ROW()</f>
        <v>143</v>
      </c>
    </row>
    <row r="144" spans="2:45" ht="13.95" customHeight="1">
      <c r="B144" s="14" t="s">
        <v>755</v>
      </c>
      <c r="K144" s="36">
        <v>1082.3797787498099</v>
      </c>
      <c r="Q144" s="67"/>
      <c r="R144" s="67"/>
      <c r="S144" s="67"/>
      <c r="AS144" s="6">
        <f>ROW()</f>
        <v>144</v>
      </c>
    </row>
    <row r="145" spans="2:45" ht="13.95" customHeight="1">
      <c r="B145" s="1145" t="str">
        <f>CONCATENATE("Copied from Rows ",AS101, " and ",AS102, ", but second figure (w/ tax) is 'hard-wired' (i.e., converted from formulas to values) to remain tethered to McDermott bill inputs.")</f>
        <v>Copied from Rows 101 and 102, but second figure (w/ tax) is 'hard-wired' (i.e., converted from formulas to values) to remain tethered to McDermott bill inputs.</v>
      </c>
      <c r="C145" s="1155"/>
      <c r="D145" s="1155"/>
      <c r="E145" s="1155"/>
      <c r="F145" s="1155"/>
      <c r="G145" s="1155"/>
      <c r="H145" s="1155"/>
      <c r="I145" s="1155"/>
      <c r="Q145" s="67"/>
      <c r="R145" s="67"/>
      <c r="S145" s="67"/>
      <c r="AS145" s="6">
        <f>ROW()</f>
        <v>145</v>
      </c>
    </row>
    <row r="146" spans="2:45" ht="13.95" customHeight="1">
      <c r="B146" s="1155"/>
      <c r="C146" s="1155"/>
      <c r="D146" s="1155"/>
      <c r="E146" s="1155"/>
      <c r="F146" s="1155"/>
      <c r="G146" s="1155"/>
      <c r="H146" s="1155"/>
      <c r="I146" s="1155"/>
      <c r="Q146" s="67"/>
      <c r="R146" s="67"/>
      <c r="S146" s="67"/>
      <c r="AS146" s="6">
        <f>ROW()</f>
        <v>146</v>
      </c>
    </row>
    <row r="147" spans="2:45" ht="13.95" customHeight="1">
      <c r="B147" s="14" t="s">
        <v>886</v>
      </c>
      <c r="K147" s="606">
        <v>0.36308361885914597</v>
      </c>
      <c r="Q147" s="67"/>
      <c r="R147" s="67"/>
      <c r="S147" s="67"/>
      <c r="AS147" s="6">
        <f>ROW()</f>
        <v>147</v>
      </c>
    </row>
    <row r="148" spans="2:45" ht="13.95" customHeight="1">
      <c r="B148" s="14" t="s">
        <v>885</v>
      </c>
      <c r="K148" s="606">
        <v>0.63691638114085403</v>
      </c>
      <c r="Q148" s="67"/>
      <c r="R148" s="67"/>
      <c r="S148" s="67"/>
      <c r="AS148" s="6">
        <f>ROW()</f>
        <v>148</v>
      </c>
    </row>
    <row r="149" spans="2:45" ht="13.95" customHeight="1">
      <c r="B149" s="84" t="str">
        <f>CONCATENATE("Copied from Rows ",AS110, " and ",AS111, ", but also hard-wired for reason given in Row ",AS145, ".")</f>
        <v>Copied from Rows 110 and 111, but also hard-wired for reason given in Row 145.</v>
      </c>
      <c r="Q149" s="67"/>
      <c r="R149" s="67"/>
      <c r="S149" s="67"/>
      <c r="AS149" s="6">
        <f>ROW()</f>
        <v>149</v>
      </c>
    </row>
    <row r="150" spans="2:45" ht="13.95" customHeight="1">
      <c r="B150" s="84"/>
      <c r="K150" s="36"/>
      <c r="Q150" s="67"/>
      <c r="R150" s="67"/>
      <c r="S150" s="67"/>
      <c r="AS150" s="6">
        <f>ROW()</f>
        <v>150</v>
      </c>
    </row>
    <row r="151" spans="2:45" ht="13.95" customHeight="1">
      <c r="B151" s="1" t="s">
        <v>536</v>
      </c>
      <c r="Q151" s="67"/>
      <c r="R151" s="67"/>
      <c r="S151" s="67"/>
      <c r="AS151" s="6">
        <f>ROW()</f>
        <v>151</v>
      </c>
    </row>
    <row r="152" spans="2:45" ht="13.95" customHeight="1">
      <c r="B152" s="31"/>
      <c r="K152" s="36"/>
      <c r="Q152" s="67"/>
      <c r="R152" s="67"/>
      <c r="S152" s="67"/>
      <c r="AS152" s="6">
        <f>ROW()</f>
        <v>152</v>
      </c>
    </row>
    <row r="153" spans="2:45" ht="13.95" customHeight="1">
      <c r="B153" s="8" t="s">
        <v>549</v>
      </c>
      <c r="Q153" s="67"/>
      <c r="R153" s="67"/>
      <c r="S153" s="67"/>
      <c r="AS153" s="6">
        <f>ROW()</f>
        <v>153</v>
      </c>
    </row>
    <row r="154" spans="2:45" ht="13.95" customHeight="1">
      <c r="B154" s="14" t="s">
        <v>757</v>
      </c>
      <c r="G154" s="36"/>
      <c r="K154" s="36">
        <f>G92</f>
        <v>4227.3222223052044</v>
      </c>
      <c r="Q154" s="67"/>
      <c r="R154" s="67"/>
      <c r="S154" s="67"/>
      <c r="AS154" s="6">
        <f>ROW()</f>
        <v>154</v>
      </c>
    </row>
    <row r="155" spans="2:45" ht="13.95" customHeight="1">
      <c r="B155" s="14" t="s">
        <v>758</v>
      </c>
      <c r="G155" s="36"/>
      <c r="K155" s="36">
        <v>3457.6367673813002</v>
      </c>
      <c r="Q155" s="67"/>
      <c r="R155" s="67"/>
      <c r="S155" s="67"/>
      <c r="AS155" s="6">
        <f>ROW()</f>
        <v>155</v>
      </c>
    </row>
    <row r="156" spans="2:45" ht="13.95" customHeight="1">
      <c r="B156" s="84" t="str">
        <f>CONCATENATE("First figure is copied from Cell G",AS92, ". Second is copied and hard-wired from G",AS93, ".")</f>
        <v>First figure is copied from Cell G92. Second is copied and hard-wired from G93.</v>
      </c>
      <c r="Q156" s="67"/>
      <c r="R156" s="67"/>
      <c r="S156" s="67"/>
      <c r="AS156" s="6">
        <f>ROW()</f>
        <v>156</v>
      </c>
    </row>
    <row r="157" spans="2:45" ht="13.95" customHeight="1">
      <c r="B157" s="14" t="s">
        <v>887</v>
      </c>
      <c r="K157" s="36">
        <f>T34</f>
        <v>3901.9644630370503</v>
      </c>
      <c r="Q157" s="67"/>
      <c r="R157" s="67"/>
      <c r="S157" s="67"/>
      <c r="AS157" s="6">
        <f>ROW()</f>
        <v>157</v>
      </c>
    </row>
    <row r="158" spans="2:45" ht="13.95" customHeight="1">
      <c r="B158" s="84" t="str">
        <f>CONCATENATE("Copied from Cell T",AS34, ".")</f>
        <v>Copied from Cell T34.</v>
      </c>
      <c r="Q158" s="67"/>
      <c r="R158" s="67"/>
      <c r="S158" s="67"/>
      <c r="AS158" s="6">
        <f>ROW()</f>
        <v>158</v>
      </c>
    </row>
    <row r="159" spans="2:45" ht="13.95" customHeight="1">
      <c r="B159" s="14" t="s">
        <v>888</v>
      </c>
      <c r="K159" s="15">
        <f>K154/$K$157-1</f>
        <v>8.3383065722468341E-2</v>
      </c>
      <c r="Q159" s="67"/>
      <c r="R159" s="67"/>
      <c r="S159" s="67"/>
      <c r="AS159" s="6">
        <f>ROW()</f>
        <v>159</v>
      </c>
    </row>
    <row r="160" spans="2:45" ht="13.95" customHeight="1">
      <c r="B160" s="84" t="str">
        <f>CONCATENATE("Ratio of Rows ",AS154, " and ",$AS$157, ", less one.")</f>
        <v>Ratio of Rows 154 and 157, less one.</v>
      </c>
      <c r="K160" s="15"/>
      <c r="Q160" s="67"/>
      <c r="R160" s="67"/>
      <c r="S160" s="67"/>
      <c r="AS160" s="6">
        <f>ROW()</f>
        <v>160</v>
      </c>
    </row>
    <row r="161" spans="2:45" ht="13.95" customHeight="1">
      <c r="B161" s="14" t="s">
        <v>889</v>
      </c>
      <c r="K161" s="15">
        <f>K155/$K$157-1</f>
        <v>-0.11387281966938079</v>
      </c>
      <c r="Q161" s="67"/>
      <c r="R161" s="67"/>
      <c r="S161" s="67"/>
      <c r="AS161" s="6">
        <f>ROW()</f>
        <v>161</v>
      </c>
    </row>
    <row r="162" spans="2:45" ht="13.95" customHeight="1">
      <c r="B162" s="84" t="str">
        <f>CONCATENATE("Ratio of Rows ",AS155, " and ",$AS$157, ", less one.")</f>
        <v>Ratio of Rows 155 and 157, less one.</v>
      </c>
      <c r="K162" s="15"/>
      <c r="Q162" s="67"/>
      <c r="R162" s="67"/>
      <c r="S162" s="67"/>
      <c r="AS162" s="6">
        <f>ROW()</f>
        <v>162</v>
      </c>
    </row>
    <row r="163" spans="2:45" ht="13.95" customHeight="1">
      <c r="B163" s="14" t="str">
        <f>CONCATENATE("Annual growth in electricity sales from 2016 to ",$G$90, ", w/o carbon tax")</f>
        <v>Annual growth in electricity sales from 2016 to 2026, w/o carbon tax</v>
      </c>
      <c r="K163" s="15">
        <f>(1+K159)^(1/9)-1</f>
        <v>8.9384462739667825E-3</v>
      </c>
      <c r="Q163" s="67"/>
      <c r="R163" s="67"/>
      <c r="S163" s="67"/>
      <c r="AS163" s="6">
        <f>ROW()</f>
        <v>163</v>
      </c>
    </row>
    <row r="164" spans="2:45" ht="13.95" customHeight="1">
      <c r="B164" s="14" t="str">
        <f>CONCATENATE("Annual growth in electricity sales from 2016 to ",$G$90, ", w/ carbon tax")</f>
        <v>Annual growth in electricity sales from 2016 to 2026, w/ carbon tax</v>
      </c>
      <c r="K164" s="15">
        <f>(1+K161)^(1/9)-1</f>
        <v>-1.3342938080744271E-2</v>
      </c>
      <c r="Q164" s="67"/>
      <c r="R164" s="67"/>
      <c r="S164" s="67"/>
      <c r="AS164" s="6">
        <f>ROW()</f>
        <v>164</v>
      </c>
    </row>
    <row r="165" spans="2:45" ht="13.95" customHeight="1">
      <c r="B165" s="84" t="str">
        <f>CONCATENATE("Figures in Rows ",AS163, " and ",AS164, " are one-eleventh power of Rows ",AS159, " and ",AS161, ", respectively, less one.")</f>
        <v>Figures in Rows 163 and 164 are one-eleventh power of Rows 159 and 161, respectively, less one.</v>
      </c>
      <c r="K165" s="15"/>
      <c r="Q165" s="67"/>
      <c r="R165" s="67"/>
      <c r="S165" s="67"/>
      <c r="AS165" s="6">
        <f>ROW()</f>
        <v>165</v>
      </c>
    </row>
    <row r="166" spans="2:45" ht="13.95" customHeight="1">
      <c r="B166" s="316" t="str">
        <f>CONCATENATE("Difference in ann. growth in electricity sales to ",G90, ", between having and not having C tax")</f>
        <v>Difference in ann. growth in electricity sales to 2026, between having and not having C tax</v>
      </c>
      <c r="C166" s="428"/>
      <c r="D166" s="428"/>
      <c r="E166" s="428"/>
      <c r="F166" s="428"/>
      <c r="G166" s="428"/>
      <c r="H166" s="428"/>
      <c r="I166" s="428"/>
      <c r="J166" s="428"/>
      <c r="K166" s="429">
        <f>K163-K164</f>
        <v>2.2281384354711053E-2</v>
      </c>
      <c r="Q166" s="67"/>
      <c r="R166" s="67"/>
      <c r="S166" s="67"/>
      <c r="AS166" s="6">
        <f>ROW()</f>
        <v>166</v>
      </c>
    </row>
    <row r="167" spans="2:45" ht="13.95" customHeight="1">
      <c r="B167" s="84" t="str">
        <f>CONCATENATE("Row ",AS163, " less Row ",AS164, ".")</f>
        <v>Row 163 less Row 164.</v>
      </c>
      <c r="K167" s="16"/>
      <c r="Q167" s="67"/>
      <c r="R167" s="67"/>
      <c r="S167" s="67"/>
      <c r="AS167" s="6">
        <f>ROW()</f>
        <v>167</v>
      </c>
    </row>
    <row r="168" spans="2:45" ht="13.95" customHeight="1">
      <c r="B168" s="84"/>
      <c r="K168" s="16"/>
      <c r="AS168" s="6">
        <f>ROW()</f>
        <v>168</v>
      </c>
    </row>
    <row r="169" spans="2:45" ht="13.95" customHeight="1">
      <c r="B169" s="8" t="s">
        <v>550</v>
      </c>
      <c r="K169" s="16"/>
      <c r="AS169" s="6">
        <f>ROW()</f>
        <v>169</v>
      </c>
    </row>
    <row r="170" spans="2:45" ht="13.95" customHeight="1">
      <c r="J170" s="419" t="s">
        <v>537</v>
      </c>
      <c r="K170" s="419" t="s">
        <v>1056</v>
      </c>
      <c r="AS170" s="6">
        <f>ROW()</f>
        <v>170</v>
      </c>
    </row>
    <row r="171" spans="2:45" ht="13.95" customHeight="1">
      <c r="B171" s="14" t="s">
        <v>896</v>
      </c>
      <c r="J171" s="6">
        <f>T66</f>
        <v>11.231262959466923</v>
      </c>
      <c r="K171" s="20">
        <f>J171/AEO!$S$28^2</f>
        <v>10.772166178719951</v>
      </c>
      <c r="AS171" s="6">
        <f>ROW()</f>
        <v>171</v>
      </c>
    </row>
    <row r="172" spans="2:45" ht="13.95" customHeight="1">
      <c r="B172" s="84" t="str">
        <f>CONCATENATE("Nominal price is from Cell T",AS66, ". Constant-2015$ price deflates that by official price index in 'AEO' tab.")</f>
        <v>Nominal price is from Cell T66. Constant-2015$ price deflates that by official price index in 'AEO' tab.</v>
      </c>
      <c r="J172" s="20"/>
      <c r="K172" s="20"/>
      <c r="AS172" s="6">
        <f>ROW()</f>
        <v>172</v>
      </c>
    </row>
    <row r="173" spans="2:45" ht="13.95" customHeight="1">
      <c r="B173" s="31" t="str">
        <f>CONCATENATE("Avg retail electricity price, cents/kWh, ",$G$90, ", w/o carbon tax")</f>
        <v>Avg retail electricity price, cents/kWh, 2026, w/o carbon tax</v>
      </c>
      <c r="J173" s="6">
        <f>AC32</f>
        <v>13.25191558634255</v>
      </c>
      <c r="K173" s="20">
        <f>J173/AEO!$S$28^11</f>
        <v>10.533874258860697</v>
      </c>
      <c r="AS173" s="6">
        <f>ROW()</f>
        <v>173</v>
      </c>
    </row>
    <row r="174" spans="2:45" ht="13.95" customHeight="1">
      <c r="B174" s="84" t="str">
        <f>CONCATENATE("Nominal price is from cell AC",AS32, ". Constant-2015$ price deflates that by official price index in 'AEO' tab.")</f>
        <v>Nominal price is from cell AC32. Constant-2015$ price deflates that by official price index in 'AEO' tab.</v>
      </c>
      <c r="C174" s="84"/>
      <c r="D174" s="84"/>
      <c r="E174" s="84"/>
      <c r="F174" s="84"/>
      <c r="G174" s="84"/>
      <c r="H174" s="84"/>
      <c r="I174" s="84"/>
      <c r="J174" s="6"/>
      <c r="K174" s="20"/>
      <c r="AS174" s="6">
        <f>ROW()</f>
        <v>174</v>
      </c>
    </row>
    <row r="175" spans="2:45" ht="13.95" customHeight="1">
      <c r="B175" s="31" t="str">
        <f>CONCATENATE("Avg retail electricity price, cents/kWh, ",$G$90, ", w/ carbon tax")</f>
        <v>Avg retail electricity price, cents/kWh, 2026, w/ carbon tax</v>
      </c>
      <c r="J175" s="6">
        <f>AC66</f>
        <v>17.067346569051161</v>
      </c>
      <c r="K175" s="20">
        <f>J175/AEO!$S$28^11</f>
        <v>13.566739202298384</v>
      </c>
      <c r="AS175" s="6">
        <f>ROW()</f>
        <v>175</v>
      </c>
    </row>
    <row r="176" spans="2:45" ht="13.95" customHeight="1">
      <c r="B176" s="84" t="str">
        <f>CONCATENATE("Nominal price is from cell AC",AS66, ". Constant-2015$ price deflates that by official price index in 'AEO' tab.")</f>
        <v>Nominal price is from cell AC66. Constant-2015$ price deflates that by official price index in 'AEO' tab.</v>
      </c>
      <c r="J176" s="6"/>
      <c r="K176" s="20"/>
      <c r="AS176" s="6">
        <f>ROW()</f>
        <v>176</v>
      </c>
    </row>
    <row r="177" spans="2:45" ht="13.95" customHeight="1">
      <c r="B177" s="31" t="s">
        <v>890</v>
      </c>
      <c r="J177" s="15">
        <f>(J173/J$171)-1</f>
        <v>0.17991321494012413</v>
      </c>
      <c r="K177" s="15">
        <f>(K173/K$171)-1</f>
        <v>-2.2121077219361074E-2</v>
      </c>
      <c r="AS177" s="6">
        <f>ROW()</f>
        <v>177</v>
      </c>
    </row>
    <row r="178" spans="2:45" ht="13.95" customHeight="1">
      <c r="B178" s="84" t="str">
        <f>CONCATENATE("Ratio of Row ",AS173, " to Row ",AS171, ", less one.")</f>
        <v>Ratio of Row 173 to Row 171, less one.</v>
      </c>
      <c r="K178" s="15"/>
      <c r="AS178" s="6">
        <f>ROW()</f>
        <v>178</v>
      </c>
    </row>
    <row r="179" spans="2:45" ht="13.95" customHeight="1">
      <c r="B179" s="31" t="s">
        <v>891</v>
      </c>
      <c r="J179" s="15">
        <f>(J175/J$171)-1</f>
        <v>0.519628436325138</v>
      </c>
      <c r="K179" s="15">
        <f>(K175/K$171)-1</f>
        <v>0.2594253539366127</v>
      </c>
      <c r="AS179" s="6">
        <f>ROW()</f>
        <v>179</v>
      </c>
    </row>
    <row r="180" spans="2:45" ht="13.95" customHeight="1">
      <c r="B180" s="84" t="str">
        <f>CONCATENATE("Ratio of Row ",AS175, " to Row ",AS171, ", less one.")</f>
        <v>Ratio of Row 175 to Row 171, less one.</v>
      </c>
      <c r="K180" s="15"/>
      <c r="AS180" s="6">
        <f>ROW()</f>
        <v>180</v>
      </c>
    </row>
    <row r="181" spans="2:45" ht="13.95" customHeight="1">
      <c r="B181" s="31" t="s">
        <v>892</v>
      </c>
      <c r="I181" s="31"/>
      <c r="J181" s="15">
        <f>(1+J177)^(1/9)-1</f>
        <v>1.8552315911355199E-2</v>
      </c>
      <c r="K181" s="15">
        <f>(1+K177)^(1/9)-1</f>
        <v>-2.4824045528458738E-3</v>
      </c>
      <c r="AS181" s="6">
        <f>ROW()</f>
        <v>181</v>
      </c>
    </row>
    <row r="182" spans="2:45" ht="13.95" customHeight="1">
      <c r="B182" s="31" t="s">
        <v>893</v>
      </c>
      <c r="J182" s="15">
        <f>(1+J179)^(1/9)-1</f>
        <v>4.7594104627403766E-2</v>
      </c>
      <c r="K182" s="15">
        <f>(1+K179)^(1/9)-1</f>
        <v>2.5959625174018397E-2</v>
      </c>
      <c r="AS182" s="6">
        <f>ROW()</f>
        <v>182</v>
      </c>
    </row>
    <row r="183" spans="2:45" ht="13.95" customHeight="1">
      <c r="B183" s="84" t="str">
        <f>CONCATENATE("Figures in Rows ",AS181, " and ",AS182, " are one-eleventh power of Rows ",AS177, " and ",AS179, ", respectively, less one.")</f>
        <v>Figures in Rows 181 and 182 are one-eleventh power of Rows 177 and 179, respectively, less one.</v>
      </c>
      <c r="AS183" s="6">
        <f>ROW()</f>
        <v>183</v>
      </c>
    </row>
    <row r="184" spans="2:45" ht="13.95" customHeight="1">
      <c r="B184" s="430" t="s">
        <v>759</v>
      </c>
      <c r="C184" s="431"/>
      <c r="D184" s="432"/>
      <c r="E184" s="432"/>
      <c r="F184" s="432"/>
      <c r="G184" s="432"/>
      <c r="H184" s="432"/>
      <c r="I184" s="432"/>
      <c r="J184" s="434">
        <f>J182-J181</f>
        <v>2.9041788716048567E-2</v>
      </c>
      <c r="K184" s="433">
        <f>K182-K181</f>
        <v>2.8442029726864271E-2</v>
      </c>
      <c r="AS184" s="6">
        <f>ROW()</f>
        <v>184</v>
      </c>
    </row>
    <row r="185" spans="2:45" ht="13.95" customHeight="1">
      <c r="B185" s="440" t="str">
        <f>CONCATENATE("Row ",AS182, " less Row ",AS181, ".")</f>
        <v>Row 182 less Row 181.</v>
      </c>
      <c r="C185" s="380"/>
      <c r="D185" s="372"/>
      <c r="E185" s="372"/>
      <c r="F185" s="372"/>
      <c r="G185" s="372"/>
      <c r="H185" s="372"/>
      <c r="I185" s="372"/>
      <c r="J185" s="441"/>
      <c r="K185" s="441"/>
      <c r="AS185" s="6">
        <f>ROW()</f>
        <v>185</v>
      </c>
    </row>
    <row r="186" spans="2:45" ht="13.95" customHeight="1">
      <c r="B186" s="31"/>
      <c r="AS186" s="6">
        <f>ROW()</f>
        <v>186</v>
      </c>
    </row>
    <row r="187" spans="2:45" ht="13.95" customHeight="1">
      <c r="B187" s="8" t="s">
        <v>551</v>
      </c>
      <c r="AS187" s="6">
        <f>ROW()</f>
        <v>187</v>
      </c>
    </row>
    <row r="188" spans="2:45" ht="13.95" customHeight="1">
      <c r="B188" s="31" t="s">
        <v>894</v>
      </c>
      <c r="J188" s="16">
        <f>($K163+1)*(J181+1)-1</f>
        <v>2.7656591064353364E-2</v>
      </c>
      <c r="K188" s="16">
        <f>($K163+1)*(K181+1)-1</f>
        <v>6.4338528813949747E-3</v>
      </c>
      <c r="AS188" s="6">
        <f>ROW()</f>
        <v>188</v>
      </c>
    </row>
    <row r="189" spans="2:45" ht="13.95" customHeight="1">
      <c r="B189" s="84" t="str">
        <f>CONCATENATE("Product of one plus the % figure in Row ",AS163, " (sales) and one plus the % figure in Row ",AS181, " (price), less one.")</f>
        <v>Product of one plus the % figure in Row 163 (sales) and one plus the % figure in Row 181 (price), less one.</v>
      </c>
      <c r="J189" s="16"/>
      <c r="K189" s="16"/>
      <c r="AS189" s="6">
        <f>ROW()</f>
        <v>189</v>
      </c>
    </row>
    <row r="190" spans="2:45" ht="13.95" customHeight="1">
      <c r="B190" s="31" t="s">
        <v>895</v>
      </c>
      <c r="J190" s="16">
        <f>($K164+1)*(J182+1)-1</f>
        <v>3.3616121355607653E-2</v>
      </c>
      <c r="K190" s="16">
        <f>($K164+1)*(K182+1)-1</f>
        <v>1.2270309421977821E-2</v>
      </c>
      <c r="AS190" s="6">
        <f>ROW()</f>
        <v>190</v>
      </c>
    </row>
    <row r="191" spans="2:45" ht="13.95" customHeight="1">
      <c r="B191" s="84" t="str">
        <f>CONCATENATE("Product of one plus the % figure in Row ",AS164, " (sales) and one plus the % figure in Row ",AS182, " (price), less one.")</f>
        <v>Product of one plus the % figure in Row 164 (sales) and one plus the % figure in Row 182 (price), less one.</v>
      </c>
      <c r="J191" s="16"/>
      <c r="K191" s="16"/>
      <c r="AS191" s="6">
        <f>ROW()</f>
        <v>191</v>
      </c>
    </row>
    <row r="192" spans="2:45" ht="13.95" customHeight="1">
      <c r="B192" s="435" t="s">
        <v>552</v>
      </c>
      <c r="C192" s="436"/>
      <c r="D192" s="437"/>
      <c r="E192" s="437"/>
      <c r="F192" s="437"/>
      <c r="G192" s="437"/>
      <c r="H192" s="437"/>
      <c r="I192" s="437"/>
      <c r="J192" s="438">
        <f>J190-J188</f>
        <v>5.9595302912542891E-3</v>
      </c>
      <c r="K192" s="439">
        <f>K190-K188</f>
        <v>5.8364565405828461E-3</v>
      </c>
      <c r="AS192" s="6">
        <f>ROW()</f>
        <v>192</v>
      </c>
    </row>
    <row r="193" spans="2:45" ht="13.95" customHeight="1">
      <c r="B193" s="440" t="str">
        <f>CONCATENATE("Row ",AS190, " less Row ",AS188, ".")</f>
        <v>Row 190 less Row 188.</v>
      </c>
      <c r="C193" s="380"/>
      <c r="D193" s="372"/>
      <c r="E193" s="372"/>
      <c r="F193" s="372"/>
      <c r="G193" s="372"/>
      <c r="H193" s="372"/>
      <c r="I193" s="372"/>
      <c r="J193" s="441"/>
      <c r="K193" s="441"/>
      <c r="AS193" s="6">
        <f>ROW()</f>
        <v>193</v>
      </c>
    </row>
    <row r="194" spans="2:45" ht="13.95" customHeight="1">
      <c r="AS194" s="6">
        <f>ROW()</f>
        <v>194</v>
      </c>
    </row>
    <row r="195" spans="2:45" ht="13.95" customHeight="1">
      <c r="B195" s="1" t="s">
        <v>538</v>
      </c>
      <c r="D195" s="1256" t="s">
        <v>897</v>
      </c>
      <c r="E195" s="1256"/>
      <c r="F195" s="1256"/>
      <c r="G195" s="1256"/>
      <c r="H195" s="1256"/>
      <c r="AS195" s="6">
        <f>ROW()</f>
        <v>195</v>
      </c>
    </row>
    <row r="196" spans="2:45" ht="13.95" customHeight="1">
      <c r="AS196" s="6">
        <f>ROW()</f>
        <v>196</v>
      </c>
    </row>
    <row r="197" spans="2:45" ht="13.95" customHeight="1">
      <c r="B197" s="124" t="s">
        <v>756</v>
      </c>
      <c r="C197" s="31"/>
      <c r="D197" s="31"/>
      <c r="E197" s="31"/>
      <c r="F197" s="31"/>
      <c r="G197" s="31"/>
      <c r="H197" s="31"/>
      <c r="I197" s="31"/>
      <c r="J197" s="31"/>
      <c r="K197" s="31"/>
      <c r="L197" s="31"/>
      <c r="M197" s="31"/>
      <c r="N197" s="31"/>
      <c r="AS197" s="6">
        <f>ROW()</f>
        <v>197</v>
      </c>
    </row>
    <row r="198" spans="2:45" ht="13.95" customHeight="1">
      <c r="B198" s="31"/>
      <c r="I198" s="31"/>
      <c r="K198" s="20"/>
      <c r="AS198" s="6">
        <f>ROW()</f>
        <v>198</v>
      </c>
    </row>
    <row r="199" spans="2:45" ht="13.95" customHeight="1">
      <c r="B199" s="1255" t="str">
        <f>CONCATENATE("The scenario, ",D224, ", must generate ",N226/1000, ",000 more GWh from all sources combined, than in 2012, while emitting barely more CO2 than was actually emitted in 2012. One way " &amp; "to do this is to greatly increase output from methane firing while increasing wind power output steadily and reducing coal-burning somewhat. This is shown in Rows ",AS224, "-",AS230, ".")</f>
        <v>The scenario, 2026 Without a CarbonTax, must generate 520,000 more GWh from all sources combined, than in 2012, while emitting barely more CO2 than was actually emitted in 2012. One way to do this is to greatly increase output from methane firing while increasing wind power output steadily and reducing coal-burning somewhat. This is shown in Rows 224-230.</v>
      </c>
      <c r="C199" s="1155"/>
      <c r="D199" s="1155"/>
      <c r="E199" s="1155"/>
      <c r="F199" s="1155"/>
      <c r="G199" s="1155"/>
      <c r="H199" s="1155"/>
      <c r="I199" s="1155"/>
      <c r="J199" s="1155"/>
      <c r="K199" s="1155"/>
      <c r="L199" s="1155"/>
      <c r="M199" s="1155"/>
      <c r="N199" s="1155"/>
      <c r="AS199" s="6">
        <f>ROW()</f>
        <v>199</v>
      </c>
    </row>
    <row r="200" spans="2:45" ht="13.95" customHeight="1">
      <c r="B200" s="1155"/>
      <c r="C200" s="1155"/>
      <c r="D200" s="1155"/>
      <c r="E200" s="1155"/>
      <c r="F200" s="1155"/>
      <c r="G200" s="1155"/>
      <c r="H200" s="1155"/>
      <c r="I200" s="1155"/>
      <c r="J200" s="1155"/>
      <c r="K200" s="1155"/>
      <c r="L200" s="1155"/>
      <c r="M200" s="1155"/>
      <c r="N200" s="1155"/>
      <c r="AS200" s="6">
        <f>ROW()</f>
        <v>200</v>
      </c>
    </row>
    <row r="201" spans="2:45" ht="13.95" customHeight="1">
      <c r="B201" s="1155"/>
      <c r="C201" s="1155"/>
      <c r="D201" s="1155"/>
      <c r="E201" s="1155"/>
      <c r="F201" s="1155"/>
      <c r="G201" s="1155"/>
      <c r="H201" s="1155"/>
      <c r="I201" s="1155"/>
      <c r="J201" s="1155"/>
      <c r="K201" s="1155"/>
      <c r="L201" s="1155"/>
      <c r="M201" s="1155"/>
      <c r="N201" s="1155"/>
      <c r="AS201" s="6">
        <f>ROW()</f>
        <v>201</v>
      </c>
    </row>
    <row r="202" spans="2:45" ht="13.95" customHeight="1">
      <c r="B202" s="84"/>
      <c r="AS202" s="6">
        <f>ROW()</f>
        <v>202</v>
      </c>
    </row>
    <row r="203" spans="2:45" ht="13.95" customHeight="1">
      <c r="B203" s="1255" t="str">
        <f>CONCATENATE("'2023, with a Carbon Tax: A High-Wind, Low-Methane Scenario,' generate ",-N233/1000, ",000 *fewer* GWh from all sources combined than in 2012, and emits less than half as much CO2 as was emitted in 2012. One way " &amp; "to do this is to increase output from wind turbines by ",B234*100, "% a year -- a growth rate less than the ",ROUND(K218,2)*100, "% rate over the past dozen years, but an extremely difficult rate to achieve/sustain when the 'base' is as large as wind is today. Meeting this target would require that ",K237/1000, ",000 new large wind turbines be installed in the U.S. over the next decade. " &amp; "Were this to happen, coal and methane firing could/would both be curtailed substantially. This is shown in Rows ",AS231, "-",AS237, ".")</f>
        <v>'2023, with a Carbon Tax: A High-Wind, Low-Methane Scenario,' generate 487,000 *fewer* GWh from all sources combined than in 2012, and emits less than half as much CO2 as was emitted in 2012. One way to do this is to increase output from wind turbines by 14% a year -- a growth rate less than the 29% rate over the past dozen years, but an extremely difficult rate to achieve/sustain when the 'base' is as large as wind is today. Meeting this target would require that 69,000 new large wind turbines be installed in the U.S. over the next decade. Were this to happen, coal and methane firing could/would both be curtailed substantially. This is shown in Rows 231-237.</v>
      </c>
      <c r="C203" s="1155"/>
      <c r="D203" s="1155"/>
      <c r="E203" s="1155"/>
      <c r="F203" s="1155"/>
      <c r="G203" s="1155"/>
      <c r="H203" s="1155"/>
      <c r="I203" s="1155"/>
      <c r="J203" s="1155"/>
      <c r="K203" s="1155"/>
      <c r="L203" s="1155"/>
      <c r="M203" s="1155"/>
      <c r="N203" s="1155"/>
      <c r="AS203" s="6">
        <f>ROW()</f>
        <v>203</v>
      </c>
    </row>
    <row r="204" spans="2:45" ht="13.95" customHeight="1">
      <c r="B204" s="1155"/>
      <c r="C204" s="1155"/>
      <c r="D204" s="1155"/>
      <c r="E204" s="1155"/>
      <c r="F204" s="1155"/>
      <c r="G204" s="1155"/>
      <c r="H204" s="1155"/>
      <c r="I204" s="1155"/>
      <c r="J204" s="1155"/>
      <c r="K204" s="1155"/>
      <c r="L204" s="1155"/>
      <c r="M204" s="1155"/>
      <c r="N204" s="1155"/>
      <c r="AS204" s="6">
        <f>ROW()</f>
        <v>204</v>
      </c>
    </row>
    <row r="205" spans="2:45" ht="13.95" customHeight="1">
      <c r="B205" s="1155"/>
      <c r="C205" s="1155"/>
      <c r="D205" s="1155"/>
      <c r="E205" s="1155"/>
      <c r="F205" s="1155"/>
      <c r="G205" s="1155"/>
      <c r="H205" s="1155"/>
      <c r="I205" s="1155"/>
      <c r="J205" s="1155"/>
      <c r="K205" s="1155"/>
      <c r="L205" s="1155"/>
      <c r="M205" s="1155"/>
      <c r="N205" s="1155"/>
      <c r="AS205" s="6">
        <f>ROW()</f>
        <v>205</v>
      </c>
    </row>
    <row r="206" spans="2:45" ht="13.95" customHeight="1">
      <c r="B206" s="1155"/>
      <c r="C206" s="1155"/>
      <c r="D206" s="1155"/>
      <c r="E206" s="1155"/>
      <c r="F206" s="1155"/>
      <c r="G206" s="1155"/>
      <c r="H206" s="1155"/>
      <c r="I206" s="1155"/>
      <c r="J206" s="1155"/>
      <c r="K206" s="1155"/>
      <c r="L206" s="1155"/>
      <c r="M206" s="1155"/>
      <c r="N206" s="1155"/>
      <c r="AS206" s="6">
        <f>ROW()</f>
        <v>206</v>
      </c>
    </row>
    <row r="207" spans="2:45" ht="13.95" customHeight="1">
      <c r="B207" s="1155"/>
      <c r="C207" s="1155"/>
      <c r="D207" s="1155"/>
      <c r="E207" s="1155"/>
      <c r="F207" s="1155"/>
      <c r="G207" s="1155"/>
      <c r="H207" s="1155"/>
      <c r="I207" s="1155"/>
      <c r="J207" s="1155"/>
      <c r="K207" s="1155"/>
      <c r="L207" s="1155"/>
      <c r="M207" s="1155"/>
      <c r="N207" s="1155"/>
      <c r="AS207" s="6">
        <f>ROW()</f>
        <v>207</v>
      </c>
    </row>
    <row r="208" spans="2:45" ht="13.95" customHeight="1">
      <c r="B208" s="172"/>
      <c r="C208" s="172"/>
      <c r="D208" s="172"/>
      <c r="E208" s="172"/>
      <c r="F208" s="172"/>
      <c r="G208" s="172"/>
      <c r="H208" s="172"/>
      <c r="I208" s="172"/>
      <c r="J208" s="172"/>
      <c r="K208" s="172"/>
      <c r="L208" s="172"/>
      <c r="M208" s="172"/>
      <c r="N208" s="172"/>
      <c r="AS208" s="6">
        <f>ROW()</f>
        <v>208</v>
      </c>
    </row>
    <row r="209" spans="2:45" ht="13.95" customHeight="1">
      <c r="B209" s="1255" t="str">
        <f>CONCATENATE("The last scenario, '2023, with a Carbon Tax: A Lower-Wind, Higher-Solar, Higher-Methane Scenario,' must meet the same GWh and CO2 targets/constraints as the preceding one. " &amp; "It does so with a lower wind-growth rate -- ",B241*100, "% a year rather than ",B234*100, "% -- which requires that 'only' ",K244/1000, ",000 wind turbines be installed over the next decade, but a very rapid scale-up in solar-electric generation -- a ",ROUND(L239/L220,0), "-fold increase over the 2012 level. This scenario also entails an *increase* in methane-fired electricity generation from 2012 (though the approximately ",ROUND(100*(F239/F220),-1)-100, "% increase is less of an increase than that shown in the 2023-no-carbon-tax scenario)." &amp; " Note the decimation of the coal-fired electricity generation sector in this scenario.")</f>
        <v>The last scenario, '2023, with a Carbon Tax: A Lower-Wind, Higher-Solar, Higher-Methane Scenario,' must meet the same GWh and CO2 targets/constraints as the preceding one. It does so with a lower wind-growth rate -- 8% a year rather than 14% -- which requires that 'only' 28,000 wind turbines be installed over the next decade, but a very rapid scale-up in solar-electric generation -- a 51-fold increase over the 2012 level. This scenario also entails an *increase* in methane-fired electricity generation from 2012 (though the approximately 0% increase is less of an increase than that shown in the 2023-no-carbon-tax scenario). Note the decimation of the coal-fired electricity generation sector in this scenario.</v>
      </c>
      <c r="C209" s="1155"/>
      <c r="D209" s="1155"/>
      <c r="E209" s="1155"/>
      <c r="F209" s="1155"/>
      <c r="G209" s="1155"/>
      <c r="H209" s="1155"/>
      <c r="I209" s="1155"/>
      <c r="J209" s="1155"/>
      <c r="K209" s="1155"/>
      <c r="L209" s="1155"/>
      <c r="M209" s="1155"/>
      <c r="N209" s="1155"/>
      <c r="AS209" s="6">
        <f>ROW()</f>
        <v>209</v>
      </c>
    </row>
    <row r="210" spans="2:45" ht="13.95" customHeight="1">
      <c r="B210" s="1155"/>
      <c r="C210" s="1155"/>
      <c r="D210" s="1155"/>
      <c r="E210" s="1155"/>
      <c r="F210" s="1155"/>
      <c r="G210" s="1155"/>
      <c r="H210" s="1155"/>
      <c r="I210" s="1155"/>
      <c r="J210" s="1155"/>
      <c r="K210" s="1155"/>
      <c r="L210" s="1155"/>
      <c r="M210" s="1155"/>
      <c r="N210" s="1155"/>
      <c r="AS210" s="6">
        <f>ROW()</f>
        <v>210</v>
      </c>
    </row>
    <row r="211" spans="2:45" ht="13.95" customHeight="1">
      <c r="B211" s="1155"/>
      <c r="C211" s="1155"/>
      <c r="D211" s="1155"/>
      <c r="E211" s="1155"/>
      <c r="F211" s="1155"/>
      <c r="G211" s="1155"/>
      <c r="H211" s="1155"/>
      <c r="I211" s="1155"/>
      <c r="J211" s="1155"/>
      <c r="K211" s="1155"/>
      <c r="L211" s="1155"/>
      <c r="M211" s="1155"/>
      <c r="N211" s="1155"/>
      <c r="AS211" s="6">
        <f>ROW()</f>
        <v>211</v>
      </c>
    </row>
    <row r="212" spans="2:45" ht="13.95" customHeight="1">
      <c r="B212" s="1155"/>
      <c r="C212" s="1155"/>
      <c r="D212" s="1155"/>
      <c r="E212" s="1155"/>
      <c r="F212" s="1155"/>
      <c r="G212" s="1155"/>
      <c r="H212" s="1155"/>
      <c r="I212" s="1155"/>
      <c r="J212" s="1155"/>
      <c r="K212" s="1155"/>
      <c r="L212" s="1155"/>
      <c r="M212" s="1155"/>
      <c r="N212" s="1155"/>
      <c r="AS212" s="6">
        <f>ROW()</f>
        <v>212</v>
      </c>
    </row>
    <row r="213" spans="2:45" ht="13.95" customHeight="1">
      <c r="B213" s="1155"/>
      <c r="C213" s="1155"/>
      <c r="D213" s="1155"/>
      <c r="E213" s="1155"/>
      <c r="F213" s="1155"/>
      <c r="G213" s="1155"/>
      <c r="H213" s="1155"/>
      <c r="I213" s="1155"/>
      <c r="J213" s="1155"/>
      <c r="K213" s="1155"/>
      <c r="L213" s="1155"/>
      <c r="M213" s="1155"/>
      <c r="N213" s="1155"/>
      <c r="AS213" s="6">
        <f>ROW()</f>
        <v>213</v>
      </c>
    </row>
    <row r="214" spans="2:45" ht="13.95" customHeight="1">
      <c r="B214" s="172"/>
      <c r="C214" s="172"/>
      <c r="D214" s="172"/>
      <c r="E214" s="172"/>
      <c r="F214" s="172"/>
      <c r="G214" s="172"/>
      <c r="H214" s="172"/>
      <c r="I214" s="172"/>
      <c r="J214" s="172"/>
      <c r="K214" s="172"/>
      <c r="L214" s="172"/>
      <c r="M214" s="172"/>
      <c r="N214" s="172"/>
      <c r="AS214" s="6">
        <f>ROW()</f>
        <v>214</v>
      </c>
    </row>
    <row r="215" spans="2:45" ht="13.95" customHeight="1">
      <c r="B215" s="1228" t="s">
        <v>559</v>
      </c>
      <c r="C215" s="1228"/>
      <c r="D215" s="1228"/>
      <c r="E215" s="1228"/>
      <c r="F215" s="1228"/>
      <c r="G215" s="1228"/>
      <c r="H215" s="1228"/>
      <c r="I215" s="1228"/>
      <c r="J215" s="1228"/>
      <c r="K215" s="1228"/>
      <c r="L215" s="1228"/>
      <c r="M215" s="1228"/>
      <c r="N215" s="1228"/>
      <c r="O215" s="1228"/>
      <c r="P215" s="1228"/>
      <c r="AS215" s="6">
        <f>ROW()</f>
        <v>215</v>
      </c>
    </row>
    <row r="216" spans="2:45" ht="13.95" customHeight="1">
      <c r="AS216" s="6">
        <f>ROW()</f>
        <v>216</v>
      </c>
    </row>
    <row r="217" spans="2:45" ht="13.95" customHeight="1">
      <c r="B217" s="1287" t="s">
        <v>555</v>
      </c>
      <c r="C217" s="1291" t="s">
        <v>784</v>
      </c>
      <c r="D217" s="459" t="s">
        <v>44</v>
      </c>
      <c r="E217" s="459" t="s">
        <v>539</v>
      </c>
      <c r="F217" s="459" t="s">
        <v>556</v>
      </c>
      <c r="G217" s="459" t="s">
        <v>540</v>
      </c>
      <c r="H217" s="459" t="s">
        <v>541</v>
      </c>
      <c r="I217" s="459" t="s">
        <v>553</v>
      </c>
      <c r="J217" s="459" t="s">
        <v>544</v>
      </c>
      <c r="K217" s="459" t="s">
        <v>542</v>
      </c>
      <c r="L217" s="459" t="s">
        <v>543</v>
      </c>
      <c r="M217" s="459" t="s">
        <v>138</v>
      </c>
      <c r="N217" s="459" t="s">
        <v>554</v>
      </c>
      <c r="O217" s="1285" t="s">
        <v>789</v>
      </c>
      <c r="AS217" s="6">
        <f>ROW()</f>
        <v>217</v>
      </c>
    </row>
    <row r="218" spans="2:45" ht="13.95" customHeight="1">
      <c r="B218" s="1288"/>
      <c r="C218" s="1292"/>
      <c r="D218" s="443">
        <v>-1.7832407430843598E-2</v>
      </c>
      <c r="E218" s="443">
        <v>-0.108113129796785</v>
      </c>
      <c r="F218" s="443">
        <v>4.4342636837072097E-2</v>
      </c>
      <c r="G218" s="443">
        <v>1.0379170561980501E-3</v>
      </c>
      <c r="H218" s="443">
        <v>1.63994188798244E-3</v>
      </c>
      <c r="I218" s="443">
        <v>1.7016181684077002E-2</v>
      </c>
      <c r="J218" s="443">
        <v>1.19643883965115E-2</v>
      </c>
      <c r="K218" s="443">
        <v>0.28806676894130301</v>
      </c>
      <c r="L218" s="443">
        <v>0.29151177949849499</v>
      </c>
      <c r="M218" s="443"/>
      <c r="N218" s="443">
        <v>4.5992414363071896E-3</v>
      </c>
      <c r="O218" s="1286"/>
      <c r="AS218" s="6">
        <f>ROW()</f>
        <v>218</v>
      </c>
    </row>
    <row r="219" spans="2:45" ht="13.95" customHeight="1">
      <c r="B219" s="1288"/>
      <c r="C219" s="612"/>
      <c r="D219" s="1290" t="s">
        <v>760</v>
      </c>
      <c r="E219" s="1290"/>
      <c r="F219" s="1290"/>
      <c r="G219" s="1290"/>
      <c r="H219" s="1290"/>
      <c r="I219" s="1290"/>
      <c r="J219" s="1290"/>
      <c r="K219" s="1290"/>
      <c r="L219" s="1290"/>
      <c r="M219" s="1290"/>
      <c r="N219" s="1290"/>
      <c r="O219" s="1286"/>
      <c r="AS219" s="6">
        <f>ROW()</f>
        <v>219</v>
      </c>
    </row>
    <row r="220" spans="2:45" ht="13.95" customHeight="1">
      <c r="B220" s="1288"/>
      <c r="C220" s="613" t="s">
        <v>785</v>
      </c>
      <c r="D220" s="614">
        <f>ROUND(Energy!O11,-3)</f>
        <v>1581000</v>
      </c>
      <c r="E220" s="614">
        <f>ROUND(Energy!O12,-3)</f>
        <v>27000</v>
      </c>
      <c r="F220" s="614">
        <f>ROUND(Energy!O13,-3)</f>
        <v>1125000</v>
      </c>
      <c r="G220" s="614">
        <f>ROUND(789017,-3)</f>
        <v>789000</v>
      </c>
      <c r="H220" s="614">
        <f>ROUND(269136,-3)</f>
        <v>269000</v>
      </c>
      <c r="I220" s="614">
        <f>ROUND(59894,-3)</f>
        <v>60000</v>
      </c>
      <c r="J220" s="614">
        <f>ROUND(16517,-3)</f>
        <v>17000</v>
      </c>
      <c r="K220" s="614">
        <f>ROUND(167665,-3)</f>
        <v>168000</v>
      </c>
      <c r="L220" s="614">
        <f>ROUND(9252,-1)</f>
        <v>9250</v>
      </c>
      <c r="M220" s="614">
        <f>ROUND(N220-SUM(D220:L220),-3)</f>
        <v>21000</v>
      </c>
      <c r="N220" s="625">
        <f>ROUND(Energy!O7*1000,-3)</f>
        <v>4066000</v>
      </c>
      <c r="O220" s="1286"/>
      <c r="AS220" s="6">
        <f>ROW()</f>
        <v>220</v>
      </c>
    </row>
    <row r="221" spans="2:45" ht="13.95" customHeight="1">
      <c r="B221" s="1288"/>
      <c r="C221" s="613" t="s">
        <v>786</v>
      </c>
      <c r="D221" s="615">
        <f t="shared" ref="D221:N221" si="35">D220/$N220</f>
        <v>0.38883423512051157</v>
      </c>
      <c r="E221" s="615">
        <f t="shared" si="35"/>
        <v>6.6404328578455489E-3</v>
      </c>
      <c r="F221" s="615">
        <f t="shared" si="35"/>
        <v>0.27668470241023119</v>
      </c>
      <c r="G221" s="615">
        <f t="shared" si="35"/>
        <v>0.19404820462370881</v>
      </c>
      <c r="H221" s="615">
        <f t="shared" si="35"/>
        <v>6.6158386620757501E-2</v>
      </c>
      <c r="I221" s="615">
        <f t="shared" si="35"/>
        <v>1.4756517461878997E-2</v>
      </c>
      <c r="J221" s="615">
        <f t="shared" si="35"/>
        <v>4.181013280865716E-3</v>
      </c>
      <c r="K221" s="615">
        <f t="shared" si="35"/>
        <v>4.1318248893261189E-2</v>
      </c>
      <c r="L221" s="615">
        <f t="shared" si="35"/>
        <v>2.2749631087063452E-3</v>
      </c>
      <c r="M221" s="615">
        <f t="shared" si="35"/>
        <v>5.1647811116576486E-3</v>
      </c>
      <c r="N221" s="626">
        <f t="shared" si="35"/>
        <v>1</v>
      </c>
      <c r="O221" s="1286"/>
      <c r="AS221" s="6">
        <f>ROW()</f>
        <v>221</v>
      </c>
    </row>
    <row r="222" spans="2:45" ht="13.95" customHeight="1">
      <c r="B222" s="1288"/>
      <c r="C222" s="613" t="s">
        <v>787</v>
      </c>
      <c r="D222" s="616">
        <f>Emissions!O27</f>
        <v>2.1964725044023941</v>
      </c>
      <c r="E222" s="616">
        <f>Emissions!O35</f>
        <v>1.8182591920526701</v>
      </c>
      <c r="F222" s="616">
        <f>Emissions!O31</f>
        <v>0.86625061889046251</v>
      </c>
      <c r="G222" s="617"/>
      <c r="H222" s="617"/>
      <c r="I222" s="617"/>
      <c r="J222" s="617"/>
      <c r="K222" s="617"/>
      <c r="L222" s="617"/>
      <c r="M222" s="616">
        <v>1.1000000000000001</v>
      </c>
      <c r="N222" s="627">
        <f>SUMPRODUCT(D222:M222,D220:M220)/N220</f>
        <v>1.1114972882187353</v>
      </c>
      <c r="O222" s="1286"/>
      <c r="AS222" s="6">
        <f>ROW()</f>
        <v>222</v>
      </c>
    </row>
    <row r="223" spans="2:45" ht="13.95" customHeight="1">
      <c r="B223" s="1289"/>
      <c r="C223" s="613" t="s">
        <v>788</v>
      </c>
      <c r="D223" s="614">
        <f>D220*D222/Parameters!$I$18</f>
        <v>1574.8857276463425</v>
      </c>
      <c r="E223" s="614">
        <f>E220*E222/Parameters!$I$18</f>
        <v>22.264398270032693</v>
      </c>
      <c r="F223" s="614">
        <f>F220*F222/Parameters!$I$18</f>
        <v>441.96460147472578</v>
      </c>
      <c r="G223" s="614">
        <f>G220*G222/Parameters!$I$18</f>
        <v>0</v>
      </c>
      <c r="H223" s="614">
        <f>H220*H222/Parameters!$I$18</f>
        <v>0</v>
      </c>
      <c r="I223" s="614">
        <f>I220*I222/Parameters!$I$18</f>
        <v>0</v>
      </c>
      <c r="J223" s="614">
        <f>J220*J222/Parameters!$I$18</f>
        <v>0</v>
      </c>
      <c r="K223" s="614">
        <f>K220*K222/Parameters!$I$18</f>
        <v>0</v>
      </c>
      <c r="L223" s="614">
        <f>L220*L222/Parameters!$I$18</f>
        <v>0</v>
      </c>
      <c r="M223" s="614">
        <f>M220*M222/Parameters!$I$18</f>
        <v>10.476190476190478</v>
      </c>
      <c r="N223" s="625">
        <f>SUM(D223:M223)</f>
        <v>2049.5909178672914</v>
      </c>
      <c r="O223" s="1181"/>
      <c r="AS223" s="6">
        <f>ROW()</f>
        <v>223</v>
      </c>
    </row>
    <row r="224" spans="2:45" ht="13.95" customHeight="1">
      <c r="B224" s="444"/>
      <c r="C224" s="445"/>
      <c r="D224" s="1278" t="str">
        <f>CONCATENATE(,G90, " Without a CarbonTax")</f>
        <v>2026 Without a CarbonTax</v>
      </c>
      <c r="E224" s="1279"/>
      <c r="F224" s="1279"/>
      <c r="G224" s="1279"/>
      <c r="H224" s="1279"/>
      <c r="I224" s="1279"/>
      <c r="J224" s="1279"/>
      <c r="K224" s="1279"/>
      <c r="L224" s="1279"/>
      <c r="M224" s="1279"/>
      <c r="N224" s="1279"/>
      <c r="O224" s="423"/>
      <c r="AS224" s="6">
        <f>ROW()</f>
        <v>224</v>
      </c>
    </row>
    <row r="225" spans="2:45" ht="13.95" customHeight="1">
      <c r="B225" s="446"/>
      <c r="C225" s="624" t="s">
        <v>785</v>
      </c>
      <c r="D225" s="618">
        <v>1320000</v>
      </c>
      <c r="E225" s="618">
        <f>E220</f>
        <v>27000</v>
      </c>
      <c r="F225" s="618">
        <v>1880000</v>
      </c>
      <c r="G225" s="618">
        <f>G220-116000</f>
        <v>673000</v>
      </c>
      <c r="H225" s="618">
        <f>H220</f>
        <v>269000</v>
      </c>
      <c r="I225" s="618">
        <f>I220</f>
        <v>60000</v>
      </c>
      <c r="J225" s="618">
        <f>J220</f>
        <v>17000</v>
      </c>
      <c r="K225" s="618">
        <f>ROUND(K$220*(1+B227)^11,-3)</f>
        <v>287000</v>
      </c>
      <c r="L225" s="618">
        <f>ROUND($L$220*(1+B229)^11,-3)</f>
        <v>32000</v>
      </c>
      <c r="M225" s="618">
        <f>M220</f>
        <v>21000</v>
      </c>
      <c r="N225" s="424">
        <f>SUM(D225:M225)</f>
        <v>4586000</v>
      </c>
      <c r="O225" s="630">
        <f>ROUND(AC48*1000,-3)</f>
        <v>4479000</v>
      </c>
      <c r="AS225" s="6">
        <f>ROW()</f>
        <v>225</v>
      </c>
    </row>
    <row r="226" spans="2:45" ht="13.95" customHeight="1">
      <c r="B226" s="462" t="s">
        <v>542</v>
      </c>
      <c r="C226" s="624" t="s">
        <v>761</v>
      </c>
      <c r="D226" s="619">
        <f t="shared" ref="D226:N226" si="36">ROUND(D225-D$220,-3)</f>
        <v>-261000</v>
      </c>
      <c r="E226" s="619">
        <f t="shared" si="36"/>
        <v>0</v>
      </c>
      <c r="F226" s="620">
        <f t="shared" si="36"/>
        <v>755000</v>
      </c>
      <c r="G226" s="619">
        <f t="shared" si="36"/>
        <v>-116000</v>
      </c>
      <c r="H226" s="619">
        <f t="shared" si="36"/>
        <v>0</v>
      </c>
      <c r="I226" s="619">
        <f t="shared" si="36"/>
        <v>0</v>
      </c>
      <c r="J226" s="619">
        <f t="shared" si="36"/>
        <v>0</v>
      </c>
      <c r="K226" s="619">
        <f t="shared" si="36"/>
        <v>119000</v>
      </c>
      <c r="L226" s="619">
        <f t="shared" si="36"/>
        <v>23000</v>
      </c>
      <c r="M226" s="619">
        <f t="shared" si="36"/>
        <v>0</v>
      </c>
      <c r="N226" s="628">
        <f t="shared" si="36"/>
        <v>520000</v>
      </c>
      <c r="O226" s="629" t="s">
        <v>790</v>
      </c>
      <c r="AS226" s="6"/>
    </row>
    <row r="227" spans="2:45" ht="13.95" customHeight="1">
      <c r="B227" s="425">
        <v>0.05</v>
      </c>
      <c r="C227" s="624" t="s">
        <v>786</v>
      </c>
      <c r="D227" s="621">
        <f t="shared" ref="D227:N227" si="37">D225/$N225</f>
        <v>0.28783253379851725</v>
      </c>
      <c r="E227" s="621">
        <f t="shared" si="37"/>
        <v>5.8874836458787617E-3</v>
      </c>
      <c r="F227" s="621">
        <f t="shared" si="37"/>
        <v>0.40994330571303966</v>
      </c>
      <c r="G227" s="621">
        <f t="shared" si="37"/>
        <v>0.14675098124727431</v>
      </c>
      <c r="H227" s="621">
        <f t="shared" si="37"/>
        <v>5.8656781508940256E-2</v>
      </c>
      <c r="I227" s="621">
        <f t="shared" si="37"/>
        <v>1.3083296990841693E-2</v>
      </c>
      <c r="J227" s="621">
        <f t="shared" si="37"/>
        <v>3.7069341474051461E-3</v>
      </c>
      <c r="K227" s="621">
        <f t="shared" si="37"/>
        <v>6.2581770606192758E-2</v>
      </c>
      <c r="L227" s="621">
        <f t="shared" si="37"/>
        <v>6.9777583951155693E-3</v>
      </c>
      <c r="M227" s="621">
        <f t="shared" si="37"/>
        <v>4.5791539467945922E-3</v>
      </c>
      <c r="N227" s="621">
        <f t="shared" si="37"/>
        <v>1</v>
      </c>
      <c r="O227" s="632"/>
      <c r="AS227" s="6">
        <f>ROW()</f>
        <v>227</v>
      </c>
    </row>
    <row r="228" spans="2:45" ht="13.95" customHeight="1">
      <c r="B228" s="447" t="s">
        <v>543</v>
      </c>
      <c r="C228" s="624" t="s">
        <v>787</v>
      </c>
      <c r="D228" s="622">
        <f>D222</f>
        <v>2.1964725044023941</v>
      </c>
      <c r="E228" s="622">
        <f>E222</f>
        <v>1.8182591920526701</v>
      </c>
      <c r="F228" s="622">
        <v>0.86</v>
      </c>
      <c r="G228" s="618"/>
      <c r="H228" s="618"/>
      <c r="I228" s="618"/>
      <c r="J228" s="618"/>
      <c r="K228" s="618"/>
      <c r="L228" s="618"/>
      <c r="M228" s="622">
        <v>1.1000000000000001</v>
      </c>
      <c r="N228" s="631">
        <f>N229*Parameters!$I$18/N225</f>
        <v>1.0005095298727829</v>
      </c>
      <c r="O228" s="633" t="s">
        <v>791</v>
      </c>
      <c r="AS228" s="6">
        <f>ROW()</f>
        <v>228</v>
      </c>
    </row>
    <row r="229" spans="2:45" ht="13.95" customHeight="1">
      <c r="B229" s="425">
        <v>0.12</v>
      </c>
      <c r="C229" s="624" t="s">
        <v>788</v>
      </c>
      <c r="D229" s="618">
        <f>D225*D228/Parameters!$I$18</f>
        <v>1314.8951046762631</v>
      </c>
      <c r="E229" s="618">
        <f>E225*E228/Parameters!$I$18</f>
        <v>22.264398270032693</v>
      </c>
      <c r="F229" s="623">
        <f>F225*F228/Parameters!$I$18</f>
        <v>733.24263038548747</v>
      </c>
      <c r="G229" s="618">
        <f>G225*G228/Parameters!$I$18</f>
        <v>0</v>
      </c>
      <c r="H229" s="618">
        <f>H225*H228/Parameters!$I$18</f>
        <v>0</v>
      </c>
      <c r="I229" s="618">
        <f>I225*I228/Parameters!$I$18</f>
        <v>0</v>
      </c>
      <c r="J229" s="618">
        <f>J225*J228/Parameters!$I$18</f>
        <v>0</v>
      </c>
      <c r="K229" s="618">
        <f>K225*K228/Parameters!$I$18</f>
        <v>0</v>
      </c>
      <c r="L229" s="618">
        <f>L225*L228/Parameters!$I$18</f>
        <v>0</v>
      </c>
      <c r="M229" s="618">
        <f>M225*M228/Parameters!$I$18</f>
        <v>10.476190476190478</v>
      </c>
      <c r="N229" s="424">
        <f>SUM(D229:M229)</f>
        <v>2080.8783238079736</v>
      </c>
      <c r="O229" s="634">
        <f>K143</f>
        <v>1763.6483591521385</v>
      </c>
      <c r="AS229" s="6">
        <f>ROW()</f>
        <v>229</v>
      </c>
    </row>
    <row r="230" spans="2:45" ht="13.95" customHeight="1">
      <c r="B230" s="686"/>
      <c r="C230" s="420"/>
      <c r="D230" s="421"/>
      <c r="E230" s="421"/>
      <c r="F230" s="421"/>
      <c r="G230" s="660"/>
      <c r="H230" s="661"/>
      <c r="I230" s="662"/>
      <c r="J230" s="663" t="str">
        <f>CONCATENATE("# new wind turbines, each ",$K$247, " MW @ ",$K$246*100, "% CF:")</f>
        <v># new wind turbines, each 3 MW @ 30% CF:</v>
      </c>
      <c r="K230" s="664">
        <f>ROUND(K226/$K$248,-3)</f>
        <v>15000</v>
      </c>
      <c r="L230" s="421"/>
      <c r="M230" s="421"/>
      <c r="N230" s="422"/>
      <c r="O230" s="423"/>
      <c r="AS230" s="6">
        <f>ROW()</f>
        <v>230</v>
      </c>
    </row>
    <row r="231" spans="2:45" ht="13.95" customHeight="1">
      <c r="B231" s="635"/>
      <c r="C231" s="635"/>
      <c r="D231" s="1280" t="s">
        <v>783</v>
      </c>
      <c r="E231" s="1281"/>
      <c r="F231" s="1281"/>
      <c r="G231" s="1281"/>
      <c r="H231" s="1281"/>
      <c r="I231" s="1281"/>
      <c r="J231" s="1281"/>
      <c r="K231" s="1281"/>
      <c r="L231" s="1281"/>
      <c r="M231" s="1281"/>
      <c r="N231" s="1282"/>
      <c r="O231" s="665"/>
      <c r="AS231" s="6">
        <f>ROW()</f>
        <v>231</v>
      </c>
    </row>
    <row r="232" spans="2:45" ht="13.95" customHeight="1">
      <c r="B232" s="636"/>
      <c r="C232" s="642" t="s">
        <v>785</v>
      </c>
      <c r="D232" s="638">
        <v>500000</v>
      </c>
      <c r="E232" s="638">
        <f>E225</f>
        <v>27000</v>
      </c>
      <c r="F232" s="638">
        <v>1150000</v>
      </c>
      <c r="G232" s="638">
        <f>G225</f>
        <v>673000</v>
      </c>
      <c r="H232" s="638">
        <f>H225</f>
        <v>269000</v>
      </c>
      <c r="I232" s="638">
        <f>I225</f>
        <v>60000</v>
      </c>
      <c r="J232" s="638">
        <f>J225</f>
        <v>17000</v>
      </c>
      <c r="K232" s="638">
        <f>ROUND(K$220*(1+B234)^11,-3)</f>
        <v>710000</v>
      </c>
      <c r="L232" s="638">
        <f>ROUND($L$220*(1+B236)^11,-3)</f>
        <v>152000</v>
      </c>
      <c r="M232" s="638">
        <f>M220</f>
        <v>21000</v>
      </c>
      <c r="N232" s="639">
        <f>SUM(D232:M232)</f>
        <v>3579000</v>
      </c>
      <c r="O232" s="640">
        <f>ROUND(AC76*1000,-3)</f>
        <v>3752000</v>
      </c>
      <c r="U232" s="464"/>
      <c r="AS232" s="6">
        <f>ROW()</f>
        <v>232</v>
      </c>
    </row>
    <row r="233" spans="2:45" ht="13.95" customHeight="1">
      <c r="B233" s="641" t="s">
        <v>542</v>
      </c>
      <c r="C233" s="637" t="s">
        <v>761</v>
      </c>
      <c r="D233" s="659">
        <f t="shared" ref="D233:N233" si="38">ROUND(D232-D$220,-3)</f>
        <v>-1081000</v>
      </c>
      <c r="E233" s="643">
        <f t="shared" si="38"/>
        <v>0</v>
      </c>
      <c r="F233" s="644">
        <f t="shared" si="38"/>
        <v>25000</v>
      </c>
      <c r="G233" s="643">
        <f t="shared" si="38"/>
        <v>-116000</v>
      </c>
      <c r="H233" s="643">
        <f t="shared" si="38"/>
        <v>0</v>
      </c>
      <c r="I233" s="643">
        <f t="shared" si="38"/>
        <v>0</v>
      </c>
      <c r="J233" s="643">
        <f t="shared" si="38"/>
        <v>0</v>
      </c>
      <c r="K233" s="643">
        <f t="shared" si="38"/>
        <v>542000</v>
      </c>
      <c r="L233" s="643">
        <f t="shared" si="38"/>
        <v>143000</v>
      </c>
      <c r="M233" s="643">
        <f t="shared" si="38"/>
        <v>0</v>
      </c>
      <c r="N233" s="645">
        <f t="shared" si="38"/>
        <v>-487000</v>
      </c>
      <c r="O233" s="646" t="s">
        <v>790</v>
      </c>
      <c r="U233" s="67"/>
      <c r="AS233" s="6"/>
    </row>
    <row r="234" spans="2:45" ht="13.95" customHeight="1">
      <c r="B234" s="647">
        <v>0.14000000000000001</v>
      </c>
      <c r="C234" s="637" t="s">
        <v>786</v>
      </c>
      <c r="D234" s="648">
        <f t="shared" ref="D234:N234" si="39">D232/$N232</f>
        <v>0.13970382788488406</v>
      </c>
      <c r="E234" s="648">
        <f t="shared" si="39"/>
        <v>7.5440067057837385E-3</v>
      </c>
      <c r="F234" s="648">
        <f t="shared" si="39"/>
        <v>0.32131880413523328</v>
      </c>
      <c r="G234" s="648">
        <f t="shared" si="39"/>
        <v>0.18804135233305391</v>
      </c>
      <c r="H234" s="648">
        <f t="shared" si="39"/>
        <v>7.516065940206762E-2</v>
      </c>
      <c r="I234" s="648">
        <f t="shared" si="39"/>
        <v>1.6764459346186086E-2</v>
      </c>
      <c r="J234" s="648">
        <f t="shared" si="39"/>
        <v>4.7499301480860576E-3</v>
      </c>
      <c r="K234" s="648">
        <f t="shared" si="39"/>
        <v>0.19837943559653534</v>
      </c>
      <c r="L234" s="648">
        <f t="shared" si="39"/>
        <v>4.246996367700475E-2</v>
      </c>
      <c r="M234" s="648">
        <f t="shared" si="39"/>
        <v>5.86756077116513E-3</v>
      </c>
      <c r="N234" s="648">
        <f t="shared" si="39"/>
        <v>1</v>
      </c>
      <c r="O234" s="649"/>
      <c r="AS234" s="6">
        <f>ROW()</f>
        <v>234</v>
      </c>
    </row>
    <row r="235" spans="2:45" ht="13.95" customHeight="1">
      <c r="B235" s="650" t="s">
        <v>543</v>
      </c>
      <c r="C235" s="637" t="s">
        <v>787</v>
      </c>
      <c r="D235" s="651">
        <f>D228</f>
        <v>2.1964725044023941</v>
      </c>
      <c r="E235" s="651">
        <f>E228</f>
        <v>1.8182591920526701</v>
      </c>
      <c r="F235" s="651">
        <f>F228</f>
        <v>0.86</v>
      </c>
      <c r="G235" s="638"/>
      <c r="H235" s="638"/>
      <c r="I235" s="638"/>
      <c r="J235" s="638"/>
      <c r="K235" s="638"/>
      <c r="L235" s="638"/>
      <c r="M235" s="651">
        <f>M228</f>
        <v>1.1000000000000001</v>
      </c>
      <c r="N235" s="652">
        <f>SUMPRODUCT(D235:M235,D232:M232)/N232</f>
        <v>0.60336106465119277</v>
      </c>
      <c r="O235" s="653" t="s">
        <v>791</v>
      </c>
      <c r="AS235" s="6">
        <f>ROW()</f>
        <v>235</v>
      </c>
    </row>
    <row r="236" spans="2:45" ht="13.95" customHeight="1">
      <c r="B236" s="647">
        <v>0.28999999999999998</v>
      </c>
      <c r="C236" s="637" t="s">
        <v>788</v>
      </c>
      <c r="D236" s="638">
        <f>D232*D235/Parameters!$I$18</f>
        <v>498.06632752888754</v>
      </c>
      <c r="E236" s="638">
        <f>E232*E235/Parameters!$I$18</f>
        <v>22.264398270032693</v>
      </c>
      <c r="F236" s="654">
        <f>F232*F235/Parameters!$I$18</f>
        <v>448.52607709750566</v>
      </c>
      <c r="G236" s="638">
        <f>G232*G235/Parameters!$I$18</f>
        <v>0</v>
      </c>
      <c r="H236" s="638">
        <f>H232*H235/Parameters!$I$18</f>
        <v>0</v>
      </c>
      <c r="I236" s="638">
        <f>I232*I235/Parameters!$I$18</f>
        <v>0</v>
      </c>
      <c r="J236" s="638">
        <f>J232*J235/Parameters!$I$18</f>
        <v>0</v>
      </c>
      <c r="K236" s="638">
        <f>K232*K235/Parameters!$I$18</f>
        <v>0</v>
      </c>
      <c r="L236" s="635">
        <f>L232*L235/Parameters!$I$18</f>
        <v>0</v>
      </c>
      <c r="M236" s="635">
        <f>M232*M235/Parameters!$I$18</f>
        <v>10.476190476190478</v>
      </c>
      <c r="N236" s="666">
        <f>SUM(D236:M236)</f>
        <v>979.33299337261633</v>
      </c>
      <c r="O236" s="671">
        <f>K144</f>
        <v>1082.3797787498099</v>
      </c>
      <c r="AS236" s="6">
        <f>ROW()</f>
        <v>236</v>
      </c>
    </row>
    <row r="237" spans="2:45" ht="13.95" customHeight="1">
      <c r="B237" s="655"/>
      <c r="C237" s="687"/>
      <c r="D237" s="688"/>
      <c r="E237" s="688"/>
      <c r="F237" s="688"/>
      <c r="G237" s="656"/>
      <c r="H237" s="657"/>
      <c r="I237" s="639"/>
      <c r="J237" s="658" t="str">
        <f>CONCATENATE("# new wind turbines, each ",$K$247, " MW @ ",$K$246*100, "% CF:")</f>
        <v># new wind turbines, each 3 MW @ 30% CF:</v>
      </c>
      <c r="K237" s="673">
        <f>ROUND(K233/$K$248,-3)</f>
        <v>69000</v>
      </c>
      <c r="L237" s="656"/>
      <c r="M237" s="657"/>
      <c r="N237" s="673"/>
      <c r="O237" s="672"/>
      <c r="AS237" s="6">
        <f>ROW()</f>
        <v>237</v>
      </c>
    </row>
    <row r="238" spans="2:45" ht="13.95" customHeight="1">
      <c r="B238" s="449"/>
      <c r="C238" s="449"/>
      <c r="D238" s="1283" t="s">
        <v>792</v>
      </c>
      <c r="E238" s="1284"/>
      <c r="F238" s="1284"/>
      <c r="G238" s="1284"/>
      <c r="H238" s="1284"/>
      <c r="I238" s="1284"/>
      <c r="J238" s="1284"/>
      <c r="K238" s="1284"/>
      <c r="L238" s="1284"/>
      <c r="M238" s="1284"/>
      <c r="N238" s="1284"/>
      <c r="O238" s="667"/>
      <c r="AS238" s="6">
        <f>ROW()</f>
        <v>238</v>
      </c>
    </row>
    <row r="239" spans="2:45" ht="13.95" customHeight="1">
      <c r="B239" s="463"/>
      <c r="C239" s="674" t="s">
        <v>785</v>
      </c>
      <c r="D239" s="675">
        <v>520000</v>
      </c>
      <c r="E239" s="675">
        <f>E232</f>
        <v>27000</v>
      </c>
      <c r="F239" s="675">
        <v>1110000</v>
      </c>
      <c r="G239" s="675">
        <f>G232</f>
        <v>673000</v>
      </c>
      <c r="H239" s="675">
        <f>H232</f>
        <v>269000</v>
      </c>
      <c r="I239" s="675">
        <f>I232</f>
        <v>60000</v>
      </c>
      <c r="J239" s="675">
        <f>J232</f>
        <v>17000</v>
      </c>
      <c r="K239" s="675">
        <f>ROUND(K$220*(1+B241)^11,-3)</f>
        <v>392000</v>
      </c>
      <c r="L239" s="675">
        <f>ROUND($L$220*(1+B243)^11,-3)</f>
        <v>473000</v>
      </c>
      <c r="M239" s="675">
        <f>M220</f>
        <v>21000</v>
      </c>
      <c r="N239" s="682">
        <f>SUM(D239:M239)</f>
        <v>3562000</v>
      </c>
      <c r="O239" s="685">
        <f>O232</f>
        <v>3752000</v>
      </c>
      <c r="AS239" s="6">
        <f>ROW()</f>
        <v>239</v>
      </c>
    </row>
    <row r="240" spans="2:45" ht="13.95" customHeight="1">
      <c r="B240" s="448" t="s">
        <v>542</v>
      </c>
      <c r="C240" s="676" t="s">
        <v>761</v>
      </c>
      <c r="D240" s="677">
        <f t="shared" ref="D240:N240" si="40">ROUND(D239-D$220,-3)</f>
        <v>-1061000</v>
      </c>
      <c r="E240" s="678">
        <f t="shared" si="40"/>
        <v>0</v>
      </c>
      <c r="F240" s="678">
        <f t="shared" si="40"/>
        <v>-15000</v>
      </c>
      <c r="G240" s="678">
        <f t="shared" si="40"/>
        <v>-116000</v>
      </c>
      <c r="H240" s="678">
        <f t="shared" si="40"/>
        <v>0</v>
      </c>
      <c r="I240" s="678">
        <f t="shared" si="40"/>
        <v>0</v>
      </c>
      <c r="J240" s="678">
        <f t="shared" si="40"/>
        <v>0</v>
      </c>
      <c r="K240" s="678">
        <f t="shared" si="40"/>
        <v>224000</v>
      </c>
      <c r="L240" s="678">
        <f t="shared" si="40"/>
        <v>464000</v>
      </c>
      <c r="M240" s="678">
        <f t="shared" si="40"/>
        <v>0</v>
      </c>
      <c r="N240" s="683">
        <f t="shared" si="40"/>
        <v>-504000</v>
      </c>
      <c r="O240" s="692" t="s">
        <v>790</v>
      </c>
      <c r="AS240" s="6"/>
    </row>
    <row r="241" spans="2:45" ht="13.95" customHeight="1">
      <c r="B241" s="426">
        <v>0.08</v>
      </c>
      <c r="C241" s="676" t="s">
        <v>786</v>
      </c>
      <c r="D241" s="679">
        <f t="shared" ref="D241:N241" si="41">D239/$N239</f>
        <v>0.145985401459854</v>
      </c>
      <c r="E241" s="679">
        <f t="shared" si="41"/>
        <v>7.5800112296462658E-3</v>
      </c>
      <c r="F241" s="679">
        <f t="shared" si="41"/>
        <v>0.31162268388545761</v>
      </c>
      <c r="G241" s="679">
        <f t="shared" si="41"/>
        <v>0.18893879842784952</v>
      </c>
      <c r="H241" s="679">
        <f t="shared" si="41"/>
        <v>7.5519371139809097E-2</v>
      </c>
      <c r="I241" s="679">
        <f t="shared" si="41"/>
        <v>1.6844469399213923E-2</v>
      </c>
      <c r="J241" s="679">
        <f t="shared" si="41"/>
        <v>4.7725996631106122E-3</v>
      </c>
      <c r="K241" s="679">
        <f t="shared" si="41"/>
        <v>0.11005053340819765</v>
      </c>
      <c r="L241" s="679">
        <f t="shared" si="41"/>
        <v>0.13279056709713644</v>
      </c>
      <c r="M241" s="679">
        <f t="shared" si="41"/>
        <v>5.8955642897248733E-3</v>
      </c>
      <c r="N241" s="691">
        <f t="shared" si="41"/>
        <v>1</v>
      </c>
      <c r="O241" s="679"/>
      <c r="AS241" s="6">
        <f>ROW()</f>
        <v>241</v>
      </c>
    </row>
    <row r="242" spans="2:45" ht="13.95" customHeight="1">
      <c r="B242" s="448" t="s">
        <v>543</v>
      </c>
      <c r="C242" s="689" t="s">
        <v>787</v>
      </c>
      <c r="D242" s="690">
        <f>D235</f>
        <v>2.1964725044023941</v>
      </c>
      <c r="E242" s="690">
        <f>E235</f>
        <v>1.8182591920526701</v>
      </c>
      <c r="F242" s="690">
        <f>F235</f>
        <v>0.86</v>
      </c>
      <c r="G242" s="449"/>
      <c r="H242" s="449"/>
      <c r="I242" s="449"/>
      <c r="J242" s="449"/>
      <c r="K242" s="449"/>
      <c r="L242" s="449"/>
      <c r="M242" s="690">
        <f>M235</f>
        <v>1.1000000000000001</v>
      </c>
      <c r="N242" s="684">
        <f>SUMPRODUCT(D242:M242,D239:M239)/N239</f>
        <v>0.60891597430507216</v>
      </c>
      <c r="O242" s="693" t="s">
        <v>791</v>
      </c>
      <c r="AS242" s="6">
        <f>ROW()</f>
        <v>242</v>
      </c>
    </row>
    <row r="243" spans="2:45" ht="13.95" customHeight="1">
      <c r="B243" s="426">
        <v>0.43</v>
      </c>
      <c r="C243" s="676" t="s">
        <v>788</v>
      </c>
      <c r="D243" s="675">
        <f>D239*D242/Parameters!$I$18</f>
        <v>517.98898063004299</v>
      </c>
      <c r="E243" s="675">
        <f>E239*E242/Parameters!$I$18</f>
        <v>22.264398270032693</v>
      </c>
      <c r="F243" s="675">
        <f>F239*F242/Parameters!$I$18</f>
        <v>432.92517006802723</v>
      </c>
      <c r="G243" s="675">
        <f>G239*G242/Parameters!$I$18</f>
        <v>0</v>
      </c>
      <c r="H243" s="675">
        <f>H239*H242/Parameters!$I$18</f>
        <v>0</v>
      </c>
      <c r="I243" s="675">
        <f>I239*I242/Parameters!$I$18</f>
        <v>0</v>
      </c>
      <c r="J243" s="675">
        <f>J239*J242/Parameters!$I$18</f>
        <v>0</v>
      </c>
      <c r="K243" s="675">
        <f>K239*K242/Parameters!$I$18</f>
        <v>0</v>
      </c>
      <c r="L243" s="675">
        <f>L239*L242/Parameters!$I$18</f>
        <v>0</v>
      </c>
      <c r="M243" s="675">
        <f>M239*M242/Parameters!$I$18</f>
        <v>10.476190476190478</v>
      </c>
      <c r="N243" s="682">
        <f>SUM(D243:M243)</f>
        <v>983.65473944429334</v>
      </c>
      <c r="O243" s="694">
        <f>K144</f>
        <v>1082.3797787498099</v>
      </c>
      <c r="AS243" s="6">
        <f>ROW()</f>
        <v>243</v>
      </c>
    </row>
    <row r="244" spans="2:45" ht="13.95" customHeight="1">
      <c r="B244" s="668"/>
      <c r="C244" s="669"/>
      <c r="D244" s="669"/>
      <c r="E244" s="669"/>
      <c r="F244" s="669"/>
      <c r="G244" s="668"/>
      <c r="H244" s="669"/>
      <c r="I244" s="668"/>
      <c r="J244" s="680" t="str">
        <f>CONCATENATE("# new wind turbines, each ",$K$247, " MW @ ",$K$246*100, "% CF:")</f>
        <v># new wind turbines, each 3 MW @ 30% CF:</v>
      </c>
      <c r="K244" s="681">
        <f>ROUND(K240/$K$248,-3)</f>
        <v>28000</v>
      </c>
      <c r="L244" s="669"/>
      <c r="M244" s="669"/>
      <c r="N244" s="669"/>
      <c r="O244" s="670"/>
      <c r="AS244" s="6">
        <f>ROW()</f>
        <v>244</v>
      </c>
    </row>
    <row r="245" spans="2:45" ht="13.95" customHeight="1">
      <c r="AS245" s="6">
        <f>ROW()</f>
        <v>245</v>
      </c>
    </row>
    <row r="246" spans="2:45" ht="13.95" customHeight="1">
      <c r="G246" s="450" t="s">
        <v>545</v>
      </c>
      <c r="H246" s="416"/>
      <c r="I246" s="416"/>
      <c r="J246" s="457" t="s">
        <v>557</v>
      </c>
      <c r="K246" s="451">
        <v>0.3</v>
      </c>
      <c r="AS246" s="6">
        <f>ROW()</f>
        <v>246</v>
      </c>
    </row>
    <row r="247" spans="2:45" ht="13.95" customHeight="1">
      <c r="G247" s="452" t="s">
        <v>546</v>
      </c>
      <c r="H247" s="67"/>
      <c r="I247" s="67"/>
      <c r="J247" s="100" t="s">
        <v>557</v>
      </c>
      <c r="K247" s="453">
        <v>3</v>
      </c>
      <c r="AS247" s="6">
        <f>ROW()</f>
        <v>247</v>
      </c>
    </row>
    <row r="248" spans="2:45" ht="13.95" customHeight="1">
      <c r="G248" s="454" t="s">
        <v>547</v>
      </c>
      <c r="H248" s="455"/>
      <c r="I248" s="455"/>
      <c r="J248" s="458" t="s">
        <v>558</v>
      </c>
      <c r="K248" s="456">
        <f>K247*8760*K246/1000</f>
        <v>7.8840000000000003</v>
      </c>
      <c r="AS248" s="6">
        <f>ROW()</f>
        <v>248</v>
      </c>
    </row>
    <row r="249" spans="2:45" ht="13.95" customHeight="1">
      <c r="B249" s="31"/>
      <c r="AS249" s="6">
        <f>ROW()</f>
        <v>249</v>
      </c>
    </row>
    <row r="250" spans="2:45" ht="13.95" customHeight="1">
      <c r="AS250" s="6">
        <f>ROW()</f>
        <v>250</v>
      </c>
    </row>
  </sheetData>
  <mergeCells count="38">
    <mergeCell ref="E1:G2"/>
    <mergeCell ref="B199:N201"/>
    <mergeCell ref="B215:P215"/>
    <mergeCell ref="B209:N213"/>
    <mergeCell ref="B203:N207"/>
    <mergeCell ref="C217:C218"/>
    <mergeCell ref="D224:N224"/>
    <mergeCell ref="D231:N231"/>
    <mergeCell ref="D238:N238"/>
    <mergeCell ref="O217:O223"/>
    <mergeCell ref="B217:B223"/>
    <mergeCell ref="D219:N219"/>
    <mergeCell ref="K10:K13"/>
    <mergeCell ref="M10:M13"/>
    <mergeCell ref="J71:P72"/>
    <mergeCell ref="B10:H11"/>
    <mergeCell ref="B35:P36"/>
    <mergeCell ref="T10:T13"/>
    <mergeCell ref="P10:P13"/>
    <mergeCell ref="O10:O13"/>
    <mergeCell ref="S10:S13"/>
    <mergeCell ref="R10:R13"/>
    <mergeCell ref="D195:H195"/>
    <mergeCell ref="K3:O3"/>
    <mergeCell ref="Q10:Q13"/>
    <mergeCell ref="J10:J13"/>
    <mergeCell ref="B140:K141"/>
    <mergeCell ref="B145:I146"/>
    <mergeCell ref="K54:K55"/>
    <mergeCell ref="B87:H88"/>
    <mergeCell ref="B137:K138"/>
    <mergeCell ref="B4:F6"/>
    <mergeCell ref="N10:N13"/>
    <mergeCell ref="B56:M58"/>
    <mergeCell ref="B54:J55"/>
    <mergeCell ref="I10:I13"/>
    <mergeCell ref="L10:L13"/>
    <mergeCell ref="G5:I6"/>
  </mergeCells>
  <phoneticPr fontId="3" type="noConversion"/>
  <hyperlinks>
    <hyperlink ref="G4" location="Electricity_Realignment_Sketch" display="This link"/>
  </hyperlinks>
  <printOptions gridLines="1"/>
  <pageMargins left="0.5" right="0.5" top="0.52" bottom="0.75" header="0.5" footer="0.5"/>
  <pageSetup scale="90"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11</vt:i4>
      </vt:variant>
    </vt:vector>
  </HeadingPairs>
  <TitlesOfParts>
    <vt:vector size="37" baseType="lpstr">
      <vt:lpstr>Summary</vt:lpstr>
      <vt:lpstr>Index</vt:lpstr>
      <vt:lpstr>Graph_CO2</vt:lpstr>
      <vt:lpstr>Graph_Oil</vt:lpstr>
      <vt:lpstr>Graph_Revenue</vt:lpstr>
      <vt:lpstr>Other Graphs</vt:lpstr>
      <vt:lpstr>Scenarios</vt:lpstr>
      <vt:lpstr>How</vt:lpstr>
      <vt:lpstr>Electricity</vt:lpstr>
      <vt:lpstr>Personal Ground Travel</vt:lpstr>
      <vt:lpstr>Freight</vt:lpstr>
      <vt:lpstr>Aviation</vt:lpstr>
      <vt:lpstr>Oil Refining</vt:lpstr>
      <vt:lpstr>Other_Petrol</vt:lpstr>
      <vt:lpstr>Other_Natural Gas</vt:lpstr>
      <vt:lpstr>Miscellany</vt:lpstr>
      <vt:lpstr>Emissions</vt:lpstr>
      <vt:lpstr>Energy</vt:lpstr>
      <vt:lpstr>AEO</vt:lpstr>
      <vt:lpstr>Parameters</vt:lpstr>
      <vt:lpstr>GHG's</vt:lpstr>
      <vt:lpstr>Elasticities</vt:lpstr>
      <vt:lpstr>Larson Revenue</vt:lpstr>
      <vt:lpstr>Re-Spending</vt:lpstr>
      <vt:lpstr>Admin Cost</vt:lpstr>
      <vt:lpstr>Settings</vt:lpstr>
      <vt:lpstr>Electricity_Realignment_Sketch</vt:lpstr>
      <vt:lpstr>'GHG''s'!global_mitigation</vt:lpstr>
      <vt:lpstr>Inputs</vt:lpstr>
      <vt:lpstr>Aviation!Print_Area</vt:lpstr>
      <vt:lpstr>Electricity!Print_Area</vt:lpstr>
      <vt:lpstr>Emissions!Print_Area</vt:lpstr>
      <vt:lpstr>Graph_Oil!Print_Area</vt:lpstr>
      <vt:lpstr>'Other_Natural Gas'!Print_Area</vt:lpstr>
      <vt:lpstr>Summary!Print_Area</vt:lpstr>
      <vt:lpstr>Results</vt:lpstr>
      <vt:lpstr>Scenarios</vt:lpstr>
    </vt:vector>
  </TitlesOfParts>
  <Company>KEA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Charles Komanoff</dc:creator>
  <cp:lastModifiedBy>Komanoff</cp:lastModifiedBy>
  <cp:lastPrinted>2014-05-13T17:00:50Z</cp:lastPrinted>
  <dcterms:created xsi:type="dcterms:W3CDTF">2007-03-27T19:18:08Z</dcterms:created>
  <dcterms:modified xsi:type="dcterms:W3CDTF">2016-07-01T15:18:16Z</dcterms:modified>
</cp:coreProperties>
</file>